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 tabRatio="787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PRICES'!$A$17:$K$1136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J1060" i="4"/>
  <c r="F1091" i="4"/>
  <c r="B1106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50" i="3"/>
  <c r="C1050" i="3"/>
  <c r="E1050" i="3"/>
  <c r="E1051" i="3"/>
  <c r="B1052" i="3"/>
  <c r="C1052" i="3"/>
  <c r="E1052" i="3"/>
  <c r="C1053" i="3"/>
  <c r="E1053" i="3"/>
  <c r="B1054" i="3"/>
  <c r="E1054" i="3"/>
  <c r="C1055" i="3"/>
  <c r="D1055" i="3"/>
  <c r="E1055" i="3"/>
  <c r="B1056" i="3"/>
  <c r="E1056" i="3"/>
  <c r="D1057" i="3"/>
  <c r="E1057" i="3"/>
  <c r="B1058" i="3"/>
  <c r="E1058" i="3"/>
  <c r="E1059" i="3"/>
  <c r="B1060" i="3"/>
  <c r="E1060" i="3"/>
  <c r="D1061" i="3"/>
  <c r="E1061" i="3"/>
  <c r="B1062" i="3"/>
  <c r="E1062" i="3"/>
  <c r="E1063" i="3"/>
  <c r="B1064" i="3"/>
  <c r="E1064" i="3"/>
  <c r="D1065" i="3"/>
  <c r="E1065" i="3"/>
  <c r="B1066" i="3"/>
  <c r="E1066" i="3"/>
  <c r="E1067" i="3"/>
  <c r="B1068" i="3"/>
  <c r="E1068" i="3"/>
  <c r="C1069" i="3"/>
  <c r="D1069" i="3"/>
  <c r="E1069" i="3"/>
  <c r="E1070" i="3"/>
  <c r="E1071" i="3"/>
  <c r="B1072" i="3"/>
  <c r="E1072" i="3"/>
  <c r="A1073" i="3"/>
  <c r="B1073" i="3"/>
  <c r="C1073" i="3"/>
  <c r="E1073" i="3"/>
  <c r="A1074" i="3"/>
  <c r="A1075" i="3" s="1"/>
  <c r="A1076" i="3" s="1"/>
  <c r="E1074" i="3"/>
  <c r="E1075" i="3"/>
  <c r="D1076" i="3"/>
  <c r="E1076" i="3"/>
  <c r="A1077" i="3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E1078" i="3"/>
  <c r="D1079" i="3"/>
  <c r="E1079" i="3"/>
  <c r="B1080" i="3"/>
  <c r="E1080" i="3"/>
  <c r="C1081" i="3"/>
  <c r="E1081" i="3"/>
  <c r="E1082" i="3"/>
  <c r="E1083" i="3"/>
  <c r="D1084" i="3"/>
  <c r="E1084" i="3"/>
  <c r="B1085" i="3"/>
  <c r="E1086" i="3"/>
  <c r="D1087" i="3"/>
  <c r="E1087" i="3"/>
  <c r="B1088" i="3"/>
  <c r="C1088" i="3"/>
  <c r="E1089" i="3"/>
  <c r="E1090" i="3"/>
  <c r="D1091" i="3"/>
  <c r="E1091" i="3"/>
  <c r="E1092" i="3"/>
  <c r="B1093" i="3"/>
  <c r="B1094" i="3"/>
  <c r="E1094" i="3"/>
  <c r="E1095" i="3"/>
  <c r="B1096" i="3"/>
  <c r="C1097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G1052" i="1" s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50" i="1"/>
  <c r="K1050" i="1"/>
  <c r="L1050" i="1"/>
  <c r="M1050" i="1"/>
  <c r="N1050" i="1"/>
  <c r="O1050" i="1"/>
  <c r="P1050" i="1"/>
  <c r="S1050" i="1"/>
  <c r="E1051" i="1"/>
  <c r="F1051" i="1"/>
  <c r="L1051" i="1"/>
  <c r="M1051" i="1"/>
  <c r="N1051" i="1"/>
  <c r="O1051" i="1"/>
  <c r="P1051" i="1"/>
  <c r="D1052" i="1"/>
  <c r="F1052" i="1"/>
  <c r="L1052" i="1"/>
  <c r="M1052" i="1"/>
  <c r="N1052" i="1"/>
  <c r="O1052" i="1"/>
  <c r="P1052" i="1"/>
  <c r="Q1052" i="1"/>
  <c r="G1053" i="1"/>
  <c r="L1053" i="1"/>
  <c r="M1053" i="1"/>
  <c r="N1053" i="1"/>
  <c r="O1053" i="1"/>
  <c r="P1053" i="1"/>
  <c r="Q1053" i="1"/>
  <c r="H1054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D1056" i="1"/>
  <c r="L1056" i="1"/>
  <c r="M1056" i="1"/>
  <c r="N1056" i="1"/>
  <c r="O1056" i="1"/>
  <c r="P1056" i="1"/>
  <c r="Q1056" i="1"/>
  <c r="G1057" i="1"/>
  <c r="L1057" i="1"/>
  <c r="M1057" i="1"/>
  <c r="N1057" i="1"/>
  <c r="O1057" i="1"/>
  <c r="P1057" i="1"/>
  <c r="Q1057" i="1"/>
  <c r="F1058" i="1"/>
  <c r="L1058" i="1"/>
  <c r="M1058" i="1"/>
  <c r="N1058" i="1"/>
  <c r="O1058" i="1"/>
  <c r="P1058" i="1"/>
  <c r="Q1058" i="1"/>
  <c r="C1059" i="1"/>
  <c r="L1059" i="1"/>
  <c r="M1059" i="1"/>
  <c r="N1059" i="1"/>
  <c r="O1059" i="1"/>
  <c r="P1059" i="1"/>
  <c r="Q1059" i="1"/>
  <c r="D1060" i="1"/>
  <c r="J1060" i="1"/>
  <c r="L1060" i="1"/>
  <c r="M1060" i="1"/>
  <c r="N1060" i="1"/>
  <c r="O1060" i="1"/>
  <c r="P1060" i="1"/>
  <c r="Q1060" i="1"/>
  <c r="E1061" i="1"/>
  <c r="L1061" i="1"/>
  <c r="M1061" i="1"/>
  <c r="N1061" i="1"/>
  <c r="O1061" i="1"/>
  <c r="P1061" i="1"/>
  <c r="Q1061" i="1"/>
  <c r="J1062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F1067" i="1"/>
  <c r="L1067" i="1"/>
  <c r="M1067" i="1"/>
  <c r="N1067" i="1"/>
  <c r="O1067" i="1"/>
  <c r="P1067" i="1"/>
  <c r="Q1067" i="1"/>
  <c r="B1068" i="1"/>
  <c r="L1068" i="1"/>
  <c r="M1068" i="1"/>
  <c r="N1068" i="1"/>
  <c r="O1068" i="1"/>
  <c r="P1068" i="1"/>
  <c r="Q1068" i="1"/>
  <c r="C1069" i="1"/>
  <c r="I1069" i="1"/>
  <c r="L1069" i="1"/>
  <c r="M1069" i="1"/>
  <c r="N1069" i="1"/>
  <c r="O1069" i="1"/>
  <c r="P1069" i="1"/>
  <c r="Q1069" i="1"/>
  <c r="D1070" i="1"/>
  <c r="J1070" i="1"/>
  <c r="L1070" i="1"/>
  <c r="M1070" i="1"/>
  <c r="N1070" i="1"/>
  <c r="O1070" i="1"/>
  <c r="P1070" i="1"/>
  <c r="Q1070" i="1"/>
  <c r="C1071" i="1"/>
  <c r="I1071" i="1"/>
  <c r="L1071" i="1"/>
  <c r="M1071" i="1"/>
  <c r="N1071" i="1"/>
  <c r="O1071" i="1"/>
  <c r="P1071" i="1"/>
  <c r="Q1071" i="1"/>
  <c r="B1072" i="1"/>
  <c r="L1072" i="1"/>
  <c r="M1072" i="1"/>
  <c r="N1072" i="1"/>
  <c r="O1072" i="1"/>
  <c r="P1072" i="1"/>
  <c r="Q1072" i="1"/>
  <c r="A1073" i="1"/>
  <c r="L1073" i="1"/>
  <c r="M1073" i="1"/>
  <c r="N1073" i="1"/>
  <c r="O1073" i="1"/>
  <c r="P1073" i="1"/>
  <c r="Q1073" i="1"/>
  <c r="A1074" i="1"/>
  <c r="L1074" i="1"/>
  <c r="M1074" i="1"/>
  <c r="N1074" i="1"/>
  <c r="O1074" i="1"/>
  <c r="P1074" i="1"/>
  <c r="Q1074" i="1"/>
  <c r="A1075" i="1"/>
  <c r="L1075" i="1"/>
  <c r="M1075" i="1"/>
  <c r="N1075" i="1"/>
  <c r="O1075" i="1"/>
  <c r="P1075" i="1"/>
  <c r="Q1075" i="1"/>
  <c r="A1076" i="1"/>
  <c r="L1076" i="1"/>
  <c r="M1076" i="1"/>
  <c r="N1076" i="1"/>
  <c r="O1076" i="1"/>
  <c r="P1076" i="1"/>
  <c r="Q1076" i="1"/>
  <c r="A1077" i="1"/>
  <c r="H1077" i="1"/>
  <c r="L1077" i="1"/>
  <c r="M1077" i="1"/>
  <c r="N1077" i="1"/>
  <c r="O1077" i="1"/>
  <c r="P1077" i="1"/>
  <c r="Q1077" i="1"/>
  <c r="A1078" i="1"/>
  <c r="D1078" i="1"/>
  <c r="L1078" i="1"/>
  <c r="M1078" i="1"/>
  <c r="N1078" i="1"/>
  <c r="O1078" i="1"/>
  <c r="P1078" i="1"/>
  <c r="Q1078" i="1"/>
  <c r="A1079" i="1"/>
  <c r="L1079" i="1"/>
  <c r="M1079" i="1"/>
  <c r="N1079" i="1"/>
  <c r="O1079" i="1"/>
  <c r="P1079" i="1"/>
  <c r="Q1079" i="1"/>
  <c r="A1080" i="1"/>
  <c r="L1080" i="1"/>
  <c r="M1080" i="1"/>
  <c r="N1080" i="1"/>
  <c r="O1080" i="1"/>
  <c r="P1080" i="1"/>
  <c r="Q1080" i="1"/>
  <c r="A1081" i="1"/>
  <c r="L1081" i="1"/>
  <c r="M1081" i="1"/>
  <c r="N1081" i="1"/>
  <c r="O1081" i="1"/>
  <c r="P1081" i="1"/>
  <c r="Q1081" i="1"/>
  <c r="A1082" i="1"/>
  <c r="L1082" i="1"/>
  <c r="M1082" i="1"/>
  <c r="N1082" i="1"/>
  <c r="O1082" i="1"/>
  <c r="P1082" i="1"/>
  <c r="Q1082" i="1"/>
  <c r="A1083" i="1"/>
  <c r="L1083" i="1"/>
  <c r="M1083" i="1"/>
  <c r="N1083" i="1"/>
  <c r="O1083" i="1"/>
  <c r="P1083" i="1"/>
  <c r="Q1083" i="1"/>
  <c r="A1084" i="1"/>
  <c r="L1084" i="1"/>
  <c r="M1084" i="1"/>
  <c r="N1084" i="1"/>
  <c r="O1084" i="1"/>
  <c r="P1084" i="1"/>
  <c r="Q1084" i="1"/>
  <c r="A1085" i="1"/>
  <c r="L1085" i="1"/>
  <c r="M1085" i="1"/>
  <c r="N1085" i="1"/>
  <c r="O1085" i="1"/>
  <c r="P1085" i="1"/>
  <c r="Q1085" i="1"/>
  <c r="A1086" i="1"/>
  <c r="L1086" i="1"/>
  <c r="M1086" i="1"/>
  <c r="N1086" i="1"/>
  <c r="O1086" i="1"/>
  <c r="P1086" i="1"/>
  <c r="Q1086" i="1"/>
  <c r="A1087" i="1"/>
  <c r="L1087" i="1"/>
  <c r="M1087" i="1"/>
  <c r="N1087" i="1"/>
  <c r="O1087" i="1"/>
  <c r="P1087" i="1"/>
  <c r="Q1087" i="1"/>
  <c r="A1088" i="1"/>
  <c r="C1088" i="1"/>
  <c r="L1088" i="1"/>
  <c r="M1088" i="1"/>
  <c r="N1088" i="1"/>
  <c r="O1088" i="1"/>
  <c r="P1088" i="1"/>
  <c r="Q1088" i="1"/>
  <c r="A1089" i="1"/>
  <c r="F1089" i="1"/>
  <c r="H1089" i="1"/>
  <c r="L1089" i="1"/>
  <c r="M1089" i="1"/>
  <c r="N1089" i="1"/>
  <c r="O1089" i="1"/>
  <c r="P1089" i="1"/>
  <c r="Q1089" i="1"/>
  <c r="A1090" i="1"/>
  <c r="F1090" i="1"/>
  <c r="L1090" i="1"/>
  <c r="M1090" i="1"/>
  <c r="N1090" i="1"/>
  <c r="O1090" i="1"/>
  <c r="P1090" i="1"/>
  <c r="Q1090" i="1"/>
  <c r="A1091" i="1"/>
  <c r="C1091" i="1"/>
  <c r="L1091" i="1"/>
  <c r="M1091" i="1"/>
  <c r="N1091" i="1"/>
  <c r="O1091" i="1"/>
  <c r="P1091" i="1"/>
  <c r="Q1091" i="1"/>
  <c r="A1092" i="1"/>
  <c r="L1092" i="1"/>
  <c r="M1092" i="1"/>
  <c r="N1092" i="1"/>
  <c r="O1092" i="1"/>
  <c r="P1092" i="1"/>
  <c r="Q1092" i="1"/>
  <c r="A1093" i="1"/>
  <c r="L1093" i="1"/>
  <c r="M1093" i="1"/>
  <c r="N1093" i="1"/>
  <c r="O1093" i="1"/>
  <c r="P1093" i="1"/>
  <c r="Q1093" i="1"/>
  <c r="A1094" i="1"/>
  <c r="F1094" i="1"/>
  <c r="L1094" i="1"/>
  <c r="M1094" i="1"/>
  <c r="N1094" i="1"/>
  <c r="O1094" i="1"/>
  <c r="P1094" i="1"/>
  <c r="Q1094" i="1"/>
  <c r="A1095" i="1"/>
  <c r="D1095" i="1"/>
  <c r="L1095" i="1"/>
  <c r="M1095" i="1"/>
  <c r="N1095" i="1"/>
  <c r="O1095" i="1"/>
  <c r="P1095" i="1"/>
  <c r="Q1095" i="1"/>
  <c r="A1096" i="1"/>
  <c r="C1096" i="1"/>
  <c r="J1096" i="1"/>
  <c r="L1096" i="1"/>
  <c r="M1096" i="1"/>
  <c r="N1096" i="1"/>
  <c r="O1096" i="1"/>
  <c r="P1096" i="1"/>
  <c r="Q1096" i="1"/>
  <c r="A1097" i="1"/>
  <c r="B1097" i="1"/>
  <c r="L1097" i="1"/>
  <c r="M1097" i="1"/>
  <c r="O1097" i="1"/>
  <c r="Q1097" i="1"/>
  <c r="A1098" i="1"/>
  <c r="B1098" i="1"/>
  <c r="L1098" i="1"/>
  <c r="M1098" i="1"/>
  <c r="O1098" i="1"/>
  <c r="Q1098" i="1"/>
  <c r="A1099" i="1"/>
  <c r="L1099" i="1"/>
  <c r="M1099" i="1"/>
  <c r="O1099" i="1"/>
  <c r="Q1099" i="1"/>
  <c r="A1100" i="1"/>
  <c r="L1100" i="1"/>
  <c r="M1100" i="1"/>
  <c r="O1100" i="1"/>
  <c r="Q1100" i="1"/>
  <c r="A1101" i="1"/>
  <c r="E1101" i="1" s="1"/>
  <c r="H1101" i="1"/>
  <c r="L1101" i="1"/>
  <c r="M1101" i="1"/>
  <c r="O1101" i="1"/>
  <c r="Q1101" i="1"/>
  <c r="A1102" i="1"/>
  <c r="C1102" i="1"/>
  <c r="J1102" i="1"/>
  <c r="L1102" i="1"/>
  <c r="M1102" i="1"/>
  <c r="O1102" i="1"/>
  <c r="Q1102" i="1"/>
  <c r="A1103" i="1"/>
  <c r="C1103" i="1"/>
  <c r="L1103" i="1"/>
  <c r="M1103" i="1"/>
  <c r="O1103" i="1"/>
  <c r="Q1103" i="1"/>
  <c r="A1104" i="1"/>
  <c r="L1104" i="1"/>
  <c r="M1104" i="1"/>
  <c r="O1104" i="1"/>
  <c r="Q1104" i="1"/>
  <c r="A1105" i="1"/>
  <c r="L1105" i="1"/>
  <c r="M1105" i="1"/>
  <c r="O1105" i="1"/>
  <c r="Q1105" i="1"/>
  <c r="A1106" i="1"/>
  <c r="L1106" i="1"/>
  <c r="M1106" i="1"/>
  <c r="O1106" i="1"/>
  <c r="Q1106" i="1"/>
  <c r="A1107" i="1"/>
  <c r="L1107" i="1"/>
  <c r="M1107" i="1"/>
  <c r="O1107" i="1"/>
  <c r="Q1107" i="1"/>
  <c r="A1108" i="1"/>
  <c r="E1108" i="1" s="1"/>
  <c r="L1108" i="1"/>
  <c r="M1108" i="1"/>
  <c r="O1108" i="1"/>
  <c r="Q1108" i="1"/>
  <c r="A1109" i="1"/>
  <c r="L1109" i="1"/>
  <c r="M1109" i="1"/>
  <c r="O1109" i="1"/>
  <c r="Q1109" i="1"/>
  <c r="A1110" i="1"/>
  <c r="L1110" i="1"/>
  <c r="M1110" i="1"/>
  <c r="O1110" i="1"/>
  <c r="Q1110" i="1"/>
  <c r="A1111" i="1"/>
  <c r="L1111" i="1"/>
  <c r="M1111" i="1"/>
  <c r="O1111" i="1"/>
  <c r="Q1111" i="1"/>
  <c r="A1112" i="1"/>
  <c r="J1112" i="1" s="1"/>
  <c r="H1111" i="1" l="1"/>
  <c r="J1111" i="1"/>
  <c r="C1110" i="1"/>
  <c r="H1109" i="1"/>
  <c r="B1109" i="1"/>
  <c r="D1108" i="1"/>
  <c r="F1108" i="1"/>
  <c r="J1107" i="1"/>
  <c r="B1107" i="1"/>
  <c r="C1106" i="1"/>
  <c r="F1106" i="1"/>
  <c r="H1105" i="1"/>
  <c r="J1105" i="1"/>
  <c r="B1105" i="1"/>
  <c r="C1104" i="1"/>
  <c r="D1104" i="1"/>
  <c r="F1104" i="1"/>
  <c r="H1103" i="1"/>
  <c r="J1103" i="1"/>
  <c r="B1103" i="1"/>
  <c r="F1102" i="1"/>
  <c r="B1101" i="1"/>
  <c r="D1100" i="1"/>
  <c r="F1100" i="1"/>
  <c r="J1099" i="1"/>
  <c r="B1099" i="1"/>
  <c r="C1098" i="1"/>
  <c r="F1098" i="1"/>
  <c r="H1097" i="1"/>
  <c r="J1097" i="1"/>
  <c r="F1096" i="1"/>
  <c r="J1095" i="1"/>
  <c r="B1095" i="1"/>
  <c r="D1094" i="1"/>
  <c r="H1093" i="1"/>
  <c r="B1093" i="1"/>
  <c r="C1092" i="1"/>
  <c r="F1092" i="1"/>
  <c r="H1091" i="1"/>
  <c r="J1091" i="1"/>
  <c r="B1091" i="1"/>
  <c r="C1090" i="1"/>
  <c r="D1090" i="1"/>
  <c r="J1089" i="1"/>
  <c r="B1089" i="1"/>
  <c r="F1088" i="1"/>
  <c r="J1087" i="1"/>
  <c r="B1087" i="1"/>
  <c r="D1086" i="1"/>
  <c r="B1089" i="3"/>
  <c r="B1086" i="3"/>
  <c r="B1081" i="3"/>
  <c r="B1078" i="3"/>
  <c r="B1077" i="3"/>
  <c r="B1070" i="3"/>
  <c r="G1124" i="4"/>
  <c r="G1076" i="4"/>
  <c r="K1076" i="4"/>
  <c r="G1055" i="4"/>
  <c r="E1096" i="3"/>
  <c r="E1093" i="3"/>
  <c r="E1088" i="3"/>
  <c r="E1085" i="3"/>
  <c r="E1077" i="3"/>
  <c r="J1077" i="4"/>
  <c r="F1069" i="4"/>
  <c r="F1086" i="1"/>
  <c r="H1085" i="1"/>
  <c r="B1085" i="1"/>
  <c r="C1084" i="1"/>
  <c r="F1084" i="1"/>
  <c r="H1084" i="1"/>
  <c r="H1083" i="1"/>
  <c r="J1083" i="1"/>
  <c r="B1083" i="1"/>
  <c r="D1083" i="1"/>
  <c r="C1082" i="1"/>
  <c r="D1082" i="1"/>
  <c r="F1082" i="1"/>
  <c r="H1081" i="1"/>
  <c r="J1081" i="1"/>
  <c r="B1081" i="1"/>
  <c r="F1081" i="1"/>
  <c r="C1080" i="1"/>
  <c r="F1080" i="1"/>
  <c r="J1079" i="1"/>
  <c r="B1079" i="1"/>
  <c r="F1078" i="1"/>
  <c r="B1077" i="1"/>
  <c r="C1076" i="1"/>
  <c r="F1076" i="1"/>
  <c r="J1076" i="1"/>
  <c r="H1075" i="1"/>
  <c r="J1075" i="1"/>
  <c r="B1075" i="1"/>
  <c r="D1075" i="1"/>
  <c r="C1074" i="1"/>
  <c r="D1074" i="1"/>
  <c r="F1074" i="1"/>
  <c r="H1073" i="1"/>
  <c r="J1073" i="1"/>
  <c r="B1073" i="1"/>
  <c r="C1072" i="1"/>
  <c r="D1072" i="1"/>
  <c r="F1072" i="1"/>
  <c r="G1071" i="1"/>
  <c r="J1071" i="1"/>
  <c r="B1071" i="1"/>
  <c r="F1070" i="1"/>
  <c r="G1069" i="1"/>
  <c r="H1069" i="1"/>
  <c r="D1068" i="1"/>
  <c r="F1068" i="1"/>
  <c r="G1067" i="1"/>
  <c r="I1067" i="1"/>
  <c r="D1066" i="1"/>
  <c r="E1066" i="1"/>
  <c r="F1066" i="1"/>
  <c r="G1065" i="1"/>
  <c r="I1065" i="1"/>
  <c r="E1065" i="1"/>
  <c r="C1064" i="1"/>
  <c r="D1064" i="1"/>
  <c r="J1064" i="1"/>
  <c r="G1063" i="1"/>
  <c r="I1063" i="1"/>
  <c r="J1063" i="1"/>
  <c r="B1063" i="1"/>
  <c r="E1063" i="1"/>
  <c r="D1062" i="1"/>
  <c r="F1062" i="1"/>
  <c r="G1061" i="1"/>
  <c r="H1061" i="1"/>
  <c r="I1061" i="1"/>
  <c r="G1059" i="1"/>
  <c r="I1059" i="1"/>
  <c r="E1058" i="1"/>
  <c r="C1056" i="1"/>
  <c r="F1056" i="1"/>
  <c r="G1055" i="1"/>
  <c r="J1055" i="1"/>
  <c r="B1055" i="1"/>
  <c r="D1054" i="1"/>
  <c r="F1054" i="1"/>
  <c r="I1053" i="1"/>
  <c r="E1050" i="1"/>
  <c r="H1050" i="1"/>
  <c r="F1050" i="1"/>
  <c r="D1078" i="3"/>
  <c r="D1063" i="3"/>
  <c r="D1053" i="3"/>
  <c r="H1053" i="1"/>
  <c r="C1111" i="1"/>
  <c r="D1111" i="1"/>
  <c r="F1111" i="1"/>
  <c r="H1110" i="1"/>
  <c r="I1110" i="1"/>
  <c r="J1110" i="1"/>
  <c r="B1110" i="1"/>
  <c r="C1109" i="1"/>
  <c r="D1109" i="1"/>
  <c r="F1109" i="1"/>
  <c r="H1108" i="1"/>
  <c r="I1108" i="1"/>
  <c r="J1108" i="1"/>
  <c r="B1108" i="1"/>
  <c r="C1107" i="1"/>
  <c r="D1107" i="1"/>
  <c r="F1107" i="1"/>
  <c r="H1106" i="1"/>
  <c r="I1106" i="1"/>
  <c r="J1106" i="1"/>
  <c r="B1106" i="1"/>
  <c r="C1105" i="1"/>
  <c r="D1105" i="1"/>
  <c r="F1105" i="1"/>
  <c r="H1104" i="1"/>
  <c r="I1104" i="1"/>
  <c r="J1104" i="1"/>
  <c r="B1104" i="1"/>
  <c r="D1103" i="1"/>
  <c r="F1103" i="1"/>
  <c r="H1102" i="1"/>
  <c r="I1102" i="1"/>
  <c r="B1102" i="1"/>
  <c r="C1101" i="1"/>
  <c r="D1101" i="1"/>
  <c r="F1101" i="1"/>
  <c r="H1100" i="1"/>
  <c r="I1100" i="1"/>
  <c r="J1100" i="1"/>
  <c r="B1100" i="1"/>
  <c r="C1099" i="1"/>
  <c r="D1099" i="1"/>
  <c r="F1099" i="1"/>
  <c r="H1098" i="1"/>
  <c r="I1098" i="1"/>
  <c r="J1098" i="1"/>
  <c r="C1097" i="1"/>
  <c r="D1097" i="1"/>
  <c r="F1097" i="1"/>
  <c r="G1096" i="1"/>
  <c r="H1096" i="1"/>
  <c r="I1096" i="1"/>
  <c r="B1096" i="1"/>
  <c r="C1095" i="1"/>
  <c r="E1095" i="1"/>
  <c r="F1095" i="1"/>
  <c r="G1094" i="1"/>
  <c r="H1094" i="1"/>
  <c r="I1094" i="1"/>
  <c r="J1094" i="1"/>
  <c r="B1094" i="1"/>
  <c r="C1093" i="1"/>
  <c r="D1093" i="1"/>
  <c r="E1093" i="1"/>
  <c r="F1093" i="1"/>
  <c r="G1092" i="1"/>
  <c r="E1112" i="1"/>
  <c r="N1112" i="1"/>
  <c r="G1112" i="1"/>
  <c r="P1112" i="1"/>
  <c r="B1112" i="1"/>
  <c r="M1112" i="1"/>
  <c r="C1112" i="1"/>
  <c r="O1112" i="1"/>
  <c r="D1112" i="1"/>
  <c r="Q1112" i="1"/>
  <c r="H1112" i="1"/>
  <c r="I1112" i="1"/>
  <c r="A1113" i="1"/>
  <c r="F1112" i="1"/>
  <c r="L1112" i="1"/>
  <c r="H1092" i="1"/>
  <c r="I1092" i="1"/>
  <c r="J1092" i="1"/>
  <c r="B1092" i="1"/>
  <c r="D1091" i="1"/>
  <c r="E1091" i="1"/>
  <c r="F1091" i="1"/>
  <c r="G1090" i="1"/>
  <c r="H1090" i="1"/>
  <c r="I1090" i="1"/>
  <c r="J1090" i="1"/>
  <c r="B1090" i="1"/>
  <c r="C1089" i="1"/>
  <c r="D1089" i="1"/>
  <c r="E1089" i="1"/>
  <c r="G1088" i="1"/>
  <c r="H1088" i="1"/>
  <c r="I1088" i="1"/>
  <c r="J1088" i="1"/>
  <c r="B1088" i="1"/>
  <c r="C1087" i="1"/>
  <c r="D1087" i="1"/>
  <c r="E1087" i="1"/>
  <c r="F1087" i="1"/>
  <c r="G1086" i="1"/>
  <c r="H1086" i="1"/>
  <c r="I1086" i="1"/>
  <c r="J1086" i="1"/>
  <c r="B1086" i="1"/>
  <c r="C1085" i="1"/>
  <c r="D1085" i="1"/>
  <c r="E1085" i="1"/>
  <c r="F1085" i="1"/>
  <c r="G1084" i="1"/>
  <c r="I1084" i="1"/>
  <c r="J1084" i="1"/>
  <c r="B1084" i="1"/>
  <c r="C1083" i="1"/>
  <c r="E1083" i="1"/>
  <c r="F1083" i="1"/>
  <c r="G1082" i="1"/>
  <c r="H1082" i="1"/>
  <c r="I1082" i="1"/>
  <c r="J1082" i="1"/>
  <c r="B1082" i="1"/>
  <c r="C1081" i="1"/>
  <c r="D1081" i="1"/>
  <c r="E1081" i="1"/>
  <c r="G1080" i="1"/>
  <c r="H1080" i="1"/>
  <c r="I1080" i="1"/>
  <c r="J1080" i="1"/>
  <c r="B1080" i="1"/>
  <c r="C1079" i="1"/>
  <c r="D1079" i="1"/>
  <c r="E1079" i="1"/>
  <c r="F1079" i="1"/>
  <c r="G1078" i="1"/>
  <c r="H1078" i="1"/>
  <c r="I1078" i="1"/>
  <c r="J1078" i="1"/>
  <c r="B1078" i="1"/>
  <c r="C1077" i="1"/>
  <c r="D1077" i="1"/>
  <c r="E1077" i="1"/>
  <c r="F1077" i="1"/>
  <c r="G1076" i="1"/>
  <c r="H1076" i="1"/>
  <c r="I1076" i="1"/>
  <c r="B1076" i="1"/>
  <c r="C1075" i="1"/>
  <c r="E1075" i="1"/>
  <c r="F1075" i="1"/>
  <c r="G1074" i="1"/>
  <c r="H1074" i="1"/>
  <c r="I1074" i="1"/>
  <c r="J1074" i="1"/>
  <c r="B1074" i="1"/>
  <c r="C1073" i="1"/>
  <c r="D1073" i="1"/>
  <c r="E1073" i="1"/>
  <c r="F1073" i="1"/>
  <c r="G1072" i="1"/>
  <c r="H1072" i="1"/>
  <c r="I1072" i="1"/>
  <c r="J1072" i="1"/>
  <c r="D1071" i="1"/>
  <c r="E1071" i="1"/>
  <c r="F1071" i="1"/>
  <c r="G1070" i="1"/>
  <c r="H1070" i="1"/>
  <c r="I1070" i="1"/>
  <c r="B1070" i="1"/>
  <c r="D1069" i="1"/>
  <c r="E1069" i="1"/>
  <c r="F1069" i="1"/>
  <c r="G1068" i="1"/>
  <c r="H1068" i="1"/>
  <c r="I1068" i="1"/>
  <c r="J1068" i="1"/>
  <c r="C1067" i="1"/>
  <c r="D1067" i="1"/>
  <c r="E1067" i="1"/>
  <c r="G1066" i="1"/>
  <c r="H1066" i="1"/>
  <c r="I1066" i="1"/>
  <c r="J1066" i="1"/>
  <c r="B1066" i="1"/>
  <c r="C1065" i="1"/>
  <c r="D1065" i="1"/>
  <c r="F1065" i="1"/>
  <c r="G1064" i="1"/>
  <c r="H1064" i="1"/>
  <c r="I1064" i="1"/>
  <c r="B1064" i="1"/>
  <c r="C1063" i="1"/>
  <c r="D1063" i="1"/>
  <c r="F1063" i="1"/>
  <c r="G1062" i="1"/>
  <c r="H1062" i="1"/>
  <c r="I1062" i="1"/>
  <c r="B1062" i="1"/>
  <c r="C1061" i="1"/>
  <c r="D1061" i="1"/>
  <c r="F1061" i="1"/>
  <c r="G1060" i="1"/>
  <c r="H1060" i="1"/>
  <c r="I1060" i="1"/>
  <c r="B1060" i="1"/>
  <c r="D1059" i="1"/>
  <c r="E1059" i="1"/>
  <c r="F1059" i="1"/>
  <c r="G1058" i="1"/>
  <c r="H1058" i="1"/>
  <c r="I1058" i="1"/>
  <c r="J1058" i="1"/>
  <c r="B1058" i="1"/>
  <c r="C1057" i="1"/>
  <c r="D1057" i="1"/>
  <c r="E1057" i="1"/>
  <c r="F1057" i="1"/>
  <c r="G1056" i="1"/>
  <c r="H1056" i="1"/>
  <c r="I1056" i="1"/>
  <c r="J1056" i="1"/>
  <c r="B1056" i="1"/>
  <c r="C1055" i="1"/>
  <c r="D1055" i="1"/>
  <c r="E1055" i="1"/>
  <c r="F1055" i="1"/>
  <c r="G1054" i="1"/>
  <c r="I1054" i="1"/>
  <c r="J1054" i="1"/>
  <c r="B1054" i="1"/>
  <c r="C1053" i="1"/>
  <c r="D1053" i="1"/>
  <c r="E1053" i="1"/>
  <c r="F1053" i="1"/>
  <c r="H1052" i="1"/>
  <c r="J1052" i="1"/>
  <c r="B1052" i="1"/>
  <c r="H1051" i="1"/>
  <c r="B1051" i="1"/>
  <c r="D1051" i="1"/>
  <c r="R1050" i="1"/>
  <c r="D1050" i="1"/>
  <c r="G1050" i="1"/>
  <c r="J1050" i="1"/>
  <c r="E1109" i="1"/>
  <c r="C1108" i="1"/>
  <c r="H1107" i="1"/>
  <c r="D1106" i="1"/>
  <c r="C1100" i="1"/>
  <c r="H1099" i="1"/>
  <c r="D1098" i="1"/>
  <c r="D1096" i="1"/>
  <c r="H1095" i="1"/>
  <c r="C1094" i="1"/>
  <c r="D1088" i="1"/>
  <c r="H1087" i="1"/>
  <c r="C1086" i="1"/>
  <c r="D1080" i="1"/>
  <c r="H1079" i="1"/>
  <c r="C1078" i="1"/>
  <c r="D1058" i="1"/>
  <c r="I1057" i="1"/>
  <c r="I1055" i="1"/>
  <c r="D1110" i="1"/>
  <c r="D1102" i="1"/>
  <c r="D1092" i="1"/>
  <c r="D1084" i="1"/>
  <c r="D1076" i="1"/>
  <c r="F1135" i="4"/>
  <c r="F1134" i="4"/>
  <c r="F1133" i="4"/>
  <c r="F1132" i="4"/>
  <c r="D1131" i="4"/>
  <c r="F1131" i="4"/>
  <c r="F1130" i="4"/>
  <c r="F1129" i="4"/>
  <c r="F1128" i="4"/>
  <c r="F1127" i="4"/>
  <c r="F1126" i="4"/>
  <c r="F1125" i="4"/>
  <c r="F1124" i="4"/>
  <c r="F1123" i="4"/>
  <c r="F1122" i="4"/>
  <c r="D1121" i="4"/>
  <c r="F1121" i="4"/>
  <c r="F1120" i="4"/>
  <c r="F1119" i="4"/>
  <c r="F1118" i="4"/>
  <c r="F1117" i="4"/>
  <c r="F1116" i="4"/>
  <c r="F1115" i="4"/>
  <c r="D1114" i="4"/>
  <c r="F1114" i="4"/>
  <c r="F1113" i="4"/>
  <c r="H1112" i="4"/>
  <c r="F1112" i="4"/>
  <c r="F1111" i="4"/>
  <c r="F1110" i="4"/>
  <c r="F1109" i="4"/>
  <c r="F1108" i="4"/>
  <c r="E1100" i="1"/>
  <c r="D1097" i="3"/>
  <c r="E1097" i="3"/>
  <c r="A1098" i="3"/>
  <c r="B1097" i="3"/>
  <c r="E1135" i="4"/>
  <c r="I1135" i="4"/>
  <c r="G1134" i="4"/>
  <c r="C1134" i="4"/>
  <c r="G1133" i="4"/>
  <c r="C1133" i="4"/>
  <c r="G1132" i="4"/>
  <c r="C1132" i="4"/>
  <c r="E1131" i="4"/>
  <c r="C1131" i="4"/>
  <c r="K1130" i="4"/>
  <c r="K1129" i="4"/>
  <c r="G1128" i="4"/>
  <c r="K1128" i="4"/>
  <c r="G1127" i="4"/>
  <c r="C1127" i="4"/>
  <c r="G1126" i="4"/>
  <c r="C1126" i="4"/>
  <c r="I1125" i="4"/>
  <c r="C1124" i="4"/>
  <c r="K1123" i="4"/>
  <c r="I1122" i="4"/>
  <c r="E1121" i="4"/>
  <c r="K1121" i="4"/>
  <c r="G1120" i="4"/>
  <c r="C1120" i="4"/>
  <c r="K1119" i="4"/>
  <c r="I1118" i="4"/>
  <c r="I1117" i="4"/>
  <c r="G1116" i="4"/>
  <c r="C1116" i="4"/>
  <c r="G1115" i="4"/>
  <c r="C1115" i="4"/>
  <c r="G1114" i="4"/>
  <c r="I1114" i="4"/>
  <c r="I1113" i="4"/>
  <c r="K1112" i="4"/>
  <c r="K1111" i="4"/>
  <c r="K1110" i="4"/>
  <c r="G1109" i="4"/>
  <c r="K1109" i="4"/>
  <c r="G1108" i="4"/>
  <c r="C1108" i="4"/>
  <c r="I1107" i="4"/>
  <c r="G1106" i="4"/>
  <c r="C1106" i="4"/>
  <c r="E1105" i="4"/>
  <c r="K1105" i="4"/>
  <c r="I1104" i="4"/>
  <c r="I1103" i="4"/>
  <c r="I1102" i="4"/>
  <c r="C1101" i="4"/>
  <c r="K1100" i="4"/>
  <c r="I1099" i="4"/>
  <c r="G1098" i="4"/>
  <c r="C1098" i="4"/>
  <c r="I1097" i="4"/>
  <c r="E1096" i="4"/>
  <c r="K1096" i="4"/>
  <c r="G1095" i="4"/>
  <c r="C1095" i="4"/>
  <c r="E1094" i="4"/>
  <c r="C1094" i="4"/>
  <c r="E1093" i="4"/>
  <c r="K1093" i="4"/>
  <c r="K1092" i="4"/>
  <c r="I1091" i="4"/>
  <c r="I1089" i="4"/>
  <c r="I1088" i="4"/>
  <c r="I1087" i="4"/>
  <c r="I1086" i="4"/>
  <c r="E1085" i="4"/>
  <c r="K1085" i="4"/>
  <c r="C1084" i="4"/>
  <c r="K1083" i="4"/>
  <c r="G1082" i="4"/>
  <c r="C1082" i="4"/>
  <c r="G1081" i="4"/>
  <c r="C1081" i="4"/>
  <c r="I1080" i="4"/>
  <c r="G1079" i="4"/>
  <c r="C1079" i="4"/>
  <c r="I1078" i="4"/>
  <c r="K1078" i="4"/>
  <c r="C1078" i="4"/>
  <c r="G1077" i="4"/>
  <c r="I1077" i="4"/>
  <c r="K1077" i="4"/>
  <c r="C1077" i="4"/>
  <c r="I1076" i="4"/>
  <c r="C1076" i="4"/>
  <c r="G1075" i="4"/>
  <c r="I1075" i="4"/>
  <c r="K1075" i="4"/>
  <c r="C1075" i="4"/>
  <c r="G1074" i="4"/>
  <c r="I1074" i="4"/>
  <c r="K1074" i="4"/>
  <c r="C1074" i="4"/>
  <c r="G1073" i="4"/>
  <c r="I1073" i="4"/>
  <c r="K1073" i="4"/>
  <c r="C1073" i="4"/>
  <c r="G1072" i="4"/>
  <c r="I1072" i="4"/>
  <c r="K1072" i="4"/>
  <c r="C1072" i="4"/>
  <c r="G1071" i="4"/>
  <c r="I1071" i="4"/>
  <c r="K1071" i="4"/>
  <c r="C1071" i="4"/>
  <c r="E1070" i="4"/>
  <c r="G1070" i="4"/>
  <c r="I1070" i="4"/>
  <c r="K1070" i="4"/>
  <c r="C1070" i="4"/>
  <c r="G1069" i="4"/>
  <c r="I1069" i="4"/>
  <c r="K1069" i="4"/>
  <c r="C1069" i="4"/>
  <c r="E1068" i="4"/>
  <c r="G1068" i="4"/>
  <c r="I1068" i="4"/>
  <c r="K1068" i="4"/>
  <c r="C1068" i="4"/>
  <c r="G1067" i="4"/>
  <c r="I1067" i="4"/>
  <c r="K1067" i="4"/>
  <c r="C1067" i="4"/>
  <c r="E1104" i="1"/>
  <c r="K1135" i="4"/>
  <c r="I1134" i="4"/>
  <c r="I1133" i="4"/>
  <c r="E1132" i="4"/>
  <c r="K1132" i="4"/>
  <c r="I1131" i="4"/>
  <c r="G1130" i="4"/>
  <c r="C1130" i="4"/>
  <c r="I1129" i="4"/>
  <c r="C1128" i="4"/>
  <c r="K1127" i="4"/>
  <c r="I1126" i="4"/>
  <c r="E1125" i="4"/>
  <c r="K1125" i="4"/>
  <c r="E1124" i="4"/>
  <c r="K1124" i="4"/>
  <c r="I1123" i="4"/>
  <c r="G1122" i="4"/>
  <c r="C1122" i="4"/>
  <c r="I1121" i="4"/>
  <c r="I1120" i="4"/>
  <c r="G1119" i="4"/>
  <c r="C1119" i="4"/>
  <c r="G1118" i="4"/>
  <c r="C1118" i="4"/>
  <c r="K1117" i="4"/>
  <c r="K1116" i="4"/>
  <c r="K1115" i="4"/>
  <c r="E1114" i="4"/>
  <c r="C1114" i="4"/>
  <c r="G1113" i="4"/>
  <c r="C1113" i="4"/>
  <c r="G1112" i="4"/>
  <c r="C1112" i="4"/>
  <c r="G1111" i="4"/>
  <c r="C1111" i="4"/>
  <c r="G1110" i="4"/>
  <c r="C1110" i="4"/>
  <c r="I1109" i="4"/>
  <c r="K1108" i="4"/>
  <c r="K1107" i="4"/>
  <c r="I1106" i="4"/>
  <c r="I1105" i="4"/>
  <c r="E1104" i="4"/>
  <c r="K1104" i="4"/>
  <c r="K1103" i="4"/>
  <c r="E1102" i="4"/>
  <c r="K1102" i="4"/>
  <c r="I1101" i="4"/>
  <c r="G1100" i="4"/>
  <c r="C1100" i="4"/>
  <c r="K1099" i="4"/>
  <c r="I1098" i="4"/>
  <c r="G1097" i="4"/>
  <c r="C1097" i="4"/>
  <c r="I1096" i="4"/>
  <c r="K1095" i="4"/>
  <c r="I1094" i="4"/>
  <c r="G1093" i="4"/>
  <c r="C1093" i="4"/>
  <c r="G1092" i="4"/>
  <c r="C1092" i="4"/>
  <c r="K1091" i="4"/>
  <c r="K1089" i="4"/>
  <c r="G1088" i="4"/>
  <c r="K1088" i="4"/>
  <c r="K1087" i="4"/>
  <c r="K1086" i="4"/>
  <c r="I1085" i="4"/>
  <c r="I1084" i="4"/>
  <c r="G1083" i="4"/>
  <c r="C1083" i="4"/>
  <c r="I1082" i="4"/>
  <c r="K1081" i="4"/>
  <c r="C1080" i="4"/>
  <c r="I1079" i="4"/>
  <c r="G1135" i="4"/>
  <c r="C1135" i="4"/>
  <c r="K1134" i="4"/>
  <c r="K1133" i="4"/>
  <c r="I1132" i="4"/>
  <c r="G1131" i="4"/>
  <c r="K1131" i="4"/>
  <c r="I1130" i="4"/>
  <c r="G1129" i="4"/>
  <c r="C1129" i="4"/>
  <c r="I1128" i="4"/>
  <c r="I1127" i="4"/>
  <c r="K1126" i="4"/>
  <c r="G1125" i="4"/>
  <c r="C1125" i="4"/>
  <c r="I1124" i="4"/>
  <c r="G1123" i="4"/>
  <c r="C1123" i="4"/>
  <c r="K1122" i="4"/>
  <c r="G1121" i="4"/>
  <c r="C1121" i="4"/>
  <c r="E1120" i="4"/>
  <c r="K1120" i="4"/>
  <c r="I1119" i="4"/>
  <c r="K1118" i="4"/>
  <c r="G1117" i="4"/>
  <c r="C1117" i="4"/>
  <c r="I1116" i="4"/>
  <c r="I1115" i="4"/>
  <c r="K1114" i="4"/>
  <c r="E1113" i="4"/>
  <c r="K1113" i="4"/>
  <c r="I1112" i="4"/>
  <c r="I1111" i="4"/>
  <c r="I1110" i="4"/>
  <c r="C1109" i="4"/>
  <c r="I1108" i="4"/>
  <c r="G1107" i="4"/>
  <c r="C1107" i="4"/>
  <c r="K1106" i="4"/>
  <c r="G1105" i="4"/>
  <c r="C1105" i="4"/>
  <c r="G1104" i="4"/>
  <c r="C1104" i="4"/>
  <c r="G1103" i="4"/>
  <c r="C1103" i="4"/>
  <c r="G1102" i="4"/>
  <c r="C1102" i="4"/>
  <c r="G1101" i="4"/>
  <c r="K1101" i="4"/>
  <c r="I1100" i="4"/>
  <c r="G1099" i="4"/>
  <c r="C1099" i="4"/>
  <c r="K1098" i="4"/>
  <c r="K1097" i="4"/>
  <c r="G1096" i="4"/>
  <c r="C1096" i="4"/>
  <c r="I1095" i="4"/>
  <c r="G1094" i="4"/>
  <c r="K1094" i="4"/>
  <c r="I1093" i="4"/>
  <c r="I1092" i="4"/>
  <c r="G1091" i="4"/>
  <c r="C1091" i="4"/>
  <c r="G1089" i="4"/>
  <c r="C1089" i="4"/>
  <c r="C1088" i="4"/>
  <c r="G1087" i="4"/>
  <c r="C1087" i="4"/>
  <c r="G1086" i="4"/>
  <c r="C1086" i="4"/>
  <c r="G1085" i="4"/>
  <c r="C1085" i="4"/>
  <c r="G1084" i="4"/>
  <c r="K1084" i="4"/>
  <c r="I1083" i="4"/>
  <c r="E1082" i="4"/>
  <c r="K1082" i="4"/>
  <c r="I1081" i="4"/>
  <c r="G1080" i="4"/>
  <c r="K1080" i="4"/>
  <c r="K1079" i="4"/>
  <c r="G1078" i="4"/>
  <c r="B1111" i="1"/>
  <c r="F1110" i="1"/>
  <c r="J1109" i="1"/>
  <c r="J1101" i="1"/>
  <c r="J1093" i="1"/>
  <c r="J1085" i="1"/>
  <c r="J1077" i="1"/>
  <c r="F1064" i="1"/>
  <c r="F1060" i="1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89" i="4"/>
  <c r="F1088" i="4"/>
  <c r="B1087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90" i="4"/>
  <c r="F1050" i="4"/>
  <c r="E1106" i="1"/>
  <c r="E1098" i="1"/>
  <c r="E1111" i="1"/>
  <c r="E1103" i="1"/>
  <c r="H1134" i="4"/>
  <c r="D1122" i="4"/>
  <c r="I1066" i="4"/>
  <c r="I1065" i="4"/>
  <c r="G1064" i="4"/>
  <c r="K1064" i="4"/>
  <c r="I1063" i="4"/>
  <c r="K1062" i="4"/>
  <c r="I1061" i="4"/>
  <c r="G1060" i="4"/>
  <c r="K1060" i="4"/>
  <c r="I1059" i="4"/>
  <c r="G1058" i="4"/>
  <c r="C1058" i="4"/>
  <c r="I1057" i="4"/>
  <c r="G1056" i="4"/>
  <c r="C1056" i="4"/>
  <c r="I1055" i="4"/>
  <c r="E1054" i="4"/>
  <c r="K1054" i="4"/>
  <c r="C1054" i="4"/>
  <c r="E1053" i="4"/>
  <c r="G1053" i="4"/>
  <c r="I1053" i="4"/>
  <c r="K1053" i="4"/>
  <c r="C1053" i="4"/>
  <c r="E1052" i="4"/>
  <c r="G1052" i="4"/>
  <c r="I1052" i="4"/>
  <c r="K1052" i="4"/>
  <c r="C1052" i="4"/>
  <c r="G1051" i="4"/>
  <c r="I1051" i="4"/>
  <c r="K1051" i="4"/>
  <c r="C1051" i="4"/>
  <c r="E1050" i="4"/>
  <c r="G1050" i="4"/>
  <c r="G1090" i="4"/>
  <c r="C1090" i="4"/>
  <c r="C1050" i="4"/>
  <c r="E1105" i="1"/>
  <c r="E1097" i="1"/>
  <c r="J1069" i="1"/>
  <c r="B1069" i="1"/>
  <c r="J1067" i="1"/>
  <c r="B1067" i="1"/>
  <c r="J1065" i="1"/>
  <c r="B1065" i="1"/>
  <c r="J1061" i="1"/>
  <c r="B1061" i="1"/>
  <c r="J1059" i="1"/>
  <c r="B1059" i="1"/>
  <c r="J1057" i="1"/>
  <c r="B1057" i="1"/>
  <c r="J1053" i="1"/>
  <c r="B1053" i="1"/>
  <c r="J1051" i="1"/>
  <c r="C1050" i="1"/>
  <c r="E1066" i="4"/>
  <c r="K1066" i="4"/>
  <c r="G1065" i="4"/>
  <c r="K1065" i="4"/>
  <c r="I1064" i="4"/>
  <c r="G1063" i="4"/>
  <c r="C1063" i="4"/>
  <c r="I1062" i="4"/>
  <c r="G1061" i="4"/>
  <c r="C1061" i="4"/>
  <c r="C1060" i="4"/>
  <c r="K1059" i="4"/>
  <c r="I1058" i="4"/>
  <c r="G1057" i="4"/>
  <c r="C1057" i="4"/>
  <c r="K1056" i="4"/>
  <c r="C1055" i="4"/>
  <c r="I1054" i="4"/>
  <c r="I1050" i="4"/>
  <c r="I1090" i="4"/>
  <c r="E1110" i="1"/>
  <c r="I1111" i="1"/>
  <c r="I1109" i="1"/>
  <c r="I1107" i="1"/>
  <c r="I1105" i="1"/>
  <c r="I1103" i="1"/>
  <c r="I1099" i="1"/>
  <c r="I1095" i="1"/>
  <c r="E1092" i="1"/>
  <c r="I1091" i="1"/>
  <c r="E1090" i="1"/>
  <c r="I1089" i="1"/>
  <c r="E1088" i="1"/>
  <c r="I1087" i="1"/>
  <c r="E1086" i="1"/>
  <c r="I1085" i="1"/>
  <c r="E1084" i="1"/>
  <c r="I1083" i="1"/>
  <c r="E1082" i="1"/>
  <c r="I1081" i="1"/>
  <c r="E1080" i="1"/>
  <c r="I1079" i="1"/>
  <c r="E1078" i="1"/>
  <c r="I1077" i="1"/>
  <c r="E1076" i="1"/>
  <c r="I1075" i="1"/>
  <c r="E1074" i="1"/>
  <c r="I1073" i="1"/>
  <c r="E1072" i="1"/>
  <c r="E1070" i="1"/>
  <c r="E1068" i="1"/>
  <c r="H1067" i="1"/>
  <c r="C1066" i="1"/>
  <c r="H1065" i="1"/>
  <c r="E1064" i="1"/>
  <c r="H1063" i="1"/>
  <c r="C1062" i="1"/>
  <c r="E1062" i="1"/>
  <c r="C1060" i="1"/>
  <c r="E1060" i="1"/>
  <c r="H1059" i="1"/>
  <c r="C1058" i="1"/>
  <c r="H1057" i="1"/>
  <c r="E1056" i="1"/>
  <c r="H1055" i="1"/>
  <c r="C1054" i="1"/>
  <c r="E1054" i="1"/>
  <c r="C1052" i="1"/>
  <c r="E1052" i="1"/>
  <c r="I1052" i="1"/>
  <c r="R1051" i="1"/>
  <c r="C1051" i="1"/>
  <c r="G1051" i="1"/>
  <c r="C1096" i="3"/>
  <c r="C1095" i="3"/>
  <c r="C1094" i="3"/>
  <c r="C1093" i="3"/>
  <c r="C1092" i="3"/>
  <c r="C1091" i="3"/>
  <c r="C1090" i="3"/>
  <c r="C1089" i="3"/>
  <c r="C1087" i="3"/>
  <c r="C1086" i="3"/>
  <c r="C1085" i="3"/>
  <c r="C1084" i="3"/>
  <c r="C1083" i="3"/>
  <c r="C1082" i="3"/>
  <c r="C1080" i="3"/>
  <c r="C1079" i="3"/>
  <c r="C1078" i="3"/>
  <c r="C1077" i="3"/>
  <c r="C1076" i="3"/>
  <c r="C1075" i="3"/>
  <c r="C1074" i="3"/>
  <c r="C1072" i="3"/>
  <c r="C1071" i="3"/>
  <c r="C1070" i="3"/>
  <c r="C1068" i="3"/>
  <c r="C1067" i="3"/>
  <c r="C1066" i="3"/>
  <c r="C1065" i="3"/>
  <c r="C1064" i="3"/>
  <c r="C1063" i="3"/>
  <c r="C1062" i="3"/>
  <c r="C1061" i="3"/>
  <c r="C1060" i="3"/>
  <c r="C1059" i="3"/>
  <c r="C1058" i="3"/>
  <c r="G1066" i="4"/>
  <c r="C1066" i="4"/>
  <c r="E1065" i="4"/>
  <c r="C1065" i="4"/>
  <c r="E1064" i="4"/>
  <c r="C1064" i="4"/>
  <c r="K1063" i="4"/>
  <c r="G1062" i="4"/>
  <c r="C1062" i="4"/>
  <c r="K1061" i="4"/>
  <c r="I1060" i="4"/>
  <c r="G1059" i="4"/>
  <c r="C1059" i="4"/>
  <c r="K1058" i="4"/>
  <c r="K1057" i="4"/>
  <c r="I1056" i="4"/>
  <c r="K1055" i="4"/>
  <c r="G1054" i="4"/>
  <c r="K1050" i="4"/>
  <c r="K1090" i="4"/>
  <c r="E1102" i="1"/>
  <c r="I1101" i="1"/>
  <c r="I1097" i="1"/>
  <c r="E1096" i="1"/>
  <c r="E1094" i="1"/>
  <c r="I1093" i="1"/>
  <c r="E1107" i="1"/>
  <c r="E1099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H1071" i="1"/>
  <c r="C1070" i="1"/>
  <c r="C1068" i="1"/>
  <c r="B1073" i="2"/>
  <c r="A1074" i="2"/>
  <c r="H1135" i="4"/>
  <c r="J1135" i="4"/>
  <c r="B1135" i="4"/>
  <c r="D1135" i="4"/>
  <c r="J1134" i="4"/>
  <c r="B1134" i="4"/>
  <c r="D1134" i="4"/>
  <c r="H1133" i="4"/>
  <c r="J1133" i="4"/>
  <c r="B1133" i="4"/>
  <c r="D1133" i="4"/>
  <c r="H1132" i="4"/>
  <c r="J1132" i="4"/>
  <c r="B1132" i="4"/>
  <c r="D1132" i="4"/>
  <c r="H1131" i="4"/>
  <c r="J1131" i="4"/>
  <c r="B1131" i="4"/>
  <c r="H1130" i="4"/>
  <c r="J1130" i="4"/>
  <c r="B1130" i="4"/>
  <c r="D1130" i="4"/>
  <c r="H1129" i="4"/>
  <c r="J1129" i="4"/>
  <c r="B1129" i="4"/>
  <c r="D1129" i="4"/>
  <c r="H1128" i="4"/>
  <c r="J1128" i="4"/>
  <c r="B1128" i="4"/>
  <c r="D1128" i="4"/>
  <c r="H1127" i="4"/>
  <c r="J1127" i="4"/>
  <c r="B1127" i="4"/>
  <c r="D1127" i="4"/>
  <c r="H1126" i="4"/>
  <c r="J1126" i="4"/>
  <c r="B1126" i="4"/>
  <c r="D1126" i="4"/>
  <c r="H1125" i="4"/>
  <c r="J1125" i="4"/>
  <c r="B1125" i="4"/>
  <c r="D1125" i="4"/>
  <c r="H1124" i="4"/>
  <c r="J1124" i="4"/>
  <c r="B1124" i="4"/>
  <c r="D1124" i="4"/>
  <c r="H1123" i="4"/>
  <c r="J1123" i="4"/>
  <c r="B1123" i="4"/>
  <c r="D1123" i="4"/>
  <c r="H1122" i="4"/>
  <c r="J1122" i="4"/>
  <c r="B1122" i="4"/>
  <c r="H1121" i="4"/>
  <c r="J1121" i="4"/>
  <c r="B1121" i="4"/>
  <c r="H1120" i="4"/>
  <c r="J1120" i="4"/>
  <c r="B1120" i="4"/>
  <c r="D1120" i="4"/>
  <c r="H1119" i="4"/>
  <c r="J1119" i="4"/>
  <c r="B1119" i="4"/>
  <c r="D1119" i="4"/>
  <c r="H1118" i="4"/>
  <c r="J1118" i="4"/>
  <c r="B1118" i="4"/>
  <c r="D1118" i="4"/>
  <c r="H1117" i="4"/>
  <c r="J1117" i="4"/>
  <c r="B1117" i="4"/>
  <c r="H1101" i="4"/>
  <c r="P1111" i="1"/>
  <c r="G1111" i="1"/>
  <c r="P1110" i="1"/>
  <c r="G1110" i="1"/>
  <c r="P1109" i="1"/>
  <c r="G1109" i="1"/>
  <c r="P1108" i="1"/>
  <c r="G1108" i="1"/>
  <c r="P1107" i="1"/>
  <c r="G1107" i="1"/>
  <c r="P1106" i="1"/>
  <c r="G1106" i="1"/>
  <c r="P1105" i="1"/>
  <c r="G1105" i="1"/>
  <c r="P1104" i="1"/>
  <c r="G1104" i="1"/>
  <c r="P1103" i="1"/>
  <c r="G1103" i="1"/>
  <c r="P1102" i="1"/>
  <c r="G1102" i="1"/>
  <c r="P1101" i="1"/>
  <c r="G1101" i="1"/>
  <c r="P1100" i="1"/>
  <c r="G1100" i="1"/>
  <c r="P1099" i="1"/>
  <c r="G1099" i="1"/>
  <c r="P1098" i="1"/>
  <c r="G1098" i="1"/>
  <c r="P1097" i="1"/>
  <c r="G1097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D1117" i="4"/>
  <c r="H1116" i="4"/>
  <c r="J1116" i="4"/>
  <c r="B1116" i="4"/>
  <c r="D1116" i="4"/>
  <c r="H1115" i="4"/>
  <c r="J1115" i="4"/>
  <c r="B1115" i="4"/>
  <c r="D1115" i="4"/>
  <c r="H1114" i="4"/>
  <c r="J1114" i="4"/>
  <c r="B1114" i="4"/>
  <c r="H1113" i="4"/>
  <c r="J1113" i="4"/>
  <c r="B1113" i="4"/>
  <c r="D1113" i="4"/>
  <c r="J1112" i="4"/>
  <c r="B1112" i="4"/>
  <c r="D1112" i="4"/>
  <c r="H1111" i="4"/>
  <c r="J1111" i="4"/>
  <c r="B1111" i="4"/>
  <c r="D1111" i="4"/>
  <c r="H1110" i="4"/>
  <c r="J1110" i="4"/>
  <c r="B1110" i="4"/>
  <c r="D1110" i="4"/>
  <c r="H1109" i="4"/>
  <c r="J1109" i="4"/>
  <c r="B1109" i="4"/>
  <c r="D1109" i="4"/>
  <c r="H1108" i="4"/>
  <c r="J1108" i="4"/>
  <c r="B1108" i="4"/>
  <c r="D1108" i="4"/>
  <c r="H1107" i="4"/>
  <c r="J1107" i="4"/>
  <c r="B1107" i="4"/>
  <c r="D1107" i="4"/>
  <c r="H1106" i="4"/>
  <c r="J1106" i="4"/>
  <c r="D1106" i="4"/>
  <c r="H1105" i="4"/>
  <c r="J1105" i="4"/>
  <c r="B1105" i="4"/>
  <c r="D1105" i="4"/>
  <c r="H1104" i="4"/>
  <c r="J1104" i="4"/>
  <c r="B1104" i="4"/>
  <c r="D1104" i="4"/>
  <c r="H1103" i="4"/>
  <c r="J1103" i="4"/>
  <c r="B1103" i="4"/>
  <c r="D1103" i="4"/>
  <c r="H1102" i="4"/>
  <c r="J1102" i="4"/>
  <c r="B1102" i="4"/>
  <c r="D1102" i="4"/>
  <c r="J1101" i="4"/>
  <c r="B1101" i="4"/>
  <c r="D1101" i="4"/>
  <c r="H1100" i="4"/>
  <c r="J1100" i="4"/>
  <c r="B1100" i="4"/>
  <c r="D1100" i="4"/>
  <c r="H1099" i="4"/>
  <c r="J1099" i="4"/>
  <c r="B1099" i="4"/>
  <c r="D1099" i="4"/>
  <c r="H1098" i="4"/>
  <c r="J1098" i="4"/>
  <c r="B1098" i="4"/>
  <c r="D1098" i="4"/>
  <c r="H1097" i="4"/>
  <c r="J1097" i="4"/>
  <c r="B1097" i="4"/>
  <c r="D1097" i="4"/>
  <c r="H1096" i="4"/>
  <c r="J1096" i="4"/>
  <c r="B1096" i="4"/>
  <c r="D1096" i="4"/>
  <c r="H1095" i="4"/>
  <c r="J1095" i="4"/>
  <c r="B1095" i="4"/>
  <c r="D1095" i="4"/>
  <c r="H1094" i="4"/>
  <c r="J1094" i="4"/>
  <c r="B1094" i="4"/>
  <c r="D1094" i="4"/>
  <c r="H1093" i="4"/>
  <c r="J1093" i="4"/>
  <c r="B1093" i="4"/>
  <c r="D1093" i="4"/>
  <c r="H1092" i="4"/>
  <c r="J1092" i="4"/>
  <c r="B1092" i="4"/>
  <c r="D1092" i="4"/>
  <c r="H1091" i="4"/>
  <c r="J1091" i="4"/>
  <c r="B1091" i="4"/>
  <c r="D1091" i="4"/>
  <c r="H1089" i="4"/>
  <c r="J1089" i="4"/>
  <c r="B1089" i="4"/>
  <c r="D1089" i="4"/>
  <c r="H1088" i="4"/>
  <c r="J1088" i="4"/>
  <c r="B1088" i="4"/>
  <c r="D1088" i="4"/>
  <c r="H1087" i="4"/>
  <c r="J1087" i="4"/>
  <c r="D1087" i="4"/>
  <c r="H1086" i="4"/>
  <c r="J1086" i="4"/>
  <c r="B1086" i="4"/>
  <c r="D1086" i="4"/>
  <c r="H1085" i="4"/>
  <c r="J1085" i="4"/>
  <c r="B1085" i="4"/>
  <c r="D1085" i="4"/>
  <c r="H1084" i="4"/>
  <c r="J1084" i="4"/>
  <c r="B1084" i="4"/>
  <c r="D1084" i="4"/>
  <c r="H1083" i="4"/>
  <c r="J1083" i="4"/>
  <c r="B1083" i="4"/>
  <c r="D1083" i="4"/>
  <c r="H1082" i="4"/>
  <c r="J1082" i="4"/>
  <c r="B1082" i="4"/>
  <c r="D1082" i="4"/>
  <c r="H1081" i="4"/>
  <c r="J1081" i="4"/>
  <c r="B1081" i="4"/>
  <c r="D1081" i="4"/>
  <c r="H1080" i="4"/>
  <c r="J1080" i="4"/>
  <c r="B1080" i="4"/>
  <c r="D1080" i="4"/>
  <c r="H1079" i="4"/>
  <c r="J1079" i="4"/>
  <c r="B1079" i="4"/>
  <c r="D1079" i="4"/>
  <c r="H1078" i="4"/>
  <c r="J1078" i="4"/>
  <c r="B1078" i="4"/>
  <c r="D1078" i="4"/>
  <c r="H1077" i="4"/>
  <c r="B1077" i="4"/>
  <c r="D1077" i="4"/>
  <c r="H1076" i="4"/>
  <c r="J1076" i="4"/>
  <c r="B1076" i="4"/>
  <c r="D1076" i="4"/>
  <c r="H1075" i="4"/>
  <c r="J1075" i="4"/>
  <c r="B1075" i="4"/>
  <c r="D1075" i="4"/>
  <c r="H1074" i="4"/>
  <c r="J1074" i="4"/>
  <c r="B1074" i="4"/>
  <c r="D1074" i="4"/>
  <c r="H1073" i="4"/>
  <c r="J1073" i="4"/>
  <c r="B1073" i="4"/>
  <c r="D1073" i="4"/>
  <c r="H1072" i="4"/>
  <c r="J1072" i="4"/>
  <c r="B1072" i="4"/>
  <c r="D1096" i="3"/>
  <c r="D1095" i="3"/>
  <c r="D1094" i="3"/>
  <c r="D1092" i="3"/>
  <c r="D1089" i="3"/>
  <c r="D1088" i="3"/>
  <c r="D1086" i="3"/>
  <c r="D1083" i="3"/>
  <c r="D1081" i="3"/>
  <c r="D1080" i="3"/>
  <c r="D1077" i="3"/>
  <c r="D1075" i="3"/>
  <c r="D1073" i="3"/>
  <c r="D1072" i="3"/>
  <c r="D1071" i="3"/>
  <c r="D1070" i="3"/>
  <c r="D1068" i="3"/>
  <c r="D1067" i="3"/>
  <c r="D1066" i="3"/>
  <c r="D1064" i="3"/>
  <c r="D1062" i="3"/>
  <c r="D1060" i="3"/>
  <c r="D1059" i="3"/>
  <c r="D1058" i="3"/>
  <c r="D1056" i="3"/>
  <c r="D1054" i="3"/>
  <c r="D1052" i="3"/>
  <c r="D1051" i="3"/>
  <c r="D1050" i="3"/>
  <c r="D1072" i="4"/>
  <c r="H1071" i="4"/>
  <c r="J1071" i="4"/>
  <c r="B1071" i="4"/>
  <c r="D1071" i="4"/>
  <c r="H1070" i="4"/>
  <c r="J1070" i="4"/>
  <c r="B1070" i="4"/>
  <c r="D1070" i="4"/>
  <c r="H1069" i="4"/>
  <c r="J1069" i="4"/>
  <c r="B1069" i="4"/>
  <c r="D1069" i="4"/>
  <c r="H1068" i="4"/>
  <c r="J1068" i="4"/>
  <c r="B1068" i="4"/>
  <c r="D1068" i="4"/>
  <c r="H1067" i="4"/>
  <c r="J1067" i="4"/>
  <c r="B1067" i="4"/>
  <c r="D1067" i="4"/>
  <c r="H1066" i="4"/>
  <c r="J1066" i="4"/>
  <c r="B1066" i="4"/>
  <c r="D1066" i="4"/>
  <c r="H1065" i="4"/>
  <c r="J1065" i="4"/>
  <c r="B1065" i="4"/>
  <c r="D1065" i="4"/>
  <c r="H1064" i="4"/>
  <c r="J1064" i="4"/>
  <c r="B1064" i="4"/>
  <c r="D1064" i="4"/>
  <c r="H1063" i="4"/>
  <c r="J1063" i="4"/>
  <c r="B1063" i="4"/>
  <c r="D1063" i="4"/>
  <c r="H1062" i="4"/>
  <c r="J1062" i="4"/>
  <c r="B1062" i="4"/>
  <c r="D1062" i="4"/>
  <c r="H1061" i="4"/>
  <c r="J1061" i="4"/>
  <c r="B1061" i="4"/>
  <c r="D1061" i="4"/>
  <c r="H1060" i="4"/>
  <c r="B1060" i="4"/>
  <c r="D1060" i="4"/>
  <c r="H1059" i="4"/>
  <c r="J1059" i="4"/>
  <c r="B1059" i="4"/>
  <c r="D1059" i="4"/>
  <c r="H1058" i="4"/>
  <c r="J1058" i="4"/>
  <c r="B1058" i="4"/>
  <c r="D1058" i="4"/>
  <c r="H1057" i="4"/>
  <c r="J1057" i="4"/>
  <c r="B1057" i="4"/>
  <c r="D1057" i="4"/>
  <c r="H1056" i="4"/>
  <c r="J1056" i="4"/>
  <c r="B1056" i="4"/>
  <c r="D1056" i="4"/>
  <c r="H1055" i="4"/>
  <c r="J1055" i="4"/>
  <c r="B1055" i="4"/>
  <c r="D1055" i="4"/>
  <c r="H1054" i="4"/>
  <c r="J1054" i="4"/>
  <c r="B1054" i="4"/>
  <c r="D1054" i="4"/>
  <c r="H1053" i="4"/>
  <c r="J1053" i="4"/>
  <c r="B1053" i="4"/>
  <c r="D1053" i="4"/>
  <c r="H1052" i="4"/>
  <c r="J1052" i="4"/>
  <c r="B1052" i="4"/>
  <c r="D1052" i="4"/>
  <c r="H1051" i="4"/>
  <c r="J1051" i="4"/>
  <c r="B1051" i="4"/>
  <c r="D1051" i="4"/>
  <c r="H1050" i="4"/>
  <c r="H1090" i="4"/>
  <c r="J1050" i="4"/>
  <c r="J1090" i="4"/>
  <c r="B1050" i="4"/>
  <c r="B1090" i="4"/>
  <c r="D1090" i="4"/>
  <c r="D1050" i="4"/>
  <c r="D1093" i="3"/>
  <c r="D1090" i="3"/>
  <c r="D1085" i="3"/>
  <c r="D1082" i="3"/>
  <c r="D1074" i="3"/>
  <c r="C1057" i="3"/>
  <c r="C1056" i="3"/>
  <c r="C1054" i="3"/>
  <c r="C1051" i="3"/>
  <c r="B1095" i="3"/>
  <c r="B1092" i="3"/>
  <c r="B1091" i="3"/>
  <c r="B1090" i="3"/>
  <c r="B1087" i="3"/>
  <c r="B1084" i="3"/>
  <c r="B1083" i="3"/>
  <c r="B1082" i="3"/>
  <c r="B1079" i="3"/>
  <c r="B1076" i="3"/>
  <c r="B1075" i="3"/>
  <c r="B1074" i="3"/>
  <c r="B1071" i="3"/>
  <c r="B1069" i="3"/>
  <c r="B1067" i="3"/>
  <c r="B1065" i="3"/>
  <c r="B1063" i="3"/>
  <c r="B1061" i="3"/>
  <c r="B1059" i="3"/>
  <c r="B1057" i="3"/>
  <c r="B1055" i="3"/>
  <c r="B1053" i="3"/>
  <c r="B1051" i="3"/>
  <c r="E1134" i="4"/>
  <c r="E1133" i="4"/>
  <c r="E1130" i="4"/>
  <c r="E1129" i="4"/>
  <c r="E1128" i="4"/>
  <c r="E1117" i="4"/>
  <c r="E1116" i="4"/>
  <c r="E1112" i="4"/>
  <c r="E1106" i="4"/>
  <c r="E1092" i="4"/>
  <c r="E1084" i="4"/>
  <c r="E1081" i="4"/>
  <c r="E1069" i="4"/>
  <c r="E1127" i="4"/>
  <c r="E1126" i="4"/>
  <c r="E1123" i="4"/>
  <c r="E1122" i="4"/>
  <c r="E1119" i="4"/>
  <c r="E1118" i="4"/>
  <c r="E1115" i="4"/>
  <c r="E1111" i="4"/>
  <c r="E1110" i="4"/>
  <c r="E1109" i="4"/>
  <c r="E1108" i="4"/>
  <c r="E1107" i="4"/>
  <c r="E1103" i="4"/>
  <c r="E1101" i="4"/>
  <c r="E1100" i="4"/>
  <c r="E1099" i="4"/>
  <c r="E1098" i="4"/>
  <c r="E1097" i="4"/>
  <c r="E1095" i="4"/>
  <c r="E1091" i="4"/>
  <c r="E1089" i="4"/>
  <c r="E1088" i="4"/>
  <c r="E1087" i="4"/>
  <c r="E1086" i="4"/>
  <c r="E1083" i="4"/>
  <c r="E1080" i="4"/>
  <c r="E1079" i="4"/>
  <c r="E1078" i="4"/>
  <c r="E1077" i="4"/>
  <c r="E1076" i="4"/>
  <c r="E1075" i="4"/>
  <c r="E1074" i="4"/>
  <c r="E1073" i="4"/>
  <c r="E1072" i="4"/>
  <c r="E1071" i="4"/>
  <c r="E1067" i="4"/>
  <c r="E1063" i="4"/>
  <c r="E1062" i="4"/>
  <c r="E1061" i="4"/>
  <c r="E1060" i="4"/>
  <c r="E1059" i="4"/>
  <c r="E1058" i="4"/>
  <c r="E1057" i="4"/>
  <c r="E1056" i="4"/>
  <c r="E1055" i="4"/>
  <c r="E1051" i="4"/>
  <c r="E1090" i="4"/>
  <c r="B1074" i="2" l="1"/>
  <c r="A1075" i="2"/>
  <c r="B1098" i="3"/>
  <c r="C1098" i="3"/>
  <c r="D1098" i="3"/>
  <c r="E1098" i="3"/>
  <c r="A1099" i="3"/>
  <c r="E1113" i="1"/>
  <c r="N1113" i="1"/>
  <c r="G1113" i="1"/>
  <c r="P1113" i="1"/>
  <c r="H1113" i="1"/>
  <c r="I1113" i="1"/>
  <c r="J1113" i="1"/>
  <c r="B1113" i="1"/>
  <c r="M1113" i="1"/>
  <c r="C1113" i="1"/>
  <c r="O1113" i="1"/>
  <c r="D1113" i="1"/>
  <c r="F1113" i="1"/>
  <c r="A1114" i="1"/>
  <c r="L1113" i="1"/>
  <c r="Q1113" i="1"/>
  <c r="E1099" i="3" l="1"/>
  <c r="A1100" i="3"/>
  <c r="B1099" i="3"/>
  <c r="C1099" i="3"/>
  <c r="D1099" i="3"/>
  <c r="B1075" i="2"/>
  <c r="A1076" i="2"/>
  <c r="E1114" i="1"/>
  <c r="N1114" i="1"/>
  <c r="G1114" i="1"/>
  <c r="P1114" i="1"/>
  <c r="B1114" i="1"/>
  <c r="M1114" i="1"/>
  <c r="C1114" i="1"/>
  <c r="O1114" i="1"/>
  <c r="D1114" i="1"/>
  <c r="Q1114" i="1"/>
  <c r="H1114" i="1"/>
  <c r="I1114" i="1"/>
  <c r="L1114" i="1"/>
  <c r="A1115" i="1"/>
  <c r="F1114" i="1"/>
  <c r="J1114" i="1"/>
  <c r="B1076" i="2" l="1"/>
  <c r="A1077" i="2"/>
  <c r="E1115" i="1"/>
  <c r="N1115" i="1"/>
  <c r="G1115" i="1"/>
  <c r="P1115" i="1"/>
  <c r="H1115" i="1"/>
  <c r="I1115" i="1"/>
  <c r="J1115" i="1"/>
  <c r="B1115" i="1"/>
  <c r="M1115" i="1"/>
  <c r="C1115" i="1"/>
  <c r="O1115" i="1"/>
  <c r="D1115" i="1"/>
  <c r="Q1115" i="1"/>
  <c r="L1115" i="1"/>
  <c r="F1115" i="1"/>
  <c r="A1116" i="1"/>
  <c r="B1100" i="3"/>
  <c r="E1100" i="3"/>
  <c r="A1101" i="3"/>
  <c r="C1100" i="3"/>
  <c r="D1100" i="3"/>
  <c r="E1116" i="1" l="1"/>
  <c r="N1116" i="1"/>
  <c r="G1116" i="1"/>
  <c r="P1116" i="1"/>
  <c r="B1116" i="1"/>
  <c r="M1116" i="1"/>
  <c r="C1116" i="1"/>
  <c r="O1116" i="1"/>
  <c r="D1116" i="1"/>
  <c r="Q1116" i="1"/>
  <c r="H1116" i="1"/>
  <c r="I1116" i="1"/>
  <c r="J1116" i="1"/>
  <c r="L1116" i="1"/>
  <c r="A1117" i="1"/>
  <c r="F1116" i="1"/>
  <c r="C1101" i="3"/>
  <c r="D1101" i="3"/>
  <c r="E1101" i="3"/>
  <c r="B1101" i="3"/>
  <c r="A1102" i="3"/>
  <c r="B1077" i="2"/>
  <c r="A1078" i="2"/>
  <c r="A1103" i="3" l="1"/>
  <c r="C1102" i="3"/>
  <c r="E1102" i="3"/>
  <c r="B1102" i="3"/>
  <c r="D1102" i="3"/>
  <c r="B1078" i="2"/>
  <c r="A1079" i="2"/>
  <c r="E1117" i="1"/>
  <c r="N1117" i="1"/>
  <c r="G1117" i="1"/>
  <c r="P1117" i="1"/>
  <c r="H1117" i="1"/>
  <c r="I1117" i="1"/>
  <c r="J1117" i="1"/>
  <c r="B1117" i="1"/>
  <c r="M1117" i="1"/>
  <c r="C1117" i="1"/>
  <c r="O1117" i="1"/>
  <c r="L1117" i="1"/>
  <c r="D1117" i="1"/>
  <c r="F1117" i="1"/>
  <c r="Q1117" i="1"/>
  <c r="A1118" i="1"/>
  <c r="E1118" i="1" l="1"/>
  <c r="N1118" i="1"/>
  <c r="G1118" i="1"/>
  <c r="P1118" i="1"/>
  <c r="B1118" i="1"/>
  <c r="M1118" i="1"/>
  <c r="O1118" i="1"/>
  <c r="C1118" i="1"/>
  <c r="D1118" i="1"/>
  <c r="Q1118" i="1"/>
  <c r="H1118" i="1"/>
  <c r="I1118" i="1"/>
  <c r="F1118" i="1"/>
  <c r="J1118" i="1"/>
  <c r="L1118" i="1"/>
  <c r="A1119" i="1"/>
  <c r="B1079" i="2"/>
  <c r="A1080" i="2"/>
  <c r="B1103" i="3"/>
  <c r="C1103" i="3"/>
  <c r="A1104" i="3"/>
  <c r="E1103" i="3"/>
  <c r="D1103" i="3"/>
  <c r="E1119" i="1" l="1"/>
  <c r="N1119" i="1"/>
  <c r="G1119" i="1"/>
  <c r="P1119" i="1"/>
  <c r="H1119" i="1"/>
  <c r="I1119" i="1"/>
  <c r="J1119" i="1"/>
  <c r="B1119" i="1"/>
  <c r="M1119" i="1"/>
  <c r="C1119" i="1"/>
  <c r="O1119" i="1"/>
  <c r="A1120" i="1"/>
  <c r="F1119" i="1"/>
  <c r="Q1119" i="1"/>
  <c r="D1119" i="1"/>
  <c r="L1119" i="1"/>
  <c r="D1104" i="3"/>
  <c r="E1104" i="3"/>
  <c r="A1105" i="3"/>
  <c r="B1104" i="3"/>
  <c r="C1104" i="3"/>
  <c r="B1080" i="2"/>
  <c r="A1081" i="2"/>
  <c r="A1082" i="2" l="1"/>
  <c r="B1081" i="2"/>
  <c r="E1120" i="1"/>
  <c r="N1120" i="1"/>
  <c r="G1120" i="1"/>
  <c r="P1120" i="1"/>
  <c r="B1120" i="1"/>
  <c r="M1120" i="1"/>
  <c r="C1120" i="1"/>
  <c r="O1120" i="1"/>
  <c r="D1120" i="1"/>
  <c r="Q1120" i="1"/>
  <c r="H1120" i="1"/>
  <c r="I1120" i="1"/>
  <c r="F1120" i="1"/>
  <c r="J1120" i="1"/>
  <c r="L1120" i="1"/>
  <c r="A1121" i="1"/>
  <c r="D1105" i="3"/>
  <c r="B1105" i="3"/>
  <c r="E1105" i="3"/>
  <c r="A1106" i="3"/>
  <c r="C1105" i="3"/>
  <c r="E1121" i="1" l="1"/>
  <c r="N1121" i="1"/>
  <c r="G1121" i="1"/>
  <c r="P1121" i="1"/>
  <c r="H1121" i="1"/>
  <c r="I1121" i="1"/>
  <c r="J1121" i="1"/>
  <c r="B1121" i="1"/>
  <c r="M1121" i="1"/>
  <c r="C1121" i="1"/>
  <c r="O1121" i="1"/>
  <c r="Q1121" i="1"/>
  <c r="A1122" i="1"/>
  <c r="D1121" i="1"/>
  <c r="F1121" i="1"/>
  <c r="L1121" i="1"/>
  <c r="B1106" i="3"/>
  <c r="C1106" i="3"/>
  <c r="D1106" i="3"/>
  <c r="A1107" i="3"/>
  <c r="E1106" i="3"/>
  <c r="B1082" i="2"/>
  <c r="A1083" i="2"/>
  <c r="E1122" i="1" l="1"/>
  <c r="N1122" i="1"/>
  <c r="G1122" i="1"/>
  <c r="P1122" i="1"/>
  <c r="B1122" i="1"/>
  <c r="M1122" i="1"/>
  <c r="C1122" i="1"/>
  <c r="O1122" i="1"/>
  <c r="D1122" i="1"/>
  <c r="Q1122" i="1"/>
  <c r="H1122" i="1"/>
  <c r="I1122" i="1"/>
  <c r="F1122" i="1"/>
  <c r="A1123" i="1"/>
  <c r="L1122" i="1"/>
  <c r="J1122" i="1"/>
  <c r="E1107" i="3"/>
  <c r="A1108" i="3"/>
  <c r="B1107" i="3"/>
  <c r="C1107" i="3"/>
  <c r="D1107" i="3"/>
  <c r="B1083" i="2"/>
  <c r="A1084" i="2"/>
  <c r="B1084" i="2" l="1"/>
  <c r="A1085" i="2"/>
  <c r="E1123" i="1"/>
  <c r="N1123" i="1"/>
  <c r="G1123" i="1"/>
  <c r="P1123" i="1"/>
  <c r="H1123" i="1"/>
  <c r="I1123" i="1"/>
  <c r="J1123" i="1"/>
  <c r="B1123" i="1"/>
  <c r="M1123" i="1"/>
  <c r="C1123" i="1"/>
  <c r="O1123" i="1"/>
  <c r="L1123" i="1"/>
  <c r="Q1123" i="1"/>
  <c r="A1124" i="1"/>
  <c r="F1123" i="1"/>
  <c r="D1123" i="1"/>
  <c r="B1108" i="3"/>
  <c r="E1108" i="3"/>
  <c r="C1108" i="3"/>
  <c r="D1108" i="3"/>
  <c r="A1109" i="3"/>
  <c r="E1124" i="1" l="1"/>
  <c r="N1124" i="1"/>
  <c r="G1124" i="1"/>
  <c r="P1124" i="1"/>
  <c r="B1124" i="1"/>
  <c r="M1124" i="1"/>
  <c r="C1124" i="1"/>
  <c r="O1124" i="1"/>
  <c r="D1124" i="1"/>
  <c r="Q1124" i="1"/>
  <c r="H1124" i="1"/>
  <c r="I1124" i="1"/>
  <c r="L1124" i="1"/>
  <c r="F1124" i="1"/>
  <c r="J1124" i="1"/>
  <c r="A1125" i="1"/>
  <c r="C1109" i="3"/>
  <c r="D1109" i="3"/>
  <c r="E1109" i="3"/>
  <c r="B1109" i="3"/>
  <c r="A1110" i="3"/>
  <c r="A1086" i="2"/>
  <c r="B1085" i="2"/>
  <c r="B1086" i="2" l="1"/>
  <c r="A1087" i="2"/>
  <c r="E1125" i="1"/>
  <c r="N1125" i="1"/>
  <c r="G1125" i="1"/>
  <c r="P1125" i="1"/>
  <c r="H1125" i="1"/>
  <c r="I1125" i="1"/>
  <c r="J1125" i="1"/>
  <c r="B1125" i="1"/>
  <c r="M1125" i="1"/>
  <c r="C1125" i="1"/>
  <c r="O1125" i="1"/>
  <c r="F1125" i="1"/>
  <c r="L1125" i="1"/>
  <c r="Q1125" i="1"/>
  <c r="A1126" i="1"/>
  <c r="D1125" i="1"/>
  <c r="A1111" i="3"/>
  <c r="C1110" i="3"/>
  <c r="D1110" i="3"/>
  <c r="E1110" i="3"/>
  <c r="B1110" i="3"/>
  <c r="B1111" i="3" l="1"/>
  <c r="C1111" i="3"/>
  <c r="A1112" i="3"/>
  <c r="D1111" i="3"/>
  <c r="E1111" i="3"/>
  <c r="B1087" i="2"/>
  <c r="A1088" i="2"/>
  <c r="E1126" i="1"/>
  <c r="N1126" i="1"/>
  <c r="G1126" i="1"/>
  <c r="P1126" i="1"/>
  <c r="B1126" i="1"/>
  <c r="M1126" i="1"/>
  <c r="O1126" i="1"/>
  <c r="C1126" i="1"/>
  <c r="D1126" i="1"/>
  <c r="Q1126" i="1"/>
  <c r="H1126" i="1"/>
  <c r="I1126" i="1"/>
  <c r="J1126" i="1"/>
  <c r="A1127" i="1"/>
  <c r="F1126" i="1"/>
  <c r="L1126" i="1"/>
  <c r="B1088" i="2" l="1"/>
  <c r="A1089" i="2"/>
  <c r="D1112" i="3"/>
  <c r="E1112" i="3"/>
  <c r="A1113" i="3"/>
  <c r="B1112" i="3"/>
  <c r="C1112" i="3"/>
  <c r="E1127" i="1"/>
  <c r="N1127" i="1"/>
  <c r="G1127" i="1"/>
  <c r="P1127" i="1"/>
  <c r="H1127" i="1"/>
  <c r="I1127" i="1"/>
  <c r="J1127" i="1"/>
  <c r="B1127" i="1"/>
  <c r="M1127" i="1"/>
  <c r="C1127" i="1"/>
  <c r="O1127" i="1"/>
  <c r="D1127" i="1"/>
  <c r="F1127" i="1"/>
  <c r="L1127" i="1"/>
  <c r="Q1127" i="1"/>
  <c r="A1128" i="1"/>
  <c r="E1128" i="1" l="1"/>
  <c r="N1128" i="1"/>
  <c r="G1128" i="1"/>
  <c r="P1128" i="1"/>
  <c r="B1128" i="1"/>
  <c r="M1128" i="1"/>
  <c r="O1128" i="1"/>
  <c r="C1128" i="1"/>
  <c r="D1128" i="1"/>
  <c r="Q1128" i="1"/>
  <c r="H1128" i="1"/>
  <c r="I1128" i="1"/>
  <c r="A1129" i="1"/>
  <c r="F1128" i="1"/>
  <c r="J1128" i="1"/>
  <c r="L1128" i="1"/>
  <c r="D1113" i="3"/>
  <c r="E1113" i="3"/>
  <c r="A1114" i="3"/>
  <c r="B1113" i="3"/>
  <c r="C1113" i="3"/>
  <c r="A1090" i="2"/>
  <c r="B1089" i="2"/>
  <c r="E1129" i="1" l="1"/>
  <c r="N1129" i="1"/>
  <c r="G1129" i="1"/>
  <c r="P1129" i="1"/>
  <c r="H1129" i="1"/>
  <c r="I1129" i="1"/>
  <c r="J1129" i="1"/>
  <c r="B1129" i="1"/>
  <c r="M1129" i="1"/>
  <c r="C1129" i="1"/>
  <c r="O1129" i="1"/>
  <c r="D1129" i="1"/>
  <c r="F1129" i="1"/>
  <c r="A1130" i="1"/>
  <c r="Q1129" i="1"/>
  <c r="L1129" i="1"/>
  <c r="B1114" i="3"/>
  <c r="C1114" i="3"/>
  <c r="D1114" i="3"/>
  <c r="E1114" i="3"/>
  <c r="A1115" i="3"/>
  <c r="B1090" i="2"/>
  <c r="A1091" i="2"/>
  <c r="B1091" i="2" l="1"/>
  <c r="A1092" i="2"/>
  <c r="E1130" i="1"/>
  <c r="N1130" i="1"/>
  <c r="G1130" i="1"/>
  <c r="P1130" i="1"/>
  <c r="B1130" i="1"/>
  <c r="M1130" i="1"/>
  <c r="C1130" i="1"/>
  <c r="O1130" i="1"/>
  <c r="D1130" i="1"/>
  <c r="Q1130" i="1"/>
  <c r="H1130" i="1"/>
  <c r="I1130" i="1"/>
  <c r="L1130" i="1"/>
  <c r="A1131" i="1"/>
  <c r="J1130" i="1"/>
  <c r="F1130" i="1"/>
  <c r="E1115" i="3"/>
  <c r="A1116" i="3"/>
  <c r="B1115" i="3"/>
  <c r="C1115" i="3"/>
  <c r="D1115" i="3"/>
  <c r="E1131" i="1" l="1"/>
  <c r="N1131" i="1"/>
  <c r="G1131" i="1"/>
  <c r="P1131" i="1"/>
  <c r="H1131" i="1"/>
  <c r="I1131" i="1"/>
  <c r="J1131" i="1"/>
  <c r="B1131" i="1"/>
  <c r="M1131" i="1"/>
  <c r="C1131" i="1"/>
  <c r="O1131" i="1"/>
  <c r="D1131" i="1"/>
  <c r="Q1131" i="1"/>
  <c r="F1131" i="1"/>
  <c r="L1131" i="1"/>
  <c r="A1132" i="1"/>
  <c r="B1092" i="2"/>
  <c r="A1093" i="2"/>
  <c r="B1116" i="3"/>
  <c r="E1116" i="3"/>
  <c r="A1117" i="3"/>
  <c r="D1116" i="3"/>
  <c r="C1116" i="3"/>
  <c r="C1117" i="3" l="1"/>
  <c r="D1117" i="3"/>
  <c r="E1117" i="3"/>
  <c r="B1117" i="3"/>
  <c r="A1118" i="3"/>
  <c r="E1132" i="1"/>
  <c r="G1132" i="1"/>
  <c r="B1132" i="1"/>
  <c r="M1132" i="1"/>
  <c r="N1132" i="1"/>
  <c r="C1132" i="1"/>
  <c r="D1132" i="1"/>
  <c r="O1132" i="1"/>
  <c r="H1132" i="1"/>
  <c r="Q1132" i="1"/>
  <c r="I1132" i="1"/>
  <c r="A1133" i="1"/>
  <c r="J1132" i="1"/>
  <c r="L1132" i="1"/>
  <c r="P1132" i="1"/>
  <c r="F1132" i="1"/>
  <c r="B1093" i="2"/>
  <c r="A1094" i="2"/>
  <c r="A1119" i="3" l="1"/>
  <c r="C1118" i="3"/>
  <c r="B1118" i="3"/>
  <c r="E1118" i="3"/>
  <c r="D1118" i="3"/>
  <c r="B1094" i="2"/>
  <c r="A1095" i="2"/>
  <c r="D1133" i="1"/>
  <c r="M1133" i="1"/>
  <c r="E1133" i="1"/>
  <c r="N1133" i="1"/>
  <c r="F1133" i="1"/>
  <c r="O1133" i="1"/>
  <c r="H1133" i="1"/>
  <c r="Q1133" i="1"/>
  <c r="I1133" i="1"/>
  <c r="A1134" i="1"/>
  <c r="P1133" i="1"/>
  <c r="G1133" i="1"/>
  <c r="L1133" i="1"/>
  <c r="C1133" i="1"/>
  <c r="J1133" i="1"/>
  <c r="B1133" i="1"/>
  <c r="B1095" i="2" l="1"/>
  <c r="A1096" i="2"/>
  <c r="D1134" i="1"/>
  <c r="M1134" i="1"/>
  <c r="E1134" i="1"/>
  <c r="N1134" i="1"/>
  <c r="F1134" i="1"/>
  <c r="O1134" i="1"/>
  <c r="H1134" i="1"/>
  <c r="Q1134" i="1"/>
  <c r="I1134" i="1"/>
  <c r="A1135" i="1"/>
  <c r="B1134" i="1"/>
  <c r="C1134" i="1"/>
  <c r="L1134" i="1"/>
  <c r="G1134" i="1"/>
  <c r="J1134" i="1"/>
  <c r="P1134" i="1"/>
  <c r="B1119" i="3"/>
  <c r="C1119" i="3"/>
  <c r="A1120" i="3"/>
  <c r="D1119" i="3"/>
  <c r="E1119" i="3"/>
  <c r="D1120" i="3" l="1"/>
  <c r="E1120" i="3"/>
  <c r="A1121" i="3"/>
  <c r="B1120" i="3"/>
  <c r="C1120" i="3"/>
  <c r="D1135" i="1"/>
  <c r="M1135" i="1"/>
  <c r="E1135" i="1"/>
  <c r="N1135" i="1"/>
  <c r="F1135" i="1"/>
  <c r="O1135" i="1"/>
  <c r="H1135" i="1"/>
  <c r="Q1135" i="1"/>
  <c r="I1135" i="1"/>
  <c r="C1135" i="1"/>
  <c r="G1135" i="1"/>
  <c r="J1135" i="1"/>
  <c r="P1135" i="1"/>
  <c r="L1135" i="1"/>
  <c r="B1135" i="1"/>
  <c r="B1096" i="2"/>
  <c r="A1097" i="2"/>
  <c r="H1097" i="2" l="1"/>
  <c r="C1097" i="2"/>
  <c r="I1097" i="2"/>
  <c r="E1097" i="2"/>
  <c r="F1097" i="2"/>
  <c r="G1097" i="2"/>
  <c r="A1098" i="2"/>
  <c r="J1097" i="2"/>
  <c r="D1097" i="2"/>
  <c r="B1097" i="2"/>
  <c r="D1121" i="3"/>
  <c r="B1121" i="3"/>
  <c r="C1121" i="3"/>
  <c r="A1122" i="3"/>
  <c r="E1121" i="3"/>
  <c r="F1098" i="2" l="1"/>
  <c r="B1098" i="2"/>
  <c r="A1099" i="2"/>
  <c r="I1098" i="2"/>
  <c r="G1098" i="2"/>
  <c r="H1098" i="2"/>
  <c r="J1098" i="2"/>
  <c r="C1098" i="2"/>
  <c r="D1098" i="2"/>
  <c r="E1098" i="2"/>
  <c r="B1122" i="3"/>
  <c r="C1122" i="3"/>
  <c r="D1122" i="3"/>
  <c r="E1122" i="3"/>
  <c r="A1123" i="3"/>
  <c r="E1123" i="3" l="1"/>
  <c r="A1124" i="3"/>
  <c r="B1123" i="3"/>
  <c r="C1123" i="3"/>
  <c r="D1123" i="3"/>
  <c r="D1099" i="2"/>
  <c r="J1099" i="2"/>
  <c r="I1099" i="2"/>
  <c r="H1099" i="2"/>
  <c r="A1100" i="2"/>
  <c r="C1099" i="2"/>
  <c r="B1099" i="2"/>
  <c r="E1099" i="2"/>
  <c r="G1099" i="2"/>
  <c r="F1099" i="2"/>
  <c r="B1100" i="2" l="1"/>
  <c r="J1100" i="2"/>
  <c r="I1100" i="2"/>
  <c r="A1101" i="2"/>
  <c r="C1100" i="2"/>
  <c r="E1100" i="2"/>
  <c r="D1100" i="2"/>
  <c r="F1100" i="2"/>
  <c r="G1100" i="2"/>
  <c r="H1100" i="2"/>
  <c r="B1124" i="3"/>
  <c r="E1124" i="3"/>
  <c r="C1124" i="3"/>
  <c r="A1125" i="3"/>
  <c r="D1124" i="3"/>
  <c r="C1125" i="3" l="1"/>
  <c r="D1125" i="3"/>
  <c r="E1125" i="3"/>
  <c r="B1125" i="3"/>
  <c r="A1126" i="3"/>
  <c r="H1101" i="2"/>
  <c r="I1101" i="2"/>
  <c r="A1102" i="2"/>
  <c r="B1101" i="2"/>
  <c r="C1101" i="2"/>
  <c r="D1101" i="2"/>
  <c r="F1101" i="2"/>
  <c r="E1101" i="2"/>
  <c r="G1101" i="2"/>
  <c r="J1101" i="2"/>
  <c r="F1102" i="2" l="1"/>
  <c r="H1102" i="2"/>
  <c r="A1103" i="2"/>
  <c r="C1102" i="2"/>
  <c r="D1102" i="2"/>
  <c r="E1102" i="2"/>
  <c r="I1102" i="2"/>
  <c r="G1102" i="2"/>
  <c r="J1102" i="2"/>
  <c r="B1102" i="2"/>
  <c r="A1127" i="3"/>
  <c r="C1126" i="3"/>
  <c r="D1126" i="3"/>
  <c r="E1126" i="3"/>
  <c r="B1126" i="3"/>
  <c r="B1127" i="3" l="1"/>
  <c r="C1127" i="3"/>
  <c r="A1128" i="3"/>
  <c r="D1127" i="3"/>
  <c r="E1127" i="3"/>
  <c r="D1103" i="2"/>
  <c r="G1103" i="2"/>
  <c r="A1104" i="2"/>
  <c r="E1103" i="2"/>
  <c r="F1103" i="2"/>
  <c r="H1103" i="2"/>
  <c r="J1103" i="2"/>
  <c r="B1103" i="2"/>
  <c r="I1103" i="2"/>
  <c r="C1103" i="2"/>
  <c r="B1104" i="2" l="1"/>
  <c r="J1104" i="2"/>
  <c r="F1104" i="2"/>
  <c r="G1104" i="2"/>
  <c r="H1104" i="2"/>
  <c r="I1104" i="2"/>
  <c r="A1105" i="2"/>
  <c r="C1104" i="2"/>
  <c r="D1104" i="2"/>
  <c r="E1104" i="2"/>
  <c r="D1128" i="3"/>
  <c r="E1128" i="3"/>
  <c r="A1129" i="3"/>
  <c r="C1128" i="3"/>
  <c r="B1128" i="3"/>
  <c r="H1105" i="2" l="1"/>
  <c r="E1105" i="2"/>
  <c r="B1105" i="2"/>
  <c r="I1105" i="2"/>
  <c r="J1105" i="2"/>
  <c r="A1106" i="2"/>
  <c r="C1105" i="2"/>
  <c r="D1105" i="2"/>
  <c r="F1105" i="2"/>
  <c r="G1105" i="2"/>
  <c r="D1129" i="3"/>
  <c r="E1129" i="3"/>
  <c r="A1130" i="3"/>
  <c r="C1129" i="3"/>
  <c r="B1129" i="3"/>
  <c r="F1106" i="2" l="1"/>
  <c r="D1106" i="2"/>
  <c r="B1106" i="2"/>
  <c r="J1106" i="2"/>
  <c r="A1107" i="2"/>
  <c r="E1106" i="2"/>
  <c r="C1106" i="2"/>
  <c r="G1106" i="2"/>
  <c r="H1106" i="2"/>
  <c r="I1106" i="2"/>
  <c r="B1130" i="3"/>
  <c r="C1130" i="3"/>
  <c r="D1130" i="3"/>
  <c r="E1130" i="3"/>
  <c r="A1131" i="3"/>
  <c r="E1131" i="3" l="1"/>
  <c r="A1132" i="3"/>
  <c r="B1131" i="3"/>
  <c r="C1131" i="3"/>
  <c r="D1131" i="3"/>
  <c r="D1107" i="2"/>
  <c r="C1107" i="2"/>
  <c r="B1107" i="2"/>
  <c r="A1108" i="2"/>
  <c r="E1107" i="2"/>
  <c r="G1107" i="2"/>
  <c r="F1107" i="2"/>
  <c r="H1107" i="2"/>
  <c r="I1107" i="2"/>
  <c r="J1107" i="2"/>
  <c r="B1132" i="3" l="1"/>
  <c r="E1132" i="3"/>
  <c r="A1133" i="3"/>
  <c r="C1132" i="3"/>
  <c r="D1132" i="3"/>
  <c r="B1108" i="2"/>
  <c r="J1108" i="2"/>
  <c r="C1108" i="2"/>
  <c r="D1108" i="2"/>
  <c r="E1108" i="2"/>
  <c r="F1108" i="2"/>
  <c r="H1108" i="2"/>
  <c r="G1108" i="2"/>
  <c r="I1108" i="2"/>
  <c r="A1109" i="2"/>
  <c r="H1109" i="2" l="1"/>
  <c r="B1109" i="2"/>
  <c r="A1110" i="2"/>
  <c r="D1109" i="2"/>
  <c r="E1109" i="2"/>
  <c r="F1109" i="2"/>
  <c r="G1109" i="2"/>
  <c r="J1109" i="2"/>
  <c r="I1109" i="2"/>
  <c r="C1109" i="2"/>
  <c r="C1133" i="3"/>
  <c r="D1133" i="3"/>
  <c r="E1133" i="3"/>
  <c r="B1133" i="3"/>
  <c r="A1134" i="3"/>
  <c r="F1110" i="2" l="1"/>
  <c r="J1110" i="2"/>
  <c r="D1110" i="2"/>
  <c r="G1110" i="2"/>
  <c r="H1110" i="2"/>
  <c r="I1110" i="2"/>
  <c r="B1110" i="2"/>
  <c r="C1110" i="2"/>
  <c r="A1111" i="2"/>
  <c r="E1110" i="2"/>
  <c r="A1135" i="3"/>
  <c r="C1134" i="3"/>
  <c r="E1134" i="3"/>
  <c r="D1134" i="3"/>
  <c r="B1134" i="3"/>
  <c r="B1135" i="3" l="1"/>
  <c r="C1135" i="3"/>
  <c r="D1135" i="3"/>
  <c r="E1135" i="3"/>
  <c r="D1111" i="2"/>
  <c r="I1111" i="2"/>
  <c r="E1111" i="2"/>
  <c r="H1111" i="2"/>
  <c r="J1111" i="2"/>
  <c r="A1112" i="2"/>
  <c r="B1111" i="2"/>
  <c r="C1111" i="2"/>
  <c r="F1111" i="2"/>
  <c r="G1111" i="2"/>
  <c r="B1112" i="2" l="1"/>
  <c r="J1112" i="2"/>
  <c r="H1112" i="2"/>
  <c r="E1112" i="2"/>
  <c r="A1113" i="2"/>
  <c r="D1112" i="2"/>
  <c r="C1112" i="2"/>
  <c r="F1112" i="2"/>
  <c r="G1112" i="2"/>
  <c r="I1112" i="2"/>
  <c r="H1113" i="2" l="1"/>
  <c r="G1113" i="2"/>
  <c r="E1113" i="2"/>
  <c r="B1113" i="2"/>
  <c r="C1113" i="2"/>
  <c r="F1113" i="2"/>
  <c r="D1113" i="2"/>
  <c r="I1113" i="2"/>
  <c r="A1114" i="2"/>
  <c r="J1113" i="2"/>
  <c r="F1114" i="2" l="1"/>
  <c r="G1114" i="2"/>
  <c r="E1114" i="2"/>
  <c r="B1114" i="2"/>
  <c r="C1114" i="2"/>
  <c r="D1114" i="2"/>
  <c r="I1114" i="2"/>
  <c r="H1114" i="2"/>
  <c r="J1114" i="2"/>
  <c r="A1115" i="2"/>
  <c r="D1115" i="2" l="1"/>
  <c r="F1115" i="2"/>
  <c r="G1115" i="2"/>
  <c r="C1115" i="2"/>
  <c r="E1115" i="2"/>
  <c r="H1115" i="2"/>
  <c r="J1115" i="2"/>
  <c r="I1115" i="2"/>
  <c r="A1116" i="2"/>
  <c r="B1115" i="2"/>
  <c r="B1116" i="2" l="1"/>
  <c r="J1116" i="2"/>
  <c r="E1116" i="2"/>
  <c r="G1116" i="2"/>
  <c r="F1116" i="2"/>
  <c r="H1116" i="2"/>
  <c r="I1116" i="2"/>
  <c r="A1117" i="2"/>
  <c r="D1116" i="2"/>
  <c r="C1116" i="2"/>
  <c r="H1117" i="2" l="1"/>
  <c r="D1117" i="2"/>
  <c r="G1117" i="2"/>
  <c r="I1117" i="2"/>
  <c r="J1117" i="2"/>
  <c r="A1118" i="2"/>
  <c r="B1117" i="2"/>
  <c r="C1117" i="2"/>
  <c r="E1117" i="2"/>
  <c r="F1117" i="2"/>
  <c r="F1118" i="2" l="1"/>
  <c r="C1118" i="2"/>
  <c r="H1118" i="2"/>
  <c r="J1118" i="2"/>
  <c r="A1119" i="2"/>
  <c r="D1118" i="2"/>
  <c r="B1118" i="2"/>
  <c r="E1118" i="2"/>
  <c r="G1118" i="2"/>
  <c r="I1118" i="2"/>
  <c r="D1119" i="2" l="1"/>
  <c r="B1119" i="2"/>
  <c r="A1120" i="2"/>
  <c r="H1119" i="2"/>
  <c r="C1119" i="2"/>
  <c r="F1119" i="2"/>
  <c r="E1119" i="2"/>
  <c r="G1119" i="2"/>
  <c r="I1119" i="2"/>
  <c r="J1119" i="2"/>
  <c r="B1120" i="2" l="1"/>
  <c r="J1120" i="2"/>
  <c r="A1121" i="2"/>
  <c r="H1120" i="2"/>
  <c r="C1120" i="2"/>
  <c r="D1120" i="2"/>
  <c r="E1120" i="2"/>
  <c r="G1120" i="2"/>
  <c r="F1120" i="2"/>
  <c r="I1120" i="2"/>
  <c r="H1121" i="2" l="1"/>
  <c r="J1121" i="2"/>
  <c r="I1121" i="2"/>
  <c r="D1121" i="2"/>
  <c r="E1121" i="2"/>
  <c r="F1121" i="2"/>
  <c r="A1122" i="2"/>
  <c r="G1121" i="2"/>
  <c r="B1121" i="2"/>
  <c r="C1121" i="2"/>
  <c r="F1122" i="2" l="1"/>
  <c r="I1122" i="2"/>
  <c r="J1122" i="2"/>
  <c r="E1122" i="2"/>
  <c r="G1122" i="2"/>
  <c r="H1122" i="2"/>
  <c r="B1122" i="2"/>
  <c r="C1122" i="2"/>
  <c r="A1123" i="2"/>
  <c r="D1122" i="2"/>
  <c r="D1123" i="2" l="1"/>
  <c r="H1123" i="2"/>
  <c r="J1123" i="2"/>
  <c r="G1123" i="2"/>
  <c r="I1123" i="2"/>
  <c r="A1124" i="2"/>
  <c r="B1123" i="2"/>
  <c r="C1123" i="2"/>
  <c r="E1123" i="2"/>
  <c r="F1123" i="2"/>
  <c r="B1124" i="2" l="1"/>
  <c r="J1124" i="2"/>
  <c r="G1124" i="2"/>
  <c r="A1125" i="2"/>
  <c r="I1124" i="2"/>
  <c r="D1124" i="2"/>
  <c r="C1124" i="2"/>
  <c r="E1124" i="2"/>
  <c r="F1124" i="2"/>
  <c r="H1124" i="2"/>
  <c r="H1125" i="2" l="1"/>
  <c r="F1125" i="2"/>
  <c r="A1126" i="2"/>
  <c r="B1125" i="2"/>
  <c r="C1125" i="2"/>
  <c r="E1125" i="2"/>
  <c r="D1125" i="2"/>
  <c r="G1125" i="2"/>
  <c r="I1125" i="2"/>
  <c r="J1125" i="2"/>
  <c r="F1126" i="2" l="1"/>
  <c r="E1126" i="2"/>
  <c r="A1127" i="2"/>
  <c r="B1126" i="2"/>
  <c r="C1126" i="2"/>
  <c r="D1126" i="2"/>
  <c r="H1126" i="2"/>
  <c r="G1126" i="2"/>
  <c r="I1126" i="2"/>
  <c r="J1126" i="2"/>
  <c r="D1127" i="2" l="1"/>
  <c r="E1127" i="2"/>
  <c r="A1128" i="2"/>
  <c r="C1127" i="2"/>
  <c r="F1127" i="2"/>
  <c r="G1127" i="2"/>
  <c r="I1127" i="2"/>
  <c r="H1127" i="2"/>
  <c r="J1127" i="2"/>
  <c r="B1127" i="2"/>
  <c r="B1128" i="2" l="1"/>
  <c r="J1128" i="2"/>
  <c r="D1128" i="2"/>
  <c r="F1128" i="2"/>
  <c r="G1128" i="2"/>
  <c r="H1128" i="2"/>
  <c r="A1129" i="2"/>
  <c r="I1128" i="2"/>
  <c r="C1128" i="2"/>
  <c r="E1128" i="2"/>
  <c r="C1129" i="2" l="1"/>
  <c r="A1130" i="2"/>
  <c r="B1129" i="2"/>
  <c r="G1129" i="2"/>
  <c r="H1129" i="2"/>
  <c r="I1129" i="2"/>
  <c r="D1129" i="2"/>
  <c r="E1129" i="2"/>
  <c r="J1129" i="2"/>
  <c r="F1129" i="2"/>
  <c r="I1130" i="2" l="1"/>
  <c r="B1130" i="2"/>
  <c r="A1131" i="2"/>
  <c r="G1130" i="2"/>
  <c r="H1130" i="2"/>
  <c r="J1130" i="2"/>
  <c r="C1130" i="2"/>
  <c r="D1130" i="2"/>
  <c r="E1130" i="2"/>
  <c r="F1130" i="2"/>
  <c r="G1131" i="2" l="1"/>
  <c r="J1131" i="2"/>
  <c r="H1131" i="2"/>
  <c r="I1131" i="2"/>
  <c r="A1132" i="2"/>
  <c r="C1131" i="2"/>
  <c r="B1131" i="2"/>
  <c r="D1131" i="2"/>
  <c r="E1131" i="2"/>
  <c r="F1131" i="2"/>
  <c r="E1132" i="2" l="1"/>
  <c r="I1132" i="2"/>
  <c r="H1132" i="2"/>
  <c r="J1132" i="2"/>
  <c r="A1133" i="2"/>
  <c r="C1132" i="2"/>
  <c r="B1132" i="2"/>
  <c r="D1132" i="2"/>
  <c r="G1132" i="2"/>
  <c r="F1132" i="2"/>
  <c r="C1133" i="2" l="1"/>
  <c r="A1134" i="2"/>
  <c r="H1133" i="2"/>
  <c r="I1133" i="2"/>
  <c r="J1133" i="2"/>
  <c r="D1133" i="2"/>
  <c r="B1133" i="2"/>
  <c r="E1133" i="2"/>
  <c r="F1133" i="2"/>
  <c r="G1133" i="2"/>
  <c r="I1134" i="2" l="1"/>
  <c r="G1134" i="2"/>
  <c r="J1134" i="2"/>
  <c r="A1135" i="2"/>
  <c r="B1134" i="2"/>
  <c r="D1134" i="2"/>
  <c r="C1134" i="2"/>
  <c r="E1134" i="2"/>
  <c r="H1134" i="2"/>
  <c r="F1134" i="2"/>
  <c r="G1135" i="2" l="1"/>
  <c r="F1135" i="2"/>
  <c r="J1135" i="2"/>
  <c r="B1135" i="2"/>
  <c r="D1135" i="2"/>
  <c r="C1135" i="2"/>
  <c r="E1135" i="2"/>
  <c r="H1135" i="2"/>
  <c r="I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<sst xmlns="http://schemas.openxmlformats.org/spreadsheetml/2006/main" count="161" uniqueCount="74">
  <si>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</si>
  <si>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</si>
  <si>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</si>
  <si>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</si>
  <si>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</si>
  <si>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</si>
  <si>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</si>
  <si>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</si>
  <si>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</si>
  <si>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</si>
  <si>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</si>
  <si>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</si>
  <si>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</si>
  <si>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</si>
  <si>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</si>
  <si>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</si>
  <si>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</si>
  <si>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</si>
  <si>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</si>
  <si>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</si>
  <si>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</si>
  <si>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</si>
  <si>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</si>
  <si>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</si>
  <si>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</si>
  <si>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February 02, 2015 -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</si>
  <si>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</si>
  <si>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</si>
  <si>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</si>
  <si>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</si>
  <si>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</si>
  <si>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</si>
  <si>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</si>
  <si>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</si>
  <si>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</si>
  <si>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</si>
  <si>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</si>
  <si>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</si>
  <si>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</si>
  <si>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</si>
  <si>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</si>
  <si>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</si>
  <si>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</si>
  <si>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</si>
  <si>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</si>
  <si>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</si>
  <si>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</si>
  <si>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</si>
  <si>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</si>
  <si>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</si>
  <si>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</si>
  <si>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</si>
  <si>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</si>
  <si>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</si>
  <si>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</si>
  <si>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</si>
  <si>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</si>
  <si>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</si>
  <si>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</si>
  <si>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</si>
  <si>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</si>
  <si>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</si>
  <si>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</si>
  <si>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</si>
  <si>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</si>
  <si>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</si>
  <si>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</si>
  <si>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</si>
  <si>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</si>
  <si>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37</t>
  </si>
  <si>
    <t>Tab 5 of 5</t>
  </si>
  <si>
    <t>Tab 4 of 5</t>
  </si>
  <si>
    <t>Tab 3 of 5</t>
  </si>
  <si>
    <t>Tab 2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</si>
</sst>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95250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47625</xdr:rowOff>
        </xdr:from>
        <xdr:to>
          <xdr:col>6</xdr:col>
          <xdr:colOff>381000</xdr:colOff>
          <xdr:row>12</xdr:row>
          <xdr:rowOff>152400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2.%20February\150203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Sheet1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7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3.295 * CHOOSE(CONTROL!$C$15, $D$11, 100%, $F$11)</f>
        <v>3.2949999999999999</v>
      </c>
      <c r="C17" s="8">
        <f>3.3 * CHOOSE(CONTROL!$C$15, $D$11, 100%, $F$11)</f>
        <v>3.3</v>
      </c>
      <c r="D17" s="8">
        <f>3.2953 * CHOOSE( CONTROL!$C$15, $D$11, 100%, $F$11)</f>
        <v>3.2953000000000001</v>
      </c>
      <c r="E17" s="12">
        <f>3.2965 * CHOOSE( CONTROL!$C$15, $D$11, 100%, $F$11)</f>
        <v>3.2965</v>
      </c>
      <c r="F17" s="4">
        <f>3.9371 * CHOOSE(CONTROL!$C$15, $D$11, 100%, $F$11)</f>
        <v>3.9371</v>
      </c>
      <c r="G17" s="8">
        <f>3.2665 * CHOOSE( CONTROL!$C$15, $D$11, 100%, $F$11)</f>
        <v>3.2665000000000002</v>
      </c>
      <c r="H17" s="4">
        <f>4.1376 * CHOOSE(CONTROL!$C$15, $D$11, 100%, $F$11)</f>
        <v>4.1375999999999999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44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2.9621 * CHOOSE(CONTROL!$C$15, $D$11, 100%, $F$11)</f>
        <v>2.9621</v>
      </c>
      <c r="C18" s="8">
        <f>2.9672 * CHOOSE(CONTROL!$C$15, $D$11, 100%, $F$11)</f>
        <v>2.9672000000000001</v>
      </c>
      <c r="D18" s="8">
        <f>2.9523 * CHOOSE( CONTROL!$C$15, $D$11, 100%, $F$11)</f>
        <v>2.9523000000000001</v>
      </c>
      <c r="E18" s="12">
        <f>2.9572 * CHOOSE( CONTROL!$C$15, $D$11, 100%, $F$11)</f>
        <v>2.9571999999999998</v>
      </c>
      <c r="F18" s="4">
        <f>3.6042 * CHOOSE(CONTROL!$C$15, $D$11, 100%, $F$11)</f>
        <v>3.6042000000000001</v>
      </c>
      <c r="G18" s="8">
        <f>2.9278 * CHOOSE( CONTROL!$C$15, $D$11, 100%, $F$11)</f>
        <v>2.9278</v>
      </c>
      <c r="H18" s="4">
        <f>3.8087 * CHOOSE(CONTROL!$C$15, $D$11, 100%, $F$11)</f>
        <v>3.8087</v>
      </c>
      <c r="I18" s="8">
        <f>2.9815 * CHOOSE(CONTROL!$C$15, $D$11, 100%, $F$11)</f>
        <v>2.9815</v>
      </c>
      <c r="J18" s="4">
        <f>2.866 * CHOOSE(CONTROL!$C$15, $D$11, 100%, $F$11)</f>
        <v>2.8660000000000001</v>
      </c>
      <c r="K18" s="4">
        <f>2.9325 * CHOOSE(CONTROL!$C$15, $D$11, 100%, $F$11)</f>
        <v>2.9325000000000001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2.7705 * CHOOSE(CONTROL!$C$15, $D$11, 100%, $F$11)</f>
        <v>2.7705000000000002</v>
      </c>
      <c r="C19" s="8">
        <f>2.7756 * CHOOSE(CONTROL!$C$15, $D$11, 100%, $F$11)</f>
        <v>2.7755999999999998</v>
      </c>
      <c r="D19" s="8">
        <f>2.7517 * CHOOSE( CONTROL!$C$15, $D$11, 100%, $F$11)</f>
        <v>2.7517</v>
      </c>
      <c r="E19" s="12">
        <f>2.7599 * CHOOSE( CONTROL!$C$15, $D$11, 100%, $F$11)</f>
        <v>2.7599</v>
      </c>
      <c r="F19" s="4">
        <f>3.4177 * CHOOSE(CONTROL!$C$15, $D$11, 100%, $F$11)</f>
        <v>3.4177</v>
      </c>
      <c r="G19" s="8">
        <f>2.7294 * CHOOSE( CONTROL!$C$15, $D$11, 100%, $F$11)</f>
        <v>2.7294</v>
      </c>
      <c r="H19" s="4">
        <f>3.6243 * CHOOSE(CONTROL!$C$15, $D$11, 100%, $F$11)</f>
        <v>3.6242999999999999</v>
      </c>
      <c r="I19" s="8">
        <f>2.7602 * CHOOSE(CONTROL!$C$15, $D$11, 100%, $F$11)</f>
        <v>2.7602000000000002</v>
      </c>
      <c r="J19" s="4">
        <f>2.68 * CHOOSE(CONTROL!$C$15, $D$11, 100%, $F$11)</f>
        <v>2.68</v>
      </c>
      <c r="K19" s="4">
        <f>2.7432 * CHOOSE(CONTROL!$C$15, $D$11, 100%, $F$11)</f>
        <v>2.7431999999999999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2.7723 * CHOOSE(CONTROL!$C$15, $D$11, 100%, $F$11)</f>
        <v>2.7723</v>
      </c>
      <c r="C20" s="8">
        <f>2.7768 * CHOOSE(CONTROL!$C$15, $D$11, 100%, $F$11)</f>
        <v>2.7768000000000002</v>
      </c>
      <c r="D20" s="8">
        <f>2.757 * CHOOSE( CONTROL!$C$15, $D$11, 100%, $F$11)</f>
        <v>2.7570000000000001</v>
      </c>
      <c r="E20" s="12">
        <f>2.763 * CHOOSE( CONTROL!$C$15, $D$11, 100%, $F$11)</f>
        <v>2.7629999999999999</v>
      </c>
      <c r="F20" s="4">
        <f>3.4806 * CHOOSE(CONTROL!$C$15, $D$11, 100%, $F$11)</f>
        <v>3.4805999999999999</v>
      </c>
      <c r="G20" s="8">
        <f>2.7263 * CHOOSE( CONTROL!$C$15, $D$11, 100%, $F$11)</f>
        <v>2.7263000000000002</v>
      </c>
      <c r="H20" s="4">
        <f>3.6865 * CHOOSE(CONTROL!$C$15, $D$11, 100%, $F$11)</f>
        <v>3.6865000000000001</v>
      </c>
      <c r="I20" s="8">
        <f>2.7617 * CHOOSE(CONTROL!$C$15, $D$11, 100%, $F$11)</f>
        <v>2.7616999999999998</v>
      </c>
      <c r="J20" s="4">
        <f>2.681 * CHOOSE(CONTROL!$C$15, $D$11, 100%, $F$11)</f>
        <v>2.681</v>
      </c>
      <c r="K20" s="4">
        <f>2.7329 * CHOOSE(CONTROL!$C$15, $D$11, 100%, $F$11)</f>
        <v>2.7328999999999999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2.8041, 2.8004) * CHOOSE(CONTROL!$C$15, $D$11, 100%, $F$11)</f>
        <v>2.8041</v>
      </c>
      <c r="C21" s="8">
        <f>CHOOSE( CONTROL!$C$32, 2.8121, 2.8084) * CHOOSE(CONTROL!$C$15, $D$11, 100%, $F$11)</f>
        <v>2.8121</v>
      </c>
      <c r="D21" s="8">
        <f>CHOOSE( CONTROL!$C$32, 2.796, 2.7924) * CHOOSE( CONTROL!$C$15, $D$11, 100%, $F$11)</f>
        <v>2.7959999999999998</v>
      </c>
      <c r="E21" s="12">
        <f>CHOOSE( CONTROL!$C$32, 2.8003, 2.7966) * CHOOSE( CONTROL!$C$15, $D$11, 100%, $F$11)</f>
        <v>2.8003</v>
      </c>
      <c r="F21" s="4">
        <f>CHOOSE( CONTROL!$C$32, 3.511, 3.5074) * CHOOSE(CONTROL!$C$15, $D$11, 100%, $F$11)</f>
        <v>3.5110000000000001</v>
      </c>
      <c r="G21" s="8">
        <f>CHOOSE( CONTROL!$C$32, 2.7573, 2.7537) * CHOOSE( CONTROL!$C$15, $D$11, 100%, $F$11)</f>
        <v>2.7572999999999999</v>
      </c>
      <c r="H21" s="4">
        <f>CHOOSE( CONTROL!$C$32, 3.7165, 3.7129) * CHOOSE(CONTROL!$C$15, $D$11, 100%, $F$11)</f>
        <v>3.7164999999999999</v>
      </c>
      <c r="I21" s="8">
        <f>CHOOSE( CONTROL!$C$32, 2.7918, 2.7883) * CHOOSE(CONTROL!$C$15, $D$11, 100%, $F$11)</f>
        <v>2.7917999999999998</v>
      </c>
      <c r="J21" s="4">
        <f>CHOOSE( CONTROL!$C$32, 2.7105, 2.707) * CHOOSE(CONTROL!$C$15, $D$11, 100%, $F$11)</f>
        <v>2.7105000000000001</v>
      </c>
      <c r="K21" s="4">
        <f>CHOOSE( CONTROL!$C$32, 2.7632, 2.7596) * CHOOSE(CONTROL!$C$15, $D$11, 100%, $F$11)</f>
        <v>2.7631999999999999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2.8474, 2.8437) * CHOOSE(CONTROL!$C$15, $D$11, 100%, $F$11)</f>
        <v>2.8473999999999999</v>
      </c>
      <c r="C22" s="8">
        <f>CHOOSE( CONTROL!$C$32, 2.8553, 2.8517) * CHOOSE(CONTROL!$C$15, $D$11, 100%, $F$11)</f>
        <v>2.8553000000000002</v>
      </c>
      <c r="D22" s="8">
        <f>CHOOSE( CONTROL!$C$32, 2.8397, 2.8361) * CHOOSE( CONTROL!$C$15, $D$11, 100%, $F$11)</f>
        <v>2.8397000000000001</v>
      </c>
      <c r="E22" s="12">
        <f>CHOOSE( CONTROL!$C$32, 2.8438, 2.8402) * CHOOSE( CONTROL!$C$15, $D$11, 100%, $F$11)</f>
        <v>2.8437999999999999</v>
      </c>
      <c r="F22" s="4">
        <f>CHOOSE( CONTROL!$C$32, 3.5543, 3.5507) * CHOOSE(CONTROL!$C$15, $D$11, 100%, $F$11)</f>
        <v>3.5543</v>
      </c>
      <c r="G22" s="8">
        <f>CHOOSE( CONTROL!$C$32, 2.8005, 2.7969) * CHOOSE( CONTROL!$C$15, $D$11, 100%, $F$11)</f>
        <v>2.8005</v>
      </c>
      <c r="H22" s="4">
        <f>CHOOSE( CONTROL!$C$32, 3.7593, 3.7557) * CHOOSE(CONTROL!$C$15, $D$11, 100%, $F$11)</f>
        <v>3.7593000000000001</v>
      </c>
      <c r="I22" s="8">
        <f>CHOOSE( CONTROL!$C$32, 2.8353, 2.8317) * CHOOSE(CONTROL!$C$15, $D$11, 100%, $F$11)</f>
        <v>2.8353000000000002</v>
      </c>
      <c r="J22" s="4">
        <f>CHOOSE( CONTROL!$C$32, 2.7525, 2.749) * CHOOSE(CONTROL!$C$15, $D$11, 100%, $F$11)</f>
        <v>2.7524999999999999</v>
      </c>
      <c r="K22" s="4">
        <f>CHOOSE( CONTROL!$C$32, 2.8062, 2.8026) * CHOOSE(CONTROL!$C$15, $D$11, 100%, $F$11)</f>
        <v>2.8062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2.9051, 2.9014) * CHOOSE(CONTROL!$C$15, $D$11, 100%, $F$11)</f>
        <v>2.9051</v>
      </c>
      <c r="C23" s="8">
        <f>CHOOSE( CONTROL!$C$32, 2.913, 2.9094) * CHOOSE(CONTROL!$C$15, $D$11, 100%, $F$11)</f>
        <v>2.9129999999999998</v>
      </c>
      <c r="D23" s="8">
        <f>CHOOSE( CONTROL!$C$32, 2.8978, 2.8942) * CHOOSE( CONTROL!$C$15, $D$11, 100%, $F$11)</f>
        <v>2.8978000000000002</v>
      </c>
      <c r="E23" s="12">
        <f>CHOOSE( CONTROL!$C$32, 2.9018, 2.8982) * CHOOSE( CONTROL!$C$15, $D$11, 100%, $F$11)</f>
        <v>2.9018000000000002</v>
      </c>
      <c r="F23" s="4">
        <f>CHOOSE( CONTROL!$C$32, 3.612, 3.6084) * CHOOSE(CONTROL!$C$15, $D$11, 100%, $F$11)</f>
        <v>3.6120000000000001</v>
      </c>
      <c r="G23" s="8">
        <f>CHOOSE( CONTROL!$C$32, 2.858, 2.8544) * CHOOSE( CONTROL!$C$15, $D$11, 100%, $F$11)</f>
        <v>2.8580000000000001</v>
      </c>
      <c r="H23" s="4">
        <f>CHOOSE( CONTROL!$C$32, 3.8163, 3.8127) * CHOOSE(CONTROL!$C$15, $D$11, 100%, $F$11)</f>
        <v>3.8163</v>
      </c>
      <c r="I23" s="8">
        <f>CHOOSE( CONTROL!$C$32, 2.8928, 2.8893) * CHOOSE(CONTROL!$C$15, $D$11, 100%, $F$11)</f>
        <v>2.8927999999999998</v>
      </c>
      <c r="J23" s="4">
        <f>CHOOSE( CONTROL!$C$32, 2.8085, 2.805) * CHOOSE(CONTROL!$C$15, $D$11, 100%, $F$11)</f>
        <v>2.8085</v>
      </c>
      <c r="K23" s="4">
        <f>CHOOSE( CONTROL!$C$32, 2.8635, 2.8599) * CHOOSE(CONTROL!$C$15, $D$11, 100%, $F$11)</f>
        <v>2.8635000000000002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2.9164, 2.9127) * CHOOSE(CONTROL!$C$15, $D$11, 100%, $F$11)</f>
        <v>2.9163999999999999</v>
      </c>
      <c r="C24" s="8">
        <f>CHOOSE( CONTROL!$C$32, 2.9244, 2.9207) * CHOOSE(CONTROL!$C$15, $D$11, 100%, $F$11)</f>
        <v>2.9243999999999999</v>
      </c>
      <c r="D24" s="8">
        <f>CHOOSE( CONTROL!$C$32, 2.9093, 2.9057) * CHOOSE( CONTROL!$C$15, $D$11, 100%, $F$11)</f>
        <v>2.9093</v>
      </c>
      <c r="E24" s="12">
        <f>CHOOSE( CONTROL!$C$32, 2.9132, 2.9096) * CHOOSE( CONTROL!$C$15, $D$11, 100%, $F$11)</f>
        <v>2.9131999999999998</v>
      </c>
      <c r="F24" s="4">
        <f>CHOOSE( CONTROL!$C$32, 3.6233, 3.6197) * CHOOSE(CONTROL!$C$15, $D$11, 100%, $F$11)</f>
        <v>3.6233</v>
      </c>
      <c r="G24" s="8">
        <f>CHOOSE( CONTROL!$C$32, 2.8694, 2.8658) * CHOOSE( CONTROL!$C$15, $D$11, 100%, $F$11)</f>
        <v>2.8694000000000002</v>
      </c>
      <c r="H24" s="4">
        <f>CHOOSE( CONTROL!$C$32, 3.8275, 3.8239) * CHOOSE(CONTROL!$C$15, $D$11, 100%, $F$11)</f>
        <v>3.8275000000000001</v>
      </c>
      <c r="I24" s="8">
        <f>CHOOSE( CONTROL!$C$32, 2.9043, 2.9008) * CHOOSE(CONTROL!$C$15, $D$11, 100%, $F$11)</f>
        <v>2.9043000000000001</v>
      </c>
      <c r="J24" s="4">
        <f>CHOOSE( CONTROL!$C$32, 2.8195, 2.816) * CHOOSE(CONTROL!$C$15, $D$11, 100%, $F$11)</f>
        <v>2.8195000000000001</v>
      </c>
      <c r="K24" s="4">
        <f>CHOOSE( CONTROL!$C$32, 2.8747, 2.8711) * CHOOSE(CONTROL!$C$15, $D$11, 100%, $F$11)</f>
        <v>2.8746999999999998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2.9081, 2.9045) * CHOOSE(CONTROL!$C$15, $D$11, 100%, $F$11)</f>
        <v>2.9081000000000001</v>
      </c>
      <c r="C25" s="8">
        <f>CHOOSE( CONTROL!$C$32, 2.9161, 2.9125) * CHOOSE(CONTROL!$C$15, $D$11, 100%, $F$11)</f>
        <v>2.9161000000000001</v>
      </c>
      <c r="D25" s="8">
        <f>CHOOSE( CONTROL!$C$32, 2.9009, 2.8973) * CHOOSE( CONTROL!$C$15, $D$11, 100%, $F$11)</f>
        <v>2.9009</v>
      </c>
      <c r="E25" s="12">
        <f>CHOOSE( CONTROL!$C$32, 2.9049, 2.9013) * CHOOSE( CONTROL!$C$15, $D$11, 100%, $F$11)</f>
        <v>2.9049</v>
      </c>
      <c r="F25" s="4">
        <f>CHOOSE( CONTROL!$C$32, 3.6151, 3.6114) * CHOOSE(CONTROL!$C$15, $D$11, 100%, $F$11)</f>
        <v>3.6151</v>
      </c>
      <c r="G25" s="8">
        <f>CHOOSE( CONTROL!$C$32, 2.8611, 2.8575) * CHOOSE( CONTROL!$C$15, $D$11, 100%, $F$11)</f>
        <v>2.8611</v>
      </c>
      <c r="H25" s="4">
        <f>CHOOSE( CONTROL!$C$32, 3.8194, 3.8158) * CHOOSE(CONTROL!$C$15, $D$11, 100%, $F$11)</f>
        <v>3.8193999999999999</v>
      </c>
      <c r="I25" s="8">
        <f>CHOOSE( CONTROL!$C$32, 2.8958, 2.8922) * CHOOSE(CONTROL!$C$15, $D$11, 100%, $F$11)</f>
        <v>2.8957999999999999</v>
      </c>
      <c r="J25" s="4">
        <f>CHOOSE( CONTROL!$C$32, 2.8115, 2.808) * CHOOSE(CONTROL!$C$15, $D$11, 100%, $F$11)</f>
        <v>2.8115000000000001</v>
      </c>
      <c r="K25" s="4">
        <f>CHOOSE( CONTROL!$C$32, 2.8666, 2.8629) * CHOOSE(CONTROL!$C$15, $D$11, 100%, $F$11)</f>
        <v>2.8666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2.9378 * CHOOSE(CONTROL!$C$15, $D$11, 100%, $F$11)</f>
        <v>2.9378000000000002</v>
      </c>
      <c r="C26" s="8">
        <f>2.9431 * CHOOSE(CONTROL!$C$15, $D$11, 100%, $F$11)</f>
        <v>2.9430999999999998</v>
      </c>
      <c r="D26" s="8">
        <f>2.9242 * CHOOSE( CONTROL!$C$15, $D$11, 100%, $F$11)</f>
        <v>2.9241999999999999</v>
      </c>
      <c r="E26" s="12">
        <f>2.9299 * CHOOSE( CONTROL!$C$15, $D$11, 100%, $F$11)</f>
        <v>2.9298999999999999</v>
      </c>
      <c r="F26" s="4">
        <f>3.6465 * CHOOSE(CONTROL!$C$15, $D$11, 100%, $F$11)</f>
        <v>3.6465000000000001</v>
      </c>
      <c r="G26" s="8">
        <f>2.8915 * CHOOSE( CONTROL!$C$15, $D$11, 100%, $F$11)</f>
        <v>2.8915000000000002</v>
      </c>
      <c r="H26" s="4">
        <f>3.8504 * CHOOSE(CONTROL!$C$15, $D$11, 100%, $F$11)</f>
        <v>3.8504</v>
      </c>
      <c r="I26" s="8">
        <f>2.927 * CHOOSE(CONTROL!$C$15, $D$11, 100%, $F$11)</f>
        <v>2.927</v>
      </c>
      <c r="J26" s="4">
        <f>2.842 * CHOOSE(CONTROL!$C$15, $D$11, 100%, $F$11)</f>
        <v>2.8420000000000001</v>
      </c>
      <c r="K26" s="4">
        <f>2.8977 * CHOOSE(CONTROL!$C$15, $D$11, 100%, $F$11)</f>
        <v>2.8976999999999999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3.0507 * CHOOSE(CONTROL!$C$15, $D$11, 100%, $F$11)</f>
        <v>3.0507</v>
      </c>
      <c r="C27" s="8">
        <f>3.0558 * CHOOSE(CONTROL!$C$15, $D$11, 100%, $F$11)</f>
        <v>3.0558000000000001</v>
      </c>
      <c r="D27" s="8">
        <f>3.0222 * CHOOSE( CONTROL!$C$15, $D$11, 100%, $F$11)</f>
        <v>3.0222000000000002</v>
      </c>
      <c r="E27" s="12">
        <f>3.0339 * CHOOSE( CONTROL!$C$15, $D$11, 100%, $F$11)</f>
        <v>3.0339</v>
      </c>
      <c r="F27" s="4">
        <f>3.716 * CHOOSE(CONTROL!$C$15, $D$11, 100%, $F$11)</f>
        <v>3.7160000000000002</v>
      </c>
      <c r="G27" s="8">
        <f>3.0132 * CHOOSE( CONTROL!$C$15, $D$11, 100%, $F$11)</f>
        <v>3.0131999999999999</v>
      </c>
      <c r="H27" s="4">
        <f>3.9192 * CHOOSE(CONTROL!$C$15, $D$11, 100%, $F$11)</f>
        <v>3.9192</v>
      </c>
      <c r="I27" s="8">
        <f>3.0878 * CHOOSE(CONTROL!$C$15, $D$11, 100%, $F$11)</f>
        <v>3.0878000000000001</v>
      </c>
      <c r="J27" s="4">
        <f>2.952 * CHOOSE(CONTROL!$C$15, $D$11, 100%, $F$11)</f>
        <v>2.952</v>
      </c>
      <c r="K27" s="4">
        <f>3.0231 * CHOOSE(CONTROL!$C$15, $D$11, 100%, $F$11)</f>
        <v>3.0230999999999999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3.2455 * CHOOSE(CONTROL!$C$15, $D$11, 100%, $F$11)</f>
        <v>3.2454999999999998</v>
      </c>
      <c r="C28" s="8">
        <f>3.2506 * CHOOSE(CONTROL!$C$15, $D$11, 100%, $F$11)</f>
        <v>3.2505999999999999</v>
      </c>
      <c r="D28" s="8">
        <f>3.2188 * CHOOSE( CONTROL!$C$15, $D$11, 100%, $F$11)</f>
        <v>3.2187999999999999</v>
      </c>
      <c r="E28" s="12">
        <f>3.2299 * CHOOSE( CONTROL!$C$15, $D$11, 100%, $F$11)</f>
        <v>3.2299000000000002</v>
      </c>
      <c r="F28" s="4">
        <f>3.9108 * CHOOSE(CONTROL!$C$15, $D$11, 100%, $F$11)</f>
        <v>3.9108000000000001</v>
      </c>
      <c r="G28" s="8">
        <f>3.207 * CHOOSE( CONTROL!$C$15, $D$11, 100%, $F$11)</f>
        <v>3.2069999999999999</v>
      </c>
      <c r="H28" s="4">
        <f>4.1116 * CHOOSE(CONTROL!$C$15, $D$11, 100%, $F$11)</f>
        <v>4.1116000000000001</v>
      </c>
      <c r="I28" s="8">
        <f>3.2826 * CHOOSE(CONTROL!$C$15, $D$11, 100%, $F$11)</f>
        <v>3.2826</v>
      </c>
      <c r="J28" s="4">
        <f>3.141 * CHOOSE(CONTROL!$C$15, $D$11, 100%, $F$11)</f>
        <v>3.141</v>
      </c>
      <c r="K28" s="4">
        <f>3.2166 * CHOOSE(CONTROL!$C$15, $D$11, 100%, $F$11)</f>
        <v>3.2166000000000001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3.3867 * CHOOSE(CONTROL!$C$15, $D$11, 100%, $F$11)</f>
        <v>3.3866999999999998</v>
      </c>
      <c r="C29" s="8">
        <f>3.3917 * CHOOSE(CONTROL!$C$15, $D$11, 100%, $F$11)</f>
        <v>3.3917000000000002</v>
      </c>
      <c r="D29" s="8">
        <f>3.3615 * CHOOSE( CONTROL!$C$15, $D$11, 100%, $F$11)</f>
        <v>3.3614999999999999</v>
      </c>
      <c r="E29" s="12">
        <f>3.372 * CHOOSE( CONTROL!$C$15, $D$11, 100%, $F$11)</f>
        <v>3.3719999999999999</v>
      </c>
      <c r="F29" s="4">
        <f>4.0519 * CHOOSE(CONTROL!$C$15, $D$11, 100%, $F$11)</f>
        <v>4.0518999999999998</v>
      </c>
      <c r="G29" s="8">
        <f>3.3475 * CHOOSE( CONTROL!$C$15, $D$11, 100%, $F$11)</f>
        <v>3.3475000000000001</v>
      </c>
      <c r="H29" s="4">
        <f>4.2511 * CHOOSE(CONTROL!$C$15, $D$11, 100%, $F$11)</f>
        <v>4.2511000000000001</v>
      </c>
      <c r="I29" s="8">
        <f>3.4241 * CHOOSE(CONTROL!$C$15, $D$11, 100%, $F$11)</f>
        <v>3.4241000000000001</v>
      </c>
      <c r="J29" s="4">
        <f>3.278 * CHOOSE(CONTROL!$C$15, $D$11, 100%, $F$11)</f>
        <v>3.278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si="0"/>
        <v>0.3</v>
      </c>
      <c r="S29" s="11"/>
    </row>
    <row r="30" spans="1:19" ht="15" customHeight="1">
      <c r="A30" s="13">
        <v>42401</v>
      </c>
      <c r="B30" s="8">
        <f>3.3856 * CHOOSE(CONTROL!$C$15, $D$11, 100%, $F$11)</f>
        <v>3.3856000000000002</v>
      </c>
      <c r="C30" s="8">
        <f>3.3907 * CHOOSE(CONTROL!$C$15, $D$11, 100%, $F$11)</f>
        <v>3.3906999999999998</v>
      </c>
      <c r="D30" s="8">
        <f>3.3604 * CHOOSE( CONTROL!$C$15, $D$11, 100%, $F$11)</f>
        <v>3.3603999999999998</v>
      </c>
      <c r="E30" s="12">
        <f>3.3709 * CHOOSE( CONTROL!$C$15, $D$11, 100%, $F$11)</f>
        <v>3.3708999999999998</v>
      </c>
      <c r="F30" s="4">
        <f>4.0509 * CHOOSE(CONTROL!$C$15, $D$11, 100%, $F$11)</f>
        <v>4.0509000000000004</v>
      </c>
      <c r="G30" s="8">
        <f>3.3465 * CHOOSE( CONTROL!$C$15, $D$11, 100%, $F$11)</f>
        <v>3.3464999999999998</v>
      </c>
      <c r="H30" s="4">
        <f>4.2501 * CHOOSE(CONTROL!$C$15, $D$11, 100%, $F$11)</f>
        <v>4.2500999999999998</v>
      </c>
      <c r="I30" s="8">
        <f>3.4231 * CHOOSE(CONTROL!$C$15, $D$11, 100%, $F$11)</f>
        <v>3.4230999999999998</v>
      </c>
      <c r="J30" s="4">
        <f>3.277 * CHOOSE(CONTROL!$C$15, $D$11, 100%, $F$11)</f>
        <v>3.2770000000000001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0"/>
        <v>0.3</v>
      </c>
      <c r="S30" s="11"/>
    </row>
    <row r="31" spans="1:19" ht="15" customHeight="1">
      <c r="A31" s="13">
        <v>42430</v>
      </c>
      <c r="B31" s="8">
        <f>3.3496 * CHOOSE(CONTROL!$C$15, $D$11, 100%, $F$11)</f>
        <v>3.3496000000000001</v>
      </c>
      <c r="C31" s="8">
        <f>3.3546 * CHOOSE(CONTROL!$C$15, $D$11, 100%, $F$11)</f>
        <v>3.3546</v>
      </c>
      <c r="D31" s="8">
        <f>3.324 * CHOOSE( CONTROL!$C$15, $D$11, 100%, $F$11)</f>
        <v>3.3239999999999998</v>
      </c>
      <c r="E31" s="12">
        <f>3.3347 * CHOOSE( CONTROL!$C$15, $D$11, 100%, $F$11)</f>
        <v>3.3347000000000002</v>
      </c>
      <c r="F31" s="4">
        <f>4.0148 * CHOOSE(CONTROL!$C$15, $D$11, 100%, $F$11)</f>
        <v>4.0148000000000001</v>
      </c>
      <c r="G31" s="8">
        <f>3.3105 * CHOOSE( CONTROL!$C$15, $D$11, 100%, $F$11)</f>
        <v>3.3105000000000002</v>
      </c>
      <c r="H31" s="4">
        <f>4.2145 * CHOOSE(CONTROL!$C$15, $D$11, 100%, $F$11)</f>
        <v>4.2145000000000001</v>
      </c>
      <c r="I31" s="8">
        <f>3.3868 * CHOOSE(CONTROL!$C$15, $D$11, 100%, $F$11)</f>
        <v>3.3868</v>
      </c>
      <c r="J31" s="4">
        <f>3.242 * CHOOSE(CONTROL!$C$15, $D$11, 100%, $F$11)</f>
        <v>3.242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0"/>
        <v>0.3</v>
      </c>
      <c r="S31" s="11"/>
    </row>
    <row r="32" spans="1:19" ht="15" customHeight="1">
      <c r="A32" s="13">
        <v>42461</v>
      </c>
      <c r="B32" s="8">
        <f>3.2205 * CHOOSE(CONTROL!$C$15, $D$11, 100%, $F$11)</f>
        <v>3.2204999999999999</v>
      </c>
      <c r="C32" s="8">
        <f>3.225 * CHOOSE(CONTROL!$C$15, $D$11, 100%, $F$11)</f>
        <v>3.2250000000000001</v>
      </c>
      <c r="D32" s="8">
        <f>3.2285 * CHOOSE( CONTROL!$C$15, $D$11, 100%, $F$11)</f>
        <v>3.2284999999999999</v>
      </c>
      <c r="E32" s="12">
        <f>3.2268 * CHOOSE( CONTROL!$C$15, $D$11, 100%, $F$11)</f>
        <v>3.2267999999999999</v>
      </c>
      <c r="F32" s="4">
        <f>3.9649 * CHOOSE(CONTROL!$C$15, $D$11, 100%, $F$11)</f>
        <v>3.9649000000000001</v>
      </c>
      <c r="G32" s="8">
        <f>3.1924 * CHOOSE( CONTROL!$C$15, $D$11, 100%, $F$11)</f>
        <v>3.1924000000000001</v>
      </c>
      <c r="H32" s="4">
        <f>4.1651 * CHOOSE(CONTROL!$C$15, $D$11, 100%, $F$11)</f>
        <v>4.1650999999999998</v>
      </c>
      <c r="I32" s="8">
        <f>3.259 * CHOOSE(CONTROL!$C$15, $D$11, 100%, $F$11)</f>
        <v>3.2589999999999999</v>
      </c>
      <c r="J32" s="4">
        <f>3.116 * CHOOSE(CONTROL!$C$15, $D$11, 100%, $F$11)</f>
        <v>3.1160000000000001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1"/>
    </row>
    <row r="33" spans="1:19" ht="15" customHeight="1">
      <c r="A33" s="13">
        <v>42491</v>
      </c>
      <c r="B33" s="8">
        <f>CHOOSE( CONTROL!$C$32, 3.2358, 3.2322) * CHOOSE(CONTROL!$C$15, $D$11, 100%, $F$11)</f>
        <v>3.2357999999999998</v>
      </c>
      <c r="C33" s="8">
        <f>CHOOSE( CONTROL!$C$32, 3.2438, 3.2401) * CHOOSE(CONTROL!$C$15, $D$11, 100%, $F$11)</f>
        <v>3.2437999999999998</v>
      </c>
      <c r="D33" s="8">
        <f>CHOOSE( CONTROL!$C$32, 3.2616, 3.258) * CHOOSE( CONTROL!$C$15, $D$11, 100%, $F$11)</f>
        <v>3.2616000000000001</v>
      </c>
      <c r="E33" s="12">
        <f>CHOOSE( CONTROL!$C$32, 3.2545, 3.2509) * CHOOSE( CONTROL!$C$15, $D$11, 100%, $F$11)</f>
        <v>3.2545000000000002</v>
      </c>
      <c r="F33" s="4">
        <f>CHOOSE( CONTROL!$C$32, 3.9788, 3.9752) * CHOOSE(CONTROL!$C$15, $D$11, 100%, $F$11)</f>
        <v>3.9788000000000001</v>
      </c>
      <c r="G33" s="8">
        <f>CHOOSE( CONTROL!$C$32, 3.2038, 3.2002) * CHOOSE( CONTROL!$C$15, $D$11, 100%, $F$11)</f>
        <v>3.2038000000000002</v>
      </c>
      <c r="H33" s="4">
        <f>CHOOSE( CONTROL!$C$32, 4.1789, 4.1753) * CHOOSE(CONTROL!$C$15, $D$11, 100%, $F$11)</f>
        <v>4.1788999999999996</v>
      </c>
      <c r="I33" s="8">
        <f>CHOOSE( CONTROL!$C$32, 3.2727, 3.2691) * CHOOSE(CONTROL!$C$15, $D$11, 100%, $F$11)</f>
        <v>3.2726999999999999</v>
      </c>
      <c r="J33" s="4">
        <f>CHOOSE( CONTROL!$C$32, 3.1295, 3.126) * CHOOSE(CONTROL!$C$15, $D$11, 100%, $F$11)</f>
        <v>3.1295000000000002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0"/>
        <v>0.3</v>
      </c>
      <c r="S33" s="11"/>
    </row>
    <row r="34" spans="1:19" ht="15" customHeight="1">
      <c r="A34" s="13">
        <v>42522</v>
      </c>
      <c r="B34" s="8">
        <f>CHOOSE( CONTROL!$C$32, 3.2801, 3.2765) * CHOOSE(CONTROL!$C$15, $D$11, 100%, $F$11)</f>
        <v>3.2801</v>
      </c>
      <c r="C34" s="8">
        <f>CHOOSE( CONTROL!$C$32, 3.2881, 3.2845) * CHOOSE(CONTROL!$C$15, $D$11, 100%, $F$11)</f>
        <v>3.2881</v>
      </c>
      <c r="D34" s="8">
        <f>CHOOSE( CONTROL!$C$32, 3.3062, 3.3026) * CHOOSE( CONTROL!$C$15, $D$11, 100%, $F$11)</f>
        <v>3.3062</v>
      </c>
      <c r="E34" s="12">
        <f>CHOOSE( CONTROL!$C$32, 3.299, 3.2954) * CHOOSE( CONTROL!$C$15, $D$11, 100%, $F$11)</f>
        <v>3.2989999999999999</v>
      </c>
      <c r="F34" s="4">
        <f>CHOOSE( CONTROL!$C$32, 4.0231, 4.0195) * CHOOSE(CONTROL!$C$15, $D$11, 100%, $F$11)</f>
        <v>4.0231000000000003</v>
      </c>
      <c r="G34" s="8">
        <f>CHOOSE( CONTROL!$C$32, 3.2479, 3.2443) * CHOOSE( CONTROL!$C$15, $D$11, 100%, $F$11)</f>
        <v>3.2479</v>
      </c>
      <c r="H34" s="4">
        <f>CHOOSE( CONTROL!$C$32, 4.2227, 4.2191) * CHOOSE(CONTROL!$C$15, $D$11, 100%, $F$11)</f>
        <v>4.2226999999999997</v>
      </c>
      <c r="I34" s="8">
        <f>CHOOSE( CONTROL!$C$32, 3.3167, 3.3132) * CHOOSE(CONTROL!$C$15, $D$11, 100%, $F$11)</f>
        <v>3.3167</v>
      </c>
      <c r="J34" s="4">
        <f>CHOOSE( CONTROL!$C$32, 3.1725, 3.169) * CHOOSE(CONTROL!$C$15, $D$11, 100%, $F$11)</f>
        <v>3.1724999999999999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0"/>
        <v>0.3</v>
      </c>
      <c r="S34" s="11"/>
    </row>
    <row r="35" spans="1:19" ht="15" customHeight="1">
      <c r="A35" s="13">
        <v>42552</v>
      </c>
      <c r="B35" s="8">
        <f>CHOOSE( CONTROL!$C$32, 3.3275, 3.3239) * CHOOSE(CONTROL!$C$15, $D$11, 100%, $F$11)</f>
        <v>3.3275000000000001</v>
      </c>
      <c r="C35" s="8">
        <f>CHOOSE( CONTROL!$C$32, 3.3355, 3.3318) * CHOOSE(CONTROL!$C$15, $D$11, 100%, $F$11)</f>
        <v>3.3355000000000001</v>
      </c>
      <c r="D35" s="8">
        <f>CHOOSE( CONTROL!$C$32, 3.3539, 3.3503) * CHOOSE( CONTROL!$C$15, $D$11, 100%, $F$11)</f>
        <v>3.3538999999999999</v>
      </c>
      <c r="E35" s="12">
        <f>CHOOSE( CONTROL!$C$32, 3.3466, 3.343) * CHOOSE( CONTROL!$C$15, $D$11, 100%, $F$11)</f>
        <v>3.3466</v>
      </c>
      <c r="F35" s="4">
        <f>CHOOSE( CONTROL!$C$32, 4.0705, 4.0669) * CHOOSE(CONTROL!$C$15, $D$11, 100%, $F$11)</f>
        <v>4.0705</v>
      </c>
      <c r="G35" s="8">
        <f>CHOOSE( CONTROL!$C$32, 3.2951, 3.2915) * CHOOSE( CONTROL!$C$15, $D$11, 100%, $F$11)</f>
        <v>3.2951000000000001</v>
      </c>
      <c r="H35" s="4">
        <f>CHOOSE( CONTROL!$C$32, 4.2695, 4.2659) * CHOOSE(CONTROL!$C$15, $D$11, 100%, $F$11)</f>
        <v>4.2694999999999999</v>
      </c>
      <c r="I35" s="8">
        <f>CHOOSE( CONTROL!$C$32, 3.3639, 3.3603) * CHOOSE(CONTROL!$C$15, $D$11, 100%, $F$11)</f>
        <v>3.3639000000000001</v>
      </c>
      <c r="J35" s="4">
        <f>CHOOSE( CONTROL!$C$32, 3.2185, 3.215) * CHOOSE(CONTROL!$C$15, $D$11, 100%, $F$11)</f>
        <v>3.2185000000000001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0"/>
        <v>0.3</v>
      </c>
      <c r="S35" s="11"/>
    </row>
    <row r="36" spans="1:19" ht="15" customHeight="1">
      <c r="A36" s="13">
        <v>42583</v>
      </c>
      <c r="B36" s="8">
        <f>CHOOSE( CONTROL!$C$32, 3.3368, 3.3331) * CHOOSE(CONTROL!$C$15, $D$11, 100%, $F$11)</f>
        <v>3.3368000000000002</v>
      </c>
      <c r="C36" s="8">
        <f>CHOOSE( CONTROL!$C$32, 3.3448, 3.3411) * CHOOSE(CONTROL!$C$15, $D$11, 100%, $F$11)</f>
        <v>3.3448000000000002</v>
      </c>
      <c r="D36" s="8">
        <f>CHOOSE( CONTROL!$C$32, 3.3633, 3.3596) * CHOOSE( CONTROL!$C$15, $D$11, 100%, $F$11)</f>
        <v>3.3633000000000002</v>
      </c>
      <c r="E36" s="12">
        <f>CHOOSE( CONTROL!$C$32, 3.356, 3.3523) * CHOOSE( CONTROL!$C$15, $D$11, 100%, $F$11)</f>
        <v>3.3559999999999999</v>
      </c>
      <c r="F36" s="4">
        <f>CHOOSE( CONTROL!$C$32, 4.0798, 4.0762) * CHOOSE(CONTROL!$C$15, $D$11, 100%, $F$11)</f>
        <v>4.0797999999999996</v>
      </c>
      <c r="G36" s="8">
        <f>CHOOSE( CONTROL!$C$32, 3.3044, 3.3008) * CHOOSE( CONTROL!$C$15, $D$11, 100%, $F$11)</f>
        <v>3.3043999999999998</v>
      </c>
      <c r="H36" s="4">
        <f>CHOOSE( CONTROL!$C$32, 4.2787, 4.2751) * CHOOSE(CONTROL!$C$15, $D$11, 100%, $F$11)</f>
        <v>4.2786999999999997</v>
      </c>
      <c r="I36" s="8">
        <f>CHOOSE( CONTROL!$C$32, 3.3732, 3.3696) * CHOOSE(CONTROL!$C$15, $D$11, 100%, $F$11)</f>
        <v>3.3732000000000002</v>
      </c>
      <c r="J36" s="4">
        <f>CHOOSE( CONTROL!$C$32, 3.2275, 3.224) * CHOOSE(CONTROL!$C$15, $D$11, 100%, $F$11)</f>
        <v>3.2275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0"/>
        <v>0.3</v>
      </c>
      <c r="S36" s="11"/>
    </row>
    <row r="37" spans="1:19" ht="15" customHeight="1">
      <c r="A37" s="13">
        <v>42614</v>
      </c>
      <c r="B37" s="8">
        <f>CHOOSE( CONTROL!$C$32, 3.3234, 3.3198) * CHOOSE(CONTROL!$C$15, $D$11, 100%, $F$11)</f>
        <v>3.3233999999999999</v>
      </c>
      <c r="C37" s="8">
        <f>CHOOSE( CONTROL!$C$32, 3.3314, 3.3277) * CHOOSE(CONTROL!$C$15, $D$11, 100%, $F$11)</f>
        <v>3.3313999999999999</v>
      </c>
      <c r="D37" s="8">
        <f>CHOOSE( CONTROL!$C$32, 3.3498, 3.3461) * CHOOSE( CONTROL!$C$15, $D$11, 100%, $F$11)</f>
        <v>3.3498000000000001</v>
      </c>
      <c r="E37" s="12">
        <f>CHOOSE( CONTROL!$C$32, 3.3425, 3.3388) * CHOOSE( CONTROL!$C$15, $D$11, 100%, $F$11)</f>
        <v>3.3424999999999998</v>
      </c>
      <c r="F37" s="4">
        <f>CHOOSE( CONTROL!$C$32, 4.0664, 4.0628) * CHOOSE(CONTROL!$C$15, $D$11, 100%, $F$11)</f>
        <v>4.0663999999999998</v>
      </c>
      <c r="G37" s="8">
        <f>CHOOSE( CONTROL!$C$32, 3.291, 3.2874) * CHOOSE( CONTROL!$C$15, $D$11, 100%, $F$11)</f>
        <v>3.2909999999999999</v>
      </c>
      <c r="H37" s="4">
        <f>CHOOSE( CONTROL!$C$32, 4.2654, 4.2618) * CHOOSE(CONTROL!$C$15, $D$11, 100%, $F$11)</f>
        <v>4.2653999999999996</v>
      </c>
      <c r="I37" s="8">
        <f>CHOOSE( CONTROL!$C$32, 3.3598, 3.3562) * CHOOSE(CONTROL!$C$15, $D$11, 100%, $F$11)</f>
        <v>3.3597999999999999</v>
      </c>
      <c r="J37" s="4">
        <f>CHOOSE( CONTROL!$C$32, 3.2145, 3.211) * CHOOSE(CONTROL!$C$15, $D$11, 100%, $F$11)</f>
        <v>3.2145000000000001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0"/>
        <v>0.3</v>
      </c>
      <c r="S37" s="11"/>
    </row>
    <row r="38" spans="1:19" ht="15" customHeight="1">
      <c r="A38" s="13">
        <v>42644</v>
      </c>
      <c r="B38" s="8">
        <f>3.3397 * CHOOSE(CONTROL!$C$15, $D$11, 100%, $F$11)</f>
        <v>3.3397000000000001</v>
      </c>
      <c r="C38" s="8">
        <f>3.345 * CHOOSE(CONTROL!$C$15, $D$11, 100%, $F$11)</f>
        <v>3.3450000000000002</v>
      </c>
      <c r="D38" s="8">
        <f>3.3596 * CHOOSE( CONTROL!$C$15, $D$11, 100%, $F$11)</f>
        <v>3.3595999999999999</v>
      </c>
      <c r="E38" s="12">
        <f>3.3542 * CHOOSE( CONTROL!$C$15, $D$11, 100%, $F$11)</f>
        <v>3.3542000000000001</v>
      </c>
      <c r="F38" s="4">
        <f>4.0844 * CHOOSE(CONTROL!$C$15, $D$11, 100%, $F$11)</f>
        <v>4.0843999999999996</v>
      </c>
      <c r="G38" s="8">
        <f>3.3083 * CHOOSE( CONTROL!$C$15, $D$11, 100%, $F$11)</f>
        <v>3.3083</v>
      </c>
      <c r="H38" s="4">
        <f>4.2832 * CHOOSE(CONTROL!$C$15, $D$11, 100%, $F$11)</f>
        <v>4.2831999999999999</v>
      </c>
      <c r="I38" s="8">
        <f>3.378 * CHOOSE(CONTROL!$C$15, $D$11, 100%, $F$11)</f>
        <v>3.3780000000000001</v>
      </c>
      <c r="J38" s="4">
        <f>3.232 * CHOOSE(CONTROL!$C$15, $D$11, 100%, $F$11)</f>
        <v>3.2320000000000002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0"/>
        <v>0.3</v>
      </c>
      <c r="S38" s="11"/>
    </row>
    <row r="39" spans="1:19" ht="15" customHeight="1">
      <c r="A39" s="13">
        <v>42675</v>
      </c>
      <c r="B39" s="8">
        <f>3.4104 * CHOOSE(CONTROL!$C$15, $D$11, 100%, $F$11)</f>
        <v>3.4104000000000001</v>
      </c>
      <c r="C39" s="8">
        <f>3.4154 * CHOOSE(CONTROL!$C$15, $D$11, 100%, $F$11)</f>
        <v>3.4154</v>
      </c>
      <c r="D39" s="8">
        <f>3.3991 * CHOOSE( CONTROL!$C$15, $D$11, 100%, $F$11)</f>
        <v>3.3990999999999998</v>
      </c>
      <c r="E39" s="12">
        <f>3.4045 * CHOOSE( CONTROL!$C$15, $D$11, 100%, $F$11)</f>
        <v>3.4045000000000001</v>
      </c>
      <c r="F39" s="4">
        <f>4.0756 * CHOOSE(CONTROL!$C$15, $D$11, 100%, $F$11)</f>
        <v>4.0755999999999997</v>
      </c>
      <c r="G39" s="8">
        <f>3.3792 * CHOOSE( CONTROL!$C$15, $D$11, 100%, $F$11)</f>
        <v>3.3792</v>
      </c>
      <c r="H39" s="4">
        <f>4.2746 * CHOOSE(CONTROL!$C$15, $D$11, 100%, $F$11)</f>
        <v>4.2746000000000004</v>
      </c>
      <c r="I39" s="8">
        <f>3.4471 * CHOOSE(CONTROL!$C$15, $D$11, 100%, $F$11)</f>
        <v>3.4470999999999998</v>
      </c>
      <c r="J39" s="4">
        <f>3.301 * CHOOSE(CONTROL!$C$15, $D$11, 100%, $F$11)</f>
        <v>3.3010000000000002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0"/>
        <v>0.3</v>
      </c>
      <c r="S39" s="11"/>
    </row>
    <row r="40" spans="1:19" ht="15" customHeight="1">
      <c r="A40" s="13">
        <v>42705</v>
      </c>
      <c r="B40" s="8">
        <f>3.6041 * CHOOSE(CONTROL!$C$15, $D$11, 100%, $F$11)</f>
        <v>3.6040999999999999</v>
      </c>
      <c r="C40" s="8">
        <f>3.6091 * CHOOSE(CONTROL!$C$15, $D$11, 100%, $F$11)</f>
        <v>3.6091000000000002</v>
      </c>
      <c r="D40" s="8">
        <f>3.5945 * CHOOSE( CONTROL!$C$15, $D$11, 100%, $F$11)</f>
        <v>3.5945</v>
      </c>
      <c r="E40" s="12">
        <f>3.5993 * CHOOSE( CONTROL!$C$15, $D$11, 100%, $F$11)</f>
        <v>3.5992999999999999</v>
      </c>
      <c r="F40" s="4">
        <f>4.2694 * CHOOSE(CONTROL!$C$15, $D$11, 100%, $F$11)</f>
        <v>4.2694000000000001</v>
      </c>
      <c r="G40" s="8">
        <f>3.5718 * CHOOSE( CONTROL!$C$15, $D$11, 100%, $F$11)</f>
        <v>3.5718000000000001</v>
      </c>
      <c r="H40" s="4">
        <f>4.466 * CHOOSE(CONTROL!$C$15, $D$11, 100%, $F$11)</f>
        <v>4.4660000000000002</v>
      </c>
      <c r="I40" s="8">
        <f>3.6406 * CHOOSE(CONTROL!$C$15, $D$11, 100%, $F$11)</f>
        <v>3.6406000000000001</v>
      </c>
      <c r="J40" s="4">
        <f>3.489 * CHOOSE(CONTROL!$C$15, $D$11, 100%, $F$11)</f>
        <v>3.4889999999999999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0"/>
        <v>0.3</v>
      </c>
      <c r="S40" s="11"/>
    </row>
    <row r="41" spans="1:19" ht="15" customHeight="1">
      <c r="A41" s="13">
        <v>42736</v>
      </c>
      <c r="B41" s="8">
        <f>3.7648 * CHOOSE(CONTROL!$C$15, $D$11, 100%, $F$11)</f>
        <v>3.7648000000000001</v>
      </c>
      <c r="C41" s="8">
        <f>3.7699 * CHOOSE(CONTROL!$C$15, $D$11, 100%, $F$11)</f>
        <v>3.7698999999999998</v>
      </c>
      <c r="D41" s="8">
        <f>3.741 * CHOOSE( CONTROL!$C$15, $D$11, 100%, $F$11)</f>
        <v>3.7410000000000001</v>
      </c>
      <c r="E41" s="12">
        <f>3.751 * CHOOSE( CONTROL!$C$15, $D$11, 100%, $F$11)</f>
        <v>3.7509999999999999</v>
      </c>
      <c r="F41" s="4">
        <f>4.4301 * CHOOSE(CONTROL!$C$15, $D$11, 100%, $F$11)</f>
        <v>4.4301000000000004</v>
      </c>
      <c r="G41" s="8">
        <f>3.7204 * CHOOSE( CONTROL!$C$15, $D$11, 100%, $F$11)</f>
        <v>3.7204000000000002</v>
      </c>
      <c r="H41" s="4">
        <f>4.6249 * CHOOSE(CONTROL!$C$15, $D$11, 100%, $F$11)</f>
        <v>4.6249000000000002</v>
      </c>
      <c r="I41" s="8">
        <f>3.7913 * CHOOSE(CONTROL!$C$15, $D$11, 100%, $F$11)</f>
        <v>3.7913000000000001</v>
      </c>
      <c r="J41" s="4">
        <f>3.645 * CHOOSE(CONTROL!$C$15, $D$11, 100%, $F$11)</f>
        <v>3.645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0"/>
        <v>0.3</v>
      </c>
      <c r="S41" s="11"/>
    </row>
    <row r="42" spans="1:19" ht="15" customHeight="1">
      <c r="A42" s="13">
        <v>42767</v>
      </c>
      <c r="B42" s="8">
        <f>3.7607 * CHOOSE(CONTROL!$C$15, $D$11, 100%, $F$11)</f>
        <v>3.7606999999999999</v>
      </c>
      <c r="C42" s="8">
        <f>3.7658 * CHOOSE(CONTROL!$C$15, $D$11, 100%, $F$11)</f>
        <v>3.7658</v>
      </c>
      <c r="D42" s="8">
        <f>3.7369 * CHOOSE( CONTROL!$C$15, $D$11, 100%, $F$11)</f>
        <v>3.7368999999999999</v>
      </c>
      <c r="E42" s="12">
        <f>3.7469 * CHOOSE( CONTROL!$C$15, $D$11, 100%, $F$11)</f>
        <v>3.7469000000000001</v>
      </c>
      <c r="F42" s="4">
        <f>4.426 * CHOOSE(CONTROL!$C$15, $D$11, 100%, $F$11)</f>
        <v>4.4260000000000002</v>
      </c>
      <c r="G42" s="8">
        <f>3.7164 * CHOOSE( CONTROL!$C$15, $D$11, 100%, $F$11)</f>
        <v>3.7164000000000001</v>
      </c>
      <c r="H42" s="4">
        <f>4.6208 * CHOOSE(CONTROL!$C$15, $D$11, 100%, $F$11)</f>
        <v>4.6208</v>
      </c>
      <c r="I42" s="8">
        <f>3.7873 * CHOOSE(CONTROL!$C$15, $D$11, 100%, $F$11)</f>
        <v>3.7873000000000001</v>
      </c>
      <c r="J42" s="4">
        <f>3.641 * CHOOSE(CONTROL!$C$15, $D$11, 100%, $F$11)</f>
        <v>3.641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0"/>
        <v>0.3</v>
      </c>
      <c r="S42" s="11"/>
    </row>
    <row r="43" spans="1:19" ht="15" customHeight="1">
      <c r="A43" s="13">
        <v>42795</v>
      </c>
      <c r="B43" s="8">
        <f>3.7112 * CHOOSE(CONTROL!$C$15, $D$11, 100%, $F$11)</f>
        <v>3.7111999999999998</v>
      </c>
      <c r="C43" s="8">
        <f>3.7163 * CHOOSE(CONTROL!$C$15, $D$11, 100%, $F$11)</f>
        <v>3.7162999999999999</v>
      </c>
      <c r="D43" s="8">
        <f>3.687 * CHOOSE( CONTROL!$C$15, $D$11, 100%, $F$11)</f>
        <v>3.6869999999999998</v>
      </c>
      <c r="E43" s="12">
        <f>3.6972 * CHOOSE( CONTROL!$C$15, $D$11, 100%, $F$11)</f>
        <v>3.6972</v>
      </c>
      <c r="F43" s="4">
        <f>4.3765 * CHOOSE(CONTROL!$C$15, $D$11, 100%, $F$11)</f>
        <v>4.3765000000000001</v>
      </c>
      <c r="G43" s="8">
        <f>3.6672 * CHOOSE( CONTROL!$C$15, $D$11, 100%, $F$11)</f>
        <v>3.6671999999999998</v>
      </c>
      <c r="H43" s="4">
        <f>4.5719 * CHOOSE(CONTROL!$C$15, $D$11, 100%, $F$11)</f>
        <v>4.5719000000000003</v>
      </c>
      <c r="I43" s="8">
        <f>3.738 * CHOOSE(CONTROL!$C$15, $D$11, 100%, $F$11)</f>
        <v>3.738</v>
      </c>
      <c r="J43" s="4">
        <f>3.593 * CHOOSE(CONTROL!$C$15, $D$11, 100%, $F$11)</f>
        <v>3.593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0"/>
        <v>0.3</v>
      </c>
      <c r="S43" s="11"/>
    </row>
    <row r="44" spans="1:19" ht="15" customHeight="1">
      <c r="A44" s="13">
        <v>42826</v>
      </c>
      <c r="B44" s="8">
        <f>3.5193 * CHOOSE(CONTROL!$C$15, $D$11, 100%, $F$11)</f>
        <v>3.5192999999999999</v>
      </c>
      <c r="C44" s="8">
        <f>3.5238 * CHOOSE(CONTROL!$C$15, $D$11, 100%, $F$11)</f>
        <v>3.5238</v>
      </c>
      <c r="D44" s="8">
        <f>3.5379 * CHOOSE( CONTROL!$C$15, $D$11, 100%, $F$11)</f>
        <v>3.5379</v>
      </c>
      <c r="E44" s="12">
        <f>3.5327 * CHOOSE( CONTROL!$C$15, $D$11, 100%, $F$11)</f>
        <v>3.5327000000000002</v>
      </c>
      <c r="F44" s="4">
        <f>4.2637 * CHOOSE(CONTROL!$C$15, $D$11, 100%, $F$11)</f>
        <v>4.2637</v>
      </c>
      <c r="G44" s="8">
        <f>3.4846 * CHOOSE( CONTROL!$C$15, $D$11, 100%, $F$11)</f>
        <v>3.4845999999999999</v>
      </c>
      <c r="H44" s="4">
        <f>4.4604 * CHOOSE(CONTROL!$C$15, $D$11, 100%, $F$11)</f>
        <v>4.4603999999999999</v>
      </c>
      <c r="I44" s="8">
        <f>3.5491 * CHOOSE(CONTROL!$C$15, $D$11, 100%, $F$11)</f>
        <v>3.5491000000000001</v>
      </c>
      <c r="J44" s="4">
        <f>3.406 * CHOOSE(CONTROL!$C$15, $D$11, 100%, $F$11)</f>
        <v>3.4060000000000001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42856</v>
      </c>
      <c r="B45" s="8">
        <f>CHOOSE( CONTROL!$C$32, 3.5295, 3.5258) * CHOOSE(CONTROL!$C$15, $D$11, 100%, $F$11)</f>
        <v>3.5295000000000001</v>
      </c>
      <c r="C45" s="8">
        <f>CHOOSE( CONTROL!$C$32, 3.5374, 3.5338) * CHOOSE(CONTROL!$C$15, $D$11, 100%, $F$11)</f>
        <v>3.5373999999999999</v>
      </c>
      <c r="D45" s="8">
        <f>CHOOSE( CONTROL!$C$32, 3.546, 3.5423) * CHOOSE( CONTROL!$C$15, $D$11, 100%, $F$11)</f>
        <v>3.5459999999999998</v>
      </c>
      <c r="E45" s="12">
        <f>CHOOSE( CONTROL!$C$32, 3.5417, 3.538) * CHOOSE( CONTROL!$C$15, $D$11, 100%, $F$11)</f>
        <v>3.5417000000000001</v>
      </c>
      <c r="F45" s="4">
        <f>CHOOSE( CONTROL!$C$32, 4.2725, 4.2688) * CHOOSE(CONTROL!$C$15, $D$11, 100%, $F$11)</f>
        <v>4.2725</v>
      </c>
      <c r="G45" s="8">
        <f>CHOOSE( CONTROL!$C$32, 3.494, 3.4904) * CHOOSE( CONTROL!$C$15, $D$11, 100%, $F$11)</f>
        <v>3.4940000000000002</v>
      </c>
      <c r="H45" s="4">
        <f>CHOOSE( CONTROL!$C$32, 4.4691, 4.4655) * CHOOSE(CONTROL!$C$15, $D$11, 100%, $F$11)</f>
        <v>4.4691000000000001</v>
      </c>
      <c r="I45" s="8">
        <f>CHOOSE( CONTROL!$C$32, 3.5578, 3.5543) * CHOOSE(CONTROL!$C$15, $D$11, 100%, $F$11)</f>
        <v>3.5577999999999999</v>
      </c>
      <c r="J45" s="4">
        <f>CHOOSE( CONTROL!$C$32, 3.4145, 3.411) * CHOOSE(CONTROL!$C$15, $D$11, 100%, $F$11)</f>
        <v>3.4144999999999999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3.5707, 3.567) * CHOOSE(CONTROL!$C$15, $D$11, 100%, $F$11)</f>
        <v>3.5707</v>
      </c>
      <c r="C46" s="8">
        <f>CHOOSE( CONTROL!$C$32, 3.5787, 3.575) * CHOOSE(CONTROL!$C$15, $D$11, 100%, $F$11)</f>
        <v>3.5787</v>
      </c>
      <c r="D46" s="8">
        <f>CHOOSE( CONTROL!$C$32, 3.5875, 3.5839) * CHOOSE( CONTROL!$C$15, $D$11, 100%, $F$11)</f>
        <v>3.5874999999999999</v>
      </c>
      <c r="E46" s="12">
        <f>CHOOSE( CONTROL!$C$32, 3.5831, 3.5795) * CHOOSE( CONTROL!$C$15, $D$11, 100%, $F$11)</f>
        <v>3.5831</v>
      </c>
      <c r="F46" s="4">
        <f>CHOOSE( CONTROL!$C$32, 4.3137, 4.3101) * CHOOSE(CONTROL!$C$15, $D$11, 100%, $F$11)</f>
        <v>4.3136999999999999</v>
      </c>
      <c r="G46" s="8">
        <f>CHOOSE( CONTROL!$C$32, 3.5351, 3.5315) * CHOOSE( CONTROL!$C$15, $D$11, 100%, $F$11)</f>
        <v>3.5350999999999999</v>
      </c>
      <c r="H46" s="4">
        <f>CHOOSE( CONTROL!$C$32, 4.5098, 4.5062) * CHOOSE(CONTROL!$C$15, $D$11, 100%, $F$11)</f>
        <v>4.5098000000000003</v>
      </c>
      <c r="I46" s="8">
        <f>CHOOSE( CONTROL!$C$32, 3.5989, 3.5953) * CHOOSE(CONTROL!$C$15, $D$11, 100%, $F$11)</f>
        <v>3.5989</v>
      </c>
      <c r="J46" s="4">
        <f>CHOOSE( CONTROL!$C$32, 3.4545, 3.451) * CHOOSE(CONTROL!$C$15, $D$11, 100%, $F$11)</f>
        <v>3.4544999999999999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3.6119, 3.6083) * CHOOSE(CONTROL!$C$15, $D$11, 100%, $F$11)</f>
        <v>3.6118999999999999</v>
      </c>
      <c r="C47" s="8">
        <f>CHOOSE( CONTROL!$C$32, 3.6199, 3.6162) * CHOOSE(CONTROL!$C$15, $D$11, 100%, $F$11)</f>
        <v>3.6198999999999999</v>
      </c>
      <c r="D47" s="8">
        <f>CHOOSE( CONTROL!$C$32, 3.6291, 3.6254) * CHOOSE( CONTROL!$C$15, $D$11, 100%, $F$11)</f>
        <v>3.6291000000000002</v>
      </c>
      <c r="E47" s="12">
        <f>CHOOSE( CONTROL!$C$32, 3.6245, 3.6209) * CHOOSE( CONTROL!$C$15, $D$11, 100%, $F$11)</f>
        <v>3.6244999999999998</v>
      </c>
      <c r="F47" s="4">
        <f>CHOOSE( CONTROL!$C$32, 4.3549, 4.3513) * CHOOSE(CONTROL!$C$15, $D$11, 100%, $F$11)</f>
        <v>4.3548999999999998</v>
      </c>
      <c r="G47" s="8">
        <f>CHOOSE( CONTROL!$C$32, 3.5762, 3.5726) * CHOOSE( CONTROL!$C$15, $D$11, 100%, $F$11)</f>
        <v>3.5762</v>
      </c>
      <c r="H47" s="4">
        <f>CHOOSE( CONTROL!$C$32, 4.5506, 4.547) * CHOOSE(CONTROL!$C$15, $D$11, 100%, $F$11)</f>
        <v>4.5506000000000002</v>
      </c>
      <c r="I47" s="8">
        <f>CHOOSE( CONTROL!$C$32, 3.64, 3.6365) * CHOOSE(CONTROL!$C$15, $D$11, 100%, $F$11)</f>
        <v>3.64</v>
      </c>
      <c r="J47" s="4">
        <f>CHOOSE( CONTROL!$C$32, 3.4945, 3.491) * CHOOSE(CONTROL!$C$15, $D$11, 100%, $F$11)</f>
        <v>3.4944999999999999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3.6212, 3.6175) * CHOOSE(CONTROL!$C$15, $D$11, 100%, $F$11)</f>
        <v>3.6212</v>
      </c>
      <c r="C48" s="8">
        <f>CHOOSE( CONTROL!$C$32, 3.6292, 3.6255) * CHOOSE(CONTROL!$C$15, $D$11, 100%, $F$11)</f>
        <v>3.6292</v>
      </c>
      <c r="D48" s="8">
        <f>CHOOSE( CONTROL!$C$32, 3.6384, 3.6348) * CHOOSE( CONTROL!$C$15, $D$11, 100%, $F$11)</f>
        <v>3.6383999999999999</v>
      </c>
      <c r="E48" s="12">
        <f>CHOOSE( CONTROL!$C$32, 3.6338, 3.6302) * CHOOSE( CONTROL!$C$15, $D$11, 100%, $F$11)</f>
        <v>3.6337999999999999</v>
      </c>
      <c r="F48" s="4">
        <f>CHOOSE( CONTROL!$C$32, 4.3642, 4.3605) * CHOOSE(CONTROL!$C$15, $D$11, 100%, $F$11)</f>
        <v>4.3642000000000003</v>
      </c>
      <c r="G48" s="8">
        <f>CHOOSE( CONTROL!$C$32, 3.5855, 3.5819) * CHOOSE( CONTROL!$C$15, $D$11, 100%, $F$11)</f>
        <v>3.5855000000000001</v>
      </c>
      <c r="H48" s="4">
        <f>CHOOSE( CONTROL!$C$32, 4.5597, 4.5561) * CHOOSE(CONTROL!$C$15, $D$11, 100%, $F$11)</f>
        <v>4.5597000000000003</v>
      </c>
      <c r="I48" s="8">
        <f>CHOOSE( CONTROL!$C$32, 3.6493, 3.6458) * CHOOSE(CONTROL!$C$15, $D$11, 100%, $F$11)</f>
        <v>3.6493000000000002</v>
      </c>
      <c r="J48" s="4">
        <f>CHOOSE( CONTROL!$C$32, 3.5035, 3.5) * CHOOSE(CONTROL!$C$15, $D$11, 100%, $F$11)</f>
        <v>3.5034999999999998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3.6088, 3.6052) * CHOOSE(CONTROL!$C$15, $D$11, 100%, $F$11)</f>
        <v>3.6088</v>
      </c>
      <c r="C49" s="8">
        <f>CHOOSE( CONTROL!$C$32, 3.6168, 3.6131) * CHOOSE(CONTROL!$C$15, $D$11, 100%, $F$11)</f>
        <v>3.6168</v>
      </c>
      <c r="D49" s="8">
        <f>CHOOSE( CONTROL!$C$32, 3.626, 3.6223) * CHOOSE( CONTROL!$C$15, $D$11, 100%, $F$11)</f>
        <v>3.6259999999999999</v>
      </c>
      <c r="E49" s="12">
        <f>CHOOSE( CONTROL!$C$32, 3.6214, 3.6178) * CHOOSE( CONTROL!$C$15, $D$11, 100%, $F$11)</f>
        <v>3.6214</v>
      </c>
      <c r="F49" s="4">
        <f>CHOOSE( CONTROL!$C$32, 4.3518, 4.3482) * CHOOSE(CONTROL!$C$15, $D$11, 100%, $F$11)</f>
        <v>4.3517999999999999</v>
      </c>
      <c r="G49" s="8">
        <f>CHOOSE( CONTROL!$C$32, 3.5731, 3.5695) * CHOOSE( CONTROL!$C$15, $D$11, 100%, $F$11)</f>
        <v>3.5731000000000002</v>
      </c>
      <c r="H49" s="4">
        <f>CHOOSE( CONTROL!$C$32, 4.5475, 4.5439) * CHOOSE(CONTROL!$C$15, $D$11, 100%, $F$11)</f>
        <v>4.5475000000000003</v>
      </c>
      <c r="I49" s="8">
        <f>CHOOSE( CONTROL!$C$32, 3.6369, 3.6334) * CHOOSE(CONTROL!$C$15, $D$11, 100%, $F$11)</f>
        <v>3.6368999999999998</v>
      </c>
      <c r="J49" s="4">
        <f>CHOOSE( CONTROL!$C$32, 3.4915, 3.488) * CHOOSE(CONTROL!$C$15, $D$11, 100%, $F$11)</f>
        <v>3.4914999999999998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3.6292 * CHOOSE(CONTROL!$C$15, $D$11, 100%, $F$11)</f>
        <v>3.6292</v>
      </c>
      <c r="C50" s="8">
        <f>3.6345 * CHOOSE(CONTROL!$C$15, $D$11, 100%, $F$11)</f>
        <v>3.6345000000000001</v>
      </c>
      <c r="D50" s="8">
        <f>3.6491 * CHOOSE( CONTROL!$C$15, $D$11, 100%, $F$11)</f>
        <v>3.6490999999999998</v>
      </c>
      <c r="E50" s="12">
        <f>3.6437 * CHOOSE( CONTROL!$C$15, $D$11, 100%, $F$11)</f>
        <v>3.6436999999999999</v>
      </c>
      <c r="F50" s="4">
        <f>4.3739 * CHOOSE(CONTROL!$C$15, $D$11, 100%, $F$11)</f>
        <v>4.3738999999999999</v>
      </c>
      <c r="G50" s="8">
        <f>3.5945 * CHOOSE( CONTROL!$C$15, $D$11, 100%, $F$11)</f>
        <v>3.5945</v>
      </c>
      <c r="H50" s="4">
        <f>4.5694 * CHOOSE(CONTROL!$C$15, $D$11, 100%, $F$11)</f>
        <v>4.5693999999999999</v>
      </c>
      <c r="I50" s="8">
        <f>3.6591 * CHOOSE(CONTROL!$C$15, $D$11, 100%, $F$11)</f>
        <v>3.6591</v>
      </c>
      <c r="J50" s="4">
        <f>3.513 * CHOOSE(CONTROL!$C$15, $D$11, 100%, $F$11)</f>
        <v>3.5129999999999999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3.6978 * CHOOSE(CONTROL!$C$15, $D$11, 100%, $F$11)</f>
        <v>3.6978</v>
      </c>
      <c r="C51" s="8">
        <f>3.7029 * CHOOSE(CONTROL!$C$15, $D$11, 100%, $F$11)</f>
        <v>3.7029000000000001</v>
      </c>
      <c r="D51" s="8">
        <f>3.6866 * CHOOSE( CONTROL!$C$15, $D$11, 100%, $F$11)</f>
        <v>3.6865999999999999</v>
      </c>
      <c r="E51" s="12">
        <f>3.692 * CHOOSE( CONTROL!$C$15, $D$11, 100%, $F$11)</f>
        <v>3.6920000000000002</v>
      </c>
      <c r="F51" s="4">
        <f>4.3631 * CHOOSE(CONTROL!$C$15, $D$11, 100%, $F$11)</f>
        <v>4.3631000000000002</v>
      </c>
      <c r="G51" s="8">
        <f>3.6633 * CHOOSE( CONTROL!$C$15, $D$11, 100%, $F$11)</f>
        <v>3.6633</v>
      </c>
      <c r="H51" s="4">
        <f>4.5587 * CHOOSE(CONTROL!$C$15, $D$11, 100%, $F$11)</f>
        <v>4.5587</v>
      </c>
      <c r="I51" s="8">
        <f>3.7263 * CHOOSE(CONTROL!$C$15, $D$11, 100%, $F$11)</f>
        <v>3.7263000000000002</v>
      </c>
      <c r="J51" s="4">
        <f>3.58 * CHOOSE(CONTROL!$C$15, $D$11, 100%, $F$11)</f>
        <v>3.58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3.8658 * CHOOSE(CONTROL!$C$15, $D$11, 100%, $F$11)</f>
        <v>3.8658000000000001</v>
      </c>
      <c r="C52" s="8">
        <f>3.8709 * CHOOSE(CONTROL!$C$15, $D$11, 100%, $F$11)</f>
        <v>3.8708999999999998</v>
      </c>
      <c r="D52" s="8">
        <f>3.8562 * CHOOSE( CONTROL!$C$15, $D$11, 100%, $F$11)</f>
        <v>3.8561999999999999</v>
      </c>
      <c r="E52" s="12">
        <f>3.861 * CHOOSE( CONTROL!$C$15, $D$11, 100%, $F$11)</f>
        <v>3.8610000000000002</v>
      </c>
      <c r="F52" s="4">
        <f>4.5311 * CHOOSE(CONTROL!$C$15, $D$11, 100%, $F$11)</f>
        <v>4.5311000000000003</v>
      </c>
      <c r="G52" s="8">
        <f>3.8305 * CHOOSE( CONTROL!$C$15, $D$11, 100%, $F$11)</f>
        <v>3.8304999999999998</v>
      </c>
      <c r="H52" s="4">
        <f>4.7247 * CHOOSE(CONTROL!$C$15, $D$11, 100%, $F$11)</f>
        <v>4.7247000000000003</v>
      </c>
      <c r="I52" s="8">
        <f>3.8947 * CHOOSE(CONTROL!$C$15, $D$11, 100%, $F$11)</f>
        <v>3.8946999999999998</v>
      </c>
      <c r="J52" s="4">
        <f>3.743 * CHOOSE(CONTROL!$C$15, $D$11, 100%, $F$11)</f>
        <v>3.7429999999999999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4.3042 * CHOOSE(CONTROL!$C$15, $D$11, 100%, $F$11)</f>
        <v>4.3041999999999998</v>
      </c>
      <c r="C53" s="8">
        <f>4.3093 * CHOOSE(CONTROL!$C$15, $D$11, 100%, $F$11)</f>
        <v>4.3093000000000004</v>
      </c>
      <c r="D53" s="8">
        <f>4.2804 * CHOOSE( CONTROL!$C$15, $D$11, 100%, $F$11)</f>
        <v>4.2804000000000002</v>
      </c>
      <c r="E53" s="12">
        <f>4.2904 * CHOOSE( CONTROL!$C$15, $D$11, 100%, $F$11)</f>
        <v>4.2904</v>
      </c>
      <c r="F53" s="4">
        <f>4.9695 * CHOOSE(CONTROL!$C$15, $D$11, 100%, $F$11)</f>
        <v>4.9695</v>
      </c>
      <c r="G53" s="8">
        <f>4.2535 * CHOOSE( CONTROL!$C$15, $D$11, 100%, $F$11)</f>
        <v>4.2534999999999998</v>
      </c>
      <c r="H53" s="4">
        <f>5.1579 * CHOOSE(CONTROL!$C$15, $D$11, 100%, $F$11)</f>
        <v>5.1578999999999997</v>
      </c>
      <c r="I53" s="8">
        <f>4.3151 * CHOOSE(CONTROL!$C$15, $D$11, 100%, $F$11)</f>
        <v>4.3151000000000002</v>
      </c>
      <c r="J53" s="4">
        <f>4.1685 * CHOOSE(CONTROL!$C$15, $D$11, 100%, $F$11)</f>
        <v>4.1684999999999999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4.0265 * CHOOSE(CONTROL!$C$15, $D$11, 100%, $F$11)</f>
        <v>4.0265000000000004</v>
      </c>
      <c r="C54" s="8">
        <f>4.0316 * CHOOSE(CONTROL!$C$15, $D$11, 100%, $F$11)</f>
        <v>4.0316000000000001</v>
      </c>
      <c r="D54" s="8">
        <f>4.0027 * CHOOSE( CONTROL!$C$15, $D$11, 100%, $F$11)</f>
        <v>4.0026999999999999</v>
      </c>
      <c r="E54" s="12">
        <f>4.0127 * CHOOSE( CONTROL!$C$15, $D$11, 100%, $F$11)</f>
        <v>4.0126999999999997</v>
      </c>
      <c r="F54" s="4">
        <f>4.6918 * CHOOSE(CONTROL!$C$15, $D$11, 100%, $F$11)</f>
        <v>4.6917999999999997</v>
      </c>
      <c r="G54" s="8">
        <f>3.9791 * CHOOSE( CONTROL!$C$15, $D$11, 100%, $F$11)</f>
        <v>3.9790999999999999</v>
      </c>
      <c r="H54" s="4">
        <f>4.8835 * CHOOSE(CONTROL!$C$15, $D$11, 100%, $F$11)</f>
        <v>4.8834999999999997</v>
      </c>
      <c r="I54" s="8">
        <f>4.0454 * CHOOSE(CONTROL!$C$15, $D$11, 100%, $F$11)</f>
        <v>4.0453999999999999</v>
      </c>
      <c r="J54" s="4">
        <f>3.899 * CHOOSE(CONTROL!$C$15, $D$11, 100%, $F$11)</f>
        <v>3.899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3.941 * CHOOSE(CONTROL!$C$15, $D$11, 100%, $F$11)</f>
        <v>3.9409999999999998</v>
      </c>
      <c r="C55" s="8">
        <f>3.9461 * CHOOSE(CONTROL!$C$15, $D$11, 100%, $F$11)</f>
        <v>3.9460999999999999</v>
      </c>
      <c r="D55" s="8">
        <f>3.9168 * CHOOSE( CONTROL!$C$15, $D$11, 100%, $F$11)</f>
        <v>3.9167999999999998</v>
      </c>
      <c r="E55" s="12">
        <f>3.927 * CHOOSE( CONTROL!$C$15, $D$11, 100%, $F$11)</f>
        <v>3.927</v>
      </c>
      <c r="F55" s="4">
        <f>4.6063 * CHOOSE(CONTROL!$C$15, $D$11, 100%, $F$11)</f>
        <v>4.6063000000000001</v>
      </c>
      <c r="G55" s="8">
        <f>3.8943 * CHOOSE( CONTROL!$C$15, $D$11, 100%, $F$11)</f>
        <v>3.8942999999999999</v>
      </c>
      <c r="H55" s="4">
        <f>4.799 * CHOOSE(CONTROL!$C$15, $D$11, 100%, $F$11)</f>
        <v>4.7990000000000004</v>
      </c>
      <c r="I55" s="8">
        <f>3.9611 * CHOOSE(CONTROL!$C$15, $D$11, 100%, $F$11)</f>
        <v>3.9611000000000001</v>
      </c>
      <c r="J55" s="4">
        <f>3.816 * CHOOSE(CONTROL!$C$15, $D$11, 100%, $F$11)</f>
        <v>3.8159999999999998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4.0015 * CHOOSE(CONTROL!$C$15, $D$11, 100%, $F$11)</f>
        <v>4.0015000000000001</v>
      </c>
      <c r="C56" s="8">
        <f>4.006 * CHOOSE(CONTROL!$C$15, $D$11, 100%, $F$11)</f>
        <v>4.0060000000000002</v>
      </c>
      <c r="D56" s="8">
        <f>4.0494 * CHOOSE( CONTROL!$C$15, $D$11, 100%, $F$11)</f>
        <v>4.0494000000000003</v>
      </c>
      <c r="E56" s="12">
        <f>4.0346 * CHOOSE( CONTROL!$C$15, $D$11, 100%, $F$11)</f>
        <v>4.0346000000000002</v>
      </c>
      <c r="F56" s="4">
        <f>4.7459 * CHOOSE(CONTROL!$C$15, $D$11, 100%, $F$11)</f>
        <v>4.7458999999999998</v>
      </c>
      <c r="G56" s="8">
        <f>3.9611 * CHOOSE( CONTROL!$C$15, $D$11, 100%, $F$11)</f>
        <v>3.9611000000000001</v>
      </c>
      <c r="H56" s="4">
        <f>4.937 * CHOOSE(CONTROL!$C$15, $D$11, 100%, $F$11)</f>
        <v>4.9370000000000003</v>
      </c>
      <c r="I56" s="8">
        <f>4.0173 * CHOOSE(CONTROL!$C$15, $D$11, 100%, $F$11)</f>
        <v>4.0172999999999996</v>
      </c>
      <c r="J56" s="4">
        <f>3.874 * CHOOSE(CONTROL!$C$15, $D$11, 100%, $F$11)</f>
        <v>3.8740000000000001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4.1129, 4.1093) * CHOOSE(CONTROL!$C$15, $D$11, 100%, $F$11)</f>
        <v>4.1128999999999998</v>
      </c>
      <c r="C57" s="8">
        <f>CHOOSE( CONTROL!$C$32, 4.1209, 4.1172) * CHOOSE(CONTROL!$C$15, $D$11, 100%, $F$11)</f>
        <v>4.1208999999999998</v>
      </c>
      <c r="D57" s="8">
        <f>CHOOSE( CONTROL!$C$32, 4.1586, 4.155) * CHOOSE( CONTROL!$C$15, $D$11, 100%, $F$11)</f>
        <v>4.1585999999999999</v>
      </c>
      <c r="E57" s="12">
        <f>CHOOSE( CONTROL!$C$32, 4.1437, 4.1401) * CHOOSE( CONTROL!$C$15, $D$11, 100%, $F$11)</f>
        <v>4.1436999999999999</v>
      </c>
      <c r="F57" s="4">
        <f>CHOOSE( CONTROL!$C$32, 4.8559, 4.8523) * CHOOSE(CONTROL!$C$15, $D$11, 100%, $F$11)</f>
        <v>4.8559000000000001</v>
      </c>
      <c r="G57" s="8">
        <f>CHOOSE( CONTROL!$C$32, 4.0706, 4.067) * CHOOSE( CONTROL!$C$15, $D$11, 100%, $F$11)</f>
        <v>4.0705999999999998</v>
      </c>
      <c r="H57" s="4">
        <f>CHOOSE( CONTROL!$C$32, 5.0457, 5.0421) * CHOOSE(CONTROL!$C$15, $D$11, 100%, $F$11)</f>
        <v>5.0457000000000001</v>
      </c>
      <c r="I57" s="8">
        <f>CHOOSE( CONTROL!$C$32, 4.1243, 4.1208) * CHOOSE(CONTROL!$C$15, $D$11, 100%, $F$11)</f>
        <v>4.1242999999999999</v>
      </c>
      <c r="J57" s="4">
        <f>CHOOSE( CONTROL!$C$32, 3.9808, 3.9772) * CHOOSE(CONTROL!$C$15, $D$11, 100%, $F$11)</f>
        <v>3.9807999999999999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4.047, 4.0434) * CHOOSE(CONTROL!$C$15, $D$11, 100%, $F$11)</f>
        <v>4.0469999999999997</v>
      </c>
      <c r="C58" s="8">
        <f>CHOOSE( CONTROL!$C$32, 4.055, 4.0513) * CHOOSE(CONTROL!$C$15, $D$11, 100%, $F$11)</f>
        <v>4.0549999999999997</v>
      </c>
      <c r="D58" s="8">
        <f>CHOOSE( CONTROL!$C$32, 4.0929, 4.0893) * CHOOSE( CONTROL!$C$15, $D$11, 100%, $F$11)</f>
        <v>4.0929000000000002</v>
      </c>
      <c r="E58" s="12">
        <f>CHOOSE( CONTROL!$C$32, 4.0779, 4.0743) * CHOOSE( CONTROL!$C$15, $D$11, 100%, $F$11)</f>
        <v>4.0778999999999996</v>
      </c>
      <c r="F58" s="4">
        <f>CHOOSE( CONTROL!$C$32, 4.79, 4.7864) * CHOOSE(CONTROL!$C$15, $D$11, 100%, $F$11)</f>
        <v>4.79</v>
      </c>
      <c r="G58" s="8">
        <f>CHOOSE( CONTROL!$C$32, 4.0058, 4.0023) * CHOOSE( CONTROL!$C$15, $D$11, 100%, $F$11)</f>
        <v>4.0057999999999998</v>
      </c>
      <c r="H58" s="4">
        <f>CHOOSE( CONTROL!$C$32, 4.9806, 4.977) * CHOOSE(CONTROL!$C$15, $D$11, 100%, $F$11)</f>
        <v>4.9805999999999999</v>
      </c>
      <c r="I58" s="8">
        <f>CHOOSE( CONTROL!$C$32, 4.0614, 4.0578) * CHOOSE(CONTROL!$C$15, $D$11, 100%, $F$11)</f>
        <v>4.0613999999999999</v>
      </c>
      <c r="J58" s="4">
        <f>CHOOSE( CONTROL!$C$32, 3.9168, 3.9133) * CHOOSE(CONTROL!$C$15, $D$11, 100%, $F$11)</f>
        <v>3.9167999999999998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4.2205, 4.2169) * CHOOSE(CONTROL!$C$15, $D$11, 100%, $F$11)</f>
        <v>4.2205000000000004</v>
      </c>
      <c r="C59" s="8">
        <f>CHOOSE( CONTROL!$C$32, 4.2285, 4.2249) * CHOOSE(CONTROL!$C$15, $D$11, 100%, $F$11)</f>
        <v>4.2285000000000004</v>
      </c>
      <c r="D59" s="8">
        <f>CHOOSE( CONTROL!$C$32, 4.2667, 4.2631) * CHOOSE( CONTROL!$C$15, $D$11, 100%, $F$11)</f>
        <v>4.2667000000000002</v>
      </c>
      <c r="E59" s="12">
        <f>CHOOSE( CONTROL!$C$32, 4.2516, 4.248) * CHOOSE( CONTROL!$C$15, $D$11, 100%, $F$11)</f>
        <v>4.2515999999999998</v>
      </c>
      <c r="F59" s="4">
        <f>CHOOSE( CONTROL!$C$32, 4.9635, 4.9599) * CHOOSE(CONTROL!$C$15, $D$11, 100%, $F$11)</f>
        <v>4.9634999999999998</v>
      </c>
      <c r="G59" s="8">
        <f>CHOOSE( CONTROL!$C$32, 4.1777, 4.1741) * CHOOSE( CONTROL!$C$15, $D$11, 100%, $F$11)</f>
        <v>4.1776999999999997</v>
      </c>
      <c r="H59" s="4">
        <f>CHOOSE( CONTROL!$C$32, 5.152, 5.1484) * CHOOSE(CONTROL!$C$15, $D$11, 100%, $F$11)</f>
        <v>5.1520000000000001</v>
      </c>
      <c r="I59" s="8">
        <f>CHOOSE( CONTROL!$C$32, 4.231, 4.2274) * CHOOSE(CONTROL!$C$15, $D$11, 100%, $F$11)</f>
        <v>4.2309999999999999</v>
      </c>
      <c r="J59" s="4">
        <f>CHOOSE( CONTROL!$C$32, 4.0852, 4.0817) * CHOOSE(CONTROL!$C$15, $D$11, 100%, $F$11)</f>
        <v>4.0852000000000004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3.8959, 3.8922) * CHOOSE(CONTROL!$C$15, $D$11, 100%, $F$11)</f>
        <v>3.8959000000000001</v>
      </c>
      <c r="C60" s="8">
        <f>CHOOSE( CONTROL!$C$32, 3.9038, 3.9002) * CHOOSE(CONTROL!$C$15, $D$11, 100%, $F$11)</f>
        <v>3.9037999999999999</v>
      </c>
      <c r="D60" s="8">
        <f>CHOOSE( CONTROL!$C$32, 3.9421, 3.9385) * CHOOSE( CONTROL!$C$15, $D$11, 100%, $F$11)</f>
        <v>3.9420999999999999</v>
      </c>
      <c r="E60" s="12">
        <f>CHOOSE( CONTROL!$C$32, 3.927, 3.9234) * CHOOSE( CONTROL!$C$15, $D$11, 100%, $F$11)</f>
        <v>3.927</v>
      </c>
      <c r="F60" s="4">
        <f>CHOOSE( CONTROL!$C$32, 4.6389, 4.6352) * CHOOSE(CONTROL!$C$15, $D$11, 100%, $F$11)</f>
        <v>4.6388999999999996</v>
      </c>
      <c r="G60" s="8">
        <f>CHOOSE( CONTROL!$C$32, 3.8569, 3.8533) * CHOOSE( CONTROL!$C$15, $D$11, 100%, $F$11)</f>
        <v>3.8569</v>
      </c>
      <c r="H60" s="4">
        <f>CHOOSE( CONTROL!$C$32, 4.8312, 4.8276) * CHOOSE(CONTROL!$C$15, $D$11, 100%, $F$11)</f>
        <v>4.8311999999999999</v>
      </c>
      <c r="I60" s="8">
        <f>CHOOSE( CONTROL!$C$32, 3.916, 3.9125) * CHOOSE(CONTROL!$C$15, $D$11, 100%, $F$11)</f>
        <v>3.9159999999999999</v>
      </c>
      <c r="J60" s="4">
        <f>CHOOSE( CONTROL!$C$32, 3.7701, 3.7666) * CHOOSE(CONTROL!$C$15, $D$11, 100%, $F$11)</f>
        <v>3.7700999999999998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3.8146, 3.8109) * CHOOSE(CONTROL!$C$15, $D$11, 100%, $F$11)</f>
        <v>3.8146</v>
      </c>
      <c r="C61" s="8">
        <f>CHOOSE( CONTROL!$C$32, 3.8225, 3.8189) * CHOOSE(CONTROL!$C$15, $D$11, 100%, $F$11)</f>
        <v>3.8224999999999998</v>
      </c>
      <c r="D61" s="8">
        <f>CHOOSE( CONTROL!$C$32, 3.8607, 3.8571) * CHOOSE( CONTROL!$C$15, $D$11, 100%, $F$11)</f>
        <v>3.8607</v>
      </c>
      <c r="E61" s="12">
        <f>CHOOSE( CONTROL!$C$32, 3.8457, 3.842) * CHOOSE( CONTROL!$C$15, $D$11, 100%, $F$11)</f>
        <v>3.8456999999999999</v>
      </c>
      <c r="F61" s="4">
        <f>CHOOSE( CONTROL!$C$32, 4.5576, 4.5539) * CHOOSE(CONTROL!$C$15, $D$11, 100%, $F$11)</f>
        <v>4.5575999999999999</v>
      </c>
      <c r="G61" s="8">
        <f>CHOOSE( CONTROL!$C$32, 3.7765, 3.7729) * CHOOSE( CONTROL!$C$15, $D$11, 100%, $F$11)</f>
        <v>3.7765</v>
      </c>
      <c r="H61" s="4">
        <f>CHOOSE( CONTROL!$C$32, 4.7509, 4.7473) * CHOOSE(CONTROL!$C$15, $D$11, 100%, $F$11)</f>
        <v>4.7508999999999997</v>
      </c>
      <c r="I61" s="8">
        <f>CHOOSE( CONTROL!$C$32, 3.8367, 3.8332) * CHOOSE(CONTROL!$C$15, $D$11, 100%, $F$11)</f>
        <v>3.8367</v>
      </c>
      <c r="J61" s="4">
        <f>CHOOSE( CONTROL!$C$32, 3.6912, 3.6877) * CHOOSE(CONTROL!$C$15, $D$11, 100%, $F$11)</f>
        <v>3.6911999999999998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3.978 * CHOOSE(CONTROL!$C$15, $D$11, 100%, $F$11)</f>
        <v>3.9780000000000002</v>
      </c>
      <c r="C62" s="8">
        <f>3.9833 * CHOOSE(CONTROL!$C$15, $D$11, 100%, $F$11)</f>
        <v>3.9832999999999998</v>
      </c>
      <c r="D62" s="8">
        <f>4.0269 * CHOOSE( CONTROL!$C$15, $D$11, 100%, $F$11)</f>
        <v>4.0269000000000004</v>
      </c>
      <c r="E62" s="12">
        <f>4.0119 * CHOOSE( CONTROL!$C$15, $D$11, 100%, $F$11)</f>
        <v>4.0118999999999998</v>
      </c>
      <c r="F62" s="4">
        <f>4.7227 * CHOOSE(CONTROL!$C$15, $D$11, 100%, $F$11)</f>
        <v>4.7226999999999997</v>
      </c>
      <c r="G62" s="8">
        <f>3.9392 * CHOOSE( CONTROL!$C$15, $D$11, 100%, $F$11)</f>
        <v>3.9392</v>
      </c>
      <c r="H62" s="4">
        <f>4.9141 * CHOOSE(CONTROL!$C$15, $D$11, 100%, $F$11)</f>
        <v>4.9141000000000004</v>
      </c>
      <c r="I62" s="8">
        <f>3.9978 * CHOOSE(CONTROL!$C$15, $D$11, 100%, $F$11)</f>
        <v>3.9977999999999998</v>
      </c>
      <c r="J62" s="4">
        <f>3.8515 * CHOOSE(CONTROL!$C$15, $D$11, 100%, $F$11)</f>
        <v>3.8515000000000001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4.2892 * CHOOSE(CONTROL!$C$15, $D$11, 100%, $F$11)</f>
        <v>4.2892000000000001</v>
      </c>
      <c r="C63" s="8">
        <f>4.2942 * CHOOSE(CONTROL!$C$15, $D$11, 100%, $F$11)</f>
        <v>4.2942</v>
      </c>
      <c r="D63" s="8">
        <f>4.2779 * CHOOSE( CONTROL!$C$15, $D$11, 100%, $F$11)</f>
        <v>4.2778999999999998</v>
      </c>
      <c r="E63" s="12">
        <f>4.2833 * CHOOSE( CONTROL!$C$15, $D$11, 100%, $F$11)</f>
        <v>4.2832999999999997</v>
      </c>
      <c r="F63" s="4">
        <f>4.9545 * CHOOSE(CONTROL!$C$15, $D$11, 100%, $F$11)</f>
        <v>4.9545000000000003</v>
      </c>
      <c r="G63" s="8">
        <f>4.2477 * CHOOSE( CONTROL!$C$15, $D$11, 100%, $F$11)</f>
        <v>4.2477</v>
      </c>
      <c r="H63" s="4">
        <f>5.1431 * CHOOSE(CONTROL!$C$15, $D$11, 100%, $F$11)</f>
        <v>5.1430999999999996</v>
      </c>
      <c r="I63" s="8">
        <f>4.3005 * CHOOSE(CONTROL!$C$15, $D$11, 100%, $F$11)</f>
        <v>4.3005000000000004</v>
      </c>
      <c r="J63" s="4">
        <f>4.1539 * CHOOSE(CONTROL!$C$15, $D$11, 100%, $F$11)</f>
        <v>4.1539000000000001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4.2814 * CHOOSE(CONTROL!$C$15, $D$11, 100%, $F$11)</f>
        <v>4.2813999999999997</v>
      </c>
      <c r="C64" s="8">
        <f>4.2865 * CHOOSE(CONTROL!$C$15, $D$11, 100%, $F$11)</f>
        <v>4.2865000000000002</v>
      </c>
      <c r="D64" s="8">
        <f>4.2718 * CHOOSE( CONTROL!$C$15, $D$11, 100%, $F$11)</f>
        <v>4.2717999999999998</v>
      </c>
      <c r="E64" s="12">
        <f>4.2766 * CHOOSE( CONTROL!$C$15, $D$11, 100%, $F$11)</f>
        <v>4.2766000000000002</v>
      </c>
      <c r="F64" s="4">
        <f>4.9467 * CHOOSE(CONTROL!$C$15, $D$11, 100%, $F$11)</f>
        <v>4.9466999999999999</v>
      </c>
      <c r="G64" s="8">
        <f>4.2412 * CHOOSE( CONTROL!$C$15, $D$11, 100%, $F$11)</f>
        <v>4.2412000000000001</v>
      </c>
      <c r="H64" s="4">
        <f>5.1354 * CHOOSE(CONTROL!$C$15, $D$11, 100%, $F$11)</f>
        <v>5.1353999999999997</v>
      </c>
      <c r="I64" s="8">
        <f>4.2983 * CHOOSE(CONTROL!$C$15, $D$11, 100%, $F$11)</f>
        <v>4.2983000000000002</v>
      </c>
      <c r="J64" s="4">
        <f>4.1463 * CHOOSE(CONTROL!$C$15, $D$11, 100%, $F$11)</f>
        <v>4.1463000000000001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4.5365 * CHOOSE(CONTROL!$C$15, $D$11, 100%, $F$11)</f>
        <v>4.5365000000000002</v>
      </c>
      <c r="C65" s="8">
        <f>4.5416 * CHOOSE(CONTROL!$C$15, $D$11, 100%, $F$11)</f>
        <v>4.5415999999999999</v>
      </c>
      <c r="D65" s="8">
        <f>4.5127 * CHOOSE( CONTROL!$C$15, $D$11, 100%, $F$11)</f>
        <v>4.5126999999999997</v>
      </c>
      <c r="E65" s="12">
        <f>4.5227 * CHOOSE( CONTROL!$C$15, $D$11, 100%, $F$11)</f>
        <v>4.5227000000000004</v>
      </c>
      <c r="F65" s="4">
        <f>5.2018 * CHOOSE(CONTROL!$C$15, $D$11, 100%, $F$11)</f>
        <v>5.2018000000000004</v>
      </c>
      <c r="G65" s="8">
        <f>4.4831 * CHOOSE( CONTROL!$C$15, $D$11, 100%, $F$11)</f>
        <v>4.4831000000000003</v>
      </c>
      <c r="H65" s="4">
        <f>5.3875 * CHOOSE(CONTROL!$C$15, $D$11, 100%, $F$11)</f>
        <v>5.3875000000000002</v>
      </c>
      <c r="I65" s="8">
        <f>4.5406 * CHOOSE(CONTROL!$C$15, $D$11, 100%, $F$11)</f>
        <v>4.5406000000000004</v>
      </c>
      <c r="J65" s="4">
        <f>4.3939 * CHOOSE(CONTROL!$C$15, $D$11, 100%, $F$11)</f>
        <v>4.3939000000000004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4.2438 * CHOOSE(CONTROL!$C$15, $D$11, 100%, $F$11)</f>
        <v>4.2438000000000002</v>
      </c>
      <c r="C66" s="8">
        <f>4.2489 * CHOOSE(CONTROL!$C$15, $D$11, 100%, $F$11)</f>
        <v>4.2488999999999999</v>
      </c>
      <c r="D66" s="8">
        <f>4.22 * CHOOSE( CONTROL!$C$15, $D$11, 100%, $F$11)</f>
        <v>4.22</v>
      </c>
      <c r="E66" s="12">
        <f>4.23 * CHOOSE( CONTROL!$C$15, $D$11, 100%, $F$11)</f>
        <v>4.2300000000000004</v>
      </c>
      <c r="F66" s="4">
        <f>4.9091 * CHOOSE(CONTROL!$C$15, $D$11, 100%, $F$11)</f>
        <v>4.9090999999999996</v>
      </c>
      <c r="G66" s="8">
        <f>4.1938 * CHOOSE( CONTROL!$C$15, $D$11, 100%, $F$11)</f>
        <v>4.1938000000000004</v>
      </c>
      <c r="H66" s="4">
        <f>5.0982 * CHOOSE(CONTROL!$C$15, $D$11, 100%, $F$11)</f>
        <v>5.0982000000000003</v>
      </c>
      <c r="I66" s="8">
        <f>4.2564 * CHOOSE(CONTROL!$C$15, $D$11, 100%, $F$11)</f>
        <v>4.2564000000000002</v>
      </c>
      <c r="J66" s="4">
        <f>4.1099 * CHOOSE(CONTROL!$C$15, $D$11, 100%, $F$11)</f>
        <v>4.1098999999999997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4.1537 * CHOOSE(CONTROL!$C$15, $D$11, 100%, $F$11)</f>
        <v>4.1536999999999997</v>
      </c>
      <c r="C67" s="8">
        <f>4.1587 * CHOOSE(CONTROL!$C$15, $D$11, 100%, $F$11)</f>
        <v>4.1586999999999996</v>
      </c>
      <c r="D67" s="8">
        <f>4.1295 * CHOOSE( CONTROL!$C$15, $D$11, 100%, $F$11)</f>
        <v>4.1295000000000002</v>
      </c>
      <c r="E67" s="12">
        <f>4.1396 * CHOOSE( CONTROL!$C$15, $D$11, 100%, $F$11)</f>
        <v>4.1395999999999997</v>
      </c>
      <c r="F67" s="4">
        <f>4.8189 * CHOOSE(CONTROL!$C$15, $D$11, 100%, $F$11)</f>
        <v>4.8189000000000002</v>
      </c>
      <c r="G67" s="8">
        <f>4.1044 * CHOOSE( CONTROL!$C$15, $D$11, 100%, $F$11)</f>
        <v>4.1044</v>
      </c>
      <c r="H67" s="4">
        <f>5.0092 * CHOOSE(CONTROL!$C$15, $D$11, 100%, $F$11)</f>
        <v>5.0091999999999999</v>
      </c>
      <c r="I67" s="8">
        <f>4.1676 * CHOOSE(CONTROL!$C$15, $D$11, 100%, $F$11)</f>
        <v>4.1676000000000002</v>
      </c>
      <c r="J67" s="4">
        <f>4.0224 * CHOOSE(CONTROL!$C$15, $D$11, 100%, $F$11)</f>
        <v>4.0224000000000002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4.2174 * CHOOSE(CONTROL!$C$15, $D$11, 100%, $F$11)</f>
        <v>4.2173999999999996</v>
      </c>
      <c r="C68" s="8">
        <f>4.2219 * CHOOSE(CONTROL!$C$15, $D$11, 100%, $F$11)</f>
        <v>4.2218999999999998</v>
      </c>
      <c r="D68" s="8">
        <f>4.2653 * CHOOSE( CONTROL!$C$15, $D$11, 100%, $F$11)</f>
        <v>4.2652999999999999</v>
      </c>
      <c r="E68" s="12">
        <f>4.2505 * CHOOSE( CONTROL!$C$15, $D$11, 100%, $F$11)</f>
        <v>4.2504999999999997</v>
      </c>
      <c r="F68" s="4">
        <f>4.9618 * CHOOSE(CONTROL!$C$15, $D$11, 100%, $F$11)</f>
        <v>4.9618000000000002</v>
      </c>
      <c r="G68" s="8">
        <f>4.1745 * CHOOSE( CONTROL!$C$15, $D$11, 100%, $F$11)</f>
        <v>4.1745000000000001</v>
      </c>
      <c r="H68" s="4">
        <f>5.1503 * CHOOSE(CONTROL!$C$15, $D$11, 100%, $F$11)</f>
        <v>5.1502999999999997</v>
      </c>
      <c r="I68" s="8">
        <f>4.227 * CHOOSE(CONTROL!$C$15, $D$11, 100%, $F$11)</f>
        <v>4.2270000000000003</v>
      </c>
      <c r="J68" s="4">
        <f>4.0835 * CHOOSE(CONTROL!$C$15, $D$11, 100%, $F$11)</f>
        <v>4.0834999999999999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4.3345, 4.3309) * CHOOSE(CONTROL!$C$15, $D$11, 100%, $F$11)</f>
        <v>4.3345000000000002</v>
      </c>
      <c r="C69" s="8">
        <f>CHOOSE( CONTROL!$C$32, 4.3425, 4.3389) * CHOOSE(CONTROL!$C$15, $D$11, 100%, $F$11)</f>
        <v>4.3425000000000002</v>
      </c>
      <c r="D69" s="8">
        <f>CHOOSE( CONTROL!$C$32, 4.3803, 4.3766) * CHOOSE( CONTROL!$C$15, $D$11, 100%, $F$11)</f>
        <v>4.3803000000000001</v>
      </c>
      <c r="E69" s="12">
        <f>CHOOSE( CONTROL!$C$32, 4.3654, 4.3617) * CHOOSE( CONTROL!$C$15, $D$11, 100%, $F$11)</f>
        <v>4.3654000000000002</v>
      </c>
      <c r="F69" s="4">
        <f>CHOOSE( CONTROL!$C$32, 5.0776, 5.0739) * CHOOSE(CONTROL!$C$15, $D$11, 100%, $F$11)</f>
        <v>5.0776000000000003</v>
      </c>
      <c r="G69" s="8">
        <f>CHOOSE( CONTROL!$C$32, 4.2897, 4.2861) * CHOOSE( CONTROL!$C$15, $D$11, 100%, $F$11)</f>
        <v>4.2896999999999998</v>
      </c>
      <c r="H69" s="4">
        <f>CHOOSE( CONTROL!$C$32, 5.2647, 5.2611) * CHOOSE(CONTROL!$C$15, $D$11, 100%, $F$11)</f>
        <v>5.2647000000000004</v>
      </c>
      <c r="I69" s="8">
        <f>CHOOSE( CONTROL!$C$32, 4.3395, 4.336) * CHOOSE(CONTROL!$C$15, $D$11, 100%, $F$11)</f>
        <v>4.3395000000000001</v>
      </c>
      <c r="J69" s="4">
        <f>CHOOSE( CONTROL!$C$32, 4.1959, 4.1923) * CHOOSE(CONTROL!$C$15, $D$11, 100%, $F$11)</f>
        <v>4.1959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4.2651, 4.2615) * CHOOSE(CONTROL!$C$15, $D$11, 100%, $F$11)</f>
        <v>4.2651000000000003</v>
      </c>
      <c r="C70" s="8">
        <f>CHOOSE( CONTROL!$C$32, 4.2731, 4.2694) * CHOOSE(CONTROL!$C$15, $D$11, 100%, $F$11)</f>
        <v>4.2731000000000003</v>
      </c>
      <c r="D70" s="8">
        <f>CHOOSE( CONTROL!$C$32, 4.311, 4.3074) * CHOOSE( CONTROL!$C$15, $D$11, 100%, $F$11)</f>
        <v>4.3109999999999999</v>
      </c>
      <c r="E70" s="12">
        <f>CHOOSE( CONTROL!$C$32, 4.296, 4.2924) * CHOOSE( CONTROL!$C$15, $D$11, 100%, $F$11)</f>
        <v>4.2960000000000003</v>
      </c>
      <c r="F70" s="4">
        <f>CHOOSE( CONTROL!$C$32, 5.0081, 5.0045) * CHOOSE(CONTROL!$C$15, $D$11, 100%, $F$11)</f>
        <v>5.0080999999999998</v>
      </c>
      <c r="G70" s="8">
        <f>CHOOSE( CONTROL!$C$32, 4.2214, 4.2178) * CHOOSE( CONTROL!$C$15, $D$11, 100%, $F$11)</f>
        <v>4.2214</v>
      </c>
      <c r="H70" s="4">
        <f>CHOOSE( CONTROL!$C$32, 5.1961, 5.1925) * CHOOSE(CONTROL!$C$15, $D$11, 100%, $F$11)</f>
        <v>5.1961000000000004</v>
      </c>
      <c r="I70" s="8">
        <f>CHOOSE( CONTROL!$C$32, 4.2731, 4.2696) * CHOOSE(CONTROL!$C$15, $D$11, 100%, $F$11)</f>
        <v>4.2731000000000003</v>
      </c>
      <c r="J70" s="4">
        <f>CHOOSE( CONTROL!$C$32, 4.1285, 4.1249) * CHOOSE(CONTROL!$C$15, $D$11, 100%, $F$11)</f>
        <v>4.1284999999999998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4.448, 4.4443) * CHOOSE(CONTROL!$C$15, $D$11, 100%, $F$11)</f>
        <v>4.4480000000000004</v>
      </c>
      <c r="C71" s="8">
        <f>CHOOSE( CONTROL!$C$32, 4.456, 4.4523) * CHOOSE(CONTROL!$C$15, $D$11, 100%, $F$11)</f>
        <v>4.4560000000000004</v>
      </c>
      <c r="D71" s="8">
        <f>CHOOSE( CONTROL!$C$32, 4.4942, 4.4905) * CHOOSE( CONTROL!$C$15, $D$11, 100%, $F$11)</f>
        <v>4.4942000000000002</v>
      </c>
      <c r="E71" s="12">
        <f>CHOOSE( CONTROL!$C$32, 4.4791, 4.4754) * CHOOSE( CONTROL!$C$15, $D$11, 100%, $F$11)</f>
        <v>4.4790999999999999</v>
      </c>
      <c r="F71" s="4">
        <f>CHOOSE( CONTROL!$C$32, 5.191, 5.1874) * CHOOSE(CONTROL!$C$15, $D$11, 100%, $F$11)</f>
        <v>5.1909999999999998</v>
      </c>
      <c r="G71" s="8">
        <f>CHOOSE( CONTROL!$C$32, 4.4025, 4.3989) * CHOOSE( CONTROL!$C$15, $D$11, 100%, $F$11)</f>
        <v>4.4024999999999999</v>
      </c>
      <c r="H71" s="4">
        <f>CHOOSE( CONTROL!$C$32, 5.3768, 5.3732) * CHOOSE(CONTROL!$C$15, $D$11, 100%, $F$11)</f>
        <v>5.3768000000000002</v>
      </c>
      <c r="I71" s="8">
        <f>CHOOSE( CONTROL!$C$32, 4.4518, 4.4483) * CHOOSE(CONTROL!$C$15, $D$11, 100%, $F$11)</f>
        <v>4.4518000000000004</v>
      </c>
      <c r="J71" s="4">
        <f>CHOOSE( CONTROL!$C$32, 4.306, 4.3024) * CHOOSE(CONTROL!$C$15, $D$11, 100%, $F$11)</f>
        <v>4.306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4.1058, 4.1021) * CHOOSE(CONTROL!$C$15, $D$11, 100%, $F$11)</f>
        <v>4.1058000000000003</v>
      </c>
      <c r="C72" s="8">
        <f>CHOOSE( CONTROL!$C$32, 4.1138, 4.1101) * CHOOSE(CONTROL!$C$15, $D$11, 100%, $F$11)</f>
        <v>4.1138000000000003</v>
      </c>
      <c r="D72" s="8">
        <f>CHOOSE( CONTROL!$C$32, 4.152, 4.1484) * CHOOSE( CONTROL!$C$15, $D$11, 100%, $F$11)</f>
        <v>4.1520000000000001</v>
      </c>
      <c r="E72" s="12">
        <f>CHOOSE( CONTROL!$C$32, 4.1369, 4.1333) * CHOOSE( CONTROL!$C$15, $D$11, 100%, $F$11)</f>
        <v>4.1368999999999998</v>
      </c>
      <c r="F72" s="4">
        <f>CHOOSE( CONTROL!$C$32, 4.8488, 4.8451) * CHOOSE(CONTROL!$C$15, $D$11, 100%, $F$11)</f>
        <v>4.8487999999999998</v>
      </c>
      <c r="G72" s="8">
        <f>CHOOSE( CONTROL!$C$32, 4.0644, 4.0608) * CHOOSE( CONTROL!$C$15, $D$11, 100%, $F$11)</f>
        <v>4.0644</v>
      </c>
      <c r="H72" s="4">
        <f>CHOOSE( CONTROL!$C$32, 5.0386, 5.035) * CHOOSE(CONTROL!$C$15, $D$11, 100%, $F$11)</f>
        <v>5.0385999999999997</v>
      </c>
      <c r="I72" s="8">
        <f>CHOOSE( CONTROL!$C$32, 4.1198, 4.1163) * CHOOSE(CONTROL!$C$15, $D$11, 100%, $F$11)</f>
        <v>4.1197999999999997</v>
      </c>
      <c r="J72" s="4">
        <f>CHOOSE( CONTROL!$C$32, 3.9738, 3.9703) * CHOOSE(CONTROL!$C$15, $D$11, 100%, $F$11)</f>
        <v>3.9738000000000002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4.0201, 4.0164) * CHOOSE(CONTROL!$C$15, $D$11, 100%, $F$11)</f>
        <v>4.0201000000000002</v>
      </c>
      <c r="C73" s="8">
        <f>CHOOSE( CONTROL!$C$32, 4.0281, 4.0244) * CHOOSE(CONTROL!$C$15, $D$11, 100%, $F$11)</f>
        <v>4.0281000000000002</v>
      </c>
      <c r="D73" s="8">
        <f>CHOOSE( CONTROL!$C$32, 4.0662, 4.0626) * CHOOSE( CONTROL!$C$15, $D$11, 100%, $F$11)</f>
        <v>4.0662000000000003</v>
      </c>
      <c r="E73" s="12">
        <f>CHOOSE( CONTROL!$C$32, 4.0512, 4.0475) * CHOOSE( CONTROL!$C$15, $D$11, 100%, $F$11)</f>
        <v>4.0511999999999997</v>
      </c>
      <c r="F73" s="4">
        <f>CHOOSE( CONTROL!$C$32, 4.7631, 4.7594) * CHOOSE(CONTROL!$C$15, $D$11, 100%, $F$11)</f>
        <v>4.7630999999999997</v>
      </c>
      <c r="G73" s="8">
        <f>CHOOSE( CONTROL!$C$32, 3.9796, 3.976) * CHOOSE( CONTROL!$C$15, $D$11, 100%, $F$11)</f>
        <v>3.9796</v>
      </c>
      <c r="H73" s="4">
        <f>CHOOSE( CONTROL!$C$32, 4.954, 4.9504) * CHOOSE(CONTROL!$C$15, $D$11, 100%, $F$11)</f>
        <v>4.9539999999999997</v>
      </c>
      <c r="I73" s="8">
        <f>CHOOSE( CONTROL!$C$32, 4.0362, 4.0327) * CHOOSE(CONTROL!$C$15, $D$11, 100%, $F$11)</f>
        <v>4.0362</v>
      </c>
      <c r="J73" s="4">
        <f>CHOOSE( CONTROL!$C$32, 3.8907, 3.8871) * CHOOSE(CONTROL!$C$15, $D$11, 100%, $F$11)</f>
        <v>3.8906999999999998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4.1926 * CHOOSE(CONTROL!$C$15, $D$11, 100%, $F$11)</f>
        <v>4.1925999999999997</v>
      </c>
      <c r="C74" s="8">
        <f>4.198 * CHOOSE(CONTROL!$C$15, $D$11, 100%, $F$11)</f>
        <v>4.1980000000000004</v>
      </c>
      <c r="D74" s="8">
        <f>4.2415 * CHOOSE( CONTROL!$C$15, $D$11, 100%, $F$11)</f>
        <v>4.2415000000000003</v>
      </c>
      <c r="E74" s="12">
        <f>4.2266 * CHOOSE( CONTROL!$C$15, $D$11, 100%, $F$11)</f>
        <v>4.2266000000000004</v>
      </c>
      <c r="F74" s="4">
        <f>4.9374 * CHOOSE(CONTROL!$C$15, $D$11, 100%, $F$11)</f>
        <v>4.9374000000000002</v>
      </c>
      <c r="G74" s="8">
        <f>4.1513 * CHOOSE( CONTROL!$C$15, $D$11, 100%, $F$11)</f>
        <v>4.1513</v>
      </c>
      <c r="H74" s="4">
        <f>5.1262 * CHOOSE(CONTROL!$C$15, $D$11, 100%, $F$11)</f>
        <v>5.1261999999999999</v>
      </c>
      <c r="I74" s="8">
        <f>4.2062 * CHOOSE(CONTROL!$C$15, $D$11, 100%, $F$11)</f>
        <v>4.2061999999999999</v>
      </c>
      <c r="J74" s="4">
        <f>4.0598 * CHOOSE(CONTROL!$C$15, $D$11, 100%, $F$11)</f>
        <v>4.0598000000000001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4.5207 * CHOOSE(CONTROL!$C$15, $D$11, 100%, $F$11)</f>
        <v>4.5206999999999997</v>
      </c>
      <c r="C75" s="8">
        <f>4.5257 * CHOOSE(CONTROL!$C$15, $D$11, 100%, $F$11)</f>
        <v>4.5256999999999996</v>
      </c>
      <c r="D75" s="8">
        <f>4.5094 * CHOOSE( CONTROL!$C$15, $D$11, 100%, $F$11)</f>
        <v>4.5094000000000003</v>
      </c>
      <c r="E75" s="12">
        <f>4.5148 * CHOOSE( CONTROL!$C$15, $D$11, 100%, $F$11)</f>
        <v>4.5148000000000001</v>
      </c>
      <c r="F75" s="4">
        <f>5.1859 * CHOOSE(CONTROL!$C$15, $D$11, 100%, $F$11)</f>
        <v>5.1859000000000002</v>
      </c>
      <c r="G75" s="8">
        <f>4.4765 * CHOOSE( CONTROL!$C$15, $D$11, 100%, $F$11)</f>
        <v>4.4764999999999997</v>
      </c>
      <c r="H75" s="4">
        <f>5.3719 * CHOOSE(CONTROL!$C$15, $D$11, 100%, $F$11)</f>
        <v>5.3719000000000001</v>
      </c>
      <c r="I75" s="8">
        <f>4.5252 * CHOOSE(CONTROL!$C$15, $D$11, 100%, $F$11)</f>
        <v>4.5251999999999999</v>
      </c>
      <c r="J75" s="4">
        <f>4.3785 * CHOOSE(CONTROL!$C$15, $D$11, 100%, $F$11)</f>
        <v>4.3784999999999998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4.5125 * CHOOSE(CONTROL!$C$15, $D$11, 100%, $F$11)</f>
        <v>4.5125000000000002</v>
      </c>
      <c r="C76" s="8">
        <f>4.5175 * CHOOSE(CONTROL!$C$15, $D$11, 100%, $F$11)</f>
        <v>4.5175000000000001</v>
      </c>
      <c r="D76" s="8">
        <f>4.5029 * CHOOSE( CONTROL!$C$15, $D$11, 100%, $F$11)</f>
        <v>4.5029000000000003</v>
      </c>
      <c r="E76" s="12">
        <f>4.5077 * CHOOSE( CONTROL!$C$15, $D$11, 100%, $F$11)</f>
        <v>4.5076999999999998</v>
      </c>
      <c r="F76" s="4">
        <f>5.1777 * CHOOSE(CONTROL!$C$15, $D$11, 100%, $F$11)</f>
        <v>5.1776999999999997</v>
      </c>
      <c r="G76" s="8">
        <f>4.4696 * CHOOSE( CONTROL!$C$15, $D$11, 100%, $F$11)</f>
        <v>4.4695999999999998</v>
      </c>
      <c r="H76" s="4">
        <f>5.3637 * CHOOSE(CONTROL!$C$15, $D$11, 100%, $F$11)</f>
        <v>5.3636999999999997</v>
      </c>
      <c r="I76" s="8">
        <f>4.5226 * CHOOSE(CONTROL!$C$15, $D$11, 100%, $F$11)</f>
        <v>4.5225999999999997</v>
      </c>
      <c r="J76" s="4">
        <f>4.3706 * CHOOSE(CONTROL!$C$15, $D$11, 100%, $F$11)</f>
        <v>4.3705999999999996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5.4531 * CHOOSE(CONTROL!$C$15, $D$11, 100%, $F$11)</f>
        <v>5.4531000000000001</v>
      </c>
      <c r="C77" s="8">
        <f>5.4582 * CHOOSE(CONTROL!$C$15, $D$11, 100%, $F$11)</f>
        <v>5.4581999999999997</v>
      </c>
      <c r="D77" s="8">
        <f>5.4293 * CHOOSE( CONTROL!$C$15, $D$11, 100%, $F$11)</f>
        <v>5.4292999999999996</v>
      </c>
      <c r="E77" s="12">
        <f>5.4393 * CHOOSE( CONTROL!$C$15, $D$11, 100%, $F$11)</f>
        <v>5.4393000000000002</v>
      </c>
      <c r="F77" s="4">
        <f>6.1184 * CHOOSE(CONTROL!$C$15, $D$11, 100%, $F$11)</f>
        <v>6.1184000000000003</v>
      </c>
      <c r="G77" s="8">
        <f>5.389 * CHOOSE( CONTROL!$C$15, $D$11, 100%, $F$11)</f>
        <v>5.3890000000000002</v>
      </c>
      <c r="H77" s="4">
        <f>6.2934 * CHOOSE(CONTROL!$C$15, $D$11, 100%, $F$11)</f>
        <v>6.2934000000000001</v>
      </c>
      <c r="I77" s="8">
        <f>5.4306 * CHOOSE(CONTROL!$C$15, $D$11, 100%, $F$11)</f>
        <v>5.4306000000000001</v>
      </c>
      <c r="J77" s="4">
        <f>5.2835 * CHOOSE(CONTROL!$C$15, $D$11, 100%, $F$11)</f>
        <v>5.2835000000000001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5.1012 * CHOOSE(CONTROL!$C$15, $D$11, 100%, $F$11)</f>
        <v>5.1012000000000004</v>
      </c>
      <c r="C78" s="8">
        <f>5.1062 * CHOOSE(CONTROL!$C$15, $D$11, 100%, $F$11)</f>
        <v>5.1062000000000003</v>
      </c>
      <c r="D78" s="8">
        <f>5.0774 * CHOOSE( CONTROL!$C$15, $D$11, 100%, $F$11)</f>
        <v>5.0773999999999999</v>
      </c>
      <c r="E78" s="12">
        <f>5.0874 * CHOOSE( CONTROL!$C$15, $D$11, 100%, $F$11)</f>
        <v>5.0873999999999997</v>
      </c>
      <c r="F78" s="4">
        <f>5.7664 * CHOOSE(CONTROL!$C$15, $D$11, 100%, $F$11)</f>
        <v>5.7664</v>
      </c>
      <c r="G78" s="8">
        <f>5.0411 * CHOOSE( CONTROL!$C$15, $D$11, 100%, $F$11)</f>
        <v>5.0411000000000001</v>
      </c>
      <c r="H78" s="4">
        <f>5.9456 * CHOOSE(CONTROL!$C$15, $D$11, 100%, $F$11)</f>
        <v>5.9455999999999998</v>
      </c>
      <c r="I78" s="8">
        <f>5.0889 * CHOOSE(CONTROL!$C$15, $D$11, 100%, $F$11)</f>
        <v>5.0888999999999998</v>
      </c>
      <c r="J78" s="4">
        <f>4.9419 * CHOOSE(CONTROL!$C$15, $D$11, 100%, $F$11)</f>
        <v>4.9419000000000004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4.9928 * CHOOSE(CONTROL!$C$15, $D$11, 100%, $F$11)</f>
        <v>4.9927999999999999</v>
      </c>
      <c r="C79" s="8">
        <f>4.9978 * CHOOSE(CONTROL!$C$15, $D$11, 100%, $F$11)</f>
        <v>4.9977999999999998</v>
      </c>
      <c r="D79" s="8">
        <f>4.9686 * CHOOSE( CONTROL!$C$15, $D$11, 100%, $F$11)</f>
        <v>4.9686000000000003</v>
      </c>
      <c r="E79" s="12">
        <f>4.9787 * CHOOSE( CONTROL!$C$15, $D$11, 100%, $F$11)</f>
        <v>4.9786999999999999</v>
      </c>
      <c r="F79" s="4">
        <f>5.658 * CHOOSE(CONTROL!$C$15, $D$11, 100%, $F$11)</f>
        <v>5.6580000000000004</v>
      </c>
      <c r="G79" s="8">
        <f>4.9337 * CHOOSE( CONTROL!$C$15, $D$11, 100%, $F$11)</f>
        <v>4.9337</v>
      </c>
      <c r="H79" s="4">
        <f>5.8384 * CHOOSE(CONTROL!$C$15, $D$11, 100%, $F$11)</f>
        <v>5.8384</v>
      </c>
      <c r="I79" s="8">
        <f>4.9824 * CHOOSE(CONTROL!$C$15, $D$11, 100%, $F$11)</f>
        <v>4.9824000000000002</v>
      </c>
      <c r="J79" s="4">
        <f>4.8367 * CHOOSE(CONTROL!$C$15, $D$11, 100%, $F$11)</f>
        <v>4.8367000000000004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5.0693 * CHOOSE(CONTROL!$C$15, $D$11, 100%, $F$11)</f>
        <v>5.0693000000000001</v>
      </c>
      <c r="C80" s="8">
        <f>5.0738 * CHOOSE(CONTROL!$C$15, $D$11, 100%, $F$11)</f>
        <v>5.0738000000000003</v>
      </c>
      <c r="D80" s="8">
        <f>5.1172 * CHOOSE( CONTROL!$C$15, $D$11, 100%, $F$11)</f>
        <v>5.1172000000000004</v>
      </c>
      <c r="E80" s="12">
        <f>5.1024 * CHOOSE( CONTROL!$C$15, $D$11, 100%, $F$11)</f>
        <v>5.1024000000000003</v>
      </c>
      <c r="F80" s="4">
        <f>5.8137 * CHOOSE(CONTROL!$C$15, $D$11, 100%, $F$11)</f>
        <v>5.8136999999999999</v>
      </c>
      <c r="G80" s="8">
        <f>5.0164 * CHOOSE( CONTROL!$C$15, $D$11, 100%, $F$11)</f>
        <v>5.0164</v>
      </c>
      <c r="H80" s="4">
        <f>5.9922 * CHOOSE(CONTROL!$C$15, $D$11, 100%, $F$11)</f>
        <v>5.9922000000000004</v>
      </c>
      <c r="I80" s="8">
        <f>5.0541 * CHOOSE(CONTROL!$C$15, $D$11, 100%, $F$11)</f>
        <v>5.0541</v>
      </c>
      <c r="J80" s="4">
        <f>4.9102 * CHOOSE(CONTROL!$C$15, $D$11, 100%, $F$11)</f>
        <v>4.9101999999999997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5.2091, 5.2055) * CHOOSE(CONTROL!$C$15, $D$11, 100%, $F$11)</f>
        <v>5.2091000000000003</v>
      </c>
      <c r="C81" s="8">
        <f>CHOOSE( CONTROL!$C$32, 5.2171, 5.2134) * CHOOSE(CONTROL!$C$15, $D$11, 100%, $F$11)</f>
        <v>5.2171000000000003</v>
      </c>
      <c r="D81" s="8">
        <f>CHOOSE( CONTROL!$C$32, 5.2548, 5.2512) * CHOOSE( CONTROL!$C$15, $D$11, 100%, $F$11)</f>
        <v>5.2548000000000004</v>
      </c>
      <c r="E81" s="12">
        <f>CHOOSE( CONTROL!$C$32, 5.2399, 5.2363) * CHOOSE( CONTROL!$C$15, $D$11, 100%, $F$11)</f>
        <v>5.2398999999999996</v>
      </c>
      <c r="F81" s="4">
        <f>CHOOSE( CONTROL!$C$32, 5.9521, 5.9485) * CHOOSE(CONTROL!$C$15, $D$11, 100%, $F$11)</f>
        <v>5.9520999999999997</v>
      </c>
      <c r="G81" s="8">
        <f>CHOOSE( CONTROL!$C$32, 5.154, 5.1504) * CHOOSE( CONTROL!$C$15, $D$11, 100%, $F$11)</f>
        <v>5.1539999999999999</v>
      </c>
      <c r="H81" s="4">
        <f>CHOOSE( CONTROL!$C$32, 6.129, 6.1254) * CHOOSE(CONTROL!$C$15, $D$11, 100%, $F$11)</f>
        <v>6.1289999999999996</v>
      </c>
      <c r="I81" s="8">
        <f>CHOOSE( CONTROL!$C$32, 5.1887, 5.1852) * CHOOSE(CONTROL!$C$15, $D$11, 100%, $F$11)</f>
        <v>5.1886999999999999</v>
      </c>
      <c r="J81" s="4">
        <f>CHOOSE( CONTROL!$C$32, 5.0446, 5.0411) * CHOOSE(CONTROL!$C$15, $D$11, 100%, $F$11)</f>
        <v>5.0446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5.1256, 5.1219) * CHOOSE(CONTROL!$C$15, $D$11, 100%, $F$11)</f>
        <v>5.1256000000000004</v>
      </c>
      <c r="C82" s="8">
        <f>CHOOSE( CONTROL!$C$32, 5.1336, 5.1299) * CHOOSE(CONTROL!$C$15, $D$11, 100%, $F$11)</f>
        <v>5.1336000000000004</v>
      </c>
      <c r="D82" s="8">
        <f>CHOOSE( CONTROL!$C$32, 5.1715, 5.1679) * CHOOSE( CONTROL!$C$15, $D$11, 100%, $F$11)</f>
        <v>5.1715</v>
      </c>
      <c r="E82" s="12">
        <f>CHOOSE( CONTROL!$C$32, 5.1565, 5.1529) * CHOOSE( CONTROL!$C$15, $D$11, 100%, $F$11)</f>
        <v>5.1565000000000003</v>
      </c>
      <c r="F82" s="4">
        <f>CHOOSE( CONTROL!$C$32, 5.8686, 5.865) * CHOOSE(CONTROL!$C$15, $D$11, 100%, $F$11)</f>
        <v>5.8685999999999998</v>
      </c>
      <c r="G82" s="8">
        <f>CHOOSE( CONTROL!$C$32, 5.0718, 5.0682) * CHOOSE( CONTROL!$C$15, $D$11, 100%, $F$11)</f>
        <v>5.0717999999999996</v>
      </c>
      <c r="H82" s="4">
        <f>CHOOSE( CONTROL!$C$32, 6.0465, 6.0429) * CHOOSE(CONTROL!$C$15, $D$11, 100%, $F$11)</f>
        <v>6.0465</v>
      </c>
      <c r="I82" s="8">
        <f>CHOOSE( CONTROL!$C$32, 5.1086, 5.1051) * CHOOSE(CONTROL!$C$15, $D$11, 100%, $F$11)</f>
        <v>5.1086</v>
      </c>
      <c r="J82" s="4">
        <f>CHOOSE( CONTROL!$C$32, 4.9636, 4.96) * CHOOSE(CONTROL!$C$15, $D$11, 100%, $F$11)</f>
        <v>4.9635999999999996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5.3455, 5.3419) * CHOOSE(CONTROL!$C$15, $D$11, 100%, $F$11)</f>
        <v>5.3455000000000004</v>
      </c>
      <c r="C83" s="8">
        <f>CHOOSE( CONTROL!$C$32, 5.3535, 5.3498) * CHOOSE(CONTROL!$C$15, $D$11, 100%, $F$11)</f>
        <v>5.3535000000000004</v>
      </c>
      <c r="D83" s="8">
        <f>CHOOSE( CONTROL!$C$32, 5.3917, 5.388) * CHOOSE( CONTROL!$C$15, $D$11, 100%, $F$11)</f>
        <v>5.3917000000000002</v>
      </c>
      <c r="E83" s="12">
        <f>CHOOSE( CONTROL!$C$32, 5.3766, 5.373) * CHOOSE( CONTROL!$C$15, $D$11, 100%, $F$11)</f>
        <v>5.3765999999999998</v>
      </c>
      <c r="F83" s="4">
        <f>CHOOSE( CONTROL!$C$32, 6.0885, 6.0849) * CHOOSE(CONTROL!$C$15, $D$11, 100%, $F$11)</f>
        <v>6.0884999999999998</v>
      </c>
      <c r="G83" s="8">
        <f>CHOOSE( CONTROL!$C$32, 5.2895, 5.2859) * CHOOSE( CONTROL!$C$15, $D$11, 100%, $F$11)</f>
        <v>5.2895000000000003</v>
      </c>
      <c r="H83" s="4">
        <f>CHOOSE( CONTROL!$C$32, 6.2639, 6.2603) * CHOOSE(CONTROL!$C$15, $D$11, 100%, $F$11)</f>
        <v>6.2638999999999996</v>
      </c>
      <c r="I83" s="8">
        <f>CHOOSE( CONTROL!$C$32, 5.3233, 5.3198) * CHOOSE(CONTROL!$C$15, $D$11, 100%, $F$11)</f>
        <v>5.3232999999999997</v>
      </c>
      <c r="J83" s="4">
        <f>CHOOSE( CONTROL!$C$32, 5.177, 5.1735) * CHOOSE(CONTROL!$C$15, $D$11, 100%, $F$11)</f>
        <v>5.1769999999999996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4.934, 4.9304) * CHOOSE(CONTROL!$C$15, $D$11, 100%, $F$11)</f>
        <v>4.9340000000000002</v>
      </c>
      <c r="C84" s="8">
        <f>CHOOSE( CONTROL!$C$32, 4.942, 4.9383) * CHOOSE(CONTROL!$C$15, $D$11, 100%, $F$11)</f>
        <v>4.9420000000000002</v>
      </c>
      <c r="D84" s="8">
        <f>CHOOSE( CONTROL!$C$32, 4.9803, 4.9766) * CHOOSE( CONTROL!$C$15, $D$11, 100%, $F$11)</f>
        <v>4.9802999999999997</v>
      </c>
      <c r="E84" s="12">
        <f>CHOOSE( CONTROL!$C$32, 4.9652, 4.9615) * CHOOSE( CONTROL!$C$15, $D$11, 100%, $F$11)</f>
        <v>4.9652000000000003</v>
      </c>
      <c r="F84" s="4">
        <f>CHOOSE( CONTROL!$C$32, 5.677, 5.6734) * CHOOSE(CONTROL!$C$15, $D$11, 100%, $F$11)</f>
        <v>5.6769999999999996</v>
      </c>
      <c r="G84" s="8">
        <f>CHOOSE( CONTROL!$C$32, 4.8829, 4.8793) * CHOOSE( CONTROL!$C$15, $D$11, 100%, $F$11)</f>
        <v>4.8829000000000002</v>
      </c>
      <c r="H84" s="4">
        <f>CHOOSE( CONTROL!$C$32, 5.8572, 5.8536) * CHOOSE(CONTROL!$C$15, $D$11, 100%, $F$11)</f>
        <v>5.8571999999999997</v>
      </c>
      <c r="I84" s="8">
        <f>CHOOSE( CONTROL!$C$32, 4.924, 4.9205) * CHOOSE(CONTROL!$C$15, $D$11, 100%, $F$11)</f>
        <v>4.9240000000000004</v>
      </c>
      <c r="J84" s="4">
        <f>CHOOSE( CONTROL!$C$32, 4.7776, 4.7741) * CHOOSE(CONTROL!$C$15, $D$11, 100%, $F$11)</f>
        <v>4.7775999999999996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4.831, 4.8273) * CHOOSE(CONTROL!$C$15, $D$11, 100%, $F$11)</f>
        <v>4.8310000000000004</v>
      </c>
      <c r="C85" s="8">
        <f>CHOOSE( CONTROL!$C$32, 4.8389, 4.8353) * CHOOSE(CONTROL!$C$15, $D$11, 100%, $F$11)</f>
        <v>4.8388999999999998</v>
      </c>
      <c r="D85" s="8">
        <f>CHOOSE( CONTROL!$C$32, 4.8771, 4.8735) * CHOOSE( CONTROL!$C$15, $D$11, 100%, $F$11)</f>
        <v>4.8771000000000004</v>
      </c>
      <c r="E85" s="12">
        <f>CHOOSE( CONTROL!$C$32, 4.8621, 4.8584) * CHOOSE( CONTROL!$C$15, $D$11, 100%, $F$11)</f>
        <v>4.8620999999999999</v>
      </c>
      <c r="F85" s="4">
        <f>CHOOSE( CONTROL!$C$32, 5.574, 5.5703) * CHOOSE(CONTROL!$C$15, $D$11, 100%, $F$11)</f>
        <v>5.5739999999999998</v>
      </c>
      <c r="G85" s="8">
        <f>CHOOSE( CONTROL!$C$32, 4.781, 4.7774) * CHOOSE( CONTROL!$C$15, $D$11, 100%, $F$11)</f>
        <v>4.7809999999999997</v>
      </c>
      <c r="H85" s="4">
        <f>CHOOSE( CONTROL!$C$32, 5.7553, 5.7517) * CHOOSE(CONTROL!$C$15, $D$11, 100%, $F$11)</f>
        <v>5.7553000000000001</v>
      </c>
      <c r="I85" s="8">
        <f>CHOOSE( CONTROL!$C$32, 4.8236, 4.8201) * CHOOSE(CONTROL!$C$15, $D$11, 100%, $F$11)</f>
        <v>4.8235999999999999</v>
      </c>
      <c r="J85" s="4">
        <f>CHOOSE( CONTROL!$C$32, 4.6776, 4.6741) * CHOOSE(CONTROL!$C$15, $D$11, 100%, $F$11)</f>
        <v>4.6776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5.0396 * CHOOSE(CONTROL!$C$15, $D$11, 100%, $F$11)</f>
        <v>5.0396000000000001</v>
      </c>
      <c r="C86" s="8">
        <f>5.0449 * CHOOSE(CONTROL!$C$15, $D$11, 100%, $F$11)</f>
        <v>5.0449000000000002</v>
      </c>
      <c r="D86" s="8">
        <f>5.0884 * CHOOSE( CONTROL!$C$15, $D$11, 100%, $F$11)</f>
        <v>5.0884</v>
      </c>
      <c r="E86" s="12">
        <f>5.0735 * CHOOSE( CONTROL!$C$15, $D$11, 100%, $F$11)</f>
        <v>5.0735000000000001</v>
      </c>
      <c r="F86" s="4">
        <f>5.7843 * CHOOSE(CONTROL!$C$15, $D$11, 100%, $F$11)</f>
        <v>5.7843</v>
      </c>
      <c r="G86" s="8">
        <f>4.9883 * CHOOSE( CONTROL!$C$15, $D$11, 100%, $F$11)</f>
        <v>4.9882999999999997</v>
      </c>
      <c r="H86" s="4">
        <f>5.9632 * CHOOSE(CONTROL!$C$15, $D$11, 100%, $F$11)</f>
        <v>5.9631999999999996</v>
      </c>
      <c r="I86" s="8">
        <f>5.0286 * CHOOSE(CONTROL!$C$15, $D$11, 100%, $F$11)</f>
        <v>5.0286</v>
      </c>
      <c r="J86" s="4">
        <f>4.8817 * CHOOSE(CONTROL!$C$15, $D$11, 100%, $F$11)</f>
        <v>4.8817000000000004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5.4341 * CHOOSE(CONTROL!$C$15, $D$11, 100%, $F$11)</f>
        <v>5.4340999999999999</v>
      </c>
      <c r="C87" s="8">
        <f>5.4391 * CHOOSE(CONTROL!$C$15, $D$11, 100%, $F$11)</f>
        <v>5.4390999999999998</v>
      </c>
      <c r="D87" s="8">
        <f>5.4228 * CHOOSE( CONTROL!$C$15, $D$11, 100%, $F$11)</f>
        <v>5.4227999999999996</v>
      </c>
      <c r="E87" s="12">
        <f>5.4282 * CHOOSE( CONTROL!$C$15, $D$11, 100%, $F$11)</f>
        <v>5.4282000000000004</v>
      </c>
      <c r="F87" s="4">
        <f>6.0993 * CHOOSE(CONTROL!$C$15, $D$11, 100%, $F$11)</f>
        <v>6.0993000000000004</v>
      </c>
      <c r="G87" s="8">
        <f>5.3792 * CHOOSE( CONTROL!$C$15, $D$11, 100%, $F$11)</f>
        <v>5.3792</v>
      </c>
      <c r="H87" s="4">
        <f>6.2746 * CHOOSE(CONTROL!$C$15, $D$11, 100%, $F$11)</f>
        <v>6.2746000000000004</v>
      </c>
      <c r="I87" s="8">
        <f>5.4121 * CHOOSE(CONTROL!$C$15, $D$11, 100%, $F$11)</f>
        <v>5.4120999999999997</v>
      </c>
      <c r="J87" s="4">
        <f>5.265 * CHOOSE(CONTROL!$C$15, $D$11, 100%, $F$11)</f>
        <v>5.2649999999999997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5.4242 * CHOOSE(CONTROL!$C$15, $D$11, 100%, $F$11)</f>
        <v>5.4241999999999999</v>
      </c>
      <c r="C88" s="8">
        <f>5.4293 * CHOOSE(CONTROL!$C$15, $D$11, 100%, $F$11)</f>
        <v>5.4292999999999996</v>
      </c>
      <c r="D88" s="8">
        <f>5.4146 * CHOOSE( CONTROL!$C$15, $D$11, 100%, $F$11)</f>
        <v>5.4146000000000001</v>
      </c>
      <c r="E88" s="12">
        <f>5.4194 * CHOOSE( CONTROL!$C$15, $D$11, 100%, $F$11)</f>
        <v>5.4194000000000004</v>
      </c>
      <c r="F88" s="4">
        <f>6.0895 * CHOOSE(CONTROL!$C$15, $D$11, 100%, $F$11)</f>
        <v>6.0895000000000001</v>
      </c>
      <c r="G88" s="8">
        <f>5.3707 * CHOOSE( CONTROL!$C$15, $D$11, 100%, $F$11)</f>
        <v>5.3707000000000003</v>
      </c>
      <c r="H88" s="4">
        <f>6.2648 * CHOOSE(CONTROL!$C$15, $D$11, 100%, $F$11)</f>
        <v>6.2648000000000001</v>
      </c>
      <c r="I88" s="8">
        <f>5.4079 * CHOOSE(CONTROL!$C$15, $D$11, 100%, $F$11)</f>
        <v>5.4078999999999997</v>
      </c>
      <c r="J88" s="4">
        <f>5.2554 * CHOOSE(CONTROL!$C$15, $D$11, 100%, $F$11)</f>
        <v>5.2553999999999998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5.8809 * CHOOSE(CONTROL!$C$15, $D$11, 100%, $F$11)</f>
        <v>5.8808999999999996</v>
      </c>
      <c r="C89" s="8">
        <f>5.886 * CHOOSE(CONTROL!$C$15, $D$11, 100%, $F$11)</f>
        <v>5.8860000000000001</v>
      </c>
      <c r="D89" s="8">
        <f>5.8571 * CHOOSE( CONTROL!$C$15, $D$11, 100%, $F$11)</f>
        <v>5.8571</v>
      </c>
      <c r="E89" s="12">
        <f>5.8671 * CHOOSE( CONTROL!$C$15, $D$11, 100%, $F$11)</f>
        <v>5.8670999999999998</v>
      </c>
      <c r="F89" s="4">
        <f>6.5462 * CHOOSE(CONTROL!$C$15, $D$11, 100%, $F$11)</f>
        <v>6.5461999999999998</v>
      </c>
      <c r="G89" s="8">
        <f>5.8117 * CHOOSE( CONTROL!$C$15, $D$11, 100%, $F$11)</f>
        <v>5.8117000000000001</v>
      </c>
      <c r="H89" s="4">
        <f>6.7162 * CHOOSE(CONTROL!$C$15, $D$11, 100%, $F$11)</f>
        <v>6.7161999999999997</v>
      </c>
      <c r="I89" s="8">
        <f>5.846 * CHOOSE(CONTROL!$C$15, $D$11, 100%, $F$11)</f>
        <v>5.8460000000000001</v>
      </c>
      <c r="J89" s="4">
        <f>5.6987 * CHOOSE(CONTROL!$C$15, $D$11, 100%, $F$11)</f>
        <v>5.6986999999999997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5.5013 * CHOOSE(CONTROL!$C$15, $D$11, 100%, $F$11)</f>
        <v>5.5012999999999996</v>
      </c>
      <c r="C90" s="8">
        <f>5.5064 * CHOOSE(CONTROL!$C$15, $D$11, 100%, $F$11)</f>
        <v>5.5064000000000002</v>
      </c>
      <c r="D90" s="8">
        <f>5.4775 * CHOOSE( CONTROL!$C$15, $D$11, 100%, $F$11)</f>
        <v>5.4775</v>
      </c>
      <c r="E90" s="12">
        <f>5.4875 * CHOOSE( CONTROL!$C$15, $D$11, 100%, $F$11)</f>
        <v>5.4874999999999998</v>
      </c>
      <c r="F90" s="4">
        <f>6.1666 * CHOOSE(CONTROL!$C$15, $D$11, 100%, $F$11)</f>
        <v>6.1665999999999999</v>
      </c>
      <c r="G90" s="8">
        <f>5.4366 * CHOOSE( CONTROL!$C$15, $D$11, 100%, $F$11)</f>
        <v>5.4366000000000003</v>
      </c>
      <c r="H90" s="4">
        <f>6.341 * CHOOSE(CONTROL!$C$15, $D$11, 100%, $F$11)</f>
        <v>6.3410000000000002</v>
      </c>
      <c r="I90" s="8">
        <f>5.4774 * CHOOSE(CONTROL!$C$15, $D$11, 100%, $F$11)</f>
        <v>5.4774000000000003</v>
      </c>
      <c r="J90" s="4">
        <f>5.3303 * CHOOSE(CONTROL!$C$15, $D$11, 100%, $F$11)</f>
        <v>5.3303000000000003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5.3844 * CHOOSE(CONTROL!$C$15, $D$11, 100%, $F$11)</f>
        <v>5.3844000000000003</v>
      </c>
      <c r="C91" s="8">
        <f>5.3895 * CHOOSE(CONTROL!$C$15, $D$11, 100%, $F$11)</f>
        <v>5.3895</v>
      </c>
      <c r="D91" s="8">
        <f>5.3602 * CHOOSE( CONTROL!$C$15, $D$11, 100%, $F$11)</f>
        <v>5.3601999999999999</v>
      </c>
      <c r="E91" s="12">
        <f>5.3704 * CHOOSE( CONTROL!$C$15, $D$11, 100%, $F$11)</f>
        <v>5.3704000000000001</v>
      </c>
      <c r="F91" s="4">
        <f>6.0497 * CHOOSE(CONTROL!$C$15, $D$11, 100%, $F$11)</f>
        <v>6.0496999999999996</v>
      </c>
      <c r="G91" s="8">
        <f>5.3207 * CHOOSE( CONTROL!$C$15, $D$11, 100%, $F$11)</f>
        <v>5.3207000000000004</v>
      </c>
      <c r="H91" s="4">
        <f>6.2255 * CHOOSE(CONTROL!$C$15, $D$11, 100%, $F$11)</f>
        <v>6.2255000000000003</v>
      </c>
      <c r="I91" s="8">
        <f>5.3626 * CHOOSE(CONTROL!$C$15, $D$11, 100%, $F$11)</f>
        <v>5.3625999999999996</v>
      </c>
      <c r="J91" s="4">
        <f>5.2168 * CHOOSE(CONTROL!$C$15, $D$11, 100%, $F$11)</f>
        <v>5.2168000000000001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5.4669 * CHOOSE(CONTROL!$C$15, $D$11, 100%, $F$11)</f>
        <v>5.4668999999999999</v>
      </c>
      <c r="C92" s="8">
        <f>5.4714 * CHOOSE(CONTROL!$C$15, $D$11, 100%, $F$11)</f>
        <v>5.4714</v>
      </c>
      <c r="D92" s="8">
        <f>5.5147 * CHOOSE( CONTROL!$C$15, $D$11, 100%, $F$11)</f>
        <v>5.5147000000000004</v>
      </c>
      <c r="E92" s="12">
        <f>5.4999 * CHOOSE( CONTROL!$C$15, $D$11, 100%, $F$11)</f>
        <v>5.4999000000000002</v>
      </c>
      <c r="F92" s="4">
        <f>6.2112 * CHOOSE(CONTROL!$C$15, $D$11, 100%, $F$11)</f>
        <v>6.2111999999999998</v>
      </c>
      <c r="G92" s="8">
        <f>5.4093 * CHOOSE( CONTROL!$C$15, $D$11, 100%, $F$11)</f>
        <v>5.4093</v>
      </c>
      <c r="H92" s="4">
        <f>6.3851 * CHOOSE(CONTROL!$C$15, $D$11, 100%, $F$11)</f>
        <v>6.3851000000000004</v>
      </c>
      <c r="I92" s="8">
        <f>5.4401 * CHOOSE(CONTROL!$C$15, $D$11, 100%, $F$11)</f>
        <v>5.4401000000000002</v>
      </c>
      <c r="J92" s="4">
        <f>5.2961 * CHOOSE(CONTROL!$C$15, $D$11, 100%, $F$11)</f>
        <v>5.2961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5.6173, 5.6136) * CHOOSE(CONTROL!$C$15, $D$11, 100%, $F$11)</f>
        <v>5.6173000000000002</v>
      </c>
      <c r="C93" s="8">
        <f>CHOOSE( CONTROL!$C$32, 5.6252, 5.6216) * CHOOSE(CONTROL!$C$15, $D$11, 100%, $F$11)</f>
        <v>5.6252000000000004</v>
      </c>
      <c r="D93" s="8">
        <f>CHOOSE( CONTROL!$C$32, 5.663, 5.6593) * CHOOSE( CONTROL!$C$15, $D$11, 100%, $F$11)</f>
        <v>5.6630000000000003</v>
      </c>
      <c r="E93" s="12">
        <f>CHOOSE( CONTROL!$C$32, 5.6481, 5.6444) * CHOOSE( CONTROL!$C$15, $D$11, 100%, $F$11)</f>
        <v>5.6481000000000003</v>
      </c>
      <c r="F93" s="4">
        <f>CHOOSE( CONTROL!$C$32, 6.3603, 6.3566) * CHOOSE(CONTROL!$C$15, $D$11, 100%, $F$11)</f>
        <v>6.3602999999999996</v>
      </c>
      <c r="G93" s="8">
        <f>CHOOSE( CONTROL!$C$32, 5.5574, 5.5538) * CHOOSE( CONTROL!$C$15, $D$11, 100%, $F$11)</f>
        <v>5.5574000000000003</v>
      </c>
      <c r="H93" s="4">
        <f>CHOOSE( CONTROL!$C$32, 6.5324, 6.5288) * CHOOSE(CONTROL!$C$15, $D$11, 100%, $F$11)</f>
        <v>6.5324</v>
      </c>
      <c r="I93" s="8">
        <f>CHOOSE( CONTROL!$C$32, 5.585, 5.5815) * CHOOSE(CONTROL!$C$15, $D$11, 100%, $F$11)</f>
        <v>5.585</v>
      </c>
      <c r="J93" s="4">
        <f>CHOOSE( CONTROL!$C$32, 5.4407, 5.4372) * CHOOSE(CONTROL!$C$15, $D$11, 100%, $F$11)</f>
        <v>5.4406999999999996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5.5272, 5.5235) * CHOOSE(CONTROL!$C$15, $D$11, 100%, $F$11)</f>
        <v>5.5271999999999997</v>
      </c>
      <c r="C94" s="8">
        <f>CHOOSE( CONTROL!$C$32, 5.5352, 5.5315) * CHOOSE(CONTROL!$C$15, $D$11, 100%, $F$11)</f>
        <v>5.5351999999999997</v>
      </c>
      <c r="D94" s="8">
        <f>CHOOSE( CONTROL!$C$32, 5.5731, 5.5695) * CHOOSE( CONTROL!$C$15, $D$11, 100%, $F$11)</f>
        <v>5.5731000000000002</v>
      </c>
      <c r="E94" s="12">
        <f>CHOOSE( CONTROL!$C$32, 5.5581, 5.5545) * CHOOSE( CONTROL!$C$15, $D$11, 100%, $F$11)</f>
        <v>5.5580999999999996</v>
      </c>
      <c r="F94" s="4">
        <f>CHOOSE( CONTROL!$C$32, 6.2702, 6.2666) * CHOOSE(CONTROL!$C$15, $D$11, 100%, $F$11)</f>
        <v>6.2702</v>
      </c>
      <c r="G94" s="8">
        <f>CHOOSE( CONTROL!$C$32, 5.4687, 5.4651) * CHOOSE( CONTROL!$C$15, $D$11, 100%, $F$11)</f>
        <v>5.4687000000000001</v>
      </c>
      <c r="H94" s="4">
        <f>CHOOSE( CONTROL!$C$32, 6.4434, 6.4398) * CHOOSE(CONTROL!$C$15, $D$11, 100%, $F$11)</f>
        <v>6.4433999999999996</v>
      </c>
      <c r="I94" s="8">
        <f>CHOOSE( CONTROL!$C$32, 5.4986, 5.4951) * CHOOSE(CONTROL!$C$15, $D$11, 100%, $F$11)</f>
        <v>5.4985999999999997</v>
      </c>
      <c r="J94" s="4">
        <f>CHOOSE( CONTROL!$C$32, 5.3533, 5.3498) * CHOOSE(CONTROL!$C$15, $D$11, 100%, $F$11)</f>
        <v>5.3532999999999999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5.7644, 5.7607) * CHOOSE(CONTROL!$C$15, $D$11, 100%, $F$11)</f>
        <v>5.7644000000000002</v>
      </c>
      <c r="C95" s="8">
        <f>CHOOSE( CONTROL!$C$32, 5.7724, 5.7687) * CHOOSE(CONTROL!$C$15, $D$11, 100%, $F$11)</f>
        <v>5.7724000000000002</v>
      </c>
      <c r="D95" s="8">
        <f>CHOOSE( CONTROL!$C$32, 5.8106, 5.8069) * CHOOSE( CONTROL!$C$15, $D$11, 100%, $F$11)</f>
        <v>5.8106</v>
      </c>
      <c r="E95" s="12">
        <f>CHOOSE( CONTROL!$C$32, 5.7955, 5.7918) * CHOOSE( CONTROL!$C$15, $D$11, 100%, $F$11)</f>
        <v>5.7954999999999997</v>
      </c>
      <c r="F95" s="4">
        <f>CHOOSE( CONTROL!$C$32, 6.5074, 6.5038) * CHOOSE(CONTROL!$C$15, $D$11, 100%, $F$11)</f>
        <v>6.5073999999999996</v>
      </c>
      <c r="G95" s="8">
        <f>CHOOSE( CONTROL!$C$32, 5.7035, 5.6999) * CHOOSE( CONTROL!$C$15, $D$11, 100%, $F$11)</f>
        <v>5.7035</v>
      </c>
      <c r="H95" s="4">
        <f>CHOOSE( CONTROL!$C$32, 6.6778, 6.6742) * CHOOSE(CONTROL!$C$15, $D$11, 100%, $F$11)</f>
        <v>6.6778000000000004</v>
      </c>
      <c r="I95" s="8">
        <f>CHOOSE( CONTROL!$C$32, 5.73, 5.7265) * CHOOSE(CONTROL!$C$15, $D$11, 100%, $F$11)</f>
        <v>5.73</v>
      </c>
      <c r="J95" s="4">
        <f>CHOOSE( CONTROL!$C$32, 5.5835, 5.58) * CHOOSE(CONTROL!$C$15, $D$11, 100%, $F$11)</f>
        <v>5.5834999999999999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5.3206, 5.3169) * CHOOSE(CONTROL!$C$15, $D$11, 100%, $F$11)</f>
        <v>5.3205999999999998</v>
      </c>
      <c r="C96" s="8">
        <f>CHOOSE( CONTROL!$C$32, 5.3285, 5.3249) * CHOOSE(CONTROL!$C$15, $D$11, 100%, $F$11)</f>
        <v>5.3285</v>
      </c>
      <c r="D96" s="8">
        <f>CHOOSE( CONTROL!$C$32, 5.3668, 5.3632) * CHOOSE( CONTROL!$C$15, $D$11, 100%, $F$11)</f>
        <v>5.3667999999999996</v>
      </c>
      <c r="E96" s="12">
        <f>CHOOSE( CONTROL!$C$32, 5.3517, 5.3481) * CHOOSE( CONTROL!$C$15, $D$11, 100%, $F$11)</f>
        <v>5.3517000000000001</v>
      </c>
      <c r="F96" s="4">
        <f>CHOOSE( CONTROL!$C$32, 6.0636, 6.0599) * CHOOSE(CONTROL!$C$15, $D$11, 100%, $F$11)</f>
        <v>6.0636000000000001</v>
      </c>
      <c r="G96" s="8">
        <f>CHOOSE( CONTROL!$C$32, 5.2649, 5.2613) * CHOOSE( CONTROL!$C$15, $D$11, 100%, $F$11)</f>
        <v>5.2648999999999999</v>
      </c>
      <c r="H96" s="4">
        <f>CHOOSE( CONTROL!$C$32, 6.2392, 6.2356) * CHOOSE(CONTROL!$C$15, $D$11, 100%, $F$11)</f>
        <v>6.2392000000000003</v>
      </c>
      <c r="I96" s="8">
        <f>CHOOSE( CONTROL!$C$32, 5.2994, 5.2958) * CHOOSE(CONTROL!$C$15, $D$11, 100%, $F$11)</f>
        <v>5.2994000000000003</v>
      </c>
      <c r="J96" s="4">
        <f>CHOOSE( CONTROL!$C$32, 5.1528, 5.1493) * CHOOSE(CONTROL!$C$15, $D$11, 100%, $F$11)</f>
        <v>5.1528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5.2094, 5.2058) * CHOOSE(CONTROL!$C$15, $D$11, 100%, $F$11)</f>
        <v>5.2093999999999996</v>
      </c>
      <c r="C97" s="8">
        <f>CHOOSE( CONTROL!$C$32, 5.2174, 5.2138) * CHOOSE(CONTROL!$C$15, $D$11, 100%, $F$11)</f>
        <v>5.2173999999999996</v>
      </c>
      <c r="D97" s="8">
        <f>CHOOSE( CONTROL!$C$32, 5.2556, 5.2519) * CHOOSE( CONTROL!$C$15, $D$11, 100%, $F$11)</f>
        <v>5.2556000000000003</v>
      </c>
      <c r="E97" s="12">
        <f>CHOOSE( CONTROL!$C$32, 5.2405, 5.2369) * CHOOSE( CONTROL!$C$15, $D$11, 100%, $F$11)</f>
        <v>5.2404999999999999</v>
      </c>
      <c r="F97" s="4">
        <f>CHOOSE( CONTROL!$C$32, 5.9524, 5.9488) * CHOOSE(CONTROL!$C$15, $D$11, 100%, $F$11)</f>
        <v>5.9523999999999999</v>
      </c>
      <c r="G97" s="8">
        <f>CHOOSE( CONTROL!$C$32, 5.155, 5.1514) * CHOOSE( CONTROL!$C$15, $D$11, 100%, $F$11)</f>
        <v>5.1550000000000002</v>
      </c>
      <c r="H97" s="4">
        <f>CHOOSE( CONTROL!$C$32, 6.1294, 6.1258) * CHOOSE(CONTROL!$C$15, $D$11, 100%, $F$11)</f>
        <v>6.1294000000000004</v>
      </c>
      <c r="I97" s="8">
        <f>CHOOSE( CONTROL!$C$32, 5.1911, 5.1875) * CHOOSE(CONTROL!$C$15, $D$11, 100%, $F$11)</f>
        <v>5.1910999999999996</v>
      </c>
      <c r="J97" s="4">
        <f>CHOOSE( CONTROL!$C$32, 5.0449, 5.0414) * CHOOSE(CONTROL!$C$15, $D$11, 100%, $F$11)</f>
        <v>5.0449000000000002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5.4348 * CHOOSE(CONTROL!$C$15, $D$11, 100%, $F$11)</f>
        <v>5.4348000000000001</v>
      </c>
      <c r="C98" s="8">
        <f>5.4402 * CHOOSE(CONTROL!$C$15, $D$11, 100%, $F$11)</f>
        <v>5.4401999999999999</v>
      </c>
      <c r="D98" s="8">
        <f>5.4837 * CHOOSE( CONTROL!$C$15, $D$11, 100%, $F$11)</f>
        <v>5.4836999999999998</v>
      </c>
      <c r="E98" s="12">
        <f>5.4688 * CHOOSE( CONTROL!$C$15, $D$11, 100%, $F$11)</f>
        <v>5.4687999999999999</v>
      </c>
      <c r="F98" s="4">
        <f>6.1796 * CHOOSE(CONTROL!$C$15, $D$11, 100%, $F$11)</f>
        <v>6.1795999999999998</v>
      </c>
      <c r="G98" s="8">
        <f>5.3789 * CHOOSE( CONTROL!$C$15, $D$11, 100%, $F$11)</f>
        <v>5.3788999999999998</v>
      </c>
      <c r="H98" s="4">
        <f>6.3538 * CHOOSE(CONTROL!$C$15, $D$11, 100%, $F$11)</f>
        <v>6.3537999999999997</v>
      </c>
      <c r="I98" s="8">
        <f>5.4124 * CHOOSE(CONTROL!$C$15, $D$11, 100%, $F$11)</f>
        <v>5.4123999999999999</v>
      </c>
      <c r="J98" s="4">
        <f>5.2653 * CHOOSE(CONTROL!$C$15, $D$11, 100%, $F$11)</f>
        <v>5.2652999999999999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5.8604 * CHOOSE(CONTROL!$C$15, $D$11, 100%, $F$11)</f>
        <v>5.8604000000000003</v>
      </c>
      <c r="C99" s="8">
        <f>5.8654 * CHOOSE(CONTROL!$C$15, $D$11, 100%, $F$11)</f>
        <v>5.8654000000000002</v>
      </c>
      <c r="D99" s="8">
        <f>5.8491 * CHOOSE( CONTROL!$C$15, $D$11, 100%, $F$11)</f>
        <v>5.8491</v>
      </c>
      <c r="E99" s="12">
        <f>5.8545 * CHOOSE( CONTROL!$C$15, $D$11, 100%, $F$11)</f>
        <v>5.8544999999999998</v>
      </c>
      <c r="F99" s="4">
        <f>6.5256 * CHOOSE(CONTROL!$C$15, $D$11, 100%, $F$11)</f>
        <v>6.5255999999999998</v>
      </c>
      <c r="G99" s="8">
        <f>5.8005 * CHOOSE( CONTROL!$C$15, $D$11, 100%, $F$11)</f>
        <v>5.8005000000000004</v>
      </c>
      <c r="H99" s="4">
        <f>6.6959 * CHOOSE(CONTROL!$C$15, $D$11, 100%, $F$11)</f>
        <v>6.6959</v>
      </c>
      <c r="I99" s="8">
        <f>5.8261 * CHOOSE(CONTROL!$C$15, $D$11, 100%, $F$11)</f>
        <v>5.8261000000000003</v>
      </c>
      <c r="J99" s="4">
        <f>5.6787 * CHOOSE(CONTROL!$C$15, $D$11, 100%, $F$11)</f>
        <v>5.6787000000000001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5.8497 * CHOOSE(CONTROL!$C$15, $D$11, 100%, $F$11)</f>
        <v>5.8497000000000003</v>
      </c>
      <c r="C100" s="8">
        <f>5.8548 * CHOOSE(CONTROL!$C$15, $D$11, 100%, $F$11)</f>
        <v>5.8548</v>
      </c>
      <c r="D100" s="8">
        <f>5.8402 * CHOOSE( CONTROL!$C$15, $D$11, 100%, $F$11)</f>
        <v>5.8402000000000003</v>
      </c>
      <c r="E100" s="12">
        <f>5.845 * CHOOSE( CONTROL!$C$15, $D$11, 100%, $F$11)</f>
        <v>5.8449999999999998</v>
      </c>
      <c r="F100" s="4">
        <f>6.515 * CHOOSE(CONTROL!$C$15, $D$11, 100%, $F$11)</f>
        <v>6.5149999999999997</v>
      </c>
      <c r="G100" s="8">
        <f>5.7912 * CHOOSE( CONTROL!$C$15, $D$11, 100%, $F$11)</f>
        <v>5.7911999999999999</v>
      </c>
      <c r="H100" s="4">
        <f>6.6853 * CHOOSE(CONTROL!$C$15, $D$11, 100%, $F$11)</f>
        <v>6.6852999999999998</v>
      </c>
      <c r="I100" s="8">
        <f>5.8211 * CHOOSE(CONTROL!$C$15, $D$11, 100%, $F$11)</f>
        <v>5.8211000000000004</v>
      </c>
      <c r="J100" s="4">
        <f>5.6684 * CHOOSE(CONTROL!$C$15, $D$11, 100%, $F$11)</f>
        <v>5.6684000000000001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6.1999 * CHOOSE(CONTROL!$C$15, $D$11, 100%, $F$11)</f>
        <v>6.1999000000000004</v>
      </c>
      <c r="C101" s="8">
        <f>6.205 * CHOOSE(CONTROL!$C$15, $D$11, 100%, $F$11)</f>
        <v>6.2050000000000001</v>
      </c>
      <c r="D101" s="8">
        <f>6.1761 * CHOOSE( CONTROL!$C$15, $D$11, 100%, $F$11)</f>
        <v>6.1760999999999999</v>
      </c>
      <c r="E101" s="12">
        <f>6.1861 * CHOOSE( CONTROL!$C$15, $D$11, 100%, $F$11)</f>
        <v>6.1860999999999997</v>
      </c>
      <c r="F101" s="4">
        <f>6.8652 * CHOOSE(CONTROL!$C$15, $D$11, 100%, $F$11)</f>
        <v>6.8651999999999997</v>
      </c>
      <c r="G101" s="8">
        <f>6.127 * CHOOSE( CONTROL!$C$15, $D$11, 100%, $F$11)</f>
        <v>6.1269999999999998</v>
      </c>
      <c r="H101" s="4">
        <f>7.0315 * CHOOSE(CONTROL!$C$15, $D$11, 100%, $F$11)</f>
        <v>7.0315000000000003</v>
      </c>
      <c r="I101" s="8">
        <f>6.1558 * CHOOSE(CONTROL!$C$15, $D$11, 100%, $F$11)</f>
        <v>6.1558000000000002</v>
      </c>
      <c r="J101" s="4">
        <f>6.0083 * CHOOSE(CONTROL!$C$15, $D$11, 100%, $F$11)</f>
        <v>6.0083000000000002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5.7997 * CHOOSE(CONTROL!$C$15, $D$11, 100%, $F$11)</f>
        <v>5.7996999999999996</v>
      </c>
      <c r="C102" s="8">
        <f>5.8048 * CHOOSE(CONTROL!$C$15, $D$11, 100%, $F$11)</f>
        <v>5.8048000000000002</v>
      </c>
      <c r="D102" s="8">
        <f>5.7759 * CHOOSE( CONTROL!$C$15, $D$11, 100%, $F$11)</f>
        <v>5.7759</v>
      </c>
      <c r="E102" s="12">
        <f>5.7859 * CHOOSE( CONTROL!$C$15, $D$11, 100%, $F$11)</f>
        <v>5.7858999999999998</v>
      </c>
      <c r="F102" s="4">
        <f>6.465 * CHOOSE(CONTROL!$C$15, $D$11, 100%, $F$11)</f>
        <v>6.4649999999999999</v>
      </c>
      <c r="G102" s="8">
        <f>5.7315 * CHOOSE( CONTROL!$C$15, $D$11, 100%, $F$11)</f>
        <v>5.7314999999999996</v>
      </c>
      <c r="H102" s="4">
        <f>6.6359 * CHOOSE(CONTROL!$C$15, $D$11, 100%, $F$11)</f>
        <v>6.6359000000000004</v>
      </c>
      <c r="I102" s="8">
        <f>5.7671 * CHOOSE(CONTROL!$C$15, $D$11, 100%, $F$11)</f>
        <v>5.7671000000000001</v>
      </c>
      <c r="J102" s="4">
        <f>5.6199 * CHOOSE(CONTROL!$C$15, $D$11, 100%, $F$11)</f>
        <v>5.6199000000000003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5.6764 * CHOOSE(CONTROL!$C$15, $D$11, 100%, $F$11)</f>
        <v>5.6764000000000001</v>
      </c>
      <c r="C103" s="8">
        <f>5.6815 * CHOOSE(CONTROL!$C$15, $D$11, 100%, $F$11)</f>
        <v>5.6814999999999998</v>
      </c>
      <c r="D103" s="8">
        <f>5.6522 * CHOOSE( CONTROL!$C$15, $D$11, 100%, $F$11)</f>
        <v>5.6521999999999997</v>
      </c>
      <c r="E103" s="12">
        <f>5.6624 * CHOOSE( CONTROL!$C$15, $D$11, 100%, $F$11)</f>
        <v>5.6623999999999999</v>
      </c>
      <c r="F103" s="4">
        <f>6.3417 * CHOOSE(CONTROL!$C$15, $D$11, 100%, $F$11)</f>
        <v>6.3417000000000003</v>
      </c>
      <c r="G103" s="8">
        <f>5.6094 * CHOOSE( CONTROL!$C$15, $D$11, 100%, $F$11)</f>
        <v>5.6093999999999999</v>
      </c>
      <c r="H103" s="4">
        <f>6.5141 * CHOOSE(CONTROL!$C$15, $D$11, 100%, $F$11)</f>
        <v>6.5141</v>
      </c>
      <c r="I103" s="8">
        <f>5.6462 * CHOOSE(CONTROL!$C$15, $D$11, 100%, $F$11)</f>
        <v>5.6462000000000003</v>
      </c>
      <c r="J103" s="4">
        <f>5.5002 * CHOOSE(CONTROL!$C$15, $D$11, 100%, $F$11)</f>
        <v>5.5002000000000004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5.7633 * CHOOSE(CONTROL!$C$15, $D$11, 100%, $F$11)</f>
        <v>5.7633000000000001</v>
      </c>
      <c r="C104" s="8">
        <f>5.7679 * CHOOSE(CONTROL!$C$15, $D$11, 100%, $F$11)</f>
        <v>5.7679</v>
      </c>
      <c r="D104" s="8">
        <f>5.8112 * CHOOSE( CONTROL!$C$15, $D$11, 100%, $F$11)</f>
        <v>5.8112000000000004</v>
      </c>
      <c r="E104" s="12">
        <f>5.7964 * CHOOSE( CONTROL!$C$15, $D$11, 100%, $F$11)</f>
        <v>5.7964000000000002</v>
      </c>
      <c r="F104" s="4">
        <f>6.5077 * CHOOSE(CONTROL!$C$15, $D$11, 100%, $F$11)</f>
        <v>6.5076999999999998</v>
      </c>
      <c r="G104" s="8">
        <f>5.7023 * CHOOSE( CONTROL!$C$15, $D$11, 100%, $F$11)</f>
        <v>5.7023000000000001</v>
      </c>
      <c r="H104" s="4">
        <f>6.6782 * CHOOSE(CONTROL!$C$15, $D$11, 100%, $F$11)</f>
        <v>6.6782000000000004</v>
      </c>
      <c r="I104" s="8">
        <f>5.728 * CHOOSE(CONTROL!$C$15, $D$11, 100%, $F$11)</f>
        <v>5.7279999999999998</v>
      </c>
      <c r="J104" s="4">
        <f>5.5838 * CHOOSE(CONTROL!$C$15, $D$11, 100%, $F$11)</f>
        <v>5.5838000000000001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5.9217, 5.918) * CHOOSE(CONTROL!$C$15, $D$11, 100%, $F$11)</f>
        <v>5.9217000000000004</v>
      </c>
      <c r="C105" s="8">
        <f>CHOOSE( CONTROL!$C$32, 5.9296, 5.926) * CHOOSE(CONTROL!$C$15, $D$11, 100%, $F$11)</f>
        <v>5.9295999999999998</v>
      </c>
      <c r="D105" s="8">
        <f>CHOOSE( CONTROL!$C$32, 5.9674, 5.9637) * CHOOSE( CONTROL!$C$15, $D$11, 100%, $F$11)</f>
        <v>5.9673999999999996</v>
      </c>
      <c r="E105" s="12">
        <f>CHOOSE( CONTROL!$C$32, 5.9525, 5.9488) * CHOOSE( CONTROL!$C$15, $D$11, 100%, $F$11)</f>
        <v>5.9524999999999997</v>
      </c>
      <c r="F105" s="4">
        <f>CHOOSE( CONTROL!$C$32, 6.6647, 6.661) * CHOOSE(CONTROL!$C$15, $D$11, 100%, $F$11)</f>
        <v>6.6646999999999998</v>
      </c>
      <c r="G105" s="8">
        <f>CHOOSE( CONTROL!$C$32, 5.8582, 5.8546) * CHOOSE( CONTROL!$C$15, $D$11, 100%, $F$11)</f>
        <v>5.8582000000000001</v>
      </c>
      <c r="H105" s="4">
        <f>CHOOSE( CONTROL!$C$32, 6.8333, 6.8297) * CHOOSE(CONTROL!$C$15, $D$11, 100%, $F$11)</f>
        <v>6.8333000000000004</v>
      </c>
      <c r="I105" s="8">
        <f>CHOOSE( CONTROL!$C$32, 5.8806, 5.877) * CHOOSE(CONTROL!$C$15, $D$11, 100%, $F$11)</f>
        <v>5.8806000000000003</v>
      </c>
      <c r="J105" s="4">
        <f>CHOOSE( CONTROL!$C$32, 5.7362, 5.7326) * CHOOSE(CONTROL!$C$15, $D$11, 100%, $F$11)</f>
        <v>5.7362000000000002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5.8267, 5.8231) * CHOOSE(CONTROL!$C$15, $D$11, 100%, $F$11)</f>
        <v>5.8266999999999998</v>
      </c>
      <c r="C106" s="8">
        <f>CHOOSE( CONTROL!$C$32, 5.8347, 5.831) * CHOOSE(CONTROL!$C$15, $D$11, 100%, $F$11)</f>
        <v>5.8346999999999998</v>
      </c>
      <c r="D106" s="8">
        <f>CHOOSE( CONTROL!$C$32, 5.8726, 5.869) * CHOOSE( CONTROL!$C$15, $D$11, 100%, $F$11)</f>
        <v>5.8726000000000003</v>
      </c>
      <c r="E106" s="12">
        <f>CHOOSE( CONTROL!$C$32, 5.8576, 5.854) * CHOOSE( CONTROL!$C$15, $D$11, 100%, $F$11)</f>
        <v>5.8575999999999997</v>
      </c>
      <c r="F106" s="4">
        <f>CHOOSE( CONTROL!$C$32, 6.5697, 6.5661) * CHOOSE(CONTROL!$C$15, $D$11, 100%, $F$11)</f>
        <v>6.5697000000000001</v>
      </c>
      <c r="G106" s="8">
        <f>CHOOSE( CONTROL!$C$32, 5.7647, 5.7611) * CHOOSE( CONTROL!$C$15, $D$11, 100%, $F$11)</f>
        <v>5.7647000000000004</v>
      </c>
      <c r="H106" s="4">
        <f>CHOOSE( CONTROL!$C$32, 6.7394, 6.7358) * CHOOSE(CONTROL!$C$15, $D$11, 100%, $F$11)</f>
        <v>6.7393999999999998</v>
      </c>
      <c r="I106" s="8">
        <f>CHOOSE( CONTROL!$C$32, 5.7894, 5.7859) * CHOOSE(CONTROL!$C$15, $D$11, 100%, $F$11)</f>
        <v>5.7893999999999997</v>
      </c>
      <c r="J106" s="4">
        <f>CHOOSE( CONTROL!$C$32, 5.644, 5.6405) * CHOOSE(CONTROL!$C$15, $D$11, 100%, $F$11)</f>
        <v>5.6440000000000001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6.0768, 6.0731) * CHOOSE(CONTROL!$C$15, $D$11, 100%, $F$11)</f>
        <v>6.0768000000000004</v>
      </c>
      <c r="C107" s="8">
        <f>CHOOSE( CONTROL!$C$32, 6.0848, 6.0811) * CHOOSE(CONTROL!$C$15, $D$11, 100%, $F$11)</f>
        <v>6.0848000000000004</v>
      </c>
      <c r="D107" s="8">
        <f>CHOOSE( CONTROL!$C$32, 6.123, 6.1193) * CHOOSE( CONTROL!$C$15, $D$11, 100%, $F$11)</f>
        <v>6.1230000000000002</v>
      </c>
      <c r="E107" s="12">
        <f>CHOOSE( CONTROL!$C$32, 6.1079, 6.1042) * CHOOSE( CONTROL!$C$15, $D$11, 100%, $F$11)</f>
        <v>6.1078999999999999</v>
      </c>
      <c r="F107" s="4">
        <f>CHOOSE( CONTROL!$C$32, 6.8198, 6.8161) * CHOOSE(CONTROL!$C$15, $D$11, 100%, $F$11)</f>
        <v>6.8197999999999999</v>
      </c>
      <c r="G107" s="8">
        <f>CHOOSE( CONTROL!$C$32, 6.0122, 6.0086) * CHOOSE( CONTROL!$C$15, $D$11, 100%, $F$11)</f>
        <v>6.0122</v>
      </c>
      <c r="H107" s="4">
        <f>CHOOSE( CONTROL!$C$32, 6.9866, 6.983) * CHOOSE(CONTROL!$C$15, $D$11, 100%, $F$11)</f>
        <v>6.9866000000000001</v>
      </c>
      <c r="I107" s="8">
        <f>CHOOSE( CONTROL!$C$32, 6.0334, 6.0298) * CHOOSE(CONTROL!$C$15, $D$11, 100%, $F$11)</f>
        <v>6.0334000000000003</v>
      </c>
      <c r="J107" s="4">
        <f>CHOOSE( CONTROL!$C$32, 5.8867, 5.8832) * CHOOSE(CONTROL!$C$15, $D$11, 100%, $F$11)</f>
        <v>5.8867000000000003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5.6088, 5.6052) * CHOOSE(CONTROL!$C$15, $D$11, 100%, $F$11)</f>
        <v>5.6087999999999996</v>
      </c>
      <c r="C108" s="8">
        <f>CHOOSE( CONTROL!$C$32, 5.6168, 5.6132) * CHOOSE(CONTROL!$C$15, $D$11, 100%, $F$11)</f>
        <v>5.6167999999999996</v>
      </c>
      <c r="D108" s="8">
        <f>CHOOSE( CONTROL!$C$32, 5.6551, 5.6514) * CHOOSE( CONTROL!$C$15, $D$11, 100%, $F$11)</f>
        <v>5.6551</v>
      </c>
      <c r="E108" s="12">
        <f>CHOOSE( CONTROL!$C$32, 5.64, 5.6363) * CHOOSE( CONTROL!$C$15, $D$11, 100%, $F$11)</f>
        <v>5.64</v>
      </c>
      <c r="F108" s="4">
        <f>CHOOSE( CONTROL!$C$32, 6.3518, 6.3482) * CHOOSE(CONTROL!$C$15, $D$11, 100%, $F$11)</f>
        <v>6.3517999999999999</v>
      </c>
      <c r="G108" s="8">
        <f>CHOOSE( CONTROL!$C$32, 5.5498, 5.5462) * CHOOSE( CONTROL!$C$15, $D$11, 100%, $F$11)</f>
        <v>5.5498000000000003</v>
      </c>
      <c r="H108" s="4">
        <f>CHOOSE( CONTROL!$C$32, 6.5241, 6.5205) * CHOOSE(CONTROL!$C$15, $D$11, 100%, $F$11)</f>
        <v>6.5240999999999998</v>
      </c>
      <c r="I108" s="8">
        <f>CHOOSE( CONTROL!$C$32, 5.5793, 5.5757) * CHOOSE(CONTROL!$C$15, $D$11, 100%, $F$11)</f>
        <v>5.5792999999999999</v>
      </c>
      <c r="J108" s="4">
        <f>CHOOSE( CONTROL!$C$32, 5.4326, 5.429) * CHOOSE(CONTROL!$C$15, $D$11, 100%, $F$11)</f>
        <v>5.4325999999999999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5.4917, 5.488) * CHOOSE(CONTROL!$C$15, $D$11, 100%, $F$11)</f>
        <v>5.4916999999999998</v>
      </c>
      <c r="C109" s="8">
        <f>CHOOSE( CONTROL!$C$32, 5.4996, 5.496) * CHOOSE(CONTROL!$C$15, $D$11, 100%, $F$11)</f>
        <v>5.4996</v>
      </c>
      <c r="D109" s="8">
        <f>CHOOSE( CONTROL!$C$32, 5.5378, 5.5342) * CHOOSE( CONTROL!$C$15, $D$11, 100%, $F$11)</f>
        <v>5.5377999999999998</v>
      </c>
      <c r="E109" s="12">
        <f>CHOOSE( CONTROL!$C$32, 5.5228, 5.5191) * CHOOSE( CONTROL!$C$15, $D$11, 100%, $F$11)</f>
        <v>5.5228000000000002</v>
      </c>
      <c r="F109" s="4">
        <f>CHOOSE( CONTROL!$C$32, 6.2347, 6.231) * CHOOSE(CONTROL!$C$15, $D$11, 100%, $F$11)</f>
        <v>6.2347000000000001</v>
      </c>
      <c r="G109" s="8">
        <f>CHOOSE( CONTROL!$C$32, 5.4339, 5.4303) * CHOOSE( CONTROL!$C$15, $D$11, 100%, $F$11)</f>
        <v>5.4339000000000004</v>
      </c>
      <c r="H109" s="4">
        <f>CHOOSE( CONTROL!$C$32, 6.4083, 6.4047) * CHOOSE(CONTROL!$C$15, $D$11, 100%, $F$11)</f>
        <v>6.4082999999999997</v>
      </c>
      <c r="I109" s="8">
        <f>CHOOSE( CONTROL!$C$32, 5.4651, 5.4616) * CHOOSE(CONTROL!$C$15, $D$11, 100%, $F$11)</f>
        <v>5.4650999999999996</v>
      </c>
      <c r="J109" s="4">
        <f>CHOOSE( CONTROL!$C$32, 5.3188, 5.3153) * CHOOSE(CONTROL!$C$15, $D$11, 100%, $F$11)</f>
        <v>5.3188000000000004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5.7296 * CHOOSE(CONTROL!$C$15, $D$11, 100%, $F$11)</f>
        <v>5.7295999999999996</v>
      </c>
      <c r="C110" s="8">
        <f>5.7349 * CHOOSE(CONTROL!$C$15, $D$11, 100%, $F$11)</f>
        <v>5.7348999999999997</v>
      </c>
      <c r="D110" s="8">
        <f>5.7785 * CHOOSE( CONTROL!$C$15, $D$11, 100%, $F$11)</f>
        <v>5.7785000000000002</v>
      </c>
      <c r="E110" s="12">
        <f>5.7635 * CHOOSE( CONTROL!$C$15, $D$11, 100%, $F$11)</f>
        <v>5.7634999999999996</v>
      </c>
      <c r="F110" s="4">
        <f>6.4743 * CHOOSE(CONTROL!$C$15, $D$11, 100%, $F$11)</f>
        <v>6.4743000000000004</v>
      </c>
      <c r="G110" s="8">
        <f>5.6703 * CHOOSE( CONTROL!$C$15, $D$11, 100%, $F$11)</f>
        <v>5.6703000000000001</v>
      </c>
      <c r="H110" s="4">
        <f>6.6452 * CHOOSE(CONTROL!$C$15, $D$11, 100%, $F$11)</f>
        <v>6.6452</v>
      </c>
      <c r="I110" s="8">
        <f>5.6986 * CHOOSE(CONTROL!$C$15, $D$11, 100%, $F$11)</f>
        <v>5.6985999999999999</v>
      </c>
      <c r="J110" s="4">
        <f>5.5514 * CHOOSE(CONTROL!$C$15, $D$11, 100%, $F$11)</f>
        <v>5.5514000000000001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6.1783 * CHOOSE(CONTROL!$C$15, $D$11, 100%, $F$11)</f>
        <v>6.1783000000000001</v>
      </c>
      <c r="C111" s="8">
        <f>6.1834 * CHOOSE(CONTROL!$C$15, $D$11, 100%, $F$11)</f>
        <v>6.1833999999999998</v>
      </c>
      <c r="D111" s="8">
        <f>6.167 * CHOOSE( CONTROL!$C$15, $D$11, 100%, $F$11)</f>
        <v>6.1669999999999998</v>
      </c>
      <c r="E111" s="12">
        <f>6.1725 * CHOOSE( CONTROL!$C$15, $D$11, 100%, $F$11)</f>
        <v>6.1725000000000003</v>
      </c>
      <c r="F111" s="4">
        <f>6.8436 * CHOOSE(CONTROL!$C$15, $D$11, 100%, $F$11)</f>
        <v>6.8436000000000003</v>
      </c>
      <c r="G111" s="8">
        <f>6.1147 * CHOOSE( CONTROL!$C$15, $D$11, 100%, $F$11)</f>
        <v>6.1147</v>
      </c>
      <c r="H111" s="4">
        <f>7.0101 * CHOOSE(CONTROL!$C$15, $D$11, 100%, $F$11)</f>
        <v>7.0101000000000004</v>
      </c>
      <c r="I111" s="8">
        <f>6.1348 * CHOOSE(CONTROL!$C$15, $D$11, 100%, $F$11)</f>
        <v>6.1348000000000003</v>
      </c>
      <c r="J111" s="4">
        <f>5.9873 * CHOOSE(CONTROL!$C$15, $D$11, 100%, $F$11)</f>
        <v>5.9873000000000003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6.1671 * CHOOSE(CONTROL!$C$15, $D$11, 100%, $F$11)</f>
        <v>6.1670999999999996</v>
      </c>
      <c r="C112" s="8">
        <f>6.1721 * CHOOSE(CONTROL!$C$15, $D$11, 100%, $F$11)</f>
        <v>6.1721000000000004</v>
      </c>
      <c r="D112" s="8">
        <f>6.1575 * CHOOSE( CONTROL!$C$15, $D$11, 100%, $F$11)</f>
        <v>6.1574999999999998</v>
      </c>
      <c r="E112" s="12">
        <f>6.1623 * CHOOSE( CONTROL!$C$15, $D$11, 100%, $F$11)</f>
        <v>6.1623000000000001</v>
      </c>
      <c r="F112" s="4">
        <f>6.8323 * CHOOSE(CONTROL!$C$15, $D$11, 100%, $F$11)</f>
        <v>6.8323</v>
      </c>
      <c r="G112" s="8">
        <f>6.1048 * CHOOSE( CONTROL!$C$15, $D$11, 100%, $F$11)</f>
        <v>6.1048</v>
      </c>
      <c r="H112" s="4">
        <f>6.999 * CHOOSE(CONTROL!$C$15, $D$11, 100%, $F$11)</f>
        <v>6.9989999999999997</v>
      </c>
      <c r="I112" s="8">
        <f>6.1292 * CHOOSE(CONTROL!$C$15, $D$11, 100%, $F$11)</f>
        <v>6.1292</v>
      </c>
      <c r="J112" s="4">
        <f>5.9764 * CHOOSE(CONTROL!$C$15, $D$11, 100%, $F$11)</f>
        <v>5.9763999999999999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6.4581 * CHOOSE(CONTROL!$C$15, $D$11, 100%, $F$11)</f>
        <v>6.4581</v>
      </c>
      <c r="C113" s="8">
        <f>6.4632 * CHOOSE(CONTROL!$C$15, $D$11, 100%, $F$11)</f>
        <v>6.4631999999999996</v>
      </c>
      <c r="D113" s="8">
        <f>6.4343 * CHOOSE( CONTROL!$C$15, $D$11, 100%, $F$11)</f>
        <v>6.4343000000000004</v>
      </c>
      <c r="E113" s="12">
        <f>6.4443 * CHOOSE( CONTROL!$C$15, $D$11, 100%, $F$11)</f>
        <v>6.4443000000000001</v>
      </c>
      <c r="F113" s="4">
        <f>7.1234 * CHOOSE(CONTROL!$C$15, $D$11, 100%, $F$11)</f>
        <v>7.1234000000000002</v>
      </c>
      <c r="G113" s="8">
        <f>6.3822 * CHOOSE( CONTROL!$C$15, $D$11, 100%, $F$11)</f>
        <v>6.3822000000000001</v>
      </c>
      <c r="H113" s="4">
        <f>7.2866 * CHOOSE(CONTROL!$C$15, $D$11, 100%, $F$11)</f>
        <v>7.2866</v>
      </c>
      <c r="I113" s="8">
        <f>6.4065 * CHOOSE(CONTROL!$C$15, $D$11, 100%, $F$11)</f>
        <v>6.4065000000000003</v>
      </c>
      <c r="J113" s="4">
        <f>6.2589 * CHOOSE(CONTROL!$C$15, $D$11, 100%, $F$11)</f>
        <v>6.2588999999999997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6.0412 * CHOOSE(CONTROL!$C$15, $D$11, 100%, $F$11)</f>
        <v>6.0411999999999999</v>
      </c>
      <c r="C114" s="8">
        <f>6.0463 * CHOOSE(CONTROL!$C$15, $D$11, 100%, $F$11)</f>
        <v>6.0462999999999996</v>
      </c>
      <c r="D114" s="8">
        <f>6.0174 * CHOOSE( CONTROL!$C$15, $D$11, 100%, $F$11)</f>
        <v>6.0174000000000003</v>
      </c>
      <c r="E114" s="12">
        <f>6.0274 * CHOOSE( CONTROL!$C$15, $D$11, 100%, $F$11)</f>
        <v>6.0274000000000001</v>
      </c>
      <c r="F114" s="4">
        <f>6.7065 * CHOOSE(CONTROL!$C$15, $D$11, 100%, $F$11)</f>
        <v>6.7065000000000001</v>
      </c>
      <c r="G114" s="8">
        <f>5.9702 * CHOOSE( CONTROL!$C$15, $D$11, 100%, $F$11)</f>
        <v>5.9702000000000002</v>
      </c>
      <c r="H114" s="4">
        <f>6.8746 * CHOOSE(CONTROL!$C$15, $D$11, 100%, $F$11)</f>
        <v>6.8746</v>
      </c>
      <c r="I114" s="8">
        <f>6.0016 * CHOOSE(CONTROL!$C$15, $D$11, 100%, $F$11)</f>
        <v>6.0015999999999998</v>
      </c>
      <c r="J114" s="4">
        <f>5.8542 * CHOOSE(CONTROL!$C$15, $D$11, 100%, $F$11)</f>
        <v>5.8541999999999996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5.9128 * CHOOSE(CONTROL!$C$15, $D$11, 100%, $F$11)</f>
        <v>5.9127999999999998</v>
      </c>
      <c r="C115" s="8">
        <f>5.9179 * CHOOSE(CONTROL!$C$15, $D$11, 100%, $F$11)</f>
        <v>5.9179000000000004</v>
      </c>
      <c r="D115" s="8">
        <f>5.8886 * CHOOSE( CONTROL!$C$15, $D$11, 100%, $F$11)</f>
        <v>5.8886000000000003</v>
      </c>
      <c r="E115" s="12">
        <f>5.8988 * CHOOSE( CONTROL!$C$15, $D$11, 100%, $F$11)</f>
        <v>5.8987999999999996</v>
      </c>
      <c r="F115" s="4">
        <f>6.5781 * CHOOSE(CONTROL!$C$15, $D$11, 100%, $F$11)</f>
        <v>6.5781000000000001</v>
      </c>
      <c r="G115" s="8">
        <f>5.843 * CHOOSE( CONTROL!$C$15, $D$11, 100%, $F$11)</f>
        <v>5.843</v>
      </c>
      <c r="H115" s="4">
        <f>6.7477 * CHOOSE(CONTROL!$C$15, $D$11, 100%, $F$11)</f>
        <v>6.7477</v>
      </c>
      <c r="I115" s="8">
        <f>5.8757 * CHOOSE(CONTROL!$C$15, $D$11, 100%, $F$11)</f>
        <v>5.8757000000000001</v>
      </c>
      <c r="J115" s="4">
        <f>5.7296 * CHOOSE(CONTROL!$C$15, $D$11, 100%, $F$11)</f>
        <v>5.7295999999999996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6.0033 * CHOOSE(CONTROL!$C$15, $D$11, 100%, $F$11)</f>
        <v>6.0033000000000003</v>
      </c>
      <c r="C116" s="8">
        <f>6.0078 * CHOOSE(CONTROL!$C$15, $D$11, 100%, $F$11)</f>
        <v>6.0077999999999996</v>
      </c>
      <c r="D116" s="8">
        <f>6.0512 * CHOOSE( CONTROL!$C$15, $D$11, 100%, $F$11)</f>
        <v>6.0511999999999997</v>
      </c>
      <c r="E116" s="12">
        <f>6.0364 * CHOOSE( CONTROL!$C$15, $D$11, 100%, $F$11)</f>
        <v>6.0364000000000004</v>
      </c>
      <c r="F116" s="4">
        <f>6.7477 * CHOOSE(CONTROL!$C$15, $D$11, 100%, $F$11)</f>
        <v>6.7477</v>
      </c>
      <c r="G116" s="8">
        <f>5.9394 * CHOOSE( CONTROL!$C$15, $D$11, 100%, $F$11)</f>
        <v>5.9394</v>
      </c>
      <c r="H116" s="4">
        <f>6.9153 * CHOOSE(CONTROL!$C$15, $D$11, 100%, $F$11)</f>
        <v>6.9153000000000002</v>
      </c>
      <c r="I116" s="8">
        <f>5.961 * CHOOSE(CONTROL!$C$15, $D$11, 100%, $F$11)</f>
        <v>5.9610000000000003</v>
      </c>
      <c r="J116" s="4">
        <f>5.8167 * CHOOSE(CONTROL!$C$15, $D$11, 100%, $F$11)</f>
        <v>5.8167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6.168, 6.1644) * CHOOSE(CONTROL!$C$15, $D$11, 100%, $F$11)</f>
        <v>6.1680000000000001</v>
      </c>
      <c r="C117" s="8">
        <f>CHOOSE( CONTROL!$C$32, 6.176, 6.1723) * CHOOSE(CONTROL!$C$15, $D$11, 100%, $F$11)</f>
        <v>6.1760000000000002</v>
      </c>
      <c r="D117" s="8">
        <f>CHOOSE( CONTROL!$C$32, 6.2137, 6.2101) * CHOOSE( CONTROL!$C$15, $D$11, 100%, $F$11)</f>
        <v>6.2137000000000002</v>
      </c>
      <c r="E117" s="12">
        <f>CHOOSE( CONTROL!$C$32, 6.1988, 6.1952) * CHOOSE( CONTROL!$C$15, $D$11, 100%, $F$11)</f>
        <v>6.1988000000000003</v>
      </c>
      <c r="F117" s="4">
        <f>CHOOSE( CONTROL!$C$32, 6.911, 6.9074) * CHOOSE(CONTROL!$C$15, $D$11, 100%, $F$11)</f>
        <v>6.9109999999999996</v>
      </c>
      <c r="G117" s="8">
        <f>CHOOSE( CONTROL!$C$32, 6.1017, 6.0981) * CHOOSE( CONTROL!$C$15, $D$11, 100%, $F$11)</f>
        <v>6.1017000000000001</v>
      </c>
      <c r="H117" s="4">
        <f>CHOOSE( CONTROL!$C$32, 7.0767, 7.0731) * CHOOSE(CONTROL!$C$15, $D$11, 100%, $F$11)</f>
        <v>7.0766999999999998</v>
      </c>
      <c r="I117" s="8">
        <f>CHOOSE( CONTROL!$C$32, 6.1198, 6.1162) * CHOOSE(CONTROL!$C$15, $D$11, 100%, $F$11)</f>
        <v>6.1197999999999997</v>
      </c>
      <c r="J117" s="4">
        <f>CHOOSE( CONTROL!$C$32, 5.9752, 5.9717) * CHOOSE(CONTROL!$C$15, $D$11, 100%, $F$11)</f>
        <v>5.9752000000000001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6.0691, 6.0654) * CHOOSE(CONTROL!$C$15, $D$11, 100%, $F$11)</f>
        <v>6.0690999999999997</v>
      </c>
      <c r="C118" s="8">
        <f>CHOOSE( CONTROL!$C$32, 6.077, 6.0734) * CHOOSE(CONTROL!$C$15, $D$11, 100%, $F$11)</f>
        <v>6.077</v>
      </c>
      <c r="D118" s="8">
        <f>CHOOSE( CONTROL!$C$32, 6.115, 6.1114) * CHOOSE( CONTROL!$C$15, $D$11, 100%, $F$11)</f>
        <v>6.1150000000000002</v>
      </c>
      <c r="E118" s="12">
        <f>CHOOSE( CONTROL!$C$32, 6.1, 6.0964) * CHOOSE( CONTROL!$C$15, $D$11, 100%, $F$11)</f>
        <v>6.1</v>
      </c>
      <c r="F118" s="4">
        <f>CHOOSE( CONTROL!$C$32, 6.8121, 6.8084) * CHOOSE(CONTROL!$C$15, $D$11, 100%, $F$11)</f>
        <v>6.8121</v>
      </c>
      <c r="G118" s="8">
        <f>CHOOSE( CONTROL!$C$32, 6.0042, 6.0006) * CHOOSE( CONTROL!$C$15, $D$11, 100%, $F$11)</f>
        <v>6.0042</v>
      </c>
      <c r="H118" s="4">
        <f>CHOOSE( CONTROL!$C$32, 6.9789, 6.9753) * CHOOSE(CONTROL!$C$15, $D$11, 100%, $F$11)</f>
        <v>6.9789000000000003</v>
      </c>
      <c r="I118" s="8">
        <f>CHOOSE( CONTROL!$C$32, 6.0247, 6.0212) * CHOOSE(CONTROL!$C$15, $D$11, 100%, $F$11)</f>
        <v>6.0247000000000002</v>
      </c>
      <c r="J118" s="4">
        <f>CHOOSE( CONTROL!$C$32, 5.8792, 5.8757) * CHOOSE(CONTROL!$C$15, $D$11, 100%, $F$11)</f>
        <v>5.8792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6.3296, 6.3259) * CHOOSE(CONTROL!$C$15, $D$11, 100%, $F$11)</f>
        <v>6.3296000000000001</v>
      </c>
      <c r="C119" s="8">
        <f>CHOOSE( CONTROL!$C$32, 6.3376, 6.3339) * CHOOSE(CONTROL!$C$15, $D$11, 100%, $F$11)</f>
        <v>6.3376000000000001</v>
      </c>
      <c r="D119" s="8">
        <f>CHOOSE( CONTROL!$C$32, 6.3758, 6.3721) * CHOOSE( CONTROL!$C$15, $D$11, 100%, $F$11)</f>
        <v>6.3757999999999999</v>
      </c>
      <c r="E119" s="12">
        <f>CHOOSE( CONTROL!$C$32, 6.3607, 6.357) * CHOOSE( CONTROL!$C$15, $D$11, 100%, $F$11)</f>
        <v>6.3606999999999996</v>
      </c>
      <c r="F119" s="4">
        <f>CHOOSE( CONTROL!$C$32, 7.0726, 7.0689) * CHOOSE(CONTROL!$C$15, $D$11, 100%, $F$11)</f>
        <v>7.0726000000000004</v>
      </c>
      <c r="G119" s="8">
        <f>CHOOSE( CONTROL!$C$32, 6.262, 6.2584) * CHOOSE( CONTROL!$C$15, $D$11, 100%, $F$11)</f>
        <v>6.2619999999999996</v>
      </c>
      <c r="H119" s="4">
        <f>CHOOSE( CONTROL!$C$32, 7.2364, 7.2328) * CHOOSE(CONTROL!$C$15, $D$11, 100%, $F$11)</f>
        <v>7.2363999999999997</v>
      </c>
      <c r="I119" s="8">
        <f>CHOOSE( CONTROL!$C$32, 6.2788, 6.2753) * CHOOSE(CONTROL!$C$15, $D$11, 100%, $F$11)</f>
        <v>6.2788000000000004</v>
      </c>
      <c r="J119" s="4">
        <f>CHOOSE( CONTROL!$C$32, 6.132, 6.1285) * CHOOSE(CONTROL!$C$15, $D$11, 100%, $F$11)</f>
        <v>6.1319999999999997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5.8421, 5.8385) * CHOOSE(CONTROL!$C$15, $D$11, 100%, $F$11)</f>
        <v>5.8421000000000003</v>
      </c>
      <c r="C120" s="8">
        <f>CHOOSE( CONTROL!$C$32, 5.8501, 5.8465) * CHOOSE(CONTROL!$C$15, $D$11, 100%, $F$11)</f>
        <v>5.8501000000000003</v>
      </c>
      <c r="D120" s="8">
        <f>CHOOSE( CONTROL!$C$32, 5.8884, 5.8847) * CHOOSE( CONTROL!$C$15, $D$11, 100%, $F$11)</f>
        <v>5.8883999999999999</v>
      </c>
      <c r="E120" s="12">
        <f>CHOOSE( CONTROL!$C$32, 5.8733, 5.8696) * CHOOSE( CONTROL!$C$15, $D$11, 100%, $F$11)</f>
        <v>5.8733000000000004</v>
      </c>
      <c r="F120" s="4">
        <f>CHOOSE( CONTROL!$C$32, 6.5851, 6.5815) * CHOOSE(CONTROL!$C$15, $D$11, 100%, $F$11)</f>
        <v>6.5850999999999997</v>
      </c>
      <c r="G120" s="8">
        <f>CHOOSE( CONTROL!$C$32, 5.7804, 5.7768) * CHOOSE( CONTROL!$C$15, $D$11, 100%, $F$11)</f>
        <v>5.7804000000000002</v>
      </c>
      <c r="H120" s="4">
        <f>CHOOSE( CONTROL!$C$32, 6.7547, 6.7511) * CHOOSE(CONTROL!$C$15, $D$11, 100%, $F$11)</f>
        <v>6.7546999999999997</v>
      </c>
      <c r="I120" s="8">
        <f>CHOOSE( CONTROL!$C$32, 5.8058, 5.8023) * CHOOSE(CONTROL!$C$15, $D$11, 100%, $F$11)</f>
        <v>5.8057999999999996</v>
      </c>
      <c r="J120" s="4">
        <f>CHOOSE( CONTROL!$C$32, 5.659, 5.6554) * CHOOSE(CONTROL!$C$15, $D$11, 100%, $F$11)</f>
        <v>5.6589999999999998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5.7201, 5.7164) * CHOOSE(CONTROL!$C$15, $D$11, 100%, $F$11)</f>
        <v>5.7201000000000004</v>
      </c>
      <c r="C121" s="8">
        <f>CHOOSE( CONTROL!$C$32, 5.728, 5.7244) * CHOOSE(CONTROL!$C$15, $D$11, 100%, $F$11)</f>
        <v>5.7279999999999998</v>
      </c>
      <c r="D121" s="8">
        <f>CHOOSE( CONTROL!$C$32, 5.7662, 5.7626) * CHOOSE( CONTROL!$C$15, $D$11, 100%, $F$11)</f>
        <v>5.7662000000000004</v>
      </c>
      <c r="E121" s="12">
        <f>CHOOSE( CONTROL!$C$32, 5.7512, 5.7475) * CHOOSE( CONTROL!$C$15, $D$11, 100%, $F$11)</f>
        <v>5.7511999999999999</v>
      </c>
      <c r="F121" s="4">
        <f>CHOOSE( CONTROL!$C$32, 6.4631, 6.4594) * CHOOSE(CONTROL!$C$15, $D$11, 100%, $F$11)</f>
        <v>6.4630999999999998</v>
      </c>
      <c r="G121" s="8">
        <f>CHOOSE( CONTROL!$C$32, 5.6596, 5.656) * CHOOSE( CONTROL!$C$15, $D$11, 100%, $F$11)</f>
        <v>5.6596000000000002</v>
      </c>
      <c r="H121" s="4">
        <f>CHOOSE( CONTROL!$C$32, 6.634, 6.6304) * CHOOSE(CONTROL!$C$15, $D$11, 100%, $F$11)</f>
        <v>6.6340000000000003</v>
      </c>
      <c r="I121" s="8">
        <f>CHOOSE( CONTROL!$C$32, 5.6869, 5.6834) * CHOOSE(CONTROL!$C$15, $D$11, 100%, $F$11)</f>
        <v>5.6868999999999996</v>
      </c>
      <c r="J121" s="4">
        <f>CHOOSE( CONTROL!$C$32, 5.5405, 5.537) * CHOOSE(CONTROL!$C$15, $D$11, 100%, $F$11)</f>
        <v>5.5404999999999998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5.9681 * CHOOSE(CONTROL!$C$15, $D$11, 100%, $F$11)</f>
        <v>5.9680999999999997</v>
      </c>
      <c r="C122" s="8">
        <f>5.9735 * CHOOSE(CONTROL!$C$15, $D$11, 100%, $F$11)</f>
        <v>5.9734999999999996</v>
      </c>
      <c r="D122" s="8">
        <f>6.017 * CHOOSE( CONTROL!$C$15, $D$11, 100%, $F$11)</f>
        <v>6.0170000000000003</v>
      </c>
      <c r="E122" s="12">
        <f>6.0021 * CHOOSE( CONTROL!$C$15, $D$11, 100%, $F$11)</f>
        <v>6.0021000000000004</v>
      </c>
      <c r="F122" s="4">
        <f>6.7129 * CHOOSE(CONTROL!$C$15, $D$11, 100%, $F$11)</f>
        <v>6.7129000000000003</v>
      </c>
      <c r="G122" s="8">
        <f>5.906 * CHOOSE( CONTROL!$C$15, $D$11, 100%, $F$11)</f>
        <v>5.9059999999999997</v>
      </c>
      <c r="H122" s="4">
        <f>6.8809 * CHOOSE(CONTROL!$C$15, $D$11, 100%, $F$11)</f>
        <v>6.8808999999999996</v>
      </c>
      <c r="I122" s="8">
        <f>5.9302 * CHOOSE(CONTROL!$C$15, $D$11, 100%, $F$11)</f>
        <v>5.9302000000000001</v>
      </c>
      <c r="J122" s="4">
        <f>5.7829 * CHOOSE(CONTROL!$C$15, $D$11, 100%, $F$11)</f>
        <v>5.7828999999999997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6.4356 * CHOOSE(CONTROL!$C$15, $D$11, 100%, $F$11)</f>
        <v>6.4356</v>
      </c>
      <c r="C123" s="8">
        <f>6.4406 * CHOOSE(CONTROL!$C$15, $D$11, 100%, $F$11)</f>
        <v>6.4405999999999999</v>
      </c>
      <c r="D123" s="8">
        <f>6.4243 * CHOOSE( CONTROL!$C$15, $D$11, 100%, $F$11)</f>
        <v>6.4242999999999997</v>
      </c>
      <c r="E123" s="12">
        <f>6.4297 * CHOOSE( CONTROL!$C$15, $D$11, 100%, $F$11)</f>
        <v>6.4297000000000004</v>
      </c>
      <c r="F123" s="4">
        <f>7.1008 * CHOOSE(CONTROL!$C$15, $D$11, 100%, $F$11)</f>
        <v>7.1007999999999996</v>
      </c>
      <c r="G123" s="8">
        <f>6.3689 * CHOOSE( CONTROL!$C$15, $D$11, 100%, $F$11)</f>
        <v>6.3689</v>
      </c>
      <c r="H123" s="4">
        <f>7.2643 * CHOOSE(CONTROL!$C$15, $D$11, 100%, $F$11)</f>
        <v>7.2643000000000004</v>
      </c>
      <c r="I123" s="8">
        <f>6.3846 * CHOOSE(CONTROL!$C$15, $D$11, 100%, $F$11)</f>
        <v>6.3845999999999998</v>
      </c>
      <c r="J123" s="4">
        <f>6.2369 * CHOOSE(CONTROL!$C$15, $D$11, 100%, $F$11)</f>
        <v>6.2369000000000003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6.4239 * CHOOSE(CONTROL!$C$15, $D$11, 100%, $F$11)</f>
        <v>6.4238999999999997</v>
      </c>
      <c r="C124" s="8">
        <f>6.4289 * CHOOSE(CONTROL!$C$15, $D$11, 100%, $F$11)</f>
        <v>6.4288999999999996</v>
      </c>
      <c r="D124" s="8">
        <f>6.4143 * CHOOSE( CONTROL!$C$15, $D$11, 100%, $F$11)</f>
        <v>6.4142999999999999</v>
      </c>
      <c r="E124" s="12">
        <f>6.4191 * CHOOSE( CONTROL!$C$15, $D$11, 100%, $F$11)</f>
        <v>6.4191000000000003</v>
      </c>
      <c r="F124" s="4">
        <f>7.0891 * CHOOSE(CONTROL!$C$15, $D$11, 100%, $F$11)</f>
        <v>7.0891000000000002</v>
      </c>
      <c r="G124" s="8">
        <f>6.3586 * CHOOSE( CONTROL!$C$15, $D$11, 100%, $F$11)</f>
        <v>6.3586</v>
      </c>
      <c r="H124" s="4">
        <f>7.2528 * CHOOSE(CONTROL!$C$15, $D$11, 100%, $F$11)</f>
        <v>7.2527999999999997</v>
      </c>
      <c r="I124" s="8">
        <f>6.3786 * CHOOSE(CONTROL!$C$15, $D$11, 100%, $F$11)</f>
        <v>6.3785999999999996</v>
      </c>
      <c r="J124" s="4">
        <f>6.2256 * CHOOSE(CONTROL!$C$15, $D$11, 100%, $F$11)</f>
        <v>6.2256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6.6556 * CHOOSE(CONTROL!$C$15, $D$11, 100%, $F$11)</f>
        <v>6.6555999999999997</v>
      </c>
      <c r="C125" s="8">
        <f>6.6607 * CHOOSE(CONTROL!$C$15, $D$11, 100%, $F$11)</f>
        <v>6.6607000000000003</v>
      </c>
      <c r="D125" s="8">
        <f>6.6318 * CHOOSE( CONTROL!$C$15, $D$11, 100%, $F$11)</f>
        <v>6.6318000000000001</v>
      </c>
      <c r="E125" s="12">
        <f>6.6418 * CHOOSE( CONTROL!$C$15, $D$11, 100%, $F$11)</f>
        <v>6.6417999999999999</v>
      </c>
      <c r="F125" s="4">
        <f>7.3209 * CHOOSE(CONTROL!$C$15, $D$11, 100%, $F$11)</f>
        <v>7.3209</v>
      </c>
      <c r="G125" s="8">
        <f>6.5774 * CHOOSE( CONTROL!$C$15, $D$11, 100%, $F$11)</f>
        <v>6.5773999999999999</v>
      </c>
      <c r="H125" s="4">
        <f>7.4818 * CHOOSE(CONTROL!$C$15, $D$11, 100%, $F$11)</f>
        <v>7.4817999999999998</v>
      </c>
      <c r="I125" s="8">
        <f>6.5982 * CHOOSE(CONTROL!$C$15, $D$11, 100%, $F$11)</f>
        <v>6.5982000000000003</v>
      </c>
      <c r="J125" s="4">
        <f>6.4505 * CHOOSE(CONTROL!$C$15, $D$11, 100%, $F$11)</f>
        <v>6.4504999999999999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6.2259 * CHOOSE(CONTROL!$C$15, $D$11, 100%, $F$11)</f>
        <v>6.2259000000000002</v>
      </c>
      <c r="C126" s="8">
        <f>6.231 * CHOOSE(CONTROL!$C$15, $D$11, 100%, $F$11)</f>
        <v>6.2309999999999999</v>
      </c>
      <c r="D126" s="8">
        <f>6.2021 * CHOOSE( CONTROL!$C$15, $D$11, 100%, $F$11)</f>
        <v>6.2020999999999997</v>
      </c>
      <c r="E126" s="12">
        <f>6.2121 * CHOOSE( CONTROL!$C$15, $D$11, 100%, $F$11)</f>
        <v>6.2121000000000004</v>
      </c>
      <c r="F126" s="4">
        <f>6.8912 * CHOOSE(CONTROL!$C$15, $D$11, 100%, $F$11)</f>
        <v>6.8912000000000004</v>
      </c>
      <c r="G126" s="8">
        <f>6.1527 * CHOOSE( CONTROL!$C$15, $D$11, 100%, $F$11)</f>
        <v>6.1527000000000003</v>
      </c>
      <c r="H126" s="4">
        <f>7.0572 * CHOOSE(CONTROL!$C$15, $D$11, 100%, $F$11)</f>
        <v>7.0571999999999999</v>
      </c>
      <c r="I126" s="8">
        <f>6.181 * CHOOSE(CONTROL!$C$15, $D$11, 100%, $F$11)</f>
        <v>6.181</v>
      </c>
      <c r="J126" s="4">
        <f>6.0335 * CHOOSE(CONTROL!$C$15, $D$11, 100%, $F$11)</f>
        <v>6.0335000000000001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6.0936 * CHOOSE(CONTROL!$C$15, $D$11, 100%, $F$11)</f>
        <v>6.0936000000000003</v>
      </c>
      <c r="C127" s="8">
        <f>6.0987 * CHOOSE(CONTROL!$C$15, $D$11, 100%, $F$11)</f>
        <v>6.0987</v>
      </c>
      <c r="D127" s="8">
        <f>6.0694 * CHOOSE( CONTROL!$C$15, $D$11, 100%, $F$11)</f>
        <v>6.0693999999999999</v>
      </c>
      <c r="E127" s="12">
        <f>6.0796 * CHOOSE( CONTROL!$C$15, $D$11, 100%, $F$11)</f>
        <v>6.0796000000000001</v>
      </c>
      <c r="F127" s="4">
        <f>6.7589 * CHOOSE(CONTROL!$C$15, $D$11, 100%, $F$11)</f>
        <v>6.7588999999999997</v>
      </c>
      <c r="G127" s="8">
        <f>6.0216 * CHOOSE( CONTROL!$C$15, $D$11, 100%, $F$11)</f>
        <v>6.0216000000000003</v>
      </c>
      <c r="H127" s="4">
        <f>6.9264 * CHOOSE(CONTROL!$C$15, $D$11, 100%, $F$11)</f>
        <v>6.9264000000000001</v>
      </c>
      <c r="I127" s="8">
        <f>6.0513 * CHOOSE(CONTROL!$C$15, $D$11, 100%, $F$11)</f>
        <v>6.0513000000000003</v>
      </c>
      <c r="J127" s="4">
        <f>5.9051 * CHOOSE(CONTROL!$C$15, $D$11, 100%, $F$11)</f>
        <v>5.9051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6.1868 * CHOOSE(CONTROL!$C$15, $D$11, 100%, $F$11)</f>
        <v>6.1867999999999999</v>
      </c>
      <c r="C128" s="8">
        <f>6.1913 * CHOOSE(CONTROL!$C$15, $D$11, 100%, $F$11)</f>
        <v>6.1913</v>
      </c>
      <c r="D128" s="8">
        <f>6.2347 * CHOOSE( CONTROL!$C$15, $D$11, 100%, $F$11)</f>
        <v>6.2347000000000001</v>
      </c>
      <c r="E128" s="12">
        <f>6.2199 * CHOOSE( CONTROL!$C$15, $D$11, 100%, $F$11)</f>
        <v>6.2199</v>
      </c>
      <c r="F128" s="4">
        <f>6.9312 * CHOOSE(CONTROL!$C$15, $D$11, 100%, $F$11)</f>
        <v>6.9311999999999996</v>
      </c>
      <c r="G128" s="8">
        <f>6.1208 * CHOOSE( CONTROL!$C$15, $D$11, 100%, $F$11)</f>
        <v>6.1208</v>
      </c>
      <c r="H128" s="4">
        <f>7.0967 * CHOOSE(CONTROL!$C$15, $D$11, 100%, $F$11)</f>
        <v>7.0967000000000002</v>
      </c>
      <c r="I128" s="8">
        <f>6.1392 * CHOOSE(CONTROL!$C$15, $D$11, 100%, $F$11)</f>
        <v>6.1391999999999998</v>
      </c>
      <c r="J128" s="4">
        <f>5.9948 * CHOOSE(CONTROL!$C$15, $D$11, 100%, $F$11)</f>
        <v>5.9947999999999997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6.3564, 6.3528) * CHOOSE(CONTROL!$C$15, $D$11, 100%, $F$11)</f>
        <v>6.3563999999999998</v>
      </c>
      <c r="C129" s="8">
        <f>CHOOSE( CONTROL!$C$32, 6.3644, 6.3608) * CHOOSE(CONTROL!$C$15, $D$11, 100%, $F$11)</f>
        <v>6.3643999999999998</v>
      </c>
      <c r="D129" s="8">
        <f>CHOOSE( CONTROL!$C$32, 6.4021, 6.3985) * CHOOSE( CONTROL!$C$15, $D$11, 100%, $F$11)</f>
        <v>6.4020999999999999</v>
      </c>
      <c r="E129" s="12">
        <f>CHOOSE( CONTROL!$C$32, 6.3872, 6.3836) * CHOOSE( CONTROL!$C$15, $D$11, 100%, $F$11)</f>
        <v>6.3872</v>
      </c>
      <c r="F129" s="4">
        <f>CHOOSE( CONTROL!$C$32, 7.0994, 7.0958) * CHOOSE(CONTROL!$C$15, $D$11, 100%, $F$11)</f>
        <v>7.0994000000000002</v>
      </c>
      <c r="G129" s="8">
        <f>CHOOSE( CONTROL!$C$32, 6.2879, 6.2843) * CHOOSE( CONTROL!$C$15, $D$11, 100%, $F$11)</f>
        <v>6.2878999999999996</v>
      </c>
      <c r="H129" s="4">
        <f>CHOOSE( CONTROL!$C$32, 7.2629, 7.2593) * CHOOSE(CONTROL!$C$15, $D$11, 100%, $F$11)</f>
        <v>7.2629000000000001</v>
      </c>
      <c r="I129" s="8">
        <f>CHOOSE( CONTROL!$C$32, 6.3027, 6.2992) * CHOOSE(CONTROL!$C$15, $D$11, 100%, $F$11)</f>
        <v>6.3026999999999997</v>
      </c>
      <c r="J129" s="4">
        <f>CHOOSE( CONTROL!$C$32, 6.1581, 6.1546) * CHOOSE(CONTROL!$C$15, $D$11, 100%, $F$11)</f>
        <v>6.1581000000000001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6.2545, 6.2508) * CHOOSE(CONTROL!$C$15, $D$11, 100%, $F$11)</f>
        <v>6.2545000000000002</v>
      </c>
      <c r="C130" s="8">
        <f>CHOOSE( CONTROL!$C$32, 6.2625, 6.2588) * CHOOSE(CONTROL!$C$15, $D$11, 100%, $F$11)</f>
        <v>6.2625000000000002</v>
      </c>
      <c r="D130" s="8">
        <f>CHOOSE( CONTROL!$C$32, 6.3004, 6.2968) * CHOOSE( CONTROL!$C$15, $D$11, 100%, $F$11)</f>
        <v>6.3003999999999998</v>
      </c>
      <c r="E130" s="12">
        <f>CHOOSE( CONTROL!$C$32, 6.2854, 6.2818) * CHOOSE( CONTROL!$C$15, $D$11, 100%, $F$11)</f>
        <v>6.2854000000000001</v>
      </c>
      <c r="F130" s="4">
        <f>CHOOSE( CONTROL!$C$32, 6.9975, 6.9938) * CHOOSE(CONTROL!$C$15, $D$11, 100%, $F$11)</f>
        <v>6.9974999999999996</v>
      </c>
      <c r="G130" s="8">
        <f>CHOOSE( CONTROL!$C$32, 6.1875, 6.1839) * CHOOSE( CONTROL!$C$15, $D$11, 100%, $F$11)</f>
        <v>6.1875</v>
      </c>
      <c r="H130" s="4">
        <f>CHOOSE( CONTROL!$C$32, 7.1622, 7.1586) * CHOOSE(CONTROL!$C$15, $D$11, 100%, $F$11)</f>
        <v>7.1622000000000003</v>
      </c>
      <c r="I130" s="8">
        <f>CHOOSE( CONTROL!$C$32, 6.2048, 6.2012) * CHOOSE(CONTROL!$C$15, $D$11, 100%, $F$11)</f>
        <v>6.2047999999999996</v>
      </c>
      <c r="J130" s="4">
        <f>CHOOSE( CONTROL!$C$32, 6.0591, 6.0556) * CHOOSE(CONTROL!$C$15, $D$11, 100%, $F$11)</f>
        <v>6.0590999999999999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6.523, 6.5193) * CHOOSE(CONTROL!$C$15, $D$11, 100%, $F$11)</f>
        <v>6.5229999999999997</v>
      </c>
      <c r="C131" s="8">
        <f>CHOOSE( CONTROL!$C$32, 6.5309, 6.5273) * CHOOSE(CONTROL!$C$15, $D$11, 100%, $F$11)</f>
        <v>6.5308999999999999</v>
      </c>
      <c r="D131" s="8">
        <f>CHOOSE( CONTROL!$C$32, 6.5691, 6.5655) * CHOOSE( CONTROL!$C$15, $D$11, 100%, $F$11)</f>
        <v>6.5690999999999997</v>
      </c>
      <c r="E131" s="12">
        <f>CHOOSE( CONTROL!$C$32, 6.5541, 6.5504) * CHOOSE( CONTROL!$C$15, $D$11, 100%, $F$11)</f>
        <v>6.5541</v>
      </c>
      <c r="F131" s="4">
        <f>CHOOSE( CONTROL!$C$32, 7.266, 7.2623) * CHOOSE(CONTROL!$C$15, $D$11, 100%, $F$11)</f>
        <v>7.266</v>
      </c>
      <c r="G131" s="8">
        <f>CHOOSE( CONTROL!$C$32, 6.4532, 6.4496) * CHOOSE( CONTROL!$C$15, $D$11, 100%, $F$11)</f>
        <v>6.4531999999999998</v>
      </c>
      <c r="H131" s="4">
        <f>CHOOSE( CONTROL!$C$32, 7.4275, 7.4239) * CHOOSE(CONTROL!$C$15, $D$11, 100%, $F$11)</f>
        <v>7.4275000000000002</v>
      </c>
      <c r="I131" s="8">
        <f>CHOOSE( CONTROL!$C$32, 6.4666, 6.4631) * CHOOSE(CONTROL!$C$15, $D$11, 100%, $F$11)</f>
        <v>6.4665999999999997</v>
      </c>
      <c r="J131" s="4">
        <f>CHOOSE( CONTROL!$C$32, 6.3197, 6.3162) * CHOOSE(CONTROL!$C$15, $D$11, 100%, $F$11)</f>
        <v>6.3197000000000001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6.0206, 6.0169) * CHOOSE(CONTROL!$C$15, $D$11, 100%, $F$11)</f>
        <v>6.0206</v>
      </c>
      <c r="C132" s="8">
        <f>CHOOSE( CONTROL!$C$32, 6.0286, 6.0249) * CHOOSE(CONTROL!$C$15, $D$11, 100%, $F$11)</f>
        <v>6.0286</v>
      </c>
      <c r="D132" s="8">
        <f>CHOOSE( CONTROL!$C$32, 6.0668, 6.0632) * CHOOSE( CONTROL!$C$15, $D$11, 100%, $F$11)</f>
        <v>6.0667999999999997</v>
      </c>
      <c r="E132" s="12">
        <f>CHOOSE( CONTROL!$C$32, 6.0517, 6.0481) * CHOOSE( CONTROL!$C$15, $D$11, 100%, $F$11)</f>
        <v>6.0517000000000003</v>
      </c>
      <c r="F132" s="4">
        <f>CHOOSE( CONTROL!$C$32, 6.7636, 6.76) * CHOOSE(CONTROL!$C$15, $D$11, 100%, $F$11)</f>
        <v>6.7636000000000003</v>
      </c>
      <c r="G132" s="8">
        <f>CHOOSE( CONTROL!$C$32, 5.9568, 5.9532) * CHOOSE( CONTROL!$C$15, $D$11, 100%, $F$11)</f>
        <v>5.9568000000000003</v>
      </c>
      <c r="H132" s="4">
        <f>CHOOSE( CONTROL!$C$32, 6.931, 6.9274) * CHOOSE(CONTROL!$C$15, $D$11, 100%, $F$11)</f>
        <v>6.931</v>
      </c>
      <c r="I132" s="8">
        <f>CHOOSE( CONTROL!$C$32, 5.9791, 5.9755) * CHOOSE(CONTROL!$C$15, $D$11, 100%, $F$11)</f>
        <v>5.9790999999999999</v>
      </c>
      <c r="J132" s="4">
        <f>CHOOSE( CONTROL!$C$32, 5.8322, 5.8286) * CHOOSE(CONTROL!$C$15, $D$11, 100%, $F$11)</f>
        <v>5.8322000000000003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5.8948, 5.8911) * CHOOSE(CONTROL!$C$15, $D$11, 100%, $F$11)</f>
        <v>5.8948</v>
      </c>
      <c r="C133" s="8">
        <f>CHOOSE( CONTROL!$C$32, 5.9028, 5.8991) * CHOOSE(CONTROL!$C$15, $D$11, 100%, $F$11)</f>
        <v>5.9028</v>
      </c>
      <c r="D133" s="8">
        <f>CHOOSE( CONTROL!$C$32, 5.9409, 5.9373) * CHOOSE( CONTROL!$C$15, $D$11, 100%, $F$11)</f>
        <v>5.9409000000000001</v>
      </c>
      <c r="E133" s="12">
        <f>CHOOSE( CONTROL!$C$32, 5.9259, 5.9222) * CHOOSE( CONTROL!$C$15, $D$11, 100%, $F$11)</f>
        <v>5.9259000000000004</v>
      </c>
      <c r="F133" s="4">
        <f>CHOOSE( CONTROL!$C$32, 6.6378, 6.6341) * CHOOSE(CONTROL!$C$15, $D$11, 100%, $F$11)</f>
        <v>6.6378000000000004</v>
      </c>
      <c r="G133" s="8">
        <f>CHOOSE( CONTROL!$C$32, 5.8323, 5.8287) * CHOOSE( CONTROL!$C$15, $D$11, 100%, $F$11)</f>
        <v>5.8323</v>
      </c>
      <c r="H133" s="4">
        <f>CHOOSE( CONTROL!$C$32, 6.8067, 6.8031) * CHOOSE(CONTROL!$C$15, $D$11, 100%, $F$11)</f>
        <v>6.8067000000000002</v>
      </c>
      <c r="I133" s="8">
        <f>CHOOSE( CONTROL!$C$32, 5.8566, 5.853) * CHOOSE(CONTROL!$C$15, $D$11, 100%, $F$11)</f>
        <v>5.8566000000000003</v>
      </c>
      <c r="J133" s="4">
        <f>CHOOSE( CONTROL!$C$32, 5.7101, 5.7065) * CHOOSE(CONTROL!$C$15, $D$11, 100%, $F$11)</f>
        <v>5.7100999999999997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6.1506 * CHOOSE(CONTROL!$C$15, $D$11, 100%, $F$11)</f>
        <v>6.1505999999999998</v>
      </c>
      <c r="C134" s="8">
        <f>6.156 * CHOOSE(CONTROL!$C$15, $D$11, 100%, $F$11)</f>
        <v>6.1559999999999997</v>
      </c>
      <c r="D134" s="8">
        <f>6.1995 * CHOOSE( CONTROL!$C$15, $D$11, 100%, $F$11)</f>
        <v>6.1994999999999996</v>
      </c>
      <c r="E134" s="12">
        <f>6.1846 * CHOOSE( CONTROL!$C$15, $D$11, 100%, $F$11)</f>
        <v>6.1845999999999997</v>
      </c>
      <c r="F134" s="4">
        <f>6.8954 * CHOOSE(CONTROL!$C$15, $D$11, 100%, $F$11)</f>
        <v>6.8954000000000004</v>
      </c>
      <c r="G134" s="8">
        <f>6.0863 * CHOOSE( CONTROL!$C$15, $D$11, 100%, $F$11)</f>
        <v>6.0862999999999996</v>
      </c>
      <c r="H134" s="4">
        <f>7.0613 * CHOOSE(CONTROL!$C$15, $D$11, 100%, $F$11)</f>
        <v>7.0613000000000001</v>
      </c>
      <c r="I134" s="8">
        <f>6.1074 * CHOOSE(CONTROL!$C$15, $D$11, 100%, $F$11)</f>
        <v>6.1074000000000002</v>
      </c>
      <c r="J134" s="4">
        <f>5.96 * CHOOSE(CONTROL!$C$15, $D$11, 100%, $F$11)</f>
        <v>5.96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6.6324 * CHOOSE(CONTROL!$C$15, $D$11, 100%, $F$11)</f>
        <v>6.6323999999999996</v>
      </c>
      <c r="C135" s="8">
        <f>6.6374 * CHOOSE(CONTROL!$C$15, $D$11, 100%, $F$11)</f>
        <v>6.6374000000000004</v>
      </c>
      <c r="D135" s="8">
        <f>6.6211 * CHOOSE( CONTROL!$C$15, $D$11, 100%, $F$11)</f>
        <v>6.6211000000000002</v>
      </c>
      <c r="E135" s="12">
        <f>6.6265 * CHOOSE( CONTROL!$C$15, $D$11, 100%, $F$11)</f>
        <v>6.6265000000000001</v>
      </c>
      <c r="F135" s="4">
        <f>7.2976 * CHOOSE(CONTROL!$C$15, $D$11, 100%, $F$11)</f>
        <v>7.2976000000000001</v>
      </c>
      <c r="G135" s="8">
        <f>6.5634 * CHOOSE( CONTROL!$C$15, $D$11, 100%, $F$11)</f>
        <v>6.5633999999999997</v>
      </c>
      <c r="H135" s="4">
        <f>7.4588 * CHOOSE(CONTROL!$C$15, $D$11, 100%, $F$11)</f>
        <v>7.4588000000000001</v>
      </c>
      <c r="I135" s="8">
        <f>6.5757 * CHOOSE(CONTROL!$C$15, $D$11, 100%, $F$11)</f>
        <v>6.5757000000000003</v>
      </c>
      <c r="J135" s="4">
        <f>6.428 * CHOOSE(CONTROL!$C$15, $D$11, 100%, $F$11)</f>
        <v>6.4279999999999999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6.6203 * CHOOSE(CONTROL!$C$15, $D$11, 100%, $F$11)</f>
        <v>6.6203000000000003</v>
      </c>
      <c r="C136" s="8">
        <f>6.6254 * CHOOSE(CONTROL!$C$15, $D$11, 100%, $F$11)</f>
        <v>6.6254</v>
      </c>
      <c r="D136" s="8">
        <f>6.6108 * CHOOSE( CONTROL!$C$15, $D$11, 100%, $F$11)</f>
        <v>6.6108000000000002</v>
      </c>
      <c r="E136" s="12">
        <f>6.6156 * CHOOSE( CONTROL!$C$15, $D$11, 100%, $F$11)</f>
        <v>6.6155999999999997</v>
      </c>
      <c r="F136" s="4">
        <f>7.2856 * CHOOSE(CONTROL!$C$15, $D$11, 100%, $F$11)</f>
        <v>7.2855999999999996</v>
      </c>
      <c r="G136" s="8">
        <f>6.5528 * CHOOSE( CONTROL!$C$15, $D$11, 100%, $F$11)</f>
        <v>6.5528000000000004</v>
      </c>
      <c r="H136" s="4">
        <f>7.4469 * CHOOSE(CONTROL!$C$15, $D$11, 100%, $F$11)</f>
        <v>7.4469000000000003</v>
      </c>
      <c r="I136" s="8">
        <f>6.5694 * CHOOSE(CONTROL!$C$15, $D$11, 100%, $F$11)</f>
        <v>6.5693999999999999</v>
      </c>
      <c r="J136" s="4">
        <f>6.4163 * CHOOSE(CONTROL!$C$15, $D$11, 100%, $F$11)</f>
        <v>6.4162999999999997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6.8585 * CHOOSE(CONTROL!$C$15, $D$11, 100%, $F$11)</f>
        <v>6.8585000000000003</v>
      </c>
      <c r="C137" s="8">
        <f>6.8635 * CHOOSE(CONTROL!$C$15, $D$11, 100%, $F$11)</f>
        <v>6.8635000000000002</v>
      </c>
      <c r="D137" s="8">
        <f>6.8346 * CHOOSE( CONTROL!$C$15, $D$11, 100%, $F$11)</f>
        <v>6.8346</v>
      </c>
      <c r="E137" s="12">
        <f>6.8446 * CHOOSE( CONTROL!$C$15, $D$11, 100%, $F$11)</f>
        <v>6.8445999999999998</v>
      </c>
      <c r="F137" s="4">
        <f>7.5237 * CHOOSE(CONTROL!$C$15, $D$11, 100%, $F$11)</f>
        <v>7.5236999999999998</v>
      </c>
      <c r="G137" s="8">
        <f>6.7778 * CHOOSE( CONTROL!$C$15, $D$11, 100%, $F$11)</f>
        <v>6.7778</v>
      </c>
      <c r="H137" s="4">
        <f>7.6823 * CHOOSE(CONTROL!$C$15, $D$11, 100%, $F$11)</f>
        <v>7.6822999999999997</v>
      </c>
      <c r="I137" s="8">
        <f>6.7952 * CHOOSE(CONTROL!$C$15, $D$11, 100%, $F$11)</f>
        <v>6.7952000000000004</v>
      </c>
      <c r="J137" s="4">
        <f>6.6474 * CHOOSE(CONTROL!$C$15, $D$11, 100%, $F$11)</f>
        <v>6.6474000000000002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6.4156 * CHOOSE(CONTROL!$C$15, $D$11, 100%, $F$11)</f>
        <v>6.4156000000000004</v>
      </c>
      <c r="C138" s="8">
        <f>6.4207 * CHOOSE(CONTROL!$C$15, $D$11, 100%, $F$11)</f>
        <v>6.4207000000000001</v>
      </c>
      <c r="D138" s="8">
        <f>6.3918 * CHOOSE( CONTROL!$C$15, $D$11, 100%, $F$11)</f>
        <v>6.3917999999999999</v>
      </c>
      <c r="E138" s="12">
        <f>6.4018 * CHOOSE( CONTROL!$C$15, $D$11, 100%, $F$11)</f>
        <v>6.4017999999999997</v>
      </c>
      <c r="F138" s="4">
        <f>7.0809 * CHOOSE(CONTROL!$C$15, $D$11, 100%, $F$11)</f>
        <v>7.0808999999999997</v>
      </c>
      <c r="G138" s="8">
        <f>6.3402 * CHOOSE( CONTROL!$C$15, $D$11, 100%, $F$11)</f>
        <v>6.3402000000000003</v>
      </c>
      <c r="H138" s="4">
        <f>7.2446 * CHOOSE(CONTROL!$C$15, $D$11, 100%, $F$11)</f>
        <v>7.2446000000000002</v>
      </c>
      <c r="I138" s="8">
        <f>6.3652 * CHOOSE(CONTROL!$C$15, $D$11, 100%, $F$11)</f>
        <v>6.3651999999999997</v>
      </c>
      <c r="J138" s="4">
        <f>6.2176 * CHOOSE(CONTROL!$C$15, $D$11, 100%, $F$11)</f>
        <v>6.2176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6.2793 * CHOOSE(CONTROL!$C$15, $D$11, 100%, $F$11)</f>
        <v>6.2793000000000001</v>
      </c>
      <c r="C139" s="8">
        <f>6.2843 * CHOOSE(CONTROL!$C$15, $D$11, 100%, $F$11)</f>
        <v>6.2843</v>
      </c>
      <c r="D139" s="8">
        <f>6.2551 * CHOOSE( CONTROL!$C$15, $D$11, 100%, $F$11)</f>
        <v>6.2550999999999997</v>
      </c>
      <c r="E139" s="12">
        <f>6.2652 * CHOOSE( CONTROL!$C$15, $D$11, 100%, $F$11)</f>
        <v>6.2652000000000001</v>
      </c>
      <c r="F139" s="4">
        <f>6.9445 * CHOOSE(CONTROL!$C$15, $D$11, 100%, $F$11)</f>
        <v>6.9444999999999997</v>
      </c>
      <c r="G139" s="8">
        <f>6.2051 * CHOOSE( CONTROL!$C$15, $D$11, 100%, $F$11)</f>
        <v>6.2050999999999998</v>
      </c>
      <c r="H139" s="4">
        <f>7.1099 * CHOOSE(CONTROL!$C$15, $D$11, 100%, $F$11)</f>
        <v>7.1098999999999997</v>
      </c>
      <c r="I139" s="8">
        <f>6.2315 * CHOOSE(CONTROL!$C$15, $D$11, 100%, $F$11)</f>
        <v>6.2314999999999996</v>
      </c>
      <c r="J139" s="4">
        <f>6.0853 * CHOOSE(CONTROL!$C$15, $D$11, 100%, $F$11)</f>
        <v>6.0853000000000002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6.3753 * CHOOSE(CONTROL!$C$15, $D$11, 100%, $F$11)</f>
        <v>6.3753000000000002</v>
      </c>
      <c r="C140" s="8">
        <f>6.3798 * CHOOSE(CONTROL!$C$15, $D$11, 100%, $F$11)</f>
        <v>6.3798000000000004</v>
      </c>
      <c r="D140" s="8">
        <f>6.4232 * CHOOSE( CONTROL!$C$15, $D$11, 100%, $F$11)</f>
        <v>6.4231999999999996</v>
      </c>
      <c r="E140" s="12">
        <f>6.4084 * CHOOSE( CONTROL!$C$15, $D$11, 100%, $F$11)</f>
        <v>6.4084000000000003</v>
      </c>
      <c r="F140" s="4">
        <f>7.1197 * CHOOSE(CONTROL!$C$15, $D$11, 100%, $F$11)</f>
        <v>7.1196999999999999</v>
      </c>
      <c r="G140" s="8">
        <f>6.3071 * CHOOSE( CONTROL!$C$15, $D$11, 100%, $F$11)</f>
        <v>6.3071000000000002</v>
      </c>
      <c r="H140" s="4">
        <f>7.283 * CHOOSE(CONTROL!$C$15, $D$11, 100%, $F$11)</f>
        <v>7.2830000000000004</v>
      </c>
      <c r="I140" s="8">
        <f>6.3223 * CHOOSE(CONTROL!$C$15, $D$11, 100%, $F$11)</f>
        <v>6.3223000000000003</v>
      </c>
      <c r="J140" s="4">
        <f>6.1778 * CHOOSE(CONTROL!$C$15, $D$11, 100%, $F$11)</f>
        <v>6.1778000000000004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6.55, 6.5463) * CHOOSE(CONTROL!$C$15, $D$11, 100%, $F$11)</f>
        <v>6.55</v>
      </c>
      <c r="C141" s="8">
        <f>CHOOSE( CONTROL!$C$32, 6.5579, 6.5543) * CHOOSE(CONTROL!$C$15, $D$11, 100%, $F$11)</f>
        <v>6.5579000000000001</v>
      </c>
      <c r="D141" s="8">
        <f>CHOOSE( CONTROL!$C$32, 6.5957, 6.592) * CHOOSE( CONTROL!$C$15, $D$11, 100%, $F$11)</f>
        <v>6.5956999999999999</v>
      </c>
      <c r="E141" s="12">
        <f>CHOOSE( CONTROL!$C$32, 6.5808, 6.5771) * CHOOSE( CONTROL!$C$15, $D$11, 100%, $F$11)</f>
        <v>6.5808</v>
      </c>
      <c r="F141" s="4">
        <f>CHOOSE( CONTROL!$C$32, 7.293, 7.2893) * CHOOSE(CONTROL!$C$15, $D$11, 100%, $F$11)</f>
        <v>7.2930000000000001</v>
      </c>
      <c r="G141" s="8">
        <f>CHOOSE( CONTROL!$C$32, 6.4791, 6.4755) * CHOOSE( CONTROL!$C$15, $D$11, 100%, $F$11)</f>
        <v>6.4790999999999999</v>
      </c>
      <c r="H141" s="4">
        <f>CHOOSE( CONTROL!$C$32, 7.4542, 7.4506) * CHOOSE(CONTROL!$C$15, $D$11, 100%, $F$11)</f>
        <v>7.4542000000000002</v>
      </c>
      <c r="I141" s="8">
        <f>CHOOSE( CONTROL!$C$32, 6.4906, 6.4871) * CHOOSE(CONTROL!$C$15, $D$11, 100%, $F$11)</f>
        <v>6.4905999999999997</v>
      </c>
      <c r="J141" s="4">
        <f>CHOOSE( CONTROL!$C$32, 6.3459, 6.3424) * CHOOSE(CONTROL!$C$15, $D$11, 100%, $F$11)</f>
        <v>6.3459000000000003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6.4449, 6.4412) * CHOOSE(CONTROL!$C$15, $D$11, 100%, $F$11)</f>
        <v>6.4448999999999996</v>
      </c>
      <c r="C142" s="8">
        <f>CHOOSE( CONTROL!$C$32, 6.4529, 6.4492) * CHOOSE(CONTROL!$C$15, $D$11, 100%, $F$11)</f>
        <v>6.4528999999999996</v>
      </c>
      <c r="D142" s="8">
        <f>CHOOSE( CONTROL!$C$32, 6.4908, 6.4872) * CHOOSE( CONTROL!$C$15, $D$11, 100%, $F$11)</f>
        <v>6.4908000000000001</v>
      </c>
      <c r="E142" s="12">
        <f>CHOOSE( CONTROL!$C$32, 6.4758, 6.4722) * CHOOSE( CONTROL!$C$15, $D$11, 100%, $F$11)</f>
        <v>6.4757999999999996</v>
      </c>
      <c r="F142" s="4">
        <f>CHOOSE( CONTROL!$C$32, 7.1879, 7.1842) * CHOOSE(CONTROL!$C$15, $D$11, 100%, $F$11)</f>
        <v>7.1879</v>
      </c>
      <c r="G142" s="8">
        <f>CHOOSE( CONTROL!$C$32, 6.3756, 6.372) * CHOOSE( CONTROL!$C$15, $D$11, 100%, $F$11)</f>
        <v>6.3756000000000004</v>
      </c>
      <c r="H142" s="4">
        <f>CHOOSE( CONTROL!$C$32, 7.3504, 7.3468) * CHOOSE(CONTROL!$C$15, $D$11, 100%, $F$11)</f>
        <v>7.3503999999999996</v>
      </c>
      <c r="I142" s="8">
        <f>CHOOSE( CONTROL!$C$32, 6.3897, 6.3861) * CHOOSE(CONTROL!$C$15, $D$11, 100%, $F$11)</f>
        <v>6.3897000000000004</v>
      </c>
      <c r="J142" s="4">
        <f>CHOOSE( CONTROL!$C$32, 6.2439, 6.2404) * CHOOSE(CONTROL!$C$15, $D$11, 100%, $F$11)</f>
        <v>6.2439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6.7216, 6.7179) * CHOOSE(CONTROL!$C$15, $D$11, 100%, $F$11)</f>
        <v>6.7215999999999996</v>
      </c>
      <c r="C143" s="8">
        <f>CHOOSE( CONTROL!$C$32, 6.7295, 6.7259) * CHOOSE(CONTROL!$C$15, $D$11, 100%, $F$11)</f>
        <v>6.7294999999999998</v>
      </c>
      <c r="D143" s="8">
        <f>CHOOSE( CONTROL!$C$32, 6.7677, 6.7641) * CHOOSE( CONTROL!$C$15, $D$11, 100%, $F$11)</f>
        <v>6.7676999999999996</v>
      </c>
      <c r="E143" s="12">
        <f>CHOOSE( CONTROL!$C$32, 6.7527, 6.749) * CHOOSE( CONTROL!$C$15, $D$11, 100%, $F$11)</f>
        <v>6.7526999999999999</v>
      </c>
      <c r="F143" s="4">
        <f>CHOOSE( CONTROL!$C$32, 7.4646, 7.4609) * CHOOSE(CONTROL!$C$15, $D$11, 100%, $F$11)</f>
        <v>7.4645999999999999</v>
      </c>
      <c r="G143" s="8">
        <f>CHOOSE( CONTROL!$C$32, 6.6494, 6.6458) * CHOOSE( CONTROL!$C$15, $D$11, 100%, $F$11)</f>
        <v>6.6494</v>
      </c>
      <c r="H143" s="4">
        <f>CHOOSE( CONTROL!$C$32, 7.6238, 7.6202) * CHOOSE(CONTROL!$C$15, $D$11, 100%, $F$11)</f>
        <v>7.6238000000000001</v>
      </c>
      <c r="I143" s="8">
        <f>CHOOSE( CONTROL!$C$32, 6.6594, 6.6559) * CHOOSE(CONTROL!$C$15, $D$11, 100%, $F$11)</f>
        <v>6.6593999999999998</v>
      </c>
      <c r="J143" s="4">
        <f>CHOOSE( CONTROL!$C$32, 6.5125, 6.5089) * CHOOSE(CONTROL!$C$15, $D$11, 100%, $F$11)</f>
        <v>6.5125000000000002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6.2039, 6.2002) * CHOOSE(CONTROL!$C$15, $D$11, 100%, $F$11)</f>
        <v>6.2039</v>
      </c>
      <c r="C144" s="8">
        <f>CHOOSE( CONTROL!$C$32, 6.2118, 6.2082) * CHOOSE(CONTROL!$C$15, $D$11, 100%, $F$11)</f>
        <v>6.2118000000000002</v>
      </c>
      <c r="D144" s="8">
        <f>CHOOSE( CONTROL!$C$32, 6.2501, 6.2465) * CHOOSE( CONTROL!$C$15, $D$11, 100%, $F$11)</f>
        <v>6.2500999999999998</v>
      </c>
      <c r="E144" s="12">
        <f>CHOOSE( CONTROL!$C$32, 6.235, 6.2314) * CHOOSE( CONTROL!$C$15, $D$11, 100%, $F$11)</f>
        <v>6.2350000000000003</v>
      </c>
      <c r="F144" s="4">
        <f>CHOOSE( CONTROL!$C$32, 6.9469, 6.9432) * CHOOSE(CONTROL!$C$15, $D$11, 100%, $F$11)</f>
        <v>6.9469000000000003</v>
      </c>
      <c r="G144" s="8">
        <f>CHOOSE( CONTROL!$C$32, 6.1379, 6.1343) * CHOOSE( CONTROL!$C$15, $D$11, 100%, $F$11)</f>
        <v>6.1379000000000001</v>
      </c>
      <c r="H144" s="4">
        <f>CHOOSE( CONTROL!$C$32, 7.1122, 7.1086) * CHOOSE(CONTROL!$C$15, $D$11, 100%, $F$11)</f>
        <v>7.1121999999999996</v>
      </c>
      <c r="I144" s="8">
        <f>CHOOSE( CONTROL!$C$32, 6.157, 6.1535) * CHOOSE(CONTROL!$C$15, $D$11, 100%, $F$11)</f>
        <v>6.157</v>
      </c>
      <c r="J144" s="4">
        <f>CHOOSE( CONTROL!$C$32, 6.01, 6.0065) * CHOOSE(CONTROL!$C$15, $D$11, 100%, $F$11)</f>
        <v>6.01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6.0742, 6.0706) * CHOOSE(CONTROL!$C$15, $D$11, 100%, $F$11)</f>
        <v>6.0742000000000003</v>
      </c>
      <c r="C145" s="8">
        <f>CHOOSE( CONTROL!$C$32, 6.0822, 6.0785) * CHOOSE(CONTROL!$C$15, $D$11, 100%, $F$11)</f>
        <v>6.0822000000000003</v>
      </c>
      <c r="D145" s="8">
        <f>CHOOSE( CONTROL!$C$32, 6.1204, 6.1167) * CHOOSE( CONTROL!$C$15, $D$11, 100%, $F$11)</f>
        <v>6.1204000000000001</v>
      </c>
      <c r="E145" s="12">
        <f>CHOOSE( CONTROL!$C$32, 6.1053, 6.1017) * CHOOSE( CONTROL!$C$15, $D$11, 100%, $F$11)</f>
        <v>6.1052999999999997</v>
      </c>
      <c r="F145" s="4">
        <f>CHOOSE( CONTROL!$C$32, 6.8172, 6.8136) * CHOOSE(CONTROL!$C$15, $D$11, 100%, $F$11)</f>
        <v>6.8171999999999997</v>
      </c>
      <c r="G145" s="8">
        <f>CHOOSE( CONTROL!$C$32, 6.0096, 6.006) * CHOOSE( CONTROL!$C$15, $D$11, 100%, $F$11)</f>
        <v>6.0095999999999998</v>
      </c>
      <c r="H145" s="4">
        <f>CHOOSE( CONTROL!$C$32, 6.984, 6.9804) * CHOOSE(CONTROL!$C$15, $D$11, 100%, $F$11)</f>
        <v>6.984</v>
      </c>
      <c r="I145" s="8">
        <f>CHOOSE( CONTROL!$C$32, 6.0308, 6.0272) * CHOOSE(CONTROL!$C$15, $D$11, 100%, $F$11)</f>
        <v>6.0308000000000002</v>
      </c>
      <c r="J145" s="4">
        <f>CHOOSE( CONTROL!$C$32, 5.8842, 5.8807) * CHOOSE(CONTROL!$C$15, $D$11, 100%, $F$11)</f>
        <v>5.8841999999999999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6.338 * CHOOSE(CONTROL!$C$15, $D$11, 100%, $F$11)</f>
        <v>6.3380000000000001</v>
      </c>
      <c r="C146" s="8">
        <f>6.3434 * CHOOSE(CONTROL!$C$15, $D$11, 100%, $F$11)</f>
        <v>6.3433999999999999</v>
      </c>
      <c r="D146" s="8">
        <f>6.3869 * CHOOSE( CONTROL!$C$15, $D$11, 100%, $F$11)</f>
        <v>6.3868999999999998</v>
      </c>
      <c r="E146" s="12">
        <f>6.372 * CHOOSE( CONTROL!$C$15, $D$11, 100%, $F$11)</f>
        <v>6.3719999999999999</v>
      </c>
      <c r="F146" s="4">
        <f>7.0828 * CHOOSE(CONTROL!$C$15, $D$11, 100%, $F$11)</f>
        <v>7.0827999999999998</v>
      </c>
      <c r="G146" s="8">
        <f>6.2716 * CHOOSE( CONTROL!$C$15, $D$11, 100%, $F$11)</f>
        <v>6.2716000000000003</v>
      </c>
      <c r="H146" s="4">
        <f>7.2465 * CHOOSE(CONTROL!$C$15, $D$11, 100%, $F$11)</f>
        <v>7.2465000000000002</v>
      </c>
      <c r="I146" s="8">
        <f>6.2894 * CHOOSE(CONTROL!$C$15, $D$11, 100%, $F$11)</f>
        <v>6.2893999999999997</v>
      </c>
      <c r="J146" s="4">
        <f>6.1419 * CHOOSE(CONTROL!$C$15, $D$11, 100%, $F$11)</f>
        <v>6.1418999999999997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6.8345 * CHOOSE(CONTROL!$C$15, $D$11, 100%, $F$11)</f>
        <v>6.8345000000000002</v>
      </c>
      <c r="C147" s="8">
        <f>6.8396 * CHOOSE(CONTROL!$C$15, $D$11, 100%, $F$11)</f>
        <v>6.8395999999999999</v>
      </c>
      <c r="D147" s="8">
        <f>6.8232 * CHOOSE( CONTROL!$C$15, $D$11, 100%, $F$11)</f>
        <v>6.8231999999999999</v>
      </c>
      <c r="E147" s="12">
        <f>6.8287 * CHOOSE( CONTROL!$C$15, $D$11, 100%, $F$11)</f>
        <v>6.8287000000000004</v>
      </c>
      <c r="F147" s="4">
        <f>7.4998 * CHOOSE(CONTROL!$C$15, $D$11, 100%, $F$11)</f>
        <v>7.4997999999999996</v>
      </c>
      <c r="G147" s="8">
        <f>6.7632 * CHOOSE( CONTROL!$C$15, $D$11, 100%, $F$11)</f>
        <v>6.7632000000000003</v>
      </c>
      <c r="H147" s="4">
        <f>7.6586 * CHOOSE(CONTROL!$C$15, $D$11, 100%, $F$11)</f>
        <v>7.6585999999999999</v>
      </c>
      <c r="I147" s="8">
        <f>6.7719 * CHOOSE(CONTROL!$C$15, $D$11, 100%, $F$11)</f>
        <v>6.7718999999999996</v>
      </c>
      <c r="J147" s="4">
        <f>6.6241 * CHOOSE(CONTROL!$C$15, $D$11, 100%, $F$11)</f>
        <v>6.6241000000000003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6.8221 * CHOOSE(CONTROL!$C$15, $D$11, 100%, $F$11)</f>
        <v>6.8220999999999998</v>
      </c>
      <c r="C148" s="8">
        <f>6.8271 * CHOOSE(CONTROL!$C$15, $D$11, 100%, $F$11)</f>
        <v>6.8270999999999997</v>
      </c>
      <c r="D148" s="8">
        <f>6.8125 * CHOOSE( CONTROL!$C$15, $D$11, 100%, $F$11)</f>
        <v>6.8125</v>
      </c>
      <c r="E148" s="12">
        <f>6.8173 * CHOOSE( CONTROL!$C$15, $D$11, 100%, $F$11)</f>
        <v>6.8173000000000004</v>
      </c>
      <c r="F148" s="4">
        <f>7.4873 * CHOOSE(CONTROL!$C$15, $D$11, 100%, $F$11)</f>
        <v>7.4873000000000003</v>
      </c>
      <c r="G148" s="8">
        <f>6.7522 * CHOOSE( CONTROL!$C$15, $D$11, 100%, $F$11)</f>
        <v>6.7522000000000002</v>
      </c>
      <c r="H148" s="4">
        <f>7.6463 * CHOOSE(CONTROL!$C$15, $D$11, 100%, $F$11)</f>
        <v>7.6463000000000001</v>
      </c>
      <c r="I148" s="8">
        <f>6.7652 * CHOOSE(CONTROL!$C$15, $D$11, 100%, $F$11)</f>
        <v>6.7652000000000001</v>
      </c>
      <c r="J148" s="4">
        <f>6.6121 * CHOOSE(CONTROL!$C$15, $D$11, 100%, $F$11)</f>
        <v>6.6120999999999999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7.0667 * CHOOSE(CONTROL!$C$15, $D$11, 100%, $F$11)</f>
        <v>7.0667</v>
      </c>
      <c r="C149" s="8">
        <f>7.0718 * CHOOSE(CONTROL!$C$15, $D$11, 100%, $F$11)</f>
        <v>7.0717999999999996</v>
      </c>
      <c r="D149" s="8">
        <f>7.0429 * CHOOSE( CONTROL!$C$15, $D$11, 100%, $F$11)</f>
        <v>7.0429000000000004</v>
      </c>
      <c r="E149" s="12">
        <f>7.0529 * CHOOSE( CONTROL!$C$15, $D$11, 100%, $F$11)</f>
        <v>7.0529000000000002</v>
      </c>
      <c r="F149" s="4">
        <f>7.732 * CHOOSE(CONTROL!$C$15, $D$11, 100%, $F$11)</f>
        <v>7.7320000000000002</v>
      </c>
      <c r="G149" s="8">
        <f>6.9837 * CHOOSE( CONTROL!$C$15, $D$11, 100%, $F$11)</f>
        <v>6.9836999999999998</v>
      </c>
      <c r="H149" s="4">
        <f>7.8881 * CHOOSE(CONTROL!$C$15, $D$11, 100%, $F$11)</f>
        <v>7.8880999999999997</v>
      </c>
      <c r="I149" s="8">
        <f>6.9974 * CHOOSE(CONTROL!$C$15, $D$11, 100%, $F$11)</f>
        <v>6.9973999999999998</v>
      </c>
      <c r="J149" s="4">
        <f>6.8495 * CHOOSE(CONTROL!$C$15, $D$11, 100%, $F$11)</f>
        <v>6.8494999999999999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6.6105 * CHOOSE(CONTROL!$C$15, $D$11, 100%, $F$11)</f>
        <v>6.6105</v>
      </c>
      <c r="C150" s="8">
        <f>6.6155 * CHOOSE(CONTROL!$C$15, $D$11, 100%, $F$11)</f>
        <v>6.6154999999999999</v>
      </c>
      <c r="D150" s="8">
        <f>6.5866 * CHOOSE( CONTROL!$C$15, $D$11, 100%, $F$11)</f>
        <v>6.5865999999999998</v>
      </c>
      <c r="E150" s="12">
        <f>6.5966 * CHOOSE( CONTROL!$C$15, $D$11, 100%, $F$11)</f>
        <v>6.5965999999999996</v>
      </c>
      <c r="F150" s="4">
        <f>7.2757 * CHOOSE(CONTROL!$C$15, $D$11, 100%, $F$11)</f>
        <v>7.2756999999999996</v>
      </c>
      <c r="G150" s="8">
        <f>6.5327 * CHOOSE( CONTROL!$C$15, $D$11, 100%, $F$11)</f>
        <v>6.5327000000000002</v>
      </c>
      <c r="H150" s="4">
        <f>7.4372 * CHOOSE(CONTROL!$C$15, $D$11, 100%, $F$11)</f>
        <v>7.4371999999999998</v>
      </c>
      <c r="I150" s="8">
        <f>6.5544 * CHOOSE(CONTROL!$C$15, $D$11, 100%, $F$11)</f>
        <v>6.5544000000000002</v>
      </c>
      <c r="J150" s="4">
        <f>6.4067 * CHOOSE(CONTROL!$C$15, $D$11, 100%, $F$11)</f>
        <v>6.4066999999999998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6.4699 * CHOOSE(CONTROL!$C$15, $D$11, 100%, $F$11)</f>
        <v>6.4699</v>
      </c>
      <c r="C151" s="8">
        <f>6.475 * CHOOSE(CONTROL!$C$15, $D$11, 100%, $F$11)</f>
        <v>6.4749999999999996</v>
      </c>
      <c r="D151" s="8">
        <f>6.4457 * CHOOSE( CONTROL!$C$15, $D$11, 100%, $F$11)</f>
        <v>6.4457000000000004</v>
      </c>
      <c r="E151" s="12">
        <f>6.4559 * CHOOSE( CONTROL!$C$15, $D$11, 100%, $F$11)</f>
        <v>6.4558999999999997</v>
      </c>
      <c r="F151" s="4">
        <f>7.1352 * CHOOSE(CONTROL!$C$15, $D$11, 100%, $F$11)</f>
        <v>7.1352000000000002</v>
      </c>
      <c r="G151" s="8">
        <f>6.3936 * CHOOSE( CONTROL!$C$15, $D$11, 100%, $F$11)</f>
        <v>6.3936000000000002</v>
      </c>
      <c r="H151" s="4">
        <f>7.2983 * CHOOSE(CONTROL!$C$15, $D$11, 100%, $F$11)</f>
        <v>7.2983000000000002</v>
      </c>
      <c r="I151" s="8">
        <f>6.4167 * CHOOSE(CONTROL!$C$15, $D$11, 100%, $F$11)</f>
        <v>6.4166999999999996</v>
      </c>
      <c r="J151" s="4">
        <f>6.2703 * CHOOSE(CONTROL!$C$15, $D$11, 100%, $F$11)</f>
        <v>6.2702999999999998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6.5689 * CHOOSE(CONTROL!$C$15, $D$11, 100%, $F$11)</f>
        <v>6.5689000000000002</v>
      </c>
      <c r="C152" s="8">
        <f>6.5734 * CHOOSE(CONTROL!$C$15, $D$11, 100%, $F$11)</f>
        <v>6.5734000000000004</v>
      </c>
      <c r="D152" s="8">
        <f>6.6168 * CHOOSE( CONTROL!$C$15, $D$11, 100%, $F$11)</f>
        <v>6.6167999999999996</v>
      </c>
      <c r="E152" s="12">
        <f>6.602 * CHOOSE( CONTROL!$C$15, $D$11, 100%, $F$11)</f>
        <v>6.6020000000000003</v>
      </c>
      <c r="F152" s="4">
        <f>7.3133 * CHOOSE(CONTROL!$C$15, $D$11, 100%, $F$11)</f>
        <v>7.3132999999999999</v>
      </c>
      <c r="G152" s="8">
        <f>6.4984 * CHOOSE( CONTROL!$C$15, $D$11, 100%, $F$11)</f>
        <v>6.4984000000000002</v>
      </c>
      <c r="H152" s="4">
        <f>7.4743 * CHOOSE(CONTROL!$C$15, $D$11, 100%, $F$11)</f>
        <v>7.4743000000000004</v>
      </c>
      <c r="I152" s="8">
        <f>6.5102 * CHOOSE(CONTROL!$C$15, $D$11, 100%, $F$11)</f>
        <v>6.5102000000000002</v>
      </c>
      <c r="J152" s="4">
        <f>6.3656 * CHOOSE(CONTROL!$C$15, $D$11, 100%, $F$11)</f>
        <v>6.3655999999999997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6.7487, 6.745) * CHOOSE(CONTROL!$C$15, $D$11, 100%, $F$11)</f>
        <v>6.7487000000000004</v>
      </c>
      <c r="C153" s="8">
        <f>CHOOSE( CONTROL!$C$32, 6.7567, 6.753) * CHOOSE(CONTROL!$C$15, $D$11, 100%, $F$11)</f>
        <v>6.7567000000000004</v>
      </c>
      <c r="D153" s="8">
        <f>CHOOSE( CONTROL!$C$32, 6.7944, 6.7907) * CHOOSE( CONTROL!$C$15, $D$11, 100%, $F$11)</f>
        <v>6.7944000000000004</v>
      </c>
      <c r="E153" s="12">
        <f>CHOOSE( CONTROL!$C$32, 6.7795, 6.7758) * CHOOSE( CONTROL!$C$15, $D$11, 100%, $F$11)</f>
        <v>6.7794999999999996</v>
      </c>
      <c r="F153" s="4">
        <f>CHOOSE( CONTROL!$C$32, 7.4917, 7.488) * CHOOSE(CONTROL!$C$15, $D$11, 100%, $F$11)</f>
        <v>7.4916999999999998</v>
      </c>
      <c r="G153" s="8">
        <f>CHOOSE( CONTROL!$C$32, 6.6755, 6.6719) * CHOOSE( CONTROL!$C$15, $D$11, 100%, $F$11)</f>
        <v>6.6755000000000004</v>
      </c>
      <c r="H153" s="4">
        <f>CHOOSE( CONTROL!$C$32, 7.6506, 7.647) * CHOOSE(CONTROL!$C$15, $D$11, 100%, $F$11)</f>
        <v>7.6505999999999998</v>
      </c>
      <c r="I153" s="8">
        <f>CHOOSE( CONTROL!$C$32, 6.6836, 6.6801) * CHOOSE(CONTROL!$C$15, $D$11, 100%, $F$11)</f>
        <v>6.6836000000000002</v>
      </c>
      <c r="J153" s="4">
        <f>CHOOSE( CONTROL!$C$32, 6.5388, 6.5352) * CHOOSE(CONTROL!$C$15, $D$11, 100%, $F$11)</f>
        <v>6.5388000000000002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6.6404, 6.6368) * CHOOSE(CONTROL!$C$15, $D$11, 100%, $F$11)</f>
        <v>6.6403999999999996</v>
      </c>
      <c r="C154" s="8">
        <f>CHOOSE( CONTROL!$C$32, 6.6484, 6.6447) * CHOOSE(CONTROL!$C$15, $D$11, 100%, $F$11)</f>
        <v>6.6483999999999996</v>
      </c>
      <c r="D154" s="8">
        <f>CHOOSE( CONTROL!$C$32, 6.6863, 6.6827) * CHOOSE( CONTROL!$C$15, $D$11, 100%, $F$11)</f>
        <v>6.6863000000000001</v>
      </c>
      <c r="E154" s="12">
        <f>CHOOSE( CONTROL!$C$32, 6.6713, 6.6677) * CHOOSE( CONTROL!$C$15, $D$11, 100%, $F$11)</f>
        <v>6.6712999999999996</v>
      </c>
      <c r="F154" s="4">
        <f>CHOOSE( CONTROL!$C$32, 7.3834, 7.3798) * CHOOSE(CONTROL!$C$15, $D$11, 100%, $F$11)</f>
        <v>7.3834</v>
      </c>
      <c r="G154" s="8">
        <f>CHOOSE( CONTROL!$C$32, 6.5689, 6.5653) * CHOOSE( CONTROL!$C$15, $D$11, 100%, $F$11)</f>
        <v>6.5689000000000002</v>
      </c>
      <c r="H154" s="4">
        <f>CHOOSE( CONTROL!$C$32, 7.5436, 7.54) * CHOOSE(CONTROL!$C$15, $D$11, 100%, $F$11)</f>
        <v>7.5435999999999996</v>
      </c>
      <c r="I154" s="8">
        <f>CHOOSE( CONTROL!$C$32, 6.5795, 6.576) * CHOOSE(CONTROL!$C$15, $D$11, 100%, $F$11)</f>
        <v>6.5795000000000003</v>
      </c>
      <c r="J154" s="4">
        <f>CHOOSE( CONTROL!$C$32, 6.4337, 6.4302) * CHOOSE(CONTROL!$C$15, $D$11, 100%, $F$11)</f>
        <v>6.4337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6.9255, 6.9219) * CHOOSE(CONTROL!$C$15, $D$11, 100%, $F$11)</f>
        <v>6.9255000000000004</v>
      </c>
      <c r="C155" s="8">
        <f>CHOOSE( CONTROL!$C$32, 6.9335, 6.9298) * CHOOSE(CONTROL!$C$15, $D$11, 100%, $F$11)</f>
        <v>6.9335000000000004</v>
      </c>
      <c r="D155" s="8">
        <f>CHOOSE( CONTROL!$C$32, 6.9717, 6.968) * CHOOSE( CONTROL!$C$15, $D$11, 100%, $F$11)</f>
        <v>6.9717000000000002</v>
      </c>
      <c r="E155" s="12">
        <f>CHOOSE( CONTROL!$C$32, 6.9566, 6.953) * CHOOSE( CONTROL!$C$15, $D$11, 100%, $F$11)</f>
        <v>6.9565999999999999</v>
      </c>
      <c r="F155" s="4">
        <f>CHOOSE( CONTROL!$C$32, 7.6685, 7.6649) * CHOOSE(CONTROL!$C$15, $D$11, 100%, $F$11)</f>
        <v>7.6684999999999999</v>
      </c>
      <c r="G155" s="8">
        <f>CHOOSE( CONTROL!$C$32, 6.851, 6.8474) * CHOOSE( CONTROL!$C$15, $D$11, 100%, $F$11)</f>
        <v>6.851</v>
      </c>
      <c r="H155" s="4">
        <f>CHOOSE( CONTROL!$C$32, 7.8254, 7.8218) * CHOOSE(CONTROL!$C$15, $D$11, 100%, $F$11)</f>
        <v>7.8254000000000001</v>
      </c>
      <c r="I155" s="8">
        <f>CHOOSE( CONTROL!$C$32, 6.8575, 6.8539) * CHOOSE(CONTROL!$C$15, $D$11, 100%, $F$11)</f>
        <v>6.8574999999999999</v>
      </c>
      <c r="J155" s="4">
        <f>CHOOSE( CONTROL!$C$32, 6.7104, 6.7069) * CHOOSE(CONTROL!$C$15, $D$11, 100%, $F$11)</f>
        <v>6.7103999999999999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6.3921, 6.3884) * CHOOSE(CONTROL!$C$15, $D$11, 100%, $F$11)</f>
        <v>6.3921000000000001</v>
      </c>
      <c r="C156" s="8">
        <f>CHOOSE( CONTROL!$C$32, 6.4, 6.3964) * CHOOSE(CONTROL!$C$15, $D$11, 100%, $F$11)</f>
        <v>6.4</v>
      </c>
      <c r="D156" s="8">
        <f>CHOOSE( CONTROL!$C$32, 6.4383, 6.4346) * CHOOSE( CONTROL!$C$15, $D$11, 100%, $F$11)</f>
        <v>6.4382999999999999</v>
      </c>
      <c r="E156" s="12">
        <f>CHOOSE( CONTROL!$C$32, 6.4232, 6.4195) * CHOOSE( CONTROL!$C$15, $D$11, 100%, $F$11)</f>
        <v>6.4231999999999996</v>
      </c>
      <c r="F156" s="4">
        <f>CHOOSE( CONTROL!$C$32, 7.1351, 7.1314) * CHOOSE(CONTROL!$C$15, $D$11, 100%, $F$11)</f>
        <v>7.1351000000000004</v>
      </c>
      <c r="G156" s="8">
        <f>CHOOSE( CONTROL!$C$32, 6.3239, 6.3203) * CHOOSE( CONTROL!$C$15, $D$11, 100%, $F$11)</f>
        <v>6.3239000000000001</v>
      </c>
      <c r="H156" s="4">
        <f>CHOOSE( CONTROL!$C$32, 7.2981, 7.2945) * CHOOSE(CONTROL!$C$15, $D$11, 100%, $F$11)</f>
        <v>7.2980999999999998</v>
      </c>
      <c r="I156" s="8">
        <f>CHOOSE( CONTROL!$C$32, 6.3398, 6.3362) * CHOOSE(CONTROL!$C$15, $D$11, 100%, $F$11)</f>
        <v>6.3398000000000003</v>
      </c>
      <c r="J156" s="4">
        <f>CHOOSE( CONTROL!$C$32, 6.1927, 6.1891) * CHOOSE(CONTROL!$C$15, $D$11, 100%, $F$11)</f>
        <v>6.1927000000000003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6.2585, 6.2548) * CHOOSE(CONTROL!$C$15, $D$11, 100%, $F$11)</f>
        <v>6.2584999999999997</v>
      </c>
      <c r="C157" s="8">
        <f>CHOOSE( CONTROL!$C$32, 6.2664, 6.2628) * CHOOSE(CONTROL!$C$15, $D$11, 100%, $F$11)</f>
        <v>6.2664</v>
      </c>
      <c r="D157" s="8">
        <f>CHOOSE( CONTROL!$C$32, 6.3046, 6.301) * CHOOSE( CONTROL!$C$15, $D$11, 100%, $F$11)</f>
        <v>6.3045999999999998</v>
      </c>
      <c r="E157" s="12">
        <f>CHOOSE( CONTROL!$C$32, 6.2896, 6.2859) * CHOOSE( CONTROL!$C$15, $D$11, 100%, $F$11)</f>
        <v>6.2896000000000001</v>
      </c>
      <c r="F157" s="4">
        <f>CHOOSE( CONTROL!$C$32, 7.0015, 6.9978) * CHOOSE(CONTROL!$C$15, $D$11, 100%, $F$11)</f>
        <v>7.0015000000000001</v>
      </c>
      <c r="G157" s="8">
        <f>CHOOSE( CONTROL!$C$32, 6.1917, 6.1881) * CHOOSE( CONTROL!$C$15, $D$11, 100%, $F$11)</f>
        <v>6.1917</v>
      </c>
      <c r="H157" s="4">
        <f>CHOOSE( CONTROL!$C$32, 7.1661, 7.1625) * CHOOSE(CONTROL!$C$15, $D$11, 100%, $F$11)</f>
        <v>7.1661000000000001</v>
      </c>
      <c r="I157" s="8">
        <f>CHOOSE( CONTROL!$C$32, 6.2097, 6.2062) * CHOOSE(CONTROL!$C$15, $D$11, 100%, $F$11)</f>
        <v>6.2096999999999998</v>
      </c>
      <c r="J157" s="4">
        <f>CHOOSE( CONTROL!$C$32, 6.063, 6.0595) * CHOOSE(CONTROL!$C$15, $D$11, 100%, $F$11)</f>
        <v>6.0629999999999997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6.5305 * CHOOSE(CONTROL!$C$15, $D$11, 100%, $F$11)</f>
        <v>6.5305</v>
      </c>
      <c r="C158" s="8">
        <f>6.5358 * CHOOSE(CONTROL!$C$15, $D$11, 100%, $F$11)</f>
        <v>6.5358000000000001</v>
      </c>
      <c r="D158" s="8">
        <f>6.5793 * CHOOSE( CONTROL!$C$15, $D$11, 100%, $F$11)</f>
        <v>6.5792999999999999</v>
      </c>
      <c r="E158" s="12">
        <f>6.5644 * CHOOSE( CONTROL!$C$15, $D$11, 100%, $F$11)</f>
        <v>6.5644</v>
      </c>
      <c r="F158" s="4">
        <f>7.2752 * CHOOSE(CONTROL!$C$15, $D$11, 100%, $F$11)</f>
        <v>7.2751999999999999</v>
      </c>
      <c r="G158" s="8">
        <f>6.4617 * CHOOSE( CONTROL!$C$15, $D$11, 100%, $F$11)</f>
        <v>6.4617000000000004</v>
      </c>
      <c r="H158" s="4">
        <f>7.4366 * CHOOSE(CONTROL!$C$15, $D$11, 100%, $F$11)</f>
        <v>7.4366000000000003</v>
      </c>
      <c r="I158" s="8">
        <f>6.4762 * CHOOSE(CONTROL!$C$15, $D$11, 100%, $F$11)</f>
        <v>6.4762000000000004</v>
      </c>
      <c r="J158" s="4">
        <f>6.3287 * CHOOSE(CONTROL!$C$15, $D$11, 100%, $F$11)</f>
        <v>6.3287000000000004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7.042 * CHOOSE(CONTROL!$C$15, $D$11, 100%, $F$11)</f>
        <v>7.0419999999999998</v>
      </c>
      <c r="C159" s="8">
        <f>7.0471 * CHOOSE(CONTROL!$C$15, $D$11, 100%, $F$11)</f>
        <v>7.0471000000000004</v>
      </c>
      <c r="D159" s="8">
        <f>7.0307 * CHOOSE( CONTROL!$C$15, $D$11, 100%, $F$11)</f>
        <v>7.0307000000000004</v>
      </c>
      <c r="E159" s="12">
        <f>7.0362 * CHOOSE( CONTROL!$C$15, $D$11, 100%, $F$11)</f>
        <v>7.0362</v>
      </c>
      <c r="F159" s="4">
        <f>7.7073 * CHOOSE(CONTROL!$C$15, $D$11, 100%, $F$11)</f>
        <v>7.7073</v>
      </c>
      <c r="G159" s="8">
        <f>6.9683 * CHOOSE( CONTROL!$C$15, $D$11, 100%, $F$11)</f>
        <v>6.9683000000000002</v>
      </c>
      <c r="H159" s="4">
        <f>7.8637 * CHOOSE(CONTROL!$C$15, $D$11, 100%, $F$11)</f>
        <v>7.8636999999999997</v>
      </c>
      <c r="I159" s="8">
        <f>6.9734 * CHOOSE(CONTROL!$C$15, $D$11, 100%, $F$11)</f>
        <v>6.9733999999999998</v>
      </c>
      <c r="J159" s="4">
        <f>6.8255 * CHOOSE(CONTROL!$C$15, $D$11, 100%, $F$11)</f>
        <v>6.8254999999999999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7.0292 * CHOOSE(CONTROL!$C$15, $D$11, 100%, $F$11)</f>
        <v>7.0292000000000003</v>
      </c>
      <c r="C160" s="8">
        <f>7.0343 * CHOOSE(CONTROL!$C$15, $D$11, 100%, $F$11)</f>
        <v>7.0343</v>
      </c>
      <c r="D160" s="8">
        <f>7.0197 * CHOOSE( CONTROL!$C$15, $D$11, 100%, $F$11)</f>
        <v>7.0197000000000003</v>
      </c>
      <c r="E160" s="12">
        <f>7.0245 * CHOOSE( CONTROL!$C$15, $D$11, 100%, $F$11)</f>
        <v>7.0244999999999997</v>
      </c>
      <c r="F160" s="4">
        <f>7.6945 * CHOOSE(CONTROL!$C$15, $D$11, 100%, $F$11)</f>
        <v>7.6944999999999997</v>
      </c>
      <c r="G160" s="8">
        <f>6.9569 * CHOOSE( CONTROL!$C$15, $D$11, 100%, $F$11)</f>
        <v>6.9569000000000001</v>
      </c>
      <c r="H160" s="4">
        <f>7.8511 * CHOOSE(CONTROL!$C$15, $D$11, 100%, $F$11)</f>
        <v>7.8510999999999997</v>
      </c>
      <c r="I160" s="8">
        <f>6.9664 * CHOOSE(CONTROL!$C$15, $D$11, 100%, $F$11)</f>
        <v>6.9664000000000001</v>
      </c>
      <c r="J160" s="4">
        <f>6.8131 * CHOOSE(CONTROL!$C$15, $D$11, 100%, $F$11)</f>
        <v>6.8131000000000004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7.2806 * CHOOSE(CONTROL!$C$15, $D$11, 100%, $F$11)</f>
        <v>7.2805999999999997</v>
      </c>
      <c r="C161" s="8">
        <f>7.2857 * CHOOSE(CONTROL!$C$15, $D$11, 100%, $F$11)</f>
        <v>7.2857000000000003</v>
      </c>
      <c r="D161" s="8">
        <f>7.2568 * CHOOSE( CONTROL!$C$15, $D$11, 100%, $F$11)</f>
        <v>7.2568000000000001</v>
      </c>
      <c r="E161" s="12">
        <f>7.2668 * CHOOSE( CONTROL!$C$15, $D$11, 100%, $F$11)</f>
        <v>7.2667999999999999</v>
      </c>
      <c r="F161" s="4">
        <f>7.9459 * CHOOSE(CONTROL!$C$15, $D$11, 100%, $F$11)</f>
        <v>7.9459</v>
      </c>
      <c r="G161" s="8">
        <f>7.195 * CHOOSE( CONTROL!$C$15, $D$11, 100%, $F$11)</f>
        <v>7.1950000000000003</v>
      </c>
      <c r="H161" s="4">
        <f>8.0995 * CHOOSE(CONTROL!$C$15, $D$11, 100%, $F$11)</f>
        <v>8.0995000000000008</v>
      </c>
      <c r="I161" s="8">
        <f>7.2051 * CHOOSE(CONTROL!$C$15, $D$11, 100%, $F$11)</f>
        <v>7.2050999999999998</v>
      </c>
      <c r="J161" s="4">
        <f>7.0571 * CHOOSE(CONTROL!$C$15, $D$11, 100%, $F$11)</f>
        <v>7.0571000000000002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6.8105 * CHOOSE(CONTROL!$C$15, $D$11, 100%, $F$11)</f>
        <v>6.8105000000000002</v>
      </c>
      <c r="C162" s="8">
        <f>6.8156 * CHOOSE(CONTROL!$C$15, $D$11, 100%, $F$11)</f>
        <v>6.8155999999999999</v>
      </c>
      <c r="D162" s="8">
        <f>6.7867 * CHOOSE( CONTROL!$C$15, $D$11, 100%, $F$11)</f>
        <v>6.7866999999999997</v>
      </c>
      <c r="E162" s="12">
        <f>6.7967 * CHOOSE( CONTROL!$C$15, $D$11, 100%, $F$11)</f>
        <v>6.7967000000000004</v>
      </c>
      <c r="F162" s="4">
        <f>7.4758 * CHOOSE(CONTROL!$C$15, $D$11, 100%, $F$11)</f>
        <v>7.4757999999999996</v>
      </c>
      <c r="G162" s="8">
        <f>6.7304 * CHOOSE( CONTROL!$C$15, $D$11, 100%, $F$11)</f>
        <v>6.7304000000000004</v>
      </c>
      <c r="H162" s="4">
        <f>7.6349 * CHOOSE(CONTROL!$C$15, $D$11, 100%, $F$11)</f>
        <v>7.6349</v>
      </c>
      <c r="I162" s="8">
        <f>6.7486 * CHOOSE(CONTROL!$C$15, $D$11, 100%, $F$11)</f>
        <v>6.7485999999999997</v>
      </c>
      <c r="J162" s="4">
        <f>6.6008 * CHOOSE(CONTROL!$C$15, $D$11, 100%, $F$11)</f>
        <v>6.6007999999999996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6.6657 * CHOOSE(CONTROL!$C$15, $D$11, 100%, $F$11)</f>
        <v>6.6657000000000002</v>
      </c>
      <c r="C163" s="8">
        <f>6.6708 * CHOOSE(CONTROL!$C$15, $D$11, 100%, $F$11)</f>
        <v>6.6707999999999998</v>
      </c>
      <c r="D163" s="8">
        <f>6.6415 * CHOOSE( CONTROL!$C$15, $D$11, 100%, $F$11)</f>
        <v>6.6414999999999997</v>
      </c>
      <c r="E163" s="12">
        <f>6.6517 * CHOOSE( CONTROL!$C$15, $D$11, 100%, $F$11)</f>
        <v>6.6516999999999999</v>
      </c>
      <c r="F163" s="4">
        <f>7.331 * CHOOSE(CONTROL!$C$15, $D$11, 100%, $F$11)</f>
        <v>7.3310000000000004</v>
      </c>
      <c r="G163" s="8">
        <f>6.5871 * CHOOSE( CONTROL!$C$15, $D$11, 100%, $F$11)</f>
        <v>6.5871000000000004</v>
      </c>
      <c r="H163" s="4">
        <f>7.4918 * CHOOSE(CONTROL!$C$15, $D$11, 100%, $F$11)</f>
        <v>7.4917999999999996</v>
      </c>
      <c r="I163" s="8">
        <f>6.6068 * CHOOSE(CONTROL!$C$15, $D$11, 100%, $F$11)</f>
        <v>6.6067999999999998</v>
      </c>
      <c r="J163" s="4">
        <f>6.4603 * CHOOSE(CONTROL!$C$15, $D$11, 100%, $F$11)</f>
        <v>6.4603000000000002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6.7677 * CHOOSE(CONTROL!$C$15, $D$11, 100%, $F$11)</f>
        <v>6.7676999999999996</v>
      </c>
      <c r="C164" s="8">
        <f>6.7722 * CHOOSE(CONTROL!$C$15, $D$11, 100%, $F$11)</f>
        <v>6.7721999999999998</v>
      </c>
      <c r="D164" s="8">
        <f>6.8155 * CHOOSE( CONTROL!$C$15, $D$11, 100%, $F$11)</f>
        <v>6.8155000000000001</v>
      </c>
      <c r="E164" s="12">
        <f>6.8007 * CHOOSE( CONTROL!$C$15, $D$11, 100%, $F$11)</f>
        <v>6.8007</v>
      </c>
      <c r="F164" s="4">
        <f>7.512 * CHOOSE(CONTROL!$C$15, $D$11, 100%, $F$11)</f>
        <v>7.5119999999999996</v>
      </c>
      <c r="G164" s="8">
        <f>6.6949 * CHOOSE( CONTROL!$C$15, $D$11, 100%, $F$11)</f>
        <v>6.6948999999999996</v>
      </c>
      <c r="H164" s="4">
        <f>7.6707 * CHOOSE(CONTROL!$C$15, $D$11, 100%, $F$11)</f>
        <v>7.6707000000000001</v>
      </c>
      <c r="I164" s="8">
        <f>6.7032 * CHOOSE(CONTROL!$C$15, $D$11, 100%, $F$11)</f>
        <v>6.7031999999999998</v>
      </c>
      <c r="J164" s="4">
        <f>6.5585 * CHOOSE(CONTROL!$C$15, $D$11, 100%, $F$11)</f>
        <v>6.5585000000000004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6.9527, 6.9491) * CHOOSE(CONTROL!$C$15, $D$11, 100%, $F$11)</f>
        <v>6.9527000000000001</v>
      </c>
      <c r="C165" s="8">
        <f>CHOOSE( CONTROL!$C$32, 6.9607, 6.9571) * CHOOSE(CONTROL!$C$15, $D$11, 100%, $F$11)</f>
        <v>6.9607000000000001</v>
      </c>
      <c r="D165" s="8">
        <f>CHOOSE( CONTROL!$C$32, 6.9984, 6.9948) * CHOOSE( CONTROL!$C$15, $D$11, 100%, $F$11)</f>
        <v>6.9984000000000002</v>
      </c>
      <c r="E165" s="12">
        <f>CHOOSE( CONTROL!$C$32, 6.9835, 6.9799) * CHOOSE( CONTROL!$C$15, $D$11, 100%, $F$11)</f>
        <v>6.9835000000000003</v>
      </c>
      <c r="F165" s="4">
        <f>CHOOSE( CONTROL!$C$32, 7.6957, 7.6921) * CHOOSE(CONTROL!$C$15, $D$11, 100%, $F$11)</f>
        <v>7.6957000000000004</v>
      </c>
      <c r="G165" s="8">
        <f>CHOOSE( CONTROL!$C$32, 6.8772, 6.8736) * CHOOSE( CONTROL!$C$15, $D$11, 100%, $F$11)</f>
        <v>6.8772000000000002</v>
      </c>
      <c r="H165" s="4">
        <f>CHOOSE( CONTROL!$C$32, 7.8523, 7.8487) * CHOOSE(CONTROL!$C$15, $D$11, 100%, $F$11)</f>
        <v>7.8522999999999996</v>
      </c>
      <c r="I165" s="8">
        <f>CHOOSE( CONTROL!$C$32, 6.8817, 6.8782) * CHOOSE(CONTROL!$C$15, $D$11, 100%, $F$11)</f>
        <v>6.8817000000000004</v>
      </c>
      <c r="J165" s="4">
        <f>CHOOSE( CONTROL!$C$32, 6.7368, 6.7333) * CHOOSE(CONTROL!$C$15, $D$11, 100%, $F$11)</f>
        <v>6.7367999999999997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6.8412, 6.8375) * CHOOSE(CONTROL!$C$15, $D$11, 100%, $F$11)</f>
        <v>6.8411999999999997</v>
      </c>
      <c r="C166" s="8">
        <f>CHOOSE( CONTROL!$C$32, 6.8492, 6.8455) * CHOOSE(CONTROL!$C$15, $D$11, 100%, $F$11)</f>
        <v>6.8491999999999997</v>
      </c>
      <c r="D166" s="8">
        <f>CHOOSE( CONTROL!$C$32, 6.8871, 6.8835) * CHOOSE( CONTROL!$C$15, $D$11, 100%, $F$11)</f>
        <v>6.8871000000000002</v>
      </c>
      <c r="E166" s="12">
        <f>CHOOSE( CONTROL!$C$32, 6.8721, 6.8685) * CHOOSE( CONTROL!$C$15, $D$11, 100%, $F$11)</f>
        <v>6.8720999999999997</v>
      </c>
      <c r="F166" s="4">
        <f>CHOOSE( CONTROL!$C$32, 7.5842, 7.5806) * CHOOSE(CONTROL!$C$15, $D$11, 100%, $F$11)</f>
        <v>7.5842000000000001</v>
      </c>
      <c r="G166" s="8">
        <f>CHOOSE( CONTROL!$C$32, 6.7673, 6.7637) * CHOOSE( CONTROL!$C$15, $D$11, 100%, $F$11)</f>
        <v>6.7672999999999996</v>
      </c>
      <c r="H166" s="4">
        <f>CHOOSE( CONTROL!$C$32, 7.742, 7.7384) * CHOOSE(CONTROL!$C$15, $D$11, 100%, $F$11)</f>
        <v>7.742</v>
      </c>
      <c r="I166" s="8">
        <f>CHOOSE( CONTROL!$C$32, 6.7745, 6.7709) * CHOOSE(CONTROL!$C$15, $D$11, 100%, $F$11)</f>
        <v>6.7744999999999997</v>
      </c>
      <c r="J166" s="4">
        <f>CHOOSE( CONTROL!$C$32, 6.6286, 6.625) * CHOOSE(CONTROL!$C$15, $D$11, 100%, $F$11)</f>
        <v>6.6285999999999996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7.1349, 7.1313) * CHOOSE(CONTROL!$C$15, $D$11, 100%, $F$11)</f>
        <v>7.1349</v>
      </c>
      <c r="C167" s="8">
        <f>CHOOSE( CONTROL!$C$32, 7.1429, 7.1393) * CHOOSE(CONTROL!$C$15, $D$11, 100%, $F$11)</f>
        <v>7.1429</v>
      </c>
      <c r="D167" s="8">
        <f>CHOOSE( CONTROL!$C$32, 7.1811, 7.1775) * CHOOSE( CONTROL!$C$15, $D$11, 100%, $F$11)</f>
        <v>7.1810999999999998</v>
      </c>
      <c r="E167" s="12">
        <f>CHOOSE( CONTROL!$C$32, 7.166, 7.1624) * CHOOSE( CONTROL!$C$15, $D$11, 100%, $F$11)</f>
        <v>7.1660000000000004</v>
      </c>
      <c r="F167" s="4">
        <f>CHOOSE( CONTROL!$C$32, 7.8779, 7.8743) * CHOOSE(CONTROL!$C$15, $D$11, 100%, $F$11)</f>
        <v>7.8779000000000003</v>
      </c>
      <c r="G167" s="8">
        <f>CHOOSE( CONTROL!$C$32, 7.058, 7.0544) * CHOOSE( CONTROL!$C$15, $D$11, 100%, $F$11)</f>
        <v>7.0579999999999998</v>
      </c>
      <c r="H167" s="4">
        <f>CHOOSE( CONTROL!$C$32, 8.0323, 8.0287) * CHOOSE(CONTROL!$C$15, $D$11, 100%, $F$11)</f>
        <v>8.0322999999999993</v>
      </c>
      <c r="I167" s="8">
        <f>CHOOSE( CONTROL!$C$32, 7.0608, 7.0573) * CHOOSE(CONTROL!$C$15, $D$11, 100%, $F$11)</f>
        <v>7.0608000000000004</v>
      </c>
      <c r="J167" s="4">
        <f>CHOOSE( CONTROL!$C$32, 6.9136, 6.9101) * CHOOSE(CONTROL!$C$15, $D$11, 100%, $F$11)</f>
        <v>6.9135999999999997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6.5853, 6.5817) * CHOOSE(CONTROL!$C$15, $D$11, 100%, $F$11)</f>
        <v>6.5853000000000002</v>
      </c>
      <c r="C168" s="8">
        <f>CHOOSE( CONTROL!$C$32, 6.5933, 6.5896) * CHOOSE(CONTROL!$C$15, $D$11, 100%, $F$11)</f>
        <v>6.5933000000000002</v>
      </c>
      <c r="D168" s="8">
        <f>CHOOSE( CONTROL!$C$32, 6.6315, 6.6279) * CHOOSE( CONTROL!$C$15, $D$11, 100%, $F$11)</f>
        <v>6.6315</v>
      </c>
      <c r="E168" s="12">
        <f>CHOOSE( CONTROL!$C$32, 6.6164, 6.6128) * CHOOSE( CONTROL!$C$15, $D$11, 100%, $F$11)</f>
        <v>6.6163999999999996</v>
      </c>
      <c r="F168" s="4">
        <f>CHOOSE( CONTROL!$C$32, 7.3283, 7.3247) * CHOOSE(CONTROL!$C$15, $D$11, 100%, $F$11)</f>
        <v>7.3282999999999996</v>
      </c>
      <c r="G168" s="8">
        <f>CHOOSE( CONTROL!$C$32, 6.5149, 6.5113) * CHOOSE( CONTROL!$C$15, $D$11, 100%, $F$11)</f>
        <v>6.5148999999999999</v>
      </c>
      <c r="H168" s="4">
        <f>CHOOSE( CONTROL!$C$32, 7.4891, 7.4855) * CHOOSE(CONTROL!$C$15, $D$11, 100%, $F$11)</f>
        <v>7.4890999999999996</v>
      </c>
      <c r="I168" s="8">
        <f>CHOOSE( CONTROL!$C$32, 6.5274, 6.5239) * CHOOSE(CONTROL!$C$15, $D$11, 100%, $F$11)</f>
        <v>6.5274000000000001</v>
      </c>
      <c r="J168" s="4">
        <f>CHOOSE( CONTROL!$C$32, 6.3802, 6.3767) * CHOOSE(CONTROL!$C$15, $D$11, 100%, $F$11)</f>
        <v>6.3802000000000003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6.4477, 6.444) * CHOOSE(CONTROL!$C$15, $D$11, 100%, $F$11)</f>
        <v>6.4477000000000002</v>
      </c>
      <c r="C169" s="8">
        <f>CHOOSE( CONTROL!$C$32, 6.4556, 6.452) * CHOOSE(CONTROL!$C$15, $D$11, 100%, $F$11)</f>
        <v>6.4555999999999996</v>
      </c>
      <c r="D169" s="8">
        <f>CHOOSE( CONTROL!$C$32, 6.4938, 6.4902) * CHOOSE( CONTROL!$C$15, $D$11, 100%, $F$11)</f>
        <v>6.4938000000000002</v>
      </c>
      <c r="E169" s="12">
        <f>CHOOSE( CONTROL!$C$32, 6.4788, 6.4751) * CHOOSE( CONTROL!$C$15, $D$11, 100%, $F$11)</f>
        <v>6.4787999999999997</v>
      </c>
      <c r="F169" s="4">
        <f>CHOOSE( CONTROL!$C$32, 7.1907, 7.187) * CHOOSE(CONTROL!$C$15, $D$11, 100%, $F$11)</f>
        <v>7.1906999999999996</v>
      </c>
      <c r="G169" s="8">
        <f>CHOOSE( CONTROL!$C$32, 6.3787, 6.3751) * CHOOSE( CONTROL!$C$15, $D$11, 100%, $F$11)</f>
        <v>6.3787000000000003</v>
      </c>
      <c r="H169" s="4">
        <f>CHOOSE( CONTROL!$C$32, 7.3531, 7.3495) * CHOOSE(CONTROL!$C$15, $D$11, 100%, $F$11)</f>
        <v>7.3531000000000004</v>
      </c>
      <c r="I169" s="8">
        <f>CHOOSE( CONTROL!$C$32, 6.3934, 6.3899) * CHOOSE(CONTROL!$C$15, $D$11, 100%, $F$11)</f>
        <v>6.3933999999999997</v>
      </c>
      <c r="J169" s="4">
        <f>CHOOSE( CONTROL!$C$32, 6.2466, 6.2431) * CHOOSE(CONTROL!$C$15, $D$11, 100%, $F$11)</f>
        <v>6.2465999999999999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6.7281 * CHOOSE(CONTROL!$C$15, $D$11, 100%, $F$11)</f>
        <v>6.7281000000000004</v>
      </c>
      <c r="C170" s="8">
        <f>6.7334 * CHOOSE(CONTROL!$C$15, $D$11, 100%, $F$11)</f>
        <v>6.7333999999999996</v>
      </c>
      <c r="D170" s="8">
        <f>6.7769 * CHOOSE( CONTROL!$C$15, $D$11, 100%, $F$11)</f>
        <v>6.7769000000000004</v>
      </c>
      <c r="E170" s="12">
        <f>6.762 * CHOOSE( CONTROL!$C$15, $D$11, 100%, $F$11)</f>
        <v>6.7619999999999996</v>
      </c>
      <c r="F170" s="4">
        <f>7.4728 * CHOOSE(CONTROL!$C$15, $D$11, 100%, $F$11)</f>
        <v>7.4728000000000003</v>
      </c>
      <c r="G170" s="8">
        <f>6.657 * CHOOSE( CONTROL!$C$15, $D$11, 100%, $F$11)</f>
        <v>6.657</v>
      </c>
      <c r="H170" s="4">
        <f>7.6319 * CHOOSE(CONTROL!$C$15, $D$11, 100%, $F$11)</f>
        <v>7.6318999999999999</v>
      </c>
      <c r="I170" s="8">
        <f>6.6681 * CHOOSE(CONTROL!$C$15, $D$11, 100%, $F$11)</f>
        <v>6.6680999999999999</v>
      </c>
      <c r="J170" s="4">
        <f>6.5205 * CHOOSE(CONTROL!$C$15, $D$11, 100%, $F$11)</f>
        <v>6.5205000000000002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7.2551 * CHOOSE(CONTROL!$C$15, $D$11, 100%, $F$11)</f>
        <v>7.2550999999999997</v>
      </c>
      <c r="C171" s="8">
        <f>7.2602 * CHOOSE(CONTROL!$C$15, $D$11, 100%, $F$11)</f>
        <v>7.2602000000000002</v>
      </c>
      <c r="D171" s="8">
        <f>7.2439 * CHOOSE( CONTROL!$C$15, $D$11, 100%, $F$11)</f>
        <v>7.2439</v>
      </c>
      <c r="E171" s="12">
        <f>7.2493 * CHOOSE( CONTROL!$C$15, $D$11, 100%, $F$11)</f>
        <v>7.2492999999999999</v>
      </c>
      <c r="F171" s="4">
        <f>7.9204 * CHOOSE(CONTROL!$C$15, $D$11, 100%, $F$11)</f>
        <v>7.9203999999999999</v>
      </c>
      <c r="G171" s="8">
        <f>7.1789 * CHOOSE( CONTROL!$C$15, $D$11, 100%, $F$11)</f>
        <v>7.1788999999999996</v>
      </c>
      <c r="H171" s="4">
        <f>8.0743 * CHOOSE(CONTROL!$C$15, $D$11, 100%, $F$11)</f>
        <v>8.0742999999999991</v>
      </c>
      <c r="I171" s="8">
        <f>7.1804 * CHOOSE(CONTROL!$C$15, $D$11, 100%, $F$11)</f>
        <v>7.1803999999999997</v>
      </c>
      <c r="J171" s="4">
        <f>7.0324 * CHOOSE(CONTROL!$C$15, $D$11, 100%, $F$11)</f>
        <v>7.0324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7.242 * CHOOSE(CONTROL!$C$15, $D$11, 100%, $F$11)</f>
        <v>7.242</v>
      </c>
      <c r="C172" s="8">
        <f>7.247 * CHOOSE(CONTROL!$C$15, $D$11, 100%, $F$11)</f>
        <v>7.2469999999999999</v>
      </c>
      <c r="D172" s="8">
        <f>7.2324 * CHOOSE( CONTROL!$C$15, $D$11, 100%, $F$11)</f>
        <v>7.2324000000000002</v>
      </c>
      <c r="E172" s="12">
        <f>7.2372 * CHOOSE( CONTROL!$C$15, $D$11, 100%, $F$11)</f>
        <v>7.2371999999999996</v>
      </c>
      <c r="F172" s="4">
        <f>7.9073 * CHOOSE(CONTROL!$C$15, $D$11, 100%, $F$11)</f>
        <v>7.9073000000000002</v>
      </c>
      <c r="G172" s="8">
        <f>7.1671 * CHOOSE( CONTROL!$C$15, $D$11, 100%, $F$11)</f>
        <v>7.1670999999999996</v>
      </c>
      <c r="H172" s="4">
        <f>8.0613 * CHOOSE(CONTROL!$C$15, $D$11, 100%, $F$11)</f>
        <v>8.0612999999999992</v>
      </c>
      <c r="I172" s="8">
        <f>7.173 * CHOOSE(CONTROL!$C$15, $D$11, 100%, $F$11)</f>
        <v>7.173</v>
      </c>
      <c r="J172" s="4">
        <f>7.0196 * CHOOSE(CONTROL!$C$15, $D$11, 100%, $F$11)</f>
        <v>7.0195999999999996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7.5002 * CHOOSE(CONTROL!$C$15, $D$11, 100%, $F$11)</f>
        <v>7.5002000000000004</v>
      </c>
      <c r="C173" s="8">
        <f>7.5053 * CHOOSE(CONTROL!$C$15, $D$11, 100%, $F$11)</f>
        <v>7.5053000000000001</v>
      </c>
      <c r="D173" s="8">
        <f>7.4764 * CHOOSE( CONTROL!$C$15, $D$11, 100%, $F$11)</f>
        <v>7.4763999999999999</v>
      </c>
      <c r="E173" s="12">
        <f>7.4864 * CHOOSE( CONTROL!$C$15, $D$11, 100%, $F$11)</f>
        <v>7.4863999999999997</v>
      </c>
      <c r="F173" s="4">
        <f>8.1655 * CHOOSE(CONTROL!$C$15, $D$11, 100%, $F$11)</f>
        <v>8.1654999999999998</v>
      </c>
      <c r="G173" s="8">
        <f>7.4121 * CHOOSE( CONTROL!$C$15, $D$11, 100%, $F$11)</f>
        <v>7.4120999999999997</v>
      </c>
      <c r="H173" s="4">
        <f>8.3165 * CHOOSE(CONTROL!$C$15, $D$11, 100%, $F$11)</f>
        <v>8.3164999999999996</v>
      </c>
      <c r="I173" s="8">
        <f>7.4183 * CHOOSE(CONTROL!$C$15, $D$11, 100%, $F$11)</f>
        <v>7.4183000000000003</v>
      </c>
      <c r="J173" s="4">
        <f>7.2702 * CHOOSE(CONTROL!$C$15, $D$11, 100%, $F$11)</f>
        <v>7.2702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7.0159 * CHOOSE(CONTROL!$C$15, $D$11, 100%, $F$11)</f>
        <v>7.0159000000000002</v>
      </c>
      <c r="C174" s="8">
        <f>7.021 * CHOOSE(CONTROL!$C$15, $D$11, 100%, $F$11)</f>
        <v>7.0209999999999999</v>
      </c>
      <c r="D174" s="8">
        <f>6.9921 * CHOOSE( CONTROL!$C$15, $D$11, 100%, $F$11)</f>
        <v>6.9920999999999998</v>
      </c>
      <c r="E174" s="12">
        <f>7.0021 * CHOOSE( CONTROL!$C$15, $D$11, 100%, $F$11)</f>
        <v>7.0021000000000004</v>
      </c>
      <c r="F174" s="4">
        <f>7.6812 * CHOOSE(CONTROL!$C$15, $D$11, 100%, $F$11)</f>
        <v>7.6811999999999996</v>
      </c>
      <c r="G174" s="8">
        <f>6.9334 * CHOOSE( CONTROL!$C$15, $D$11, 100%, $F$11)</f>
        <v>6.9333999999999998</v>
      </c>
      <c r="H174" s="4">
        <f>7.8379 * CHOOSE(CONTROL!$C$15, $D$11, 100%, $F$11)</f>
        <v>7.8379000000000003</v>
      </c>
      <c r="I174" s="8">
        <f>6.948 * CHOOSE(CONTROL!$C$15, $D$11, 100%, $F$11)</f>
        <v>6.9480000000000004</v>
      </c>
      <c r="J174" s="4">
        <f>6.8002 * CHOOSE(CONTROL!$C$15, $D$11, 100%, $F$11)</f>
        <v>6.8002000000000002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6.8668 * CHOOSE(CONTROL!$C$15, $D$11, 100%, $F$11)</f>
        <v>6.8667999999999996</v>
      </c>
      <c r="C175" s="8">
        <f>6.8718 * CHOOSE(CONTROL!$C$15, $D$11, 100%, $F$11)</f>
        <v>6.8718000000000004</v>
      </c>
      <c r="D175" s="8">
        <f>6.8425 * CHOOSE( CONTROL!$C$15, $D$11, 100%, $F$11)</f>
        <v>6.8425000000000002</v>
      </c>
      <c r="E175" s="12">
        <f>6.8527 * CHOOSE( CONTROL!$C$15, $D$11, 100%, $F$11)</f>
        <v>6.8526999999999996</v>
      </c>
      <c r="F175" s="4">
        <f>7.532 * CHOOSE(CONTROL!$C$15, $D$11, 100%, $F$11)</f>
        <v>7.532</v>
      </c>
      <c r="G175" s="8">
        <f>6.7857 * CHOOSE( CONTROL!$C$15, $D$11, 100%, $F$11)</f>
        <v>6.7857000000000003</v>
      </c>
      <c r="H175" s="4">
        <f>7.6905 * CHOOSE(CONTROL!$C$15, $D$11, 100%, $F$11)</f>
        <v>7.6905000000000001</v>
      </c>
      <c r="I175" s="8">
        <f>6.802 * CHOOSE(CONTROL!$C$15, $D$11, 100%, $F$11)</f>
        <v>6.8019999999999996</v>
      </c>
      <c r="J175" s="4">
        <f>6.6554 * CHOOSE(CONTROL!$C$15, $D$11, 100%, $F$11)</f>
        <v>6.6554000000000002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6.9717 * CHOOSE(CONTROL!$C$15, $D$11, 100%, $F$11)</f>
        <v>6.9717000000000002</v>
      </c>
      <c r="C176" s="8">
        <f>6.9763 * CHOOSE(CONTROL!$C$15, $D$11, 100%, $F$11)</f>
        <v>6.9763000000000002</v>
      </c>
      <c r="D176" s="8">
        <f>7.0196 * CHOOSE( CONTROL!$C$15, $D$11, 100%, $F$11)</f>
        <v>7.0195999999999996</v>
      </c>
      <c r="E176" s="12">
        <f>7.0048 * CHOOSE( CONTROL!$C$15, $D$11, 100%, $F$11)</f>
        <v>7.0048000000000004</v>
      </c>
      <c r="F176" s="4">
        <f>7.7161 * CHOOSE(CONTROL!$C$15, $D$11, 100%, $F$11)</f>
        <v>7.7161</v>
      </c>
      <c r="G176" s="8">
        <f>6.8966 * CHOOSE( CONTROL!$C$15, $D$11, 100%, $F$11)</f>
        <v>6.8966000000000003</v>
      </c>
      <c r="H176" s="4">
        <f>7.8724 * CHOOSE(CONTROL!$C$15, $D$11, 100%, $F$11)</f>
        <v>7.8723999999999998</v>
      </c>
      <c r="I176" s="8">
        <f>6.9014 * CHOOSE(CONTROL!$C$15, $D$11, 100%, $F$11)</f>
        <v>6.9013999999999998</v>
      </c>
      <c r="J176" s="4">
        <f>6.7566 * CHOOSE(CONTROL!$C$15, $D$11, 100%, $F$11)</f>
        <v>6.7565999999999997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7.1623, 7.1586) * CHOOSE(CONTROL!$C$15, $D$11, 100%, $F$11)</f>
        <v>7.1623000000000001</v>
      </c>
      <c r="C177" s="8">
        <f>CHOOSE( CONTROL!$C$32, 7.1702, 7.1666) * CHOOSE(CONTROL!$C$15, $D$11, 100%, $F$11)</f>
        <v>7.1702000000000004</v>
      </c>
      <c r="D177" s="8">
        <f>CHOOSE( CONTROL!$C$32, 7.208, 7.2043) * CHOOSE( CONTROL!$C$15, $D$11, 100%, $F$11)</f>
        <v>7.2080000000000002</v>
      </c>
      <c r="E177" s="12">
        <f>CHOOSE( CONTROL!$C$32, 7.1931, 7.1894) * CHOOSE( CONTROL!$C$15, $D$11, 100%, $F$11)</f>
        <v>7.1931000000000003</v>
      </c>
      <c r="F177" s="4">
        <f>CHOOSE( CONTROL!$C$32, 7.9053, 7.9016) * CHOOSE(CONTROL!$C$15, $D$11, 100%, $F$11)</f>
        <v>7.9053000000000004</v>
      </c>
      <c r="G177" s="8">
        <f>CHOOSE( CONTROL!$C$32, 7.0843, 7.0807) * CHOOSE( CONTROL!$C$15, $D$11, 100%, $F$11)</f>
        <v>7.0842999999999998</v>
      </c>
      <c r="H177" s="4">
        <f>CHOOSE( CONTROL!$C$32, 8.0593, 8.0557) * CHOOSE(CONTROL!$C$15, $D$11, 100%, $F$11)</f>
        <v>8.0593000000000004</v>
      </c>
      <c r="I177" s="8">
        <f>CHOOSE( CONTROL!$C$32, 7.0852, 7.0816) * CHOOSE(CONTROL!$C$15, $D$11, 100%, $F$11)</f>
        <v>7.0852000000000004</v>
      </c>
      <c r="J177" s="4">
        <f>CHOOSE( CONTROL!$C$32, 6.9402, 6.9366) * CHOOSE(CONTROL!$C$15, $D$11, 100%, $F$11)</f>
        <v>6.9401999999999999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7.0473, 7.0437) * CHOOSE(CONTROL!$C$15, $D$11, 100%, $F$11)</f>
        <v>7.0472999999999999</v>
      </c>
      <c r="C178" s="8">
        <f>CHOOSE( CONTROL!$C$32, 7.0553, 7.0517) * CHOOSE(CONTROL!$C$15, $D$11, 100%, $F$11)</f>
        <v>7.0552999999999999</v>
      </c>
      <c r="D178" s="8">
        <f>CHOOSE( CONTROL!$C$32, 7.0933, 7.0896) * CHOOSE( CONTROL!$C$15, $D$11, 100%, $F$11)</f>
        <v>7.0933000000000002</v>
      </c>
      <c r="E178" s="12">
        <f>CHOOSE( CONTROL!$C$32, 7.0783, 7.0746) * CHOOSE( CONTROL!$C$15, $D$11, 100%, $F$11)</f>
        <v>7.0782999999999996</v>
      </c>
      <c r="F178" s="4">
        <f>CHOOSE( CONTROL!$C$32, 7.7904, 7.7867) * CHOOSE(CONTROL!$C$15, $D$11, 100%, $F$11)</f>
        <v>7.7904</v>
      </c>
      <c r="G178" s="8">
        <f>CHOOSE( CONTROL!$C$32, 6.971, 6.9674) * CHOOSE( CONTROL!$C$15, $D$11, 100%, $F$11)</f>
        <v>6.9710000000000001</v>
      </c>
      <c r="H178" s="4">
        <f>CHOOSE( CONTROL!$C$32, 7.9458, 7.9422) * CHOOSE(CONTROL!$C$15, $D$11, 100%, $F$11)</f>
        <v>7.9458000000000002</v>
      </c>
      <c r="I178" s="8">
        <f>CHOOSE( CONTROL!$C$32, 6.9746, 6.9711) * CHOOSE(CONTROL!$C$15, $D$11, 100%, $F$11)</f>
        <v>6.9745999999999997</v>
      </c>
      <c r="J178" s="4">
        <f>CHOOSE( CONTROL!$C$32, 6.8286, 6.8251) * CHOOSE(CONTROL!$C$15, $D$11, 100%, $F$11)</f>
        <v>6.8285999999999998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7.35, 7.3463) * CHOOSE(CONTROL!$C$15, $D$11, 100%, $F$11)</f>
        <v>7.35</v>
      </c>
      <c r="C179" s="8">
        <f>CHOOSE( CONTROL!$C$32, 7.3579, 7.3543) * CHOOSE(CONTROL!$C$15, $D$11, 100%, $F$11)</f>
        <v>7.3578999999999999</v>
      </c>
      <c r="D179" s="8">
        <f>CHOOSE( CONTROL!$C$32, 7.3961, 7.3925) * CHOOSE( CONTROL!$C$15, $D$11, 100%, $F$11)</f>
        <v>7.3960999999999997</v>
      </c>
      <c r="E179" s="12">
        <f>CHOOSE( CONTROL!$C$32, 7.3811, 7.3774) * CHOOSE( CONTROL!$C$15, $D$11, 100%, $F$11)</f>
        <v>7.3811</v>
      </c>
      <c r="F179" s="4">
        <f>CHOOSE( CONTROL!$C$32, 8.093, 8.0893) * CHOOSE(CONTROL!$C$15, $D$11, 100%, $F$11)</f>
        <v>8.093</v>
      </c>
      <c r="G179" s="8">
        <f>CHOOSE( CONTROL!$C$32, 7.2705, 7.2669) * CHOOSE( CONTROL!$C$15, $D$11, 100%, $F$11)</f>
        <v>7.2705000000000002</v>
      </c>
      <c r="H179" s="4">
        <f>CHOOSE( CONTROL!$C$32, 8.2448, 8.2412) * CHOOSE(CONTROL!$C$15, $D$11, 100%, $F$11)</f>
        <v>8.2447999999999997</v>
      </c>
      <c r="I179" s="8">
        <f>CHOOSE( CONTROL!$C$32, 7.2696, 7.2661) * CHOOSE(CONTROL!$C$15, $D$11, 100%, $F$11)</f>
        <v>7.2695999999999996</v>
      </c>
      <c r="J179" s="4">
        <f>CHOOSE( CONTROL!$C$32, 7.1223, 7.1188) * CHOOSE(CONTROL!$C$15, $D$11, 100%, $F$11)</f>
        <v>7.1223000000000001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6.7837, 6.7801) * CHOOSE(CONTROL!$C$15, $D$11, 100%, $F$11)</f>
        <v>6.7836999999999996</v>
      </c>
      <c r="C180" s="8">
        <f>CHOOSE( CONTROL!$C$32, 6.7917, 6.7881) * CHOOSE(CONTROL!$C$15, $D$11, 100%, $F$11)</f>
        <v>6.7916999999999996</v>
      </c>
      <c r="D180" s="8">
        <f>CHOOSE( CONTROL!$C$32, 6.83, 6.8263) * CHOOSE( CONTROL!$C$15, $D$11, 100%, $F$11)</f>
        <v>6.83</v>
      </c>
      <c r="E180" s="12">
        <f>CHOOSE( CONTROL!$C$32, 6.8149, 6.8112) * CHOOSE( CONTROL!$C$15, $D$11, 100%, $F$11)</f>
        <v>6.8148999999999997</v>
      </c>
      <c r="F180" s="4">
        <f>CHOOSE( CONTROL!$C$32, 7.5267, 7.5231) * CHOOSE(CONTROL!$C$15, $D$11, 100%, $F$11)</f>
        <v>7.5266999999999999</v>
      </c>
      <c r="G180" s="8">
        <f>CHOOSE( CONTROL!$C$32, 6.711, 6.7074) * CHOOSE( CONTROL!$C$15, $D$11, 100%, $F$11)</f>
        <v>6.7110000000000003</v>
      </c>
      <c r="H180" s="4">
        <f>CHOOSE( CONTROL!$C$32, 7.6852, 7.6816) * CHOOSE(CONTROL!$C$15, $D$11, 100%, $F$11)</f>
        <v>7.6852</v>
      </c>
      <c r="I180" s="8">
        <f>CHOOSE( CONTROL!$C$32, 6.7201, 6.7166) * CHOOSE(CONTROL!$C$15, $D$11, 100%, $F$11)</f>
        <v>6.7201000000000004</v>
      </c>
      <c r="J180" s="4">
        <f>CHOOSE( CONTROL!$C$32, 6.5728, 6.5693) * CHOOSE(CONTROL!$C$15, $D$11, 100%, $F$11)</f>
        <v>6.5728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6.6419, 6.6383) * CHOOSE(CONTROL!$C$15, $D$11, 100%, $F$11)</f>
        <v>6.6418999999999997</v>
      </c>
      <c r="C181" s="8">
        <f>CHOOSE( CONTROL!$C$32, 6.6499, 6.6463) * CHOOSE(CONTROL!$C$15, $D$11, 100%, $F$11)</f>
        <v>6.6498999999999997</v>
      </c>
      <c r="D181" s="8">
        <f>CHOOSE( CONTROL!$C$32, 6.6881, 6.6845) * CHOOSE( CONTROL!$C$15, $D$11, 100%, $F$11)</f>
        <v>6.6881000000000004</v>
      </c>
      <c r="E181" s="12">
        <f>CHOOSE( CONTROL!$C$32, 6.673, 6.6694) * CHOOSE( CONTROL!$C$15, $D$11, 100%, $F$11)</f>
        <v>6.673</v>
      </c>
      <c r="F181" s="4">
        <f>CHOOSE( CONTROL!$C$32, 7.385, 7.3813) * CHOOSE(CONTROL!$C$15, $D$11, 100%, $F$11)</f>
        <v>7.3849999999999998</v>
      </c>
      <c r="G181" s="8">
        <f>CHOOSE( CONTROL!$C$32, 6.5707, 6.5671) * CHOOSE( CONTROL!$C$15, $D$11, 100%, $F$11)</f>
        <v>6.5707000000000004</v>
      </c>
      <c r="H181" s="4">
        <f>CHOOSE( CONTROL!$C$32, 7.5451, 7.5415) * CHOOSE(CONTROL!$C$15, $D$11, 100%, $F$11)</f>
        <v>7.5450999999999997</v>
      </c>
      <c r="I181" s="8">
        <f>CHOOSE( CONTROL!$C$32, 6.582, 6.5785) * CHOOSE(CONTROL!$C$15, $D$11, 100%, $F$11)</f>
        <v>6.5819999999999999</v>
      </c>
      <c r="J181" s="4">
        <f>CHOOSE( CONTROL!$C$32, 6.4352, 6.4317) * CHOOSE(CONTROL!$C$15, $D$11, 100%, $F$11)</f>
        <v>6.4352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6.931 * CHOOSE(CONTROL!$C$15, $D$11, 100%, $F$11)</f>
        <v>6.931</v>
      </c>
      <c r="C182" s="8">
        <f>6.9363 * CHOOSE(CONTROL!$C$15, $D$11, 100%, $F$11)</f>
        <v>6.9363000000000001</v>
      </c>
      <c r="D182" s="8">
        <f>6.9798 * CHOOSE( CONTROL!$C$15, $D$11, 100%, $F$11)</f>
        <v>6.9798</v>
      </c>
      <c r="E182" s="12">
        <f>6.9649 * CHOOSE( CONTROL!$C$15, $D$11, 100%, $F$11)</f>
        <v>6.9649000000000001</v>
      </c>
      <c r="F182" s="4">
        <f>7.6757 * CHOOSE(CONTROL!$C$15, $D$11, 100%, $F$11)</f>
        <v>7.6757</v>
      </c>
      <c r="G182" s="8">
        <f>6.8576 * CHOOSE( CONTROL!$C$15, $D$11, 100%, $F$11)</f>
        <v>6.8575999999999997</v>
      </c>
      <c r="H182" s="4">
        <f>7.8325 * CHOOSE(CONTROL!$C$15, $D$11, 100%, $F$11)</f>
        <v>7.8324999999999996</v>
      </c>
      <c r="I182" s="8">
        <f>6.8651 * CHOOSE(CONTROL!$C$15, $D$11, 100%, $F$11)</f>
        <v>6.8651</v>
      </c>
      <c r="J182" s="4">
        <f>6.7174 * CHOOSE(CONTROL!$C$15, $D$11, 100%, $F$11)</f>
        <v>6.7173999999999996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7.474 * CHOOSE(CONTROL!$C$15, $D$11, 100%, $F$11)</f>
        <v>7.4740000000000002</v>
      </c>
      <c r="C183" s="8">
        <f>7.4791 * CHOOSE(CONTROL!$C$15, $D$11, 100%, $F$11)</f>
        <v>7.4790999999999999</v>
      </c>
      <c r="D183" s="8">
        <f>7.4627 * CHOOSE( CONTROL!$C$15, $D$11, 100%, $F$11)</f>
        <v>7.4626999999999999</v>
      </c>
      <c r="E183" s="12">
        <f>7.4682 * CHOOSE( CONTROL!$C$15, $D$11, 100%, $F$11)</f>
        <v>7.4682000000000004</v>
      </c>
      <c r="F183" s="4">
        <f>8.1393 * CHOOSE(CONTROL!$C$15, $D$11, 100%, $F$11)</f>
        <v>8.1393000000000004</v>
      </c>
      <c r="G183" s="8">
        <f>7.3952 * CHOOSE( CONTROL!$C$15, $D$11, 100%, $F$11)</f>
        <v>7.3952</v>
      </c>
      <c r="H183" s="4">
        <f>8.2906 * CHOOSE(CONTROL!$C$15, $D$11, 100%, $F$11)</f>
        <v>8.2905999999999995</v>
      </c>
      <c r="I183" s="8">
        <f>7.3929 * CHOOSE(CONTROL!$C$15, $D$11, 100%, $F$11)</f>
        <v>7.3929</v>
      </c>
      <c r="J183" s="4">
        <f>7.2447 * CHOOSE(CONTROL!$C$15, $D$11, 100%, $F$11)</f>
        <v>7.2446999999999999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7.4604 * CHOOSE(CONTROL!$C$15, $D$11, 100%, $F$11)</f>
        <v>7.4603999999999999</v>
      </c>
      <c r="C184" s="8">
        <f>7.4655 * CHOOSE(CONTROL!$C$15, $D$11, 100%, $F$11)</f>
        <v>7.4654999999999996</v>
      </c>
      <c r="D184" s="8">
        <f>7.4509 * CHOOSE( CONTROL!$C$15, $D$11, 100%, $F$11)</f>
        <v>7.4508999999999999</v>
      </c>
      <c r="E184" s="12">
        <f>7.4557 * CHOOSE( CONTROL!$C$15, $D$11, 100%, $F$11)</f>
        <v>7.4557000000000002</v>
      </c>
      <c r="F184" s="4">
        <f>8.1257 * CHOOSE(CONTROL!$C$15, $D$11, 100%, $F$11)</f>
        <v>8.1257000000000001</v>
      </c>
      <c r="G184" s="8">
        <f>7.383 * CHOOSE( CONTROL!$C$15, $D$11, 100%, $F$11)</f>
        <v>7.383</v>
      </c>
      <c r="H184" s="4">
        <f>8.2772 * CHOOSE(CONTROL!$C$15, $D$11, 100%, $F$11)</f>
        <v>8.2772000000000006</v>
      </c>
      <c r="I184" s="8">
        <f>7.3851 * CHOOSE(CONTROL!$C$15, $D$11, 100%, $F$11)</f>
        <v>7.3851000000000004</v>
      </c>
      <c r="J184" s="4">
        <f>7.2316 * CHOOSE(CONTROL!$C$15, $D$11, 100%, $F$11)</f>
        <v>7.2316000000000003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7.7257 * CHOOSE(CONTROL!$C$15, $D$11, 100%, $F$11)</f>
        <v>7.7256999999999998</v>
      </c>
      <c r="C185" s="8">
        <f>7.7308 * CHOOSE(CONTROL!$C$15, $D$11, 100%, $F$11)</f>
        <v>7.7308000000000003</v>
      </c>
      <c r="D185" s="8">
        <f>7.7019 * CHOOSE( CONTROL!$C$15, $D$11, 100%, $F$11)</f>
        <v>7.7019000000000002</v>
      </c>
      <c r="E185" s="12">
        <f>7.7119 * CHOOSE( CONTROL!$C$15, $D$11, 100%, $F$11)</f>
        <v>7.7119</v>
      </c>
      <c r="F185" s="4">
        <f>8.391 * CHOOSE(CONTROL!$C$15, $D$11, 100%, $F$11)</f>
        <v>8.391</v>
      </c>
      <c r="G185" s="8">
        <f>7.6349 * CHOOSE( CONTROL!$C$15, $D$11, 100%, $F$11)</f>
        <v>7.6349</v>
      </c>
      <c r="H185" s="4">
        <f>8.5393 * CHOOSE(CONTROL!$C$15, $D$11, 100%, $F$11)</f>
        <v>8.5393000000000008</v>
      </c>
      <c r="I185" s="8">
        <f>7.6373 * CHOOSE(CONTROL!$C$15, $D$11, 100%, $F$11)</f>
        <v>7.6372999999999998</v>
      </c>
      <c r="J185" s="4">
        <f>7.489 * CHOOSE(CONTROL!$C$15, $D$11, 100%, $F$11)</f>
        <v>7.4889999999999999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7.2268 * CHOOSE(CONTROL!$C$15, $D$11, 100%, $F$11)</f>
        <v>7.2267999999999999</v>
      </c>
      <c r="C186" s="8">
        <f>7.2319 * CHOOSE(CONTROL!$C$15, $D$11, 100%, $F$11)</f>
        <v>7.2319000000000004</v>
      </c>
      <c r="D186" s="8">
        <f>7.203 * CHOOSE( CONTROL!$C$15, $D$11, 100%, $F$11)</f>
        <v>7.2030000000000003</v>
      </c>
      <c r="E186" s="12">
        <f>7.213 * CHOOSE( CONTROL!$C$15, $D$11, 100%, $F$11)</f>
        <v>7.2130000000000001</v>
      </c>
      <c r="F186" s="4">
        <f>7.8921 * CHOOSE(CONTROL!$C$15, $D$11, 100%, $F$11)</f>
        <v>7.8921000000000001</v>
      </c>
      <c r="G186" s="8">
        <f>7.1419 * CHOOSE( CONTROL!$C$15, $D$11, 100%, $F$11)</f>
        <v>7.1418999999999997</v>
      </c>
      <c r="H186" s="4">
        <f>8.0463 * CHOOSE(CONTROL!$C$15, $D$11, 100%, $F$11)</f>
        <v>8.0463000000000005</v>
      </c>
      <c r="I186" s="8">
        <f>7.1528 * CHOOSE(CONTROL!$C$15, $D$11, 100%, $F$11)</f>
        <v>7.1528</v>
      </c>
      <c r="J186" s="4">
        <f>7.0049 * CHOOSE(CONTROL!$C$15, $D$11, 100%, $F$11)</f>
        <v>7.0049000000000001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7.0732 * CHOOSE(CONTROL!$C$15, $D$11, 100%, $F$11)</f>
        <v>7.0731999999999999</v>
      </c>
      <c r="C187" s="8">
        <f>7.0782 * CHOOSE(CONTROL!$C$15, $D$11, 100%, $F$11)</f>
        <v>7.0781999999999998</v>
      </c>
      <c r="D187" s="8">
        <f>7.0489 * CHOOSE( CONTROL!$C$15, $D$11, 100%, $F$11)</f>
        <v>7.0488999999999997</v>
      </c>
      <c r="E187" s="12">
        <f>7.0591 * CHOOSE( CONTROL!$C$15, $D$11, 100%, $F$11)</f>
        <v>7.0590999999999999</v>
      </c>
      <c r="F187" s="4">
        <f>7.7384 * CHOOSE(CONTROL!$C$15, $D$11, 100%, $F$11)</f>
        <v>7.7384000000000004</v>
      </c>
      <c r="G187" s="8">
        <f>6.9897 * CHOOSE( CONTROL!$C$15, $D$11, 100%, $F$11)</f>
        <v>6.9897</v>
      </c>
      <c r="H187" s="4">
        <f>7.8945 * CHOOSE(CONTROL!$C$15, $D$11, 100%, $F$11)</f>
        <v>7.8944999999999999</v>
      </c>
      <c r="I187" s="8">
        <f>7.0024 * CHOOSE(CONTROL!$C$15, $D$11, 100%, $F$11)</f>
        <v>7.0023999999999997</v>
      </c>
      <c r="J187" s="4">
        <f>6.8558 * CHOOSE(CONTROL!$C$15, $D$11, 100%, $F$11)</f>
        <v>6.8558000000000003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7.1813 * CHOOSE(CONTROL!$C$15, $D$11, 100%, $F$11)</f>
        <v>7.1813000000000002</v>
      </c>
      <c r="C188" s="8">
        <f>7.1858 * CHOOSE(CONTROL!$C$15, $D$11, 100%, $F$11)</f>
        <v>7.1858000000000004</v>
      </c>
      <c r="D188" s="8">
        <f>7.2292 * CHOOSE( CONTROL!$C$15, $D$11, 100%, $F$11)</f>
        <v>7.2291999999999996</v>
      </c>
      <c r="E188" s="12">
        <f>7.2144 * CHOOSE( CONTROL!$C$15, $D$11, 100%, $F$11)</f>
        <v>7.2144000000000004</v>
      </c>
      <c r="F188" s="4">
        <f>7.9257 * CHOOSE(CONTROL!$C$15, $D$11, 100%, $F$11)</f>
        <v>7.9257</v>
      </c>
      <c r="G188" s="8">
        <f>7.1036 * CHOOSE( CONTROL!$C$15, $D$11, 100%, $F$11)</f>
        <v>7.1036000000000001</v>
      </c>
      <c r="H188" s="4">
        <f>8.0795 * CHOOSE(CONTROL!$C$15, $D$11, 100%, $F$11)</f>
        <v>8.0794999999999995</v>
      </c>
      <c r="I188" s="8">
        <f>7.1048 * CHOOSE(CONTROL!$C$15, $D$11, 100%, $F$11)</f>
        <v>7.1048</v>
      </c>
      <c r="J188" s="4">
        <f>6.96 * CHOOSE(CONTROL!$C$15, $D$11, 100%, $F$11)</f>
        <v>6.96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7.3774, 7.3737) * CHOOSE(CONTROL!$C$15, $D$11, 100%, $F$11)</f>
        <v>7.3773999999999997</v>
      </c>
      <c r="C189" s="8">
        <f>CHOOSE( CONTROL!$C$32, 7.3854, 7.3817) * CHOOSE(CONTROL!$C$15, $D$11, 100%, $F$11)</f>
        <v>7.3853999999999997</v>
      </c>
      <c r="D189" s="8">
        <f>CHOOSE( CONTROL!$C$32, 7.4231, 7.4195) * CHOOSE( CONTROL!$C$15, $D$11, 100%, $F$11)</f>
        <v>7.4230999999999998</v>
      </c>
      <c r="E189" s="12">
        <f>CHOOSE( CONTROL!$C$32, 7.4082, 7.4046) * CHOOSE( CONTROL!$C$15, $D$11, 100%, $F$11)</f>
        <v>7.4081999999999999</v>
      </c>
      <c r="F189" s="4">
        <f>CHOOSE( CONTROL!$C$32, 8.1204, 8.1168) * CHOOSE(CONTROL!$C$15, $D$11, 100%, $F$11)</f>
        <v>8.1204000000000001</v>
      </c>
      <c r="G189" s="8">
        <f>CHOOSE( CONTROL!$C$32, 7.2969, 7.2933) * CHOOSE( CONTROL!$C$15, $D$11, 100%, $F$11)</f>
        <v>7.2968999999999999</v>
      </c>
      <c r="H189" s="4">
        <f>CHOOSE( CONTROL!$C$32, 8.2719, 8.2683) * CHOOSE(CONTROL!$C$15, $D$11, 100%, $F$11)</f>
        <v>8.2719000000000005</v>
      </c>
      <c r="I189" s="8">
        <f>CHOOSE( CONTROL!$C$32, 7.2941, 7.2905) * CHOOSE(CONTROL!$C$15, $D$11, 100%, $F$11)</f>
        <v>7.2941000000000003</v>
      </c>
      <c r="J189" s="4">
        <f>CHOOSE( CONTROL!$C$32, 7.1489, 7.1454) * CHOOSE(CONTROL!$C$15, $D$11, 100%, $F$11)</f>
        <v>7.1489000000000003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7.259, 7.2554) * CHOOSE(CONTROL!$C$15, $D$11, 100%, $F$11)</f>
        <v>7.2590000000000003</v>
      </c>
      <c r="C190" s="8">
        <f>CHOOSE( CONTROL!$C$32, 7.267, 7.2634) * CHOOSE(CONTROL!$C$15, $D$11, 100%, $F$11)</f>
        <v>7.2670000000000003</v>
      </c>
      <c r="D190" s="8">
        <f>CHOOSE( CONTROL!$C$32, 7.305, 7.3013) * CHOOSE( CONTROL!$C$15, $D$11, 100%, $F$11)</f>
        <v>7.3049999999999997</v>
      </c>
      <c r="E190" s="12">
        <f>CHOOSE( CONTROL!$C$32, 7.29, 7.2863) * CHOOSE( CONTROL!$C$15, $D$11, 100%, $F$11)</f>
        <v>7.29</v>
      </c>
      <c r="F190" s="4">
        <f>CHOOSE( CONTROL!$C$32, 8.002, 7.9984) * CHOOSE(CONTROL!$C$15, $D$11, 100%, $F$11)</f>
        <v>8.0020000000000007</v>
      </c>
      <c r="G190" s="8">
        <f>CHOOSE( CONTROL!$C$32, 7.1802, 7.1766) * CHOOSE( CONTROL!$C$15, $D$11, 100%, $F$11)</f>
        <v>7.1802000000000001</v>
      </c>
      <c r="H190" s="4">
        <f>CHOOSE( CONTROL!$C$32, 8.155, 8.1514) * CHOOSE(CONTROL!$C$15, $D$11, 100%, $F$11)</f>
        <v>8.1549999999999994</v>
      </c>
      <c r="I190" s="8">
        <f>CHOOSE( CONTROL!$C$32, 7.1802, 7.1766) * CHOOSE(CONTROL!$C$15, $D$11, 100%, $F$11)</f>
        <v>7.1802000000000001</v>
      </c>
      <c r="J190" s="4">
        <f>CHOOSE( CONTROL!$C$32, 7.0341, 7.0305) * CHOOSE(CONTROL!$C$15, $D$11, 100%, $F$11)</f>
        <v>7.0340999999999996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7.5707, 7.5671) * CHOOSE(CONTROL!$C$15, $D$11, 100%, $F$11)</f>
        <v>7.5707000000000004</v>
      </c>
      <c r="C191" s="8">
        <f>CHOOSE( CONTROL!$C$32, 7.5787, 7.5751) * CHOOSE(CONTROL!$C$15, $D$11, 100%, $F$11)</f>
        <v>7.5787000000000004</v>
      </c>
      <c r="D191" s="8">
        <f>CHOOSE( CONTROL!$C$32, 7.6169, 7.6133) * CHOOSE( CONTROL!$C$15, $D$11, 100%, $F$11)</f>
        <v>7.6169000000000002</v>
      </c>
      <c r="E191" s="12">
        <f>CHOOSE( CONTROL!$C$32, 7.6018, 7.5982) * CHOOSE( CONTROL!$C$15, $D$11, 100%, $F$11)</f>
        <v>7.6017999999999999</v>
      </c>
      <c r="F191" s="4">
        <f>CHOOSE( CONTROL!$C$32, 8.3137, 8.3101) * CHOOSE(CONTROL!$C$15, $D$11, 100%, $F$11)</f>
        <v>8.3137000000000008</v>
      </c>
      <c r="G191" s="8">
        <f>CHOOSE( CONTROL!$C$32, 7.4887, 7.4851) * CHOOSE( CONTROL!$C$15, $D$11, 100%, $F$11)</f>
        <v>7.4886999999999997</v>
      </c>
      <c r="H191" s="4">
        <f>CHOOSE( CONTROL!$C$32, 8.463, 8.4594) * CHOOSE(CONTROL!$C$15, $D$11, 100%, $F$11)</f>
        <v>8.4629999999999992</v>
      </c>
      <c r="I191" s="8">
        <f>CHOOSE( CONTROL!$C$32, 7.484, 7.4804) * CHOOSE(CONTROL!$C$15, $D$11, 100%, $F$11)</f>
        <v>7.484</v>
      </c>
      <c r="J191" s="4">
        <f>CHOOSE( CONTROL!$C$32, 7.3366, 7.333) * CHOOSE(CONTROL!$C$15, $D$11, 100%, $F$11)</f>
        <v>7.3365999999999998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6.9875, 6.9838) * CHOOSE(CONTROL!$C$15, $D$11, 100%, $F$11)</f>
        <v>6.9874999999999998</v>
      </c>
      <c r="C192" s="8">
        <f>CHOOSE( CONTROL!$C$32, 6.9954, 6.9918) * CHOOSE(CONTROL!$C$15, $D$11, 100%, $F$11)</f>
        <v>6.9954000000000001</v>
      </c>
      <c r="D192" s="8">
        <f>CHOOSE( CONTROL!$C$32, 7.0337, 7.0301) * CHOOSE( CONTROL!$C$15, $D$11, 100%, $F$11)</f>
        <v>7.0336999999999996</v>
      </c>
      <c r="E192" s="12">
        <f>CHOOSE( CONTROL!$C$32, 7.0186, 7.015) * CHOOSE( CONTROL!$C$15, $D$11, 100%, $F$11)</f>
        <v>7.0186000000000002</v>
      </c>
      <c r="F192" s="4">
        <f>CHOOSE( CONTROL!$C$32, 7.7305, 7.7268) * CHOOSE(CONTROL!$C$15, $D$11, 100%, $F$11)</f>
        <v>7.7305000000000001</v>
      </c>
      <c r="G192" s="8">
        <f>CHOOSE( CONTROL!$C$32, 6.9123, 6.9087) * CHOOSE( CONTROL!$C$15, $D$11, 100%, $F$11)</f>
        <v>6.9123000000000001</v>
      </c>
      <c r="H192" s="4">
        <f>CHOOSE( CONTROL!$C$32, 7.8866, 7.883) * CHOOSE(CONTROL!$C$15, $D$11, 100%, $F$11)</f>
        <v>7.8865999999999996</v>
      </c>
      <c r="I192" s="8">
        <f>CHOOSE( CONTROL!$C$32, 6.9179, 6.9144) * CHOOSE(CONTROL!$C$15, $D$11, 100%, $F$11)</f>
        <v>6.9179000000000004</v>
      </c>
      <c r="J192" s="4">
        <f>CHOOSE( CONTROL!$C$32, 6.7705, 6.767) * CHOOSE(CONTROL!$C$15, $D$11, 100%, $F$11)</f>
        <v>6.7705000000000002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6.8414, 6.8378) * CHOOSE(CONTROL!$C$15, $D$11, 100%, $F$11)</f>
        <v>6.8414000000000001</v>
      </c>
      <c r="C193" s="8">
        <f>CHOOSE( CONTROL!$C$32, 6.8494, 6.8458) * CHOOSE(CONTROL!$C$15, $D$11, 100%, $F$11)</f>
        <v>6.8494000000000002</v>
      </c>
      <c r="D193" s="8">
        <f>CHOOSE( CONTROL!$C$32, 6.8876, 6.8839) * CHOOSE( CONTROL!$C$15, $D$11, 100%, $F$11)</f>
        <v>6.8875999999999999</v>
      </c>
      <c r="E193" s="12">
        <f>CHOOSE( CONTROL!$C$32, 6.8725, 6.8689) * CHOOSE( CONTROL!$C$15, $D$11, 100%, $F$11)</f>
        <v>6.8724999999999996</v>
      </c>
      <c r="F193" s="4">
        <f>CHOOSE( CONTROL!$C$32, 7.5844, 7.5808) * CHOOSE(CONTROL!$C$15, $D$11, 100%, $F$11)</f>
        <v>7.5843999999999996</v>
      </c>
      <c r="G193" s="8">
        <f>CHOOSE( CONTROL!$C$32, 6.7679, 6.7643) * CHOOSE( CONTROL!$C$15, $D$11, 100%, $F$11)</f>
        <v>6.7679</v>
      </c>
      <c r="H193" s="4">
        <f>CHOOSE( CONTROL!$C$32, 7.7422, 7.7386) * CHOOSE(CONTROL!$C$15, $D$11, 100%, $F$11)</f>
        <v>7.7422000000000004</v>
      </c>
      <c r="I193" s="8">
        <f>CHOOSE( CONTROL!$C$32, 6.7757, 6.7722) * CHOOSE(CONTROL!$C$15, $D$11, 100%, $F$11)</f>
        <v>6.7756999999999996</v>
      </c>
      <c r="J193" s="4">
        <f>CHOOSE( CONTROL!$C$32, 6.6288, 6.6252) * CHOOSE(CONTROL!$C$15, $D$11, 100%, $F$11)</f>
        <v>6.6288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7.1393 * CHOOSE(CONTROL!$C$15, $D$11, 100%, $F$11)</f>
        <v>7.1393000000000004</v>
      </c>
      <c r="C194" s="8">
        <f>7.1446 * CHOOSE(CONTROL!$C$15, $D$11, 100%, $F$11)</f>
        <v>7.1445999999999996</v>
      </c>
      <c r="D194" s="8">
        <f>7.1882 * CHOOSE( CONTROL!$C$15, $D$11, 100%, $F$11)</f>
        <v>7.1882000000000001</v>
      </c>
      <c r="E194" s="12">
        <f>7.1732 * CHOOSE( CONTROL!$C$15, $D$11, 100%, $F$11)</f>
        <v>7.1731999999999996</v>
      </c>
      <c r="F194" s="4">
        <f>7.884 * CHOOSE(CONTROL!$C$15, $D$11, 100%, $F$11)</f>
        <v>7.8840000000000003</v>
      </c>
      <c r="G194" s="8">
        <f>7.0635 * CHOOSE( CONTROL!$C$15, $D$11, 100%, $F$11)</f>
        <v>7.0635000000000003</v>
      </c>
      <c r="H194" s="4">
        <f>8.0384 * CHOOSE(CONTROL!$C$15, $D$11, 100%, $F$11)</f>
        <v>8.0383999999999993</v>
      </c>
      <c r="I194" s="8">
        <f>7.0674 * CHOOSE(CONTROL!$C$15, $D$11, 100%, $F$11)</f>
        <v>7.0674000000000001</v>
      </c>
      <c r="J194" s="4">
        <f>6.9196 * CHOOSE(CONTROL!$C$15, $D$11, 100%, $F$11)</f>
        <v>6.9196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7.6987 * CHOOSE(CONTROL!$C$15, $D$11, 100%, $F$11)</f>
        <v>7.6986999999999997</v>
      </c>
      <c r="C195" s="8">
        <f>7.7037 * CHOOSE(CONTROL!$C$15, $D$11, 100%, $F$11)</f>
        <v>7.7037000000000004</v>
      </c>
      <c r="D195" s="8">
        <f>7.6874 * CHOOSE( CONTROL!$C$15, $D$11, 100%, $F$11)</f>
        <v>7.6874000000000002</v>
      </c>
      <c r="E195" s="12">
        <f>7.6928 * CHOOSE( CONTROL!$C$15, $D$11, 100%, $F$11)</f>
        <v>7.6928000000000001</v>
      </c>
      <c r="F195" s="4">
        <f>8.364 * CHOOSE(CONTROL!$C$15, $D$11, 100%, $F$11)</f>
        <v>8.3640000000000008</v>
      </c>
      <c r="G195" s="8">
        <f>7.6172 * CHOOSE( CONTROL!$C$15, $D$11, 100%, $F$11)</f>
        <v>7.6172000000000004</v>
      </c>
      <c r="H195" s="4">
        <f>8.5126 * CHOOSE(CONTROL!$C$15, $D$11, 100%, $F$11)</f>
        <v>8.5126000000000008</v>
      </c>
      <c r="I195" s="8">
        <f>7.611 * CHOOSE(CONTROL!$C$15, $D$11, 100%, $F$11)</f>
        <v>7.6109999999999998</v>
      </c>
      <c r="J195" s="4">
        <f>7.4628 * CHOOSE(CONTROL!$C$15, $D$11, 100%, $F$11)</f>
        <v>7.4627999999999997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7.6847 * CHOOSE(CONTROL!$C$15, $D$11, 100%, $F$11)</f>
        <v>7.6847000000000003</v>
      </c>
      <c r="C196" s="8">
        <f>7.6898 * CHOOSE(CONTROL!$C$15, $D$11, 100%, $F$11)</f>
        <v>7.6898</v>
      </c>
      <c r="D196" s="8">
        <f>7.6751 * CHOOSE( CONTROL!$C$15, $D$11, 100%, $F$11)</f>
        <v>7.6750999999999996</v>
      </c>
      <c r="E196" s="12">
        <f>7.6799 * CHOOSE( CONTROL!$C$15, $D$11, 100%, $F$11)</f>
        <v>7.6798999999999999</v>
      </c>
      <c r="F196" s="4">
        <f>8.35 * CHOOSE(CONTROL!$C$15, $D$11, 100%, $F$11)</f>
        <v>8.35</v>
      </c>
      <c r="G196" s="8">
        <f>7.6047 * CHOOSE( CONTROL!$C$15, $D$11, 100%, $F$11)</f>
        <v>7.6047000000000002</v>
      </c>
      <c r="H196" s="4">
        <f>8.4988 * CHOOSE(CONTROL!$C$15, $D$11, 100%, $F$11)</f>
        <v>8.4987999999999992</v>
      </c>
      <c r="I196" s="8">
        <f>7.6028 * CHOOSE(CONTROL!$C$15, $D$11, 100%, $F$11)</f>
        <v>7.6028000000000002</v>
      </c>
      <c r="J196" s="4">
        <f>7.4492 * CHOOSE(CONTROL!$C$15, $D$11, 100%, $F$11)</f>
        <v>7.4492000000000003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7.9572 * CHOOSE(CONTROL!$C$15, $D$11, 100%, $F$11)</f>
        <v>7.9572000000000003</v>
      </c>
      <c r="C197" s="8">
        <f>7.9623 * CHOOSE(CONTROL!$C$15, $D$11, 100%, $F$11)</f>
        <v>7.9622999999999999</v>
      </c>
      <c r="D197" s="8">
        <f>7.9334 * CHOOSE( CONTROL!$C$15, $D$11, 100%, $F$11)</f>
        <v>7.9333999999999998</v>
      </c>
      <c r="E197" s="12">
        <f>7.9434 * CHOOSE( CONTROL!$C$15, $D$11, 100%, $F$11)</f>
        <v>7.9433999999999996</v>
      </c>
      <c r="F197" s="4">
        <f>8.6225 * CHOOSE(CONTROL!$C$15, $D$11, 100%, $F$11)</f>
        <v>8.6225000000000005</v>
      </c>
      <c r="G197" s="8">
        <f>7.8637 * CHOOSE( CONTROL!$C$15, $D$11, 100%, $F$11)</f>
        <v>7.8636999999999997</v>
      </c>
      <c r="H197" s="4">
        <f>8.7681 * CHOOSE(CONTROL!$C$15, $D$11, 100%, $F$11)</f>
        <v>8.7681000000000004</v>
      </c>
      <c r="I197" s="8">
        <f>7.862 * CHOOSE(CONTROL!$C$15, $D$11, 100%, $F$11)</f>
        <v>7.8620000000000001</v>
      </c>
      <c r="J197" s="4">
        <f>7.7137 * CHOOSE(CONTROL!$C$15, $D$11, 100%, $F$11)</f>
        <v>7.7137000000000002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7.4433 * CHOOSE(CONTROL!$C$15, $D$11, 100%, $F$11)</f>
        <v>7.4432999999999998</v>
      </c>
      <c r="C198" s="8">
        <f>7.4484 * CHOOSE(CONTROL!$C$15, $D$11, 100%, $F$11)</f>
        <v>7.4484000000000004</v>
      </c>
      <c r="D198" s="8">
        <f>7.4195 * CHOOSE( CONTROL!$C$15, $D$11, 100%, $F$11)</f>
        <v>7.4195000000000002</v>
      </c>
      <c r="E198" s="12">
        <f>7.4295 * CHOOSE( CONTROL!$C$15, $D$11, 100%, $F$11)</f>
        <v>7.4295</v>
      </c>
      <c r="F198" s="4">
        <f>8.1086 * CHOOSE(CONTROL!$C$15, $D$11, 100%, $F$11)</f>
        <v>8.1085999999999991</v>
      </c>
      <c r="G198" s="8">
        <f>7.3559 * CHOOSE( CONTROL!$C$15, $D$11, 100%, $F$11)</f>
        <v>7.3559000000000001</v>
      </c>
      <c r="H198" s="4">
        <f>8.2603 * CHOOSE(CONTROL!$C$15, $D$11, 100%, $F$11)</f>
        <v>8.2603000000000009</v>
      </c>
      <c r="I198" s="8">
        <f>7.3631 * CHOOSE(CONTROL!$C$15, $D$11, 100%, $F$11)</f>
        <v>7.3631000000000002</v>
      </c>
      <c r="J198" s="4">
        <f>7.215 * CHOOSE(CONTROL!$C$15, $D$11, 100%, $F$11)</f>
        <v>7.2149999999999999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7.2851 * CHOOSE(CONTROL!$C$15, $D$11, 100%, $F$11)</f>
        <v>7.2850999999999999</v>
      </c>
      <c r="C199" s="8">
        <f>7.2902 * CHOOSE(CONTROL!$C$15, $D$11, 100%, $F$11)</f>
        <v>7.2901999999999996</v>
      </c>
      <c r="D199" s="8">
        <f>7.2609 * CHOOSE( CONTROL!$C$15, $D$11, 100%, $F$11)</f>
        <v>7.2609000000000004</v>
      </c>
      <c r="E199" s="12">
        <f>7.2711 * CHOOSE( CONTROL!$C$15, $D$11, 100%, $F$11)</f>
        <v>7.2710999999999997</v>
      </c>
      <c r="F199" s="4">
        <f>7.9504 * CHOOSE(CONTROL!$C$15, $D$11, 100%, $F$11)</f>
        <v>7.9504000000000001</v>
      </c>
      <c r="G199" s="8">
        <f>7.1992 * CHOOSE( CONTROL!$C$15, $D$11, 100%, $F$11)</f>
        <v>7.1992000000000003</v>
      </c>
      <c r="H199" s="4">
        <f>8.1039 * CHOOSE(CONTROL!$C$15, $D$11, 100%, $F$11)</f>
        <v>8.1038999999999994</v>
      </c>
      <c r="I199" s="8">
        <f>7.2082 * CHOOSE(CONTROL!$C$15, $D$11, 100%, $F$11)</f>
        <v>7.2081999999999997</v>
      </c>
      <c r="J199" s="4">
        <f>7.0614 * CHOOSE(CONTROL!$C$15, $D$11, 100%, $F$11)</f>
        <v>7.0613999999999999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7.3964 * CHOOSE(CONTROL!$C$15, $D$11, 100%, $F$11)</f>
        <v>7.3963999999999999</v>
      </c>
      <c r="C200" s="8">
        <f>7.4009 * CHOOSE(CONTROL!$C$15, $D$11, 100%, $F$11)</f>
        <v>7.4009</v>
      </c>
      <c r="D200" s="8">
        <f>7.4443 * CHOOSE( CONTROL!$C$15, $D$11, 100%, $F$11)</f>
        <v>7.4443000000000001</v>
      </c>
      <c r="E200" s="12">
        <f>7.4295 * CHOOSE( CONTROL!$C$15, $D$11, 100%, $F$11)</f>
        <v>7.4295</v>
      </c>
      <c r="F200" s="4">
        <f>8.1408 * CHOOSE(CONTROL!$C$15, $D$11, 100%, $F$11)</f>
        <v>8.1408000000000005</v>
      </c>
      <c r="G200" s="8">
        <f>7.3163 * CHOOSE( CONTROL!$C$15, $D$11, 100%, $F$11)</f>
        <v>7.3163</v>
      </c>
      <c r="H200" s="4">
        <f>8.2921 * CHOOSE(CONTROL!$C$15, $D$11, 100%, $F$11)</f>
        <v>8.2920999999999996</v>
      </c>
      <c r="I200" s="8">
        <f>7.3137 * CHOOSE(CONTROL!$C$15, $D$11, 100%, $F$11)</f>
        <v>7.3136999999999999</v>
      </c>
      <c r="J200" s="4">
        <f>7.1687 * CHOOSE(CONTROL!$C$15, $D$11, 100%, $F$11)</f>
        <v>7.1687000000000003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7.5983, 7.5946) * CHOOSE(CONTROL!$C$15, $D$11, 100%, $F$11)</f>
        <v>7.5983000000000001</v>
      </c>
      <c r="C201" s="8">
        <f>CHOOSE( CONTROL!$C$32, 7.6062, 7.6026) * CHOOSE(CONTROL!$C$15, $D$11, 100%, $F$11)</f>
        <v>7.6062000000000003</v>
      </c>
      <c r="D201" s="8">
        <f>CHOOSE( CONTROL!$C$32, 7.644, 7.6403) * CHOOSE( CONTROL!$C$15, $D$11, 100%, $F$11)</f>
        <v>7.6440000000000001</v>
      </c>
      <c r="E201" s="12">
        <f>CHOOSE( CONTROL!$C$32, 7.6291, 7.6254) * CHOOSE( CONTROL!$C$15, $D$11, 100%, $F$11)</f>
        <v>7.6291000000000002</v>
      </c>
      <c r="F201" s="4">
        <f>CHOOSE( CONTROL!$C$32, 8.3413, 8.3376) * CHOOSE(CONTROL!$C$15, $D$11, 100%, $F$11)</f>
        <v>8.3413000000000004</v>
      </c>
      <c r="G201" s="8">
        <f>CHOOSE( CONTROL!$C$32, 7.5152, 7.5116) * CHOOSE( CONTROL!$C$15, $D$11, 100%, $F$11)</f>
        <v>7.5152000000000001</v>
      </c>
      <c r="H201" s="4">
        <f>CHOOSE( CONTROL!$C$32, 8.4902, 8.4866) * CHOOSE(CONTROL!$C$15, $D$11, 100%, $F$11)</f>
        <v>8.4901999999999997</v>
      </c>
      <c r="I201" s="8">
        <f>CHOOSE( CONTROL!$C$32, 7.5085, 7.505) * CHOOSE(CONTROL!$C$15, $D$11, 100%, $F$11)</f>
        <v>7.5084999999999997</v>
      </c>
      <c r="J201" s="4">
        <f>CHOOSE( CONTROL!$C$32, 7.3633, 7.3598) * CHOOSE(CONTROL!$C$15, $D$11, 100%, $F$11)</f>
        <v>7.3632999999999997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7.4763, 7.4727) * CHOOSE(CONTROL!$C$15, $D$11, 100%, $F$11)</f>
        <v>7.4763000000000002</v>
      </c>
      <c r="C202" s="8">
        <f>CHOOSE( CONTROL!$C$32, 7.4843, 7.4807) * CHOOSE(CONTROL!$C$15, $D$11, 100%, $F$11)</f>
        <v>7.4843000000000002</v>
      </c>
      <c r="D202" s="8">
        <f>CHOOSE( CONTROL!$C$32, 7.5223, 7.5186) * CHOOSE( CONTROL!$C$15, $D$11, 100%, $F$11)</f>
        <v>7.5223000000000004</v>
      </c>
      <c r="E202" s="12">
        <f>CHOOSE( CONTROL!$C$32, 7.5073, 7.5036) * CHOOSE( CONTROL!$C$15, $D$11, 100%, $F$11)</f>
        <v>7.5072999999999999</v>
      </c>
      <c r="F202" s="4">
        <f>CHOOSE( CONTROL!$C$32, 8.2194, 8.2157) * CHOOSE(CONTROL!$C$15, $D$11, 100%, $F$11)</f>
        <v>8.2194000000000003</v>
      </c>
      <c r="G202" s="8">
        <f>CHOOSE( CONTROL!$C$32, 7.395, 7.3914) * CHOOSE( CONTROL!$C$15, $D$11, 100%, $F$11)</f>
        <v>7.3949999999999996</v>
      </c>
      <c r="H202" s="4">
        <f>CHOOSE( CONTROL!$C$32, 8.3697, 8.3661) * CHOOSE(CONTROL!$C$15, $D$11, 100%, $F$11)</f>
        <v>8.3696999999999999</v>
      </c>
      <c r="I202" s="8">
        <f>CHOOSE( CONTROL!$C$32, 7.3912, 7.3877) * CHOOSE(CONTROL!$C$15, $D$11, 100%, $F$11)</f>
        <v>7.3912000000000004</v>
      </c>
      <c r="J202" s="4">
        <f>CHOOSE( CONTROL!$C$32, 7.245, 7.2414) * CHOOSE(CONTROL!$C$15, $D$11, 100%, $F$11)</f>
        <v>7.2450000000000001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7.7974, 7.7938) * CHOOSE(CONTROL!$C$15, $D$11, 100%, $F$11)</f>
        <v>7.7973999999999997</v>
      </c>
      <c r="C203" s="8">
        <f>CHOOSE( CONTROL!$C$32, 7.8054, 7.8017) * CHOOSE(CONTROL!$C$15, $D$11, 100%, $F$11)</f>
        <v>7.8053999999999997</v>
      </c>
      <c r="D203" s="8">
        <f>CHOOSE( CONTROL!$C$32, 7.8436, 7.8399) * CHOOSE( CONTROL!$C$15, $D$11, 100%, $F$11)</f>
        <v>7.8436000000000003</v>
      </c>
      <c r="E203" s="12">
        <f>CHOOSE( CONTROL!$C$32, 7.8285, 7.8249) * CHOOSE( CONTROL!$C$15, $D$11, 100%, $F$11)</f>
        <v>7.8285</v>
      </c>
      <c r="F203" s="4">
        <f>CHOOSE( CONTROL!$C$32, 8.5404, 8.5368) * CHOOSE(CONTROL!$C$15, $D$11, 100%, $F$11)</f>
        <v>8.5404</v>
      </c>
      <c r="G203" s="8">
        <f>CHOOSE( CONTROL!$C$32, 7.7127, 7.7091) * CHOOSE( CONTROL!$C$15, $D$11, 100%, $F$11)</f>
        <v>7.7126999999999999</v>
      </c>
      <c r="H203" s="4">
        <f>CHOOSE( CONTROL!$C$32, 8.6871, 8.6835) * CHOOSE(CONTROL!$C$15, $D$11, 100%, $F$11)</f>
        <v>8.6870999999999992</v>
      </c>
      <c r="I203" s="8">
        <f>CHOOSE( CONTROL!$C$32, 7.7041, 7.7005) * CHOOSE(CONTROL!$C$15, $D$11, 100%, $F$11)</f>
        <v>7.7041000000000004</v>
      </c>
      <c r="J203" s="4">
        <f>CHOOSE( CONTROL!$C$32, 7.5566, 7.553) * CHOOSE(CONTROL!$C$15, $D$11, 100%, $F$11)</f>
        <v>7.5566000000000004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7.1967, 7.193) * CHOOSE(CONTROL!$C$15, $D$11, 100%, $F$11)</f>
        <v>7.1966999999999999</v>
      </c>
      <c r="C204" s="8">
        <f>CHOOSE( CONTROL!$C$32, 7.2046, 7.201) * CHOOSE(CONTROL!$C$15, $D$11, 100%, $F$11)</f>
        <v>7.2046000000000001</v>
      </c>
      <c r="D204" s="8">
        <f>CHOOSE( CONTROL!$C$32, 7.2429, 7.2392) * CHOOSE( CONTROL!$C$15, $D$11, 100%, $F$11)</f>
        <v>7.2428999999999997</v>
      </c>
      <c r="E204" s="12">
        <f>CHOOSE( CONTROL!$C$32, 7.2278, 7.2241) * CHOOSE( CONTROL!$C$15, $D$11, 100%, $F$11)</f>
        <v>7.2278000000000002</v>
      </c>
      <c r="F204" s="4">
        <f>CHOOSE( CONTROL!$C$32, 7.9397, 7.936) * CHOOSE(CONTROL!$C$15, $D$11, 100%, $F$11)</f>
        <v>7.9397000000000002</v>
      </c>
      <c r="G204" s="8">
        <f>CHOOSE( CONTROL!$C$32, 7.1191, 7.1155) * CHOOSE( CONTROL!$C$15, $D$11, 100%, $F$11)</f>
        <v>7.1191000000000004</v>
      </c>
      <c r="H204" s="4">
        <f>CHOOSE( CONTROL!$C$32, 8.0933, 8.0897) * CHOOSE(CONTROL!$C$15, $D$11, 100%, $F$11)</f>
        <v>8.0932999999999993</v>
      </c>
      <c r="I204" s="8">
        <f>CHOOSE( CONTROL!$C$32, 7.121, 7.1175) * CHOOSE(CONTROL!$C$15, $D$11, 100%, $F$11)</f>
        <v>7.1210000000000004</v>
      </c>
      <c r="J204" s="4">
        <f>CHOOSE( CONTROL!$C$32, 6.9735, 6.97) * CHOOSE(CONTROL!$C$15, $D$11, 100%, $F$11)</f>
        <v>6.9734999999999996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7.0462, 7.0426) * CHOOSE(CONTROL!$C$15, $D$11, 100%, $F$11)</f>
        <v>7.0461999999999998</v>
      </c>
      <c r="C205" s="8">
        <f>CHOOSE( CONTROL!$C$32, 7.0542, 7.0505) * CHOOSE(CONTROL!$C$15, $D$11, 100%, $F$11)</f>
        <v>7.0541999999999998</v>
      </c>
      <c r="D205" s="8">
        <f>CHOOSE( CONTROL!$C$32, 7.0924, 7.0887) * CHOOSE( CONTROL!$C$15, $D$11, 100%, $F$11)</f>
        <v>7.0923999999999996</v>
      </c>
      <c r="E205" s="12">
        <f>CHOOSE( CONTROL!$C$32, 7.0773, 7.0737) * CHOOSE( CONTROL!$C$15, $D$11, 100%, $F$11)</f>
        <v>7.0773000000000001</v>
      </c>
      <c r="F205" s="4">
        <f>CHOOSE( CONTROL!$C$32, 7.7892, 7.7856) * CHOOSE(CONTROL!$C$15, $D$11, 100%, $F$11)</f>
        <v>7.7892000000000001</v>
      </c>
      <c r="G205" s="8">
        <f>CHOOSE( CONTROL!$C$32, 6.9703, 6.9667) * CHOOSE( CONTROL!$C$15, $D$11, 100%, $F$11)</f>
        <v>6.9702999999999999</v>
      </c>
      <c r="H205" s="4">
        <f>CHOOSE( CONTROL!$C$32, 7.9446, 7.941) * CHOOSE(CONTROL!$C$15, $D$11, 100%, $F$11)</f>
        <v>7.9446000000000003</v>
      </c>
      <c r="I205" s="8">
        <f>CHOOSE( CONTROL!$C$32, 6.9746, 6.971) * CHOOSE(CONTROL!$C$15, $D$11, 100%, $F$11)</f>
        <v>6.9745999999999997</v>
      </c>
      <c r="J205" s="4">
        <f>CHOOSE( CONTROL!$C$32, 6.8275, 6.824) * CHOOSE(CONTROL!$C$15, $D$11, 100%, $F$11)</f>
        <v>6.8274999999999997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7.3532 * CHOOSE(CONTROL!$C$15, $D$11, 100%, $F$11)</f>
        <v>7.3532000000000002</v>
      </c>
      <c r="C206" s="8">
        <f>7.3585 * CHOOSE(CONTROL!$C$15, $D$11, 100%, $F$11)</f>
        <v>7.3585000000000003</v>
      </c>
      <c r="D206" s="8">
        <f>7.4021 * CHOOSE( CONTROL!$C$15, $D$11, 100%, $F$11)</f>
        <v>7.4020999999999999</v>
      </c>
      <c r="E206" s="12">
        <f>7.3871 * CHOOSE( CONTROL!$C$15, $D$11, 100%, $F$11)</f>
        <v>7.3871000000000002</v>
      </c>
      <c r="F206" s="4">
        <f>8.0979 * CHOOSE(CONTROL!$C$15, $D$11, 100%, $F$11)</f>
        <v>8.0978999999999992</v>
      </c>
      <c r="G206" s="8">
        <f>7.2748 * CHOOSE( CONTROL!$C$15, $D$11, 100%, $F$11)</f>
        <v>7.2747999999999999</v>
      </c>
      <c r="H206" s="4">
        <f>8.2498 * CHOOSE(CONTROL!$C$15, $D$11, 100%, $F$11)</f>
        <v>8.2498000000000005</v>
      </c>
      <c r="I206" s="8">
        <f>7.2751 * CHOOSE(CONTROL!$C$15, $D$11, 100%, $F$11)</f>
        <v>7.2751000000000001</v>
      </c>
      <c r="J206" s="4">
        <f>7.1271 * CHOOSE(CONTROL!$C$15, $D$11, 100%, $F$11)</f>
        <v>7.1271000000000004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7.9294 * CHOOSE(CONTROL!$C$15, $D$11, 100%, $F$11)</f>
        <v>7.9294000000000002</v>
      </c>
      <c r="C207" s="8">
        <f>7.9344 * CHOOSE(CONTROL!$C$15, $D$11, 100%, $F$11)</f>
        <v>7.9344000000000001</v>
      </c>
      <c r="D207" s="8">
        <f>7.9181 * CHOOSE( CONTROL!$C$15, $D$11, 100%, $F$11)</f>
        <v>7.9180999999999999</v>
      </c>
      <c r="E207" s="12">
        <f>7.9235 * CHOOSE( CONTROL!$C$15, $D$11, 100%, $F$11)</f>
        <v>7.9234999999999998</v>
      </c>
      <c r="F207" s="4">
        <f>8.5946 * CHOOSE(CONTROL!$C$15, $D$11, 100%, $F$11)</f>
        <v>8.5945999999999998</v>
      </c>
      <c r="G207" s="8">
        <f>7.8452 * CHOOSE( CONTROL!$C$15, $D$11, 100%, $F$11)</f>
        <v>7.8452000000000002</v>
      </c>
      <c r="H207" s="4">
        <f>8.7406 * CHOOSE(CONTROL!$C$15, $D$11, 100%, $F$11)</f>
        <v>8.7406000000000006</v>
      </c>
      <c r="I207" s="8">
        <f>7.835 * CHOOSE(CONTROL!$C$15, $D$11, 100%, $F$11)</f>
        <v>7.835</v>
      </c>
      <c r="J207" s="4">
        <f>7.6867 * CHOOSE(CONTROL!$C$15, $D$11, 100%, $F$11)</f>
        <v>7.6867000000000001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7.915 * CHOOSE(CONTROL!$C$15, $D$11, 100%, $F$11)</f>
        <v>7.915</v>
      </c>
      <c r="C208" s="8">
        <f>7.92 * CHOOSE(CONTROL!$C$15, $D$11, 100%, $F$11)</f>
        <v>7.92</v>
      </c>
      <c r="D208" s="8">
        <f>7.9054 * CHOOSE( CONTROL!$C$15, $D$11, 100%, $F$11)</f>
        <v>7.9054000000000002</v>
      </c>
      <c r="E208" s="12">
        <f>7.9102 * CHOOSE( CONTROL!$C$15, $D$11, 100%, $F$11)</f>
        <v>7.9101999999999997</v>
      </c>
      <c r="F208" s="4">
        <f>8.5802 * CHOOSE(CONTROL!$C$15, $D$11, 100%, $F$11)</f>
        <v>8.5801999999999996</v>
      </c>
      <c r="G208" s="8">
        <f>7.8322 * CHOOSE( CONTROL!$C$15, $D$11, 100%, $F$11)</f>
        <v>7.8322000000000003</v>
      </c>
      <c r="H208" s="4">
        <f>8.7264 * CHOOSE(CONTROL!$C$15, $D$11, 100%, $F$11)</f>
        <v>8.7263999999999999</v>
      </c>
      <c r="I208" s="8">
        <f>7.8264 * CHOOSE(CONTROL!$C$15, $D$11, 100%, $F$11)</f>
        <v>7.8263999999999996</v>
      </c>
      <c r="J208" s="4">
        <f>7.6727 * CHOOSE(CONTROL!$C$15, $D$11, 100%, $F$11)</f>
        <v>7.6726999999999999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8.1949 * CHOOSE(CONTROL!$C$15, $D$11, 100%, $F$11)</f>
        <v>8.1949000000000005</v>
      </c>
      <c r="C209" s="8">
        <f>8.1999 * CHOOSE(CONTROL!$C$15, $D$11, 100%, $F$11)</f>
        <v>8.1998999999999995</v>
      </c>
      <c r="D209" s="8">
        <f>8.171 * CHOOSE( CONTROL!$C$15, $D$11, 100%, $F$11)</f>
        <v>8.1709999999999994</v>
      </c>
      <c r="E209" s="12">
        <f>8.181 * CHOOSE( CONTROL!$C$15, $D$11, 100%, $F$11)</f>
        <v>8.1809999999999992</v>
      </c>
      <c r="F209" s="4">
        <f>8.8601 * CHOOSE(CONTROL!$C$15, $D$11, 100%, $F$11)</f>
        <v>8.8600999999999992</v>
      </c>
      <c r="G209" s="8">
        <f>8.0986 * CHOOSE( CONTROL!$C$15, $D$11, 100%, $F$11)</f>
        <v>8.0985999999999994</v>
      </c>
      <c r="H209" s="4">
        <f>9.003 * CHOOSE(CONTROL!$C$15, $D$11, 100%, $F$11)</f>
        <v>9.0030000000000001</v>
      </c>
      <c r="I209" s="8">
        <f>8.0928 * CHOOSE(CONTROL!$C$15, $D$11, 100%, $F$11)</f>
        <v>8.0928000000000004</v>
      </c>
      <c r="J209" s="4">
        <f>7.9444 * CHOOSE(CONTROL!$C$15, $D$11, 100%, $F$11)</f>
        <v>7.9443999999999999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7.6657 * CHOOSE(CONTROL!$C$15, $D$11, 100%, $F$11)</f>
        <v>7.6657000000000002</v>
      </c>
      <c r="C210" s="8">
        <f>7.6707 * CHOOSE(CONTROL!$C$15, $D$11, 100%, $F$11)</f>
        <v>7.6707000000000001</v>
      </c>
      <c r="D210" s="8">
        <f>7.6418 * CHOOSE( CONTROL!$C$15, $D$11, 100%, $F$11)</f>
        <v>7.6417999999999999</v>
      </c>
      <c r="E210" s="12">
        <f>7.6518 * CHOOSE( CONTROL!$C$15, $D$11, 100%, $F$11)</f>
        <v>7.6517999999999997</v>
      </c>
      <c r="F210" s="4">
        <f>8.3309 * CHOOSE(CONTROL!$C$15, $D$11, 100%, $F$11)</f>
        <v>8.3308999999999997</v>
      </c>
      <c r="G210" s="8">
        <f>7.5756 * CHOOSE( CONTROL!$C$15, $D$11, 100%, $F$11)</f>
        <v>7.5755999999999997</v>
      </c>
      <c r="H210" s="4">
        <f>8.48 * CHOOSE(CONTROL!$C$15, $D$11, 100%, $F$11)</f>
        <v>8.48</v>
      </c>
      <c r="I210" s="8">
        <f>7.5789 * CHOOSE(CONTROL!$C$15, $D$11, 100%, $F$11)</f>
        <v>7.5789</v>
      </c>
      <c r="J210" s="4">
        <f>7.4308 * CHOOSE(CONTROL!$C$15, $D$11, 100%, $F$11)</f>
        <v>7.4307999999999996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7.5027 * CHOOSE(CONTROL!$C$15, $D$11, 100%, $F$11)</f>
        <v>7.5026999999999999</v>
      </c>
      <c r="C211" s="8">
        <f>7.5077 * CHOOSE(CONTROL!$C$15, $D$11, 100%, $F$11)</f>
        <v>7.5076999999999998</v>
      </c>
      <c r="D211" s="8">
        <f>7.4784 * CHOOSE( CONTROL!$C$15, $D$11, 100%, $F$11)</f>
        <v>7.4783999999999997</v>
      </c>
      <c r="E211" s="12">
        <f>7.4886 * CHOOSE( CONTROL!$C$15, $D$11, 100%, $F$11)</f>
        <v>7.4885999999999999</v>
      </c>
      <c r="F211" s="4">
        <f>8.1679 * CHOOSE(CONTROL!$C$15, $D$11, 100%, $F$11)</f>
        <v>8.1678999999999995</v>
      </c>
      <c r="G211" s="8">
        <f>7.4142 * CHOOSE( CONTROL!$C$15, $D$11, 100%, $F$11)</f>
        <v>7.4142000000000001</v>
      </c>
      <c r="H211" s="4">
        <f>8.3189 * CHOOSE(CONTROL!$C$15, $D$11, 100%, $F$11)</f>
        <v>8.3188999999999993</v>
      </c>
      <c r="I211" s="8">
        <f>7.4194 * CHOOSE(CONTROL!$C$15, $D$11, 100%, $F$11)</f>
        <v>7.4194000000000004</v>
      </c>
      <c r="J211" s="4">
        <f>7.2726 * CHOOSE(CONTROL!$C$15, $D$11, 100%, $F$11)</f>
        <v>7.2725999999999997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7.6173 * CHOOSE(CONTROL!$C$15, $D$11, 100%, $F$11)</f>
        <v>7.6173000000000002</v>
      </c>
      <c r="C212" s="8">
        <f>7.6218 * CHOOSE(CONTROL!$C$15, $D$11, 100%, $F$11)</f>
        <v>7.6218000000000004</v>
      </c>
      <c r="D212" s="8">
        <f>7.6652 * CHOOSE( CONTROL!$C$15, $D$11, 100%, $F$11)</f>
        <v>7.6651999999999996</v>
      </c>
      <c r="E212" s="12">
        <f>7.6504 * CHOOSE( CONTROL!$C$15, $D$11, 100%, $F$11)</f>
        <v>7.6504000000000003</v>
      </c>
      <c r="F212" s="4">
        <f>8.3617 * CHOOSE(CONTROL!$C$15, $D$11, 100%, $F$11)</f>
        <v>8.3617000000000008</v>
      </c>
      <c r="G212" s="8">
        <f>7.5346 * CHOOSE( CONTROL!$C$15, $D$11, 100%, $F$11)</f>
        <v>7.5346000000000002</v>
      </c>
      <c r="H212" s="4">
        <f>8.5104 * CHOOSE(CONTROL!$C$15, $D$11, 100%, $F$11)</f>
        <v>8.5104000000000006</v>
      </c>
      <c r="I212" s="8">
        <f>7.5282 * CHOOSE(CONTROL!$C$15, $D$11, 100%, $F$11)</f>
        <v>7.5282</v>
      </c>
      <c r="J212" s="4">
        <f>7.3831 * CHOOSE(CONTROL!$C$15, $D$11, 100%, $F$11)</f>
        <v>7.3830999999999998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7.825, 7.8214) * CHOOSE(CONTROL!$C$15, $D$11, 100%, $F$11)</f>
        <v>7.8250000000000002</v>
      </c>
      <c r="C213" s="8">
        <f>CHOOSE( CONTROL!$C$32, 7.833, 7.8294) * CHOOSE(CONTROL!$C$15, $D$11, 100%, $F$11)</f>
        <v>7.8330000000000002</v>
      </c>
      <c r="D213" s="8">
        <f>CHOOSE( CONTROL!$C$32, 7.8707, 7.8671) * CHOOSE( CONTROL!$C$15, $D$11, 100%, $F$11)</f>
        <v>7.8707000000000003</v>
      </c>
      <c r="E213" s="12">
        <f>CHOOSE( CONTROL!$C$32, 7.8558, 7.8522) * CHOOSE( CONTROL!$C$15, $D$11, 100%, $F$11)</f>
        <v>7.8558000000000003</v>
      </c>
      <c r="F213" s="4">
        <f>CHOOSE( CONTROL!$C$32, 8.568, 8.5644) * CHOOSE(CONTROL!$C$15, $D$11, 100%, $F$11)</f>
        <v>8.5679999999999996</v>
      </c>
      <c r="G213" s="8">
        <f>CHOOSE( CONTROL!$C$32, 7.7393, 7.7357) * CHOOSE( CONTROL!$C$15, $D$11, 100%, $F$11)</f>
        <v>7.7393000000000001</v>
      </c>
      <c r="H213" s="4">
        <f>CHOOSE( CONTROL!$C$32, 8.7143, 8.7107) * CHOOSE(CONTROL!$C$15, $D$11, 100%, $F$11)</f>
        <v>8.7142999999999997</v>
      </c>
      <c r="I213" s="8">
        <f>CHOOSE( CONTROL!$C$32, 7.7287, 7.7252) * CHOOSE(CONTROL!$C$15, $D$11, 100%, $F$11)</f>
        <v>7.7286999999999999</v>
      </c>
      <c r="J213" s="4">
        <f>CHOOSE( CONTROL!$C$32, 7.5834, 7.5798) * CHOOSE(CONTROL!$C$15, $D$11, 100%, $F$11)</f>
        <v>7.5834000000000001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7.6995, 7.6958) * CHOOSE(CONTROL!$C$15, $D$11, 100%, $F$11)</f>
        <v>7.6994999999999996</v>
      </c>
      <c r="C214" s="8">
        <f>CHOOSE( CONTROL!$C$32, 7.7074, 7.7038) * CHOOSE(CONTROL!$C$15, $D$11, 100%, $F$11)</f>
        <v>7.7073999999999998</v>
      </c>
      <c r="D214" s="8">
        <f>CHOOSE( CONTROL!$C$32, 7.7454, 7.7418) * CHOOSE( CONTROL!$C$15, $D$11, 100%, $F$11)</f>
        <v>7.7454000000000001</v>
      </c>
      <c r="E214" s="12">
        <f>CHOOSE( CONTROL!$C$32, 7.7304, 7.7268) * CHOOSE( CONTROL!$C$15, $D$11, 100%, $F$11)</f>
        <v>7.7304000000000004</v>
      </c>
      <c r="F214" s="4">
        <f>CHOOSE( CONTROL!$C$32, 8.4425, 8.4388) * CHOOSE(CONTROL!$C$15, $D$11, 100%, $F$11)</f>
        <v>8.4425000000000008</v>
      </c>
      <c r="G214" s="8">
        <f>CHOOSE( CONTROL!$C$32, 7.6155, 7.6119) * CHOOSE( CONTROL!$C$15, $D$11, 100%, $F$11)</f>
        <v>7.6154999999999999</v>
      </c>
      <c r="H214" s="4">
        <f>CHOOSE( CONTROL!$C$32, 8.5902, 8.5866) * CHOOSE(CONTROL!$C$15, $D$11, 100%, $F$11)</f>
        <v>8.5901999999999994</v>
      </c>
      <c r="I214" s="8">
        <f>CHOOSE( CONTROL!$C$32, 7.6078, 7.6043) * CHOOSE(CONTROL!$C$15, $D$11, 100%, $F$11)</f>
        <v>7.6078000000000001</v>
      </c>
      <c r="J214" s="4">
        <f>CHOOSE( CONTROL!$C$32, 7.4615, 7.458) * CHOOSE(CONTROL!$C$15, $D$11, 100%, $F$11)</f>
        <v>7.4615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8.0301, 8.0265) * CHOOSE(CONTROL!$C$15, $D$11, 100%, $F$11)</f>
        <v>8.0300999999999991</v>
      </c>
      <c r="C215" s="8">
        <f>CHOOSE( CONTROL!$C$32, 8.0381, 8.0345) * CHOOSE(CONTROL!$C$15, $D$11, 100%, $F$11)</f>
        <v>8.0381</v>
      </c>
      <c r="D215" s="8">
        <f>CHOOSE( CONTROL!$C$32, 8.0763, 8.0727) * CHOOSE( CONTROL!$C$15, $D$11, 100%, $F$11)</f>
        <v>8.0762999999999998</v>
      </c>
      <c r="E215" s="12">
        <f>CHOOSE( CONTROL!$C$32, 8.0612, 8.0576) * CHOOSE( CONTROL!$C$15, $D$11, 100%, $F$11)</f>
        <v>8.0611999999999995</v>
      </c>
      <c r="F215" s="4">
        <f>CHOOSE( CONTROL!$C$32, 8.7731, 8.7695) * CHOOSE(CONTROL!$C$15, $D$11, 100%, $F$11)</f>
        <v>8.7730999999999995</v>
      </c>
      <c r="G215" s="8">
        <f>CHOOSE( CONTROL!$C$32, 7.9427, 7.9391) * CHOOSE( CONTROL!$C$15, $D$11, 100%, $F$11)</f>
        <v>7.9427000000000003</v>
      </c>
      <c r="H215" s="4">
        <f>CHOOSE( CONTROL!$C$32, 8.917, 8.9134) * CHOOSE(CONTROL!$C$15, $D$11, 100%, $F$11)</f>
        <v>8.9169999999999998</v>
      </c>
      <c r="I215" s="8">
        <f>CHOOSE( CONTROL!$C$32, 7.93, 7.9265) * CHOOSE(CONTROL!$C$15, $D$11, 100%, $F$11)</f>
        <v>7.93</v>
      </c>
      <c r="J215" s="4">
        <f>CHOOSE( CONTROL!$C$32, 7.7824, 7.7789) * CHOOSE(CONTROL!$C$15, $D$11, 100%, $F$11)</f>
        <v>7.7824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7.4114, 7.4078) * CHOOSE(CONTROL!$C$15, $D$11, 100%, $F$11)</f>
        <v>7.4114000000000004</v>
      </c>
      <c r="C216" s="8">
        <f>CHOOSE( CONTROL!$C$32, 7.4194, 7.4157) * CHOOSE(CONTROL!$C$15, $D$11, 100%, $F$11)</f>
        <v>7.4194000000000004</v>
      </c>
      <c r="D216" s="8">
        <f>CHOOSE( CONTROL!$C$32, 7.4576, 7.454) * CHOOSE( CONTROL!$C$15, $D$11, 100%, $F$11)</f>
        <v>7.4576000000000002</v>
      </c>
      <c r="E216" s="12">
        <f>CHOOSE( CONTROL!$C$32, 7.4425, 7.4389) * CHOOSE( CONTROL!$C$15, $D$11, 100%, $F$11)</f>
        <v>7.4424999999999999</v>
      </c>
      <c r="F216" s="4">
        <f>CHOOSE( CONTROL!$C$32, 8.1544, 8.1508) * CHOOSE(CONTROL!$C$15, $D$11, 100%, $F$11)</f>
        <v>8.1544000000000008</v>
      </c>
      <c r="G216" s="8">
        <f>CHOOSE( CONTROL!$C$32, 7.3313, 7.3277) * CHOOSE( CONTROL!$C$15, $D$11, 100%, $F$11)</f>
        <v>7.3312999999999997</v>
      </c>
      <c r="H216" s="4">
        <f>CHOOSE( CONTROL!$C$32, 8.3056, 8.302) * CHOOSE(CONTROL!$C$15, $D$11, 100%, $F$11)</f>
        <v>8.3056000000000001</v>
      </c>
      <c r="I216" s="8">
        <f>CHOOSE( CONTROL!$C$32, 7.3296, 7.326) * CHOOSE(CONTROL!$C$15, $D$11, 100%, $F$11)</f>
        <v>7.3296000000000001</v>
      </c>
      <c r="J216" s="4">
        <f>CHOOSE( CONTROL!$C$32, 7.182, 7.1784) * CHOOSE(CONTROL!$C$15, $D$11, 100%, $F$11)</f>
        <v>7.1820000000000004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7.2565, 7.2528) * CHOOSE(CONTROL!$C$15, $D$11, 100%, $F$11)</f>
        <v>7.2565</v>
      </c>
      <c r="C217" s="8">
        <f>CHOOSE( CONTROL!$C$32, 7.2645, 7.2608) * CHOOSE(CONTROL!$C$15, $D$11, 100%, $F$11)</f>
        <v>7.2645</v>
      </c>
      <c r="D217" s="8">
        <f>CHOOSE( CONTROL!$C$32, 7.3026, 7.299) * CHOOSE( CONTROL!$C$15, $D$11, 100%, $F$11)</f>
        <v>7.3026</v>
      </c>
      <c r="E217" s="12">
        <f>CHOOSE( CONTROL!$C$32, 7.2876, 7.2839) * CHOOSE( CONTROL!$C$15, $D$11, 100%, $F$11)</f>
        <v>7.2876000000000003</v>
      </c>
      <c r="F217" s="4">
        <f>CHOOSE( CONTROL!$C$32, 7.9995, 7.9958) * CHOOSE(CONTROL!$C$15, $D$11, 100%, $F$11)</f>
        <v>7.9995000000000003</v>
      </c>
      <c r="G217" s="8">
        <f>CHOOSE( CONTROL!$C$32, 7.1781, 7.1745) * CHOOSE( CONTROL!$C$15, $D$11, 100%, $F$11)</f>
        <v>7.1780999999999997</v>
      </c>
      <c r="H217" s="4">
        <f>CHOOSE( CONTROL!$C$32, 8.1524, 8.1488) * CHOOSE(CONTROL!$C$15, $D$11, 100%, $F$11)</f>
        <v>8.1524000000000001</v>
      </c>
      <c r="I217" s="8">
        <f>CHOOSE( CONTROL!$C$32, 7.1787, 7.1752) * CHOOSE(CONTROL!$C$15, $D$11, 100%, $F$11)</f>
        <v>7.1787000000000001</v>
      </c>
      <c r="J217" s="4">
        <f>CHOOSE( CONTROL!$C$32, 7.0316, 7.0281) * CHOOSE(CONTROL!$C$15, $D$11, 100%, $F$11)</f>
        <v>7.0316000000000001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7.5728 * CHOOSE(CONTROL!$C$15, $D$11, 100%, $F$11)</f>
        <v>7.5728</v>
      </c>
      <c r="C218" s="8">
        <f>7.5781 * CHOOSE(CONTROL!$C$15, $D$11, 100%, $F$11)</f>
        <v>7.5781000000000001</v>
      </c>
      <c r="D218" s="8">
        <f>7.6217 * CHOOSE( CONTROL!$C$15, $D$11, 100%, $F$11)</f>
        <v>7.6216999999999997</v>
      </c>
      <c r="E218" s="12">
        <f>7.6067 * CHOOSE( CONTROL!$C$15, $D$11, 100%, $F$11)</f>
        <v>7.6067</v>
      </c>
      <c r="F218" s="4">
        <f>8.3175 * CHOOSE(CONTROL!$C$15, $D$11, 100%, $F$11)</f>
        <v>8.3175000000000008</v>
      </c>
      <c r="G218" s="8">
        <f>7.4919 * CHOOSE( CONTROL!$C$15, $D$11, 100%, $F$11)</f>
        <v>7.4919000000000002</v>
      </c>
      <c r="H218" s="4">
        <f>8.4668 * CHOOSE(CONTROL!$C$15, $D$11, 100%, $F$11)</f>
        <v>8.4667999999999992</v>
      </c>
      <c r="I218" s="8">
        <f>7.4883 * CHOOSE(CONTROL!$C$15, $D$11, 100%, $F$11)</f>
        <v>7.4882999999999997</v>
      </c>
      <c r="J218" s="4">
        <f>7.3403 * CHOOSE(CONTROL!$C$15, $D$11, 100%, $F$11)</f>
        <v>7.3403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8.1662 * CHOOSE(CONTROL!$C$15, $D$11, 100%, $F$11)</f>
        <v>8.1661999999999999</v>
      </c>
      <c r="C219" s="8">
        <f>8.1713 * CHOOSE(CONTROL!$C$15, $D$11, 100%, $F$11)</f>
        <v>8.1713000000000005</v>
      </c>
      <c r="D219" s="8">
        <f>8.1549 * CHOOSE( CONTROL!$C$15, $D$11, 100%, $F$11)</f>
        <v>8.1548999999999996</v>
      </c>
      <c r="E219" s="12">
        <f>8.1604 * CHOOSE( CONTROL!$C$15, $D$11, 100%, $F$11)</f>
        <v>8.1603999999999992</v>
      </c>
      <c r="F219" s="4">
        <f>8.8315 * CHOOSE(CONTROL!$C$15, $D$11, 100%, $F$11)</f>
        <v>8.8315000000000001</v>
      </c>
      <c r="G219" s="8">
        <f>8.0793 * CHOOSE( CONTROL!$C$15, $D$11, 100%, $F$11)</f>
        <v>8.0792999999999999</v>
      </c>
      <c r="H219" s="4">
        <f>8.9747 * CHOOSE(CONTROL!$C$15, $D$11, 100%, $F$11)</f>
        <v>8.9747000000000003</v>
      </c>
      <c r="I219" s="8">
        <f>8.065 * CHOOSE(CONTROL!$C$15, $D$11, 100%, $F$11)</f>
        <v>8.0649999999999995</v>
      </c>
      <c r="J219" s="4">
        <f>7.9165 * CHOOSE(CONTROL!$C$15, $D$11, 100%, $F$11)</f>
        <v>7.9165000000000001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8.1514 * CHOOSE(CONTROL!$C$15, $D$11, 100%, $F$11)</f>
        <v>8.1514000000000006</v>
      </c>
      <c r="C220" s="8">
        <f>8.1564 * CHOOSE(CONTROL!$C$15, $D$11, 100%, $F$11)</f>
        <v>8.1563999999999997</v>
      </c>
      <c r="D220" s="8">
        <f>8.1418 * CHOOSE( CONTROL!$C$15, $D$11, 100%, $F$11)</f>
        <v>8.1417999999999999</v>
      </c>
      <c r="E220" s="12">
        <f>8.1466 * CHOOSE( CONTROL!$C$15, $D$11, 100%, $F$11)</f>
        <v>8.1465999999999994</v>
      </c>
      <c r="F220" s="4">
        <f>8.8166 * CHOOSE(CONTROL!$C$15, $D$11, 100%, $F$11)</f>
        <v>8.8165999999999993</v>
      </c>
      <c r="G220" s="8">
        <f>8.0659 * CHOOSE( CONTROL!$C$15, $D$11, 100%, $F$11)</f>
        <v>8.0658999999999992</v>
      </c>
      <c r="H220" s="4">
        <f>8.96 * CHOOSE(CONTROL!$C$15, $D$11, 100%, $F$11)</f>
        <v>8.9600000000000009</v>
      </c>
      <c r="I220" s="8">
        <f>8.056 * CHOOSE(CONTROL!$C$15, $D$11, 100%, $F$11)</f>
        <v>8.0559999999999992</v>
      </c>
      <c r="J220" s="4">
        <f>7.9021 * CHOOSE(CONTROL!$C$15, $D$11, 100%, $F$11)</f>
        <v>7.9020999999999999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8.4389 * CHOOSE(CONTROL!$C$15, $D$11, 100%, $F$11)</f>
        <v>8.4389000000000003</v>
      </c>
      <c r="C221" s="8">
        <f>8.4439 * CHOOSE(CONTROL!$C$15, $D$11, 100%, $F$11)</f>
        <v>8.4438999999999993</v>
      </c>
      <c r="D221" s="8">
        <f>8.415 * CHOOSE( CONTROL!$C$15, $D$11, 100%, $F$11)</f>
        <v>8.4149999999999991</v>
      </c>
      <c r="E221" s="12">
        <f>8.425 * CHOOSE( CONTROL!$C$15, $D$11, 100%, $F$11)</f>
        <v>8.4250000000000007</v>
      </c>
      <c r="F221" s="4">
        <f>9.1041 * CHOOSE(CONTROL!$C$15, $D$11, 100%, $F$11)</f>
        <v>9.1041000000000007</v>
      </c>
      <c r="G221" s="8">
        <f>8.3397 * CHOOSE( CONTROL!$C$15, $D$11, 100%, $F$11)</f>
        <v>8.3397000000000006</v>
      </c>
      <c r="H221" s="4">
        <f>9.2442 * CHOOSE(CONTROL!$C$15, $D$11, 100%, $F$11)</f>
        <v>9.2441999999999993</v>
      </c>
      <c r="I221" s="8">
        <f>8.3297 * CHOOSE(CONTROL!$C$15, $D$11, 100%, $F$11)</f>
        <v>8.3297000000000008</v>
      </c>
      <c r="J221" s="4">
        <f>8.1812 * CHOOSE(CONTROL!$C$15, $D$11, 100%, $F$11)</f>
        <v>8.1812000000000005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7.8939 * CHOOSE(CONTROL!$C$15, $D$11, 100%, $F$11)</f>
        <v>7.8939000000000004</v>
      </c>
      <c r="C222" s="8">
        <f>7.899 * CHOOSE(CONTROL!$C$15, $D$11, 100%, $F$11)</f>
        <v>7.899</v>
      </c>
      <c r="D222" s="8">
        <f>7.8701 * CHOOSE( CONTROL!$C$15, $D$11, 100%, $F$11)</f>
        <v>7.8700999999999999</v>
      </c>
      <c r="E222" s="12">
        <f>7.8801 * CHOOSE( CONTROL!$C$15, $D$11, 100%, $F$11)</f>
        <v>7.8800999999999997</v>
      </c>
      <c r="F222" s="4">
        <f>8.5592 * CHOOSE(CONTROL!$C$15, $D$11, 100%, $F$11)</f>
        <v>8.5592000000000006</v>
      </c>
      <c r="G222" s="8">
        <f>7.8011 * CHOOSE( CONTROL!$C$15, $D$11, 100%, $F$11)</f>
        <v>7.8010999999999999</v>
      </c>
      <c r="H222" s="4">
        <f>8.7056 * CHOOSE(CONTROL!$C$15, $D$11, 100%, $F$11)</f>
        <v>8.7056000000000004</v>
      </c>
      <c r="I222" s="8">
        <f>7.8005 * CHOOSE(CONTROL!$C$15, $D$11, 100%, $F$11)</f>
        <v>7.8005000000000004</v>
      </c>
      <c r="J222" s="4">
        <f>7.6523 * CHOOSE(CONTROL!$C$15, $D$11, 100%, $F$11)</f>
        <v>7.6523000000000003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7.726 * CHOOSE(CONTROL!$C$15, $D$11, 100%, $F$11)</f>
        <v>7.726</v>
      </c>
      <c r="C223" s="8">
        <f>7.7311 * CHOOSE(CONTROL!$C$15, $D$11, 100%, $F$11)</f>
        <v>7.7310999999999996</v>
      </c>
      <c r="D223" s="8">
        <f>7.7018 * CHOOSE( CONTROL!$C$15, $D$11, 100%, $F$11)</f>
        <v>7.7018000000000004</v>
      </c>
      <c r="E223" s="12">
        <f>7.712 * CHOOSE( CONTROL!$C$15, $D$11, 100%, $F$11)</f>
        <v>7.7119999999999997</v>
      </c>
      <c r="F223" s="4">
        <f>8.3913 * CHOOSE(CONTROL!$C$15, $D$11, 100%, $F$11)</f>
        <v>8.3912999999999993</v>
      </c>
      <c r="G223" s="8">
        <f>7.635 * CHOOSE( CONTROL!$C$15, $D$11, 100%, $F$11)</f>
        <v>7.6349999999999998</v>
      </c>
      <c r="H223" s="4">
        <f>8.5397 * CHOOSE(CONTROL!$C$15, $D$11, 100%, $F$11)</f>
        <v>8.5396999999999998</v>
      </c>
      <c r="I223" s="8">
        <f>7.6363 * CHOOSE(CONTROL!$C$15, $D$11, 100%, $F$11)</f>
        <v>7.6363000000000003</v>
      </c>
      <c r="J223" s="4">
        <f>7.4894 * CHOOSE(CONTROL!$C$15, $D$11, 100%, $F$11)</f>
        <v>7.4893999999999998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7.8441 * CHOOSE(CONTROL!$C$15, $D$11, 100%, $F$11)</f>
        <v>7.8441000000000001</v>
      </c>
      <c r="C224" s="8">
        <f>7.8486 * CHOOSE(CONTROL!$C$15, $D$11, 100%, $F$11)</f>
        <v>7.8486000000000002</v>
      </c>
      <c r="D224" s="8">
        <f>7.892 * CHOOSE( CONTROL!$C$15, $D$11, 100%, $F$11)</f>
        <v>7.8920000000000003</v>
      </c>
      <c r="E224" s="12">
        <f>7.8772 * CHOOSE( CONTROL!$C$15, $D$11, 100%, $F$11)</f>
        <v>7.8772000000000002</v>
      </c>
      <c r="F224" s="4">
        <f>8.5885 * CHOOSE(CONTROL!$C$15, $D$11, 100%, $F$11)</f>
        <v>8.5884999999999998</v>
      </c>
      <c r="G224" s="8">
        <f>7.7587 * CHOOSE( CONTROL!$C$15, $D$11, 100%, $F$11)</f>
        <v>7.7587000000000002</v>
      </c>
      <c r="H224" s="4">
        <f>8.7345 * CHOOSE(CONTROL!$C$15, $D$11, 100%, $F$11)</f>
        <v>8.7345000000000006</v>
      </c>
      <c r="I224" s="8">
        <f>7.7484 * CHOOSE(CONTROL!$C$15, $D$11, 100%, $F$11)</f>
        <v>7.7484000000000002</v>
      </c>
      <c r="J224" s="4">
        <f>7.6032 * CHOOSE(CONTROL!$C$15, $D$11, 100%, $F$11)</f>
        <v>7.6032000000000002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8.0578, 8.0542) * CHOOSE(CONTROL!$C$15, $D$11, 100%, $F$11)</f>
        <v>8.0578000000000003</v>
      </c>
      <c r="C225" s="8">
        <f>CHOOSE( CONTROL!$C$32, 8.0658, 8.0622) * CHOOSE(CONTROL!$C$15, $D$11, 100%, $F$11)</f>
        <v>8.0657999999999994</v>
      </c>
      <c r="D225" s="8">
        <f>CHOOSE( CONTROL!$C$32, 8.1036, 8.0999) * CHOOSE( CONTROL!$C$15, $D$11, 100%, $F$11)</f>
        <v>8.1036000000000001</v>
      </c>
      <c r="E225" s="12">
        <f>CHOOSE( CONTROL!$C$32, 8.0887, 8.085) * CHOOSE( CONTROL!$C$15, $D$11, 100%, $F$11)</f>
        <v>8.0886999999999993</v>
      </c>
      <c r="F225" s="4">
        <f>CHOOSE( CONTROL!$C$32, 8.8008, 8.7972) * CHOOSE(CONTROL!$C$15, $D$11, 100%, $F$11)</f>
        <v>8.8008000000000006</v>
      </c>
      <c r="G225" s="8">
        <f>CHOOSE( CONTROL!$C$32, 7.9694, 7.9658) * CHOOSE( CONTROL!$C$15, $D$11, 100%, $F$11)</f>
        <v>7.9694000000000003</v>
      </c>
      <c r="H225" s="4">
        <f>CHOOSE( CONTROL!$C$32, 8.9444, 8.9408) * CHOOSE(CONTROL!$C$15, $D$11, 100%, $F$11)</f>
        <v>8.9443999999999999</v>
      </c>
      <c r="I225" s="8">
        <f>CHOOSE( CONTROL!$C$32, 7.9548, 7.9512) * CHOOSE(CONTROL!$C$15, $D$11, 100%, $F$11)</f>
        <v>7.9547999999999996</v>
      </c>
      <c r="J225" s="4">
        <f>CHOOSE( CONTROL!$C$32, 7.8093, 7.8058) * CHOOSE(CONTROL!$C$15, $D$11, 100%, $F$11)</f>
        <v>7.8093000000000004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7.9285, 7.9249) * CHOOSE(CONTROL!$C$15, $D$11, 100%, $F$11)</f>
        <v>7.9284999999999997</v>
      </c>
      <c r="C226" s="8">
        <f>CHOOSE( CONTROL!$C$32, 7.9365, 7.9329) * CHOOSE(CONTROL!$C$15, $D$11, 100%, $F$11)</f>
        <v>7.9364999999999997</v>
      </c>
      <c r="D226" s="8">
        <f>CHOOSE( CONTROL!$C$32, 7.9745, 7.9708) * CHOOSE( CONTROL!$C$15, $D$11, 100%, $F$11)</f>
        <v>7.9744999999999999</v>
      </c>
      <c r="E226" s="12">
        <f>CHOOSE( CONTROL!$C$32, 7.9595, 7.9558) * CHOOSE( CONTROL!$C$15, $D$11, 100%, $F$11)</f>
        <v>7.9595000000000002</v>
      </c>
      <c r="F226" s="4">
        <f>CHOOSE( CONTROL!$C$32, 8.6715, 8.6679) * CHOOSE(CONTROL!$C$15, $D$11, 100%, $F$11)</f>
        <v>8.6715</v>
      </c>
      <c r="G226" s="8">
        <f>CHOOSE( CONTROL!$C$32, 7.8419, 7.8383) * CHOOSE( CONTROL!$C$15, $D$11, 100%, $F$11)</f>
        <v>7.8418999999999999</v>
      </c>
      <c r="H226" s="4">
        <f>CHOOSE( CONTROL!$C$32, 8.8166, 8.813) * CHOOSE(CONTROL!$C$15, $D$11, 100%, $F$11)</f>
        <v>8.8165999999999993</v>
      </c>
      <c r="I226" s="8">
        <f>CHOOSE( CONTROL!$C$32, 7.8303, 7.8267) * CHOOSE(CONTROL!$C$15, $D$11, 100%, $F$11)</f>
        <v>7.8303000000000003</v>
      </c>
      <c r="J226" s="4">
        <f>CHOOSE( CONTROL!$C$32, 7.6838, 7.6803) * CHOOSE(CONTROL!$C$15, $D$11, 100%, $F$11)</f>
        <v>7.6837999999999997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8.2691, 8.2654) * CHOOSE(CONTROL!$C$15, $D$11, 100%, $F$11)</f>
        <v>8.2690999999999999</v>
      </c>
      <c r="C227" s="8">
        <f>CHOOSE( CONTROL!$C$32, 8.277, 8.2734) * CHOOSE(CONTROL!$C$15, $D$11, 100%, $F$11)</f>
        <v>8.2769999999999992</v>
      </c>
      <c r="D227" s="8">
        <f>CHOOSE( CONTROL!$C$32, 8.3152, 8.3116) * CHOOSE( CONTROL!$C$15, $D$11, 100%, $F$11)</f>
        <v>8.3152000000000008</v>
      </c>
      <c r="E227" s="12">
        <f>CHOOSE( CONTROL!$C$32, 8.3002, 8.2965) * CHOOSE( CONTROL!$C$15, $D$11, 100%, $F$11)</f>
        <v>8.3002000000000002</v>
      </c>
      <c r="F227" s="4">
        <f>CHOOSE( CONTROL!$C$32, 9.0121, 9.0084) * CHOOSE(CONTROL!$C$15, $D$11, 100%, $F$11)</f>
        <v>9.0121000000000002</v>
      </c>
      <c r="G227" s="8">
        <f>CHOOSE( CONTROL!$C$32, 8.1788, 8.1752) * CHOOSE( CONTROL!$C$15, $D$11, 100%, $F$11)</f>
        <v>8.1788000000000007</v>
      </c>
      <c r="H227" s="4">
        <f>CHOOSE( CONTROL!$C$32, 9.1532, 9.1496) * CHOOSE(CONTROL!$C$15, $D$11, 100%, $F$11)</f>
        <v>9.1532</v>
      </c>
      <c r="I227" s="8">
        <f>CHOOSE( CONTROL!$C$32, 8.162, 8.1585) * CHOOSE(CONTROL!$C$15, $D$11, 100%, $F$11)</f>
        <v>8.1620000000000008</v>
      </c>
      <c r="J227" s="4">
        <f>CHOOSE( CONTROL!$C$32, 8.0143, 8.0108) * CHOOSE(CONTROL!$C$15, $D$11, 100%, $F$11)</f>
        <v>8.0143000000000004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7.6319, 7.6282) * CHOOSE(CONTROL!$C$15, $D$11, 100%, $F$11)</f>
        <v>7.6318999999999999</v>
      </c>
      <c r="C228" s="8">
        <f>CHOOSE( CONTROL!$C$32, 7.6399, 7.6362) * CHOOSE(CONTROL!$C$15, $D$11, 100%, $F$11)</f>
        <v>7.6398999999999999</v>
      </c>
      <c r="D228" s="8">
        <f>CHOOSE( CONTROL!$C$32, 7.6781, 7.6745) * CHOOSE( CONTROL!$C$15, $D$11, 100%, $F$11)</f>
        <v>7.6780999999999997</v>
      </c>
      <c r="E228" s="12">
        <f>CHOOSE( CONTROL!$C$32, 7.663, 7.6594) * CHOOSE( CONTROL!$C$15, $D$11, 100%, $F$11)</f>
        <v>7.6630000000000003</v>
      </c>
      <c r="F228" s="4">
        <f>CHOOSE( CONTROL!$C$32, 8.3749, 8.3713) * CHOOSE(CONTROL!$C$15, $D$11, 100%, $F$11)</f>
        <v>8.3749000000000002</v>
      </c>
      <c r="G228" s="8">
        <f>CHOOSE( CONTROL!$C$32, 7.5492, 7.5456) * CHOOSE( CONTROL!$C$15, $D$11, 100%, $F$11)</f>
        <v>7.5491999999999999</v>
      </c>
      <c r="H228" s="4">
        <f>CHOOSE( CONTROL!$C$32, 8.5235, 8.5199) * CHOOSE(CONTROL!$C$15, $D$11, 100%, $F$11)</f>
        <v>8.5235000000000003</v>
      </c>
      <c r="I228" s="8">
        <f>CHOOSE( CONTROL!$C$32, 7.5436, 7.5401) * CHOOSE(CONTROL!$C$15, $D$11, 100%, $F$11)</f>
        <v>7.5435999999999996</v>
      </c>
      <c r="J228" s="4">
        <f>CHOOSE( CONTROL!$C$32, 7.3959, 7.3924) * CHOOSE(CONTROL!$C$15, $D$11, 100%, $F$11)</f>
        <v>7.3959000000000001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7.4723, 7.4687) * CHOOSE(CONTROL!$C$15, $D$11, 100%, $F$11)</f>
        <v>7.4722999999999997</v>
      </c>
      <c r="C229" s="8">
        <f>CHOOSE( CONTROL!$C$32, 7.4803, 7.4767) * CHOOSE(CONTROL!$C$15, $D$11, 100%, $F$11)</f>
        <v>7.4802999999999997</v>
      </c>
      <c r="D229" s="8">
        <f>CHOOSE( CONTROL!$C$32, 7.5185, 7.5148) * CHOOSE( CONTROL!$C$15, $D$11, 100%, $F$11)</f>
        <v>7.5185000000000004</v>
      </c>
      <c r="E229" s="12">
        <f>CHOOSE( CONTROL!$C$32, 7.5034, 7.4998) * CHOOSE( CONTROL!$C$15, $D$11, 100%, $F$11)</f>
        <v>7.5034000000000001</v>
      </c>
      <c r="F229" s="4">
        <f>CHOOSE( CONTROL!$C$32, 8.2153, 8.2117) * CHOOSE(CONTROL!$C$15, $D$11, 100%, $F$11)</f>
        <v>8.2152999999999992</v>
      </c>
      <c r="G229" s="8">
        <f>CHOOSE( CONTROL!$C$32, 7.3914, 7.3878) * CHOOSE( CONTROL!$C$15, $D$11, 100%, $F$11)</f>
        <v>7.3914</v>
      </c>
      <c r="H229" s="4">
        <f>CHOOSE( CONTROL!$C$32, 8.3658, 8.3622) * CHOOSE(CONTROL!$C$15, $D$11, 100%, $F$11)</f>
        <v>8.3658000000000001</v>
      </c>
      <c r="I229" s="8">
        <f>CHOOSE( CONTROL!$C$32, 7.3883, 7.3848) * CHOOSE(CONTROL!$C$15, $D$11, 100%, $F$11)</f>
        <v>7.3883000000000001</v>
      </c>
      <c r="J229" s="4">
        <f>CHOOSE( CONTROL!$C$32, 7.2411, 7.2375) * CHOOSE(CONTROL!$C$15, $D$11, 100%, $F$11)</f>
        <v>7.2411000000000003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7.7983 * CHOOSE(CONTROL!$C$15, $D$11, 100%, $F$11)</f>
        <v>7.7983000000000002</v>
      </c>
      <c r="C230" s="8">
        <f>7.8036 * CHOOSE(CONTROL!$C$15, $D$11, 100%, $F$11)</f>
        <v>7.8036000000000003</v>
      </c>
      <c r="D230" s="8">
        <f>7.8471 * CHOOSE( CONTROL!$C$15, $D$11, 100%, $F$11)</f>
        <v>7.8471000000000002</v>
      </c>
      <c r="E230" s="12">
        <f>7.8322 * CHOOSE( CONTROL!$C$15, $D$11, 100%, $F$11)</f>
        <v>7.8322000000000003</v>
      </c>
      <c r="F230" s="4">
        <f>8.543 * CHOOSE(CONTROL!$C$15, $D$11, 100%, $F$11)</f>
        <v>8.5429999999999993</v>
      </c>
      <c r="G230" s="8">
        <f>7.7147 * CHOOSE( CONTROL!$C$15, $D$11, 100%, $F$11)</f>
        <v>7.7146999999999997</v>
      </c>
      <c r="H230" s="4">
        <f>8.6896 * CHOOSE(CONTROL!$C$15, $D$11, 100%, $F$11)</f>
        <v>8.6896000000000004</v>
      </c>
      <c r="I230" s="8">
        <f>7.7072 * CHOOSE(CONTROL!$C$15, $D$11, 100%, $F$11)</f>
        <v>7.7072000000000003</v>
      </c>
      <c r="J230" s="4">
        <f>7.5591 * CHOOSE(CONTROL!$C$15, $D$11, 100%, $F$11)</f>
        <v>7.5590999999999999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8.4093 * CHOOSE(CONTROL!$C$15, $D$11, 100%, $F$11)</f>
        <v>8.4093</v>
      </c>
      <c r="C231" s="8">
        <f>8.4144 * CHOOSE(CONTROL!$C$15, $D$11, 100%, $F$11)</f>
        <v>8.4144000000000005</v>
      </c>
      <c r="D231" s="8">
        <f>8.3981 * CHOOSE( CONTROL!$C$15, $D$11, 100%, $F$11)</f>
        <v>8.3980999999999995</v>
      </c>
      <c r="E231" s="12">
        <f>8.4035 * CHOOSE( CONTROL!$C$15, $D$11, 100%, $F$11)</f>
        <v>8.4034999999999993</v>
      </c>
      <c r="F231" s="4">
        <f>9.0746 * CHOOSE(CONTROL!$C$15, $D$11, 100%, $F$11)</f>
        <v>9.0746000000000002</v>
      </c>
      <c r="G231" s="8">
        <f>8.3196 * CHOOSE( CONTROL!$C$15, $D$11, 100%, $F$11)</f>
        <v>8.3195999999999994</v>
      </c>
      <c r="H231" s="4">
        <f>9.215 * CHOOSE(CONTROL!$C$15, $D$11, 100%, $F$11)</f>
        <v>9.2149999999999999</v>
      </c>
      <c r="I231" s="8">
        <f>8.3011 * CHOOSE(CONTROL!$C$15, $D$11, 100%, $F$11)</f>
        <v>8.3010999999999999</v>
      </c>
      <c r="J231" s="4">
        <f>8.1525 * CHOOSE(CONTROL!$C$15, $D$11, 100%, $F$11)</f>
        <v>8.1524999999999999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8.3941 * CHOOSE(CONTROL!$C$15, $D$11, 100%, $F$11)</f>
        <v>8.3940999999999999</v>
      </c>
      <c r="C232" s="8">
        <f>8.3991 * CHOOSE(CONTROL!$C$15, $D$11, 100%, $F$11)</f>
        <v>8.3991000000000007</v>
      </c>
      <c r="D232" s="8">
        <f>8.3845 * CHOOSE( CONTROL!$C$15, $D$11, 100%, $F$11)</f>
        <v>8.3844999999999992</v>
      </c>
      <c r="E232" s="12">
        <f>8.3893 * CHOOSE( CONTROL!$C$15, $D$11, 100%, $F$11)</f>
        <v>8.3893000000000004</v>
      </c>
      <c r="F232" s="4">
        <f>9.0593 * CHOOSE(CONTROL!$C$15, $D$11, 100%, $F$11)</f>
        <v>9.0593000000000004</v>
      </c>
      <c r="G232" s="8">
        <f>8.3057 * CHOOSE( CONTROL!$C$15, $D$11, 100%, $F$11)</f>
        <v>8.3056999999999999</v>
      </c>
      <c r="H232" s="4">
        <f>9.1999 * CHOOSE(CONTROL!$C$15, $D$11, 100%, $F$11)</f>
        <v>9.1998999999999995</v>
      </c>
      <c r="I232" s="8">
        <f>8.2916 * CHOOSE(CONTROL!$C$15, $D$11, 100%, $F$11)</f>
        <v>8.2916000000000007</v>
      </c>
      <c r="J232" s="4">
        <f>8.1377 * CHOOSE(CONTROL!$C$15, $D$11, 100%, $F$11)</f>
        <v>8.1377000000000006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8.6893 * CHOOSE(CONTROL!$C$15, $D$11, 100%, $F$11)</f>
        <v>8.6892999999999994</v>
      </c>
      <c r="C233" s="8">
        <f>8.6944 * CHOOSE(CONTROL!$C$15, $D$11, 100%, $F$11)</f>
        <v>8.6943999999999999</v>
      </c>
      <c r="D233" s="8">
        <f>8.6655 * CHOOSE( CONTROL!$C$15, $D$11, 100%, $F$11)</f>
        <v>8.6654999999999998</v>
      </c>
      <c r="E233" s="12">
        <f>8.6755 * CHOOSE( CONTROL!$C$15, $D$11, 100%, $F$11)</f>
        <v>8.6754999999999995</v>
      </c>
      <c r="F233" s="4">
        <f>9.3546 * CHOOSE(CONTROL!$C$15, $D$11, 100%, $F$11)</f>
        <v>9.3545999999999996</v>
      </c>
      <c r="G233" s="8">
        <f>8.5873 * CHOOSE( CONTROL!$C$15, $D$11, 100%, $F$11)</f>
        <v>8.5873000000000008</v>
      </c>
      <c r="H233" s="4">
        <f>9.4917 * CHOOSE(CONTROL!$C$15, $D$11, 100%, $F$11)</f>
        <v>9.4916999999999998</v>
      </c>
      <c r="I233" s="8">
        <f>8.573 * CHOOSE(CONTROL!$C$15, $D$11, 100%, $F$11)</f>
        <v>8.5730000000000004</v>
      </c>
      <c r="J233" s="4">
        <f>8.4243 * CHOOSE(CONTROL!$C$15, $D$11, 100%, $F$11)</f>
        <v>8.4243000000000006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8.1282 * CHOOSE(CONTROL!$C$15, $D$11, 100%, $F$11)</f>
        <v>8.1281999999999996</v>
      </c>
      <c r="C234" s="8">
        <f>8.1332 * CHOOSE(CONTROL!$C$15, $D$11, 100%, $F$11)</f>
        <v>8.1332000000000004</v>
      </c>
      <c r="D234" s="8">
        <f>8.1044 * CHOOSE( CONTROL!$C$15, $D$11, 100%, $F$11)</f>
        <v>8.1044</v>
      </c>
      <c r="E234" s="12">
        <f>8.1144 * CHOOSE( CONTROL!$C$15, $D$11, 100%, $F$11)</f>
        <v>8.1143999999999998</v>
      </c>
      <c r="F234" s="4">
        <f>8.7935 * CHOOSE(CONTROL!$C$15, $D$11, 100%, $F$11)</f>
        <v>8.7934999999999999</v>
      </c>
      <c r="G234" s="8">
        <f>8.0327 * CHOOSE( CONTROL!$C$15, $D$11, 100%, $F$11)</f>
        <v>8.0327000000000002</v>
      </c>
      <c r="H234" s="4">
        <f>8.9371 * CHOOSE(CONTROL!$C$15, $D$11, 100%, $F$11)</f>
        <v>8.9370999999999992</v>
      </c>
      <c r="I234" s="8">
        <f>8.028 * CHOOSE(CONTROL!$C$15, $D$11, 100%, $F$11)</f>
        <v>8.0280000000000005</v>
      </c>
      <c r="J234" s="4">
        <f>7.8796 * CHOOSE(CONTROL!$C$15, $D$11, 100%, $F$11)</f>
        <v>7.8795999999999999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7.9553 * CHOOSE(CONTROL!$C$15, $D$11, 100%, $F$11)</f>
        <v>7.9553000000000003</v>
      </c>
      <c r="C235" s="8">
        <f>7.9604 * CHOOSE(CONTROL!$C$15, $D$11, 100%, $F$11)</f>
        <v>7.9603999999999999</v>
      </c>
      <c r="D235" s="8">
        <f>7.9311 * CHOOSE( CONTROL!$C$15, $D$11, 100%, $F$11)</f>
        <v>7.9310999999999998</v>
      </c>
      <c r="E235" s="12">
        <f>7.9413 * CHOOSE( CONTROL!$C$15, $D$11, 100%, $F$11)</f>
        <v>7.9413</v>
      </c>
      <c r="F235" s="4">
        <f>8.6206 * CHOOSE(CONTROL!$C$15, $D$11, 100%, $F$11)</f>
        <v>8.6205999999999996</v>
      </c>
      <c r="G235" s="8">
        <f>7.8616 * CHOOSE( CONTROL!$C$15, $D$11, 100%, $F$11)</f>
        <v>7.8616000000000001</v>
      </c>
      <c r="H235" s="4">
        <f>8.7663 * CHOOSE(CONTROL!$C$15, $D$11, 100%, $F$11)</f>
        <v>8.7662999999999993</v>
      </c>
      <c r="I235" s="8">
        <f>7.859 * CHOOSE(CONTROL!$C$15, $D$11, 100%, $F$11)</f>
        <v>7.859</v>
      </c>
      <c r="J235" s="4">
        <f>7.7119 * CHOOSE(CONTROL!$C$15, $D$11, 100%, $F$11)</f>
        <v>7.7119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8.0769 * CHOOSE(CONTROL!$C$15, $D$11, 100%, $F$11)</f>
        <v>8.0769000000000002</v>
      </c>
      <c r="C236" s="8">
        <f>8.0814 * CHOOSE(CONTROL!$C$15, $D$11, 100%, $F$11)</f>
        <v>8.0814000000000004</v>
      </c>
      <c r="D236" s="8">
        <f>8.1248 * CHOOSE( CONTROL!$C$15, $D$11, 100%, $F$11)</f>
        <v>8.1248000000000005</v>
      </c>
      <c r="E236" s="12">
        <f>8.11 * CHOOSE( CONTROL!$C$15, $D$11, 100%, $F$11)</f>
        <v>8.11</v>
      </c>
      <c r="F236" s="4">
        <f>8.8212 * CHOOSE(CONTROL!$C$15, $D$11, 100%, $F$11)</f>
        <v>8.8211999999999993</v>
      </c>
      <c r="G236" s="8">
        <f>7.9887 * CHOOSE( CONTROL!$C$15, $D$11, 100%, $F$11)</f>
        <v>7.9886999999999997</v>
      </c>
      <c r="H236" s="4">
        <f>8.9646 * CHOOSE(CONTROL!$C$15, $D$11, 100%, $F$11)</f>
        <v>8.9646000000000008</v>
      </c>
      <c r="I236" s="8">
        <f>7.9744 * CHOOSE(CONTROL!$C$15, $D$11, 100%, $F$11)</f>
        <v>7.9744000000000002</v>
      </c>
      <c r="J236" s="4">
        <f>7.8291 * CHOOSE(CONTROL!$C$15, $D$11, 100%, $F$11)</f>
        <v>7.8291000000000004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8.2968, 8.2932) * CHOOSE(CONTROL!$C$15, $D$11, 100%, $F$11)</f>
        <v>8.2967999999999993</v>
      </c>
      <c r="C237" s="8">
        <f>CHOOSE( CONTROL!$C$32, 8.3048, 8.3012) * CHOOSE(CONTROL!$C$15, $D$11, 100%, $F$11)</f>
        <v>8.3048000000000002</v>
      </c>
      <c r="D237" s="8">
        <f>CHOOSE( CONTROL!$C$32, 8.3425, 8.3389) * CHOOSE( CONTROL!$C$15, $D$11, 100%, $F$11)</f>
        <v>8.3424999999999994</v>
      </c>
      <c r="E237" s="12">
        <f>CHOOSE( CONTROL!$C$32, 8.3276, 8.324) * CHOOSE( CONTROL!$C$15, $D$11, 100%, $F$11)</f>
        <v>8.3276000000000003</v>
      </c>
      <c r="F237" s="4">
        <f>CHOOSE( CONTROL!$C$32, 9.0398, 9.0362) * CHOOSE(CONTROL!$C$15, $D$11, 100%, $F$11)</f>
        <v>9.0397999999999996</v>
      </c>
      <c r="G237" s="8">
        <f>CHOOSE( CONTROL!$C$32, 8.2056, 8.202) * CHOOSE( CONTROL!$C$15, $D$11, 100%, $F$11)</f>
        <v>8.2056000000000004</v>
      </c>
      <c r="H237" s="4">
        <f>CHOOSE( CONTROL!$C$32, 9.1806, 9.177) * CHOOSE(CONTROL!$C$15, $D$11, 100%, $F$11)</f>
        <v>9.1806000000000001</v>
      </c>
      <c r="I237" s="8">
        <f>CHOOSE( CONTROL!$C$32, 8.1868, 8.1833) * CHOOSE(CONTROL!$C$15, $D$11, 100%, $F$11)</f>
        <v>8.1867999999999999</v>
      </c>
      <c r="J237" s="4">
        <f>CHOOSE( CONTROL!$C$32, 8.0413, 8.0377) * CHOOSE(CONTROL!$C$15, $D$11, 100%, $F$11)</f>
        <v>8.0412999999999997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8.1637, 8.16) * CHOOSE(CONTROL!$C$15, $D$11, 100%, $F$11)</f>
        <v>8.1637000000000004</v>
      </c>
      <c r="C238" s="8">
        <f>CHOOSE( CONTROL!$C$32, 8.1717, 8.168) * CHOOSE(CONTROL!$C$15, $D$11, 100%, $F$11)</f>
        <v>8.1716999999999995</v>
      </c>
      <c r="D238" s="8">
        <f>CHOOSE( CONTROL!$C$32, 8.2096, 8.206) * CHOOSE( CONTROL!$C$15, $D$11, 100%, $F$11)</f>
        <v>8.2096</v>
      </c>
      <c r="E238" s="12">
        <f>CHOOSE( CONTROL!$C$32, 8.1946, 8.191) * CHOOSE( CONTROL!$C$15, $D$11, 100%, $F$11)</f>
        <v>8.1945999999999994</v>
      </c>
      <c r="F238" s="4">
        <f>CHOOSE( CONTROL!$C$32, 8.9067, 8.903) * CHOOSE(CONTROL!$C$15, $D$11, 100%, $F$11)</f>
        <v>8.9067000000000007</v>
      </c>
      <c r="G238" s="8">
        <f>CHOOSE( CONTROL!$C$32, 8.0743, 8.0707) * CHOOSE( CONTROL!$C$15, $D$11, 100%, $F$11)</f>
        <v>8.0742999999999991</v>
      </c>
      <c r="H238" s="4">
        <f>CHOOSE( CONTROL!$C$32, 9.049, 9.0454) * CHOOSE(CONTROL!$C$15, $D$11, 100%, $F$11)</f>
        <v>9.0489999999999995</v>
      </c>
      <c r="I238" s="8">
        <f>CHOOSE( CONTROL!$C$32, 8.0586, 8.055) * CHOOSE(CONTROL!$C$15, $D$11, 100%, $F$11)</f>
        <v>8.0586000000000002</v>
      </c>
      <c r="J238" s="4">
        <f>CHOOSE( CONTROL!$C$32, 7.912, 7.9085) * CHOOSE(CONTROL!$C$15, $D$11, 100%, $F$11)</f>
        <v>7.9119999999999999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8.5143, 8.5107) * CHOOSE(CONTROL!$C$15, $D$11, 100%, $F$11)</f>
        <v>8.5143000000000004</v>
      </c>
      <c r="C239" s="8">
        <f>CHOOSE( CONTROL!$C$32, 8.5223, 8.5187) * CHOOSE(CONTROL!$C$15, $D$11, 100%, $F$11)</f>
        <v>8.5222999999999995</v>
      </c>
      <c r="D239" s="8">
        <f>CHOOSE( CONTROL!$C$32, 8.5605, 8.5569) * CHOOSE( CONTROL!$C$15, $D$11, 100%, $F$11)</f>
        <v>8.5604999999999993</v>
      </c>
      <c r="E239" s="12">
        <f>CHOOSE( CONTROL!$C$32, 8.5454, 8.5418) * CHOOSE( CONTROL!$C$15, $D$11, 100%, $F$11)</f>
        <v>8.5454000000000008</v>
      </c>
      <c r="F239" s="4">
        <f>CHOOSE( CONTROL!$C$32, 9.2573, 9.2537) * CHOOSE(CONTROL!$C$15, $D$11, 100%, $F$11)</f>
        <v>9.2573000000000008</v>
      </c>
      <c r="G239" s="8">
        <f>CHOOSE( CONTROL!$C$32, 8.4212, 8.4176) * CHOOSE( CONTROL!$C$15, $D$11, 100%, $F$11)</f>
        <v>8.4212000000000007</v>
      </c>
      <c r="H239" s="4">
        <f>CHOOSE( CONTROL!$C$32, 9.3956, 9.392) * CHOOSE(CONTROL!$C$15, $D$11, 100%, $F$11)</f>
        <v>9.3956</v>
      </c>
      <c r="I239" s="8">
        <f>CHOOSE( CONTROL!$C$32, 8.4002, 8.3966) * CHOOSE(CONTROL!$C$15, $D$11, 100%, $F$11)</f>
        <v>8.4001999999999999</v>
      </c>
      <c r="J239" s="4">
        <f>CHOOSE( CONTROL!$C$32, 8.2523, 8.2488) * CHOOSE(CONTROL!$C$15, $D$11, 100%, $F$11)</f>
        <v>8.2523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7.8582, 7.8546) * CHOOSE(CONTROL!$C$15, $D$11, 100%, $F$11)</f>
        <v>7.8582000000000001</v>
      </c>
      <c r="C240" s="8">
        <f>CHOOSE( CONTROL!$C$32, 7.8662, 7.8626) * CHOOSE(CONTROL!$C$15, $D$11, 100%, $F$11)</f>
        <v>7.8662000000000001</v>
      </c>
      <c r="D240" s="8">
        <f>CHOOSE( CONTROL!$C$32, 7.9045, 7.9008) * CHOOSE( CONTROL!$C$15, $D$11, 100%, $F$11)</f>
        <v>7.9044999999999996</v>
      </c>
      <c r="E240" s="12">
        <f>CHOOSE( CONTROL!$C$32, 7.8894, 7.8857) * CHOOSE( CONTROL!$C$15, $D$11, 100%, $F$11)</f>
        <v>7.8894000000000002</v>
      </c>
      <c r="F240" s="4">
        <f>CHOOSE( CONTROL!$C$32, 8.6012, 8.5976) * CHOOSE(CONTROL!$C$15, $D$11, 100%, $F$11)</f>
        <v>8.6012000000000004</v>
      </c>
      <c r="G240" s="8">
        <f>CHOOSE( CONTROL!$C$32, 7.7729, 7.7693) * CHOOSE( CONTROL!$C$15, $D$11, 100%, $F$11)</f>
        <v>7.7728999999999999</v>
      </c>
      <c r="H240" s="4">
        <f>CHOOSE( CONTROL!$C$32, 8.7471, 8.7435) * CHOOSE(CONTROL!$C$15, $D$11, 100%, $F$11)</f>
        <v>8.7470999999999997</v>
      </c>
      <c r="I240" s="8">
        <f>CHOOSE( CONTROL!$C$32, 7.7634, 7.7599) * CHOOSE(CONTROL!$C$15, $D$11, 100%, $F$11)</f>
        <v>7.7633999999999999</v>
      </c>
      <c r="J240" s="4">
        <f>CHOOSE( CONTROL!$C$32, 7.6156, 7.6121) * CHOOSE(CONTROL!$C$15, $D$11, 100%, $F$11)</f>
        <v>7.6155999999999997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7.6939, 7.6903) * CHOOSE(CONTROL!$C$15, $D$11, 100%, $F$11)</f>
        <v>7.6939000000000002</v>
      </c>
      <c r="C241" s="8">
        <f>CHOOSE( CONTROL!$C$32, 7.7019, 7.6983) * CHOOSE(CONTROL!$C$15, $D$11, 100%, $F$11)</f>
        <v>7.7019000000000002</v>
      </c>
      <c r="D241" s="8">
        <f>CHOOSE( CONTROL!$C$32, 7.7401, 7.7364) * CHOOSE( CONTROL!$C$15, $D$11, 100%, $F$11)</f>
        <v>7.7401</v>
      </c>
      <c r="E241" s="12">
        <f>CHOOSE( CONTROL!$C$32, 7.725, 7.7214) * CHOOSE( CONTROL!$C$15, $D$11, 100%, $F$11)</f>
        <v>7.7249999999999996</v>
      </c>
      <c r="F241" s="4">
        <f>CHOOSE( CONTROL!$C$32, 8.4369, 8.4333) * CHOOSE(CONTROL!$C$15, $D$11, 100%, $F$11)</f>
        <v>8.4368999999999996</v>
      </c>
      <c r="G241" s="8">
        <f>CHOOSE( CONTROL!$C$32, 7.6104, 7.6068) * CHOOSE( CONTROL!$C$15, $D$11, 100%, $F$11)</f>
        <v>7.6104000000000003</v>
      </c>
      <c r="H241" s="4">
        <f>CHOOSE( CONTROL!$C$32, 8.5848, 8.5812) * CHOOSE(CONTROL!$C$15, $D$11, 100%, $F$11)</f>
        <v>8.5847999999999995</v>
      </c>
      <c r="I241" s="8">
        <f>CHOOSE( CONTROL!$C$32, 7.6035, 7.6) * CHOOSE(CONTROL!$C$15, $D$11, 100%, $F$11)</f>
        <v>7.6035000000000004</v>
      </c>
      <c r="J241" s="4">
        <f>CHOOSE( CONTROL!$C$32, 7.4561, 7.4526) * CHOOSE(CONTROL!$C$15, $D$11, 100%, $F$11)</f>
        <v>7.4561000000000002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8.0297 * CHOOSE(CONTROL!$C$15, $D$11, 100%, $F$11)</f>
        <v>8.0297000000000001</v>
      </c>
      <c r="C242" s="8">
        <f>8.035 * CHOOSE(CONTROL!$C$15, $D$11, 100%, $F$11)</f>
        <v>8.0350000000000001</v>
      </c>
      <c r="D242" s="8">
        <f>8.0785 * CHOOSE( CONTROL!$C$15, $D$11, 100%, $F$11)</f>
        <v>8.0785</v>
      </c>
      <c r="E242" s="12">
        <f>8.0636 * CHOOSE( CONTROL!$C$15, $D$11, 100%, $F$11)</f>
        <v>8.0635999999999992</v>
      </c>
      <c r="F242" s="4">
        <f>8.7744 * CHOOSE(CONTROL!$C$15, $D$11, 100%, $F$11)</f>
        <v>8.7744</v>
      </c>
      <c r="G242" s="8">
        <f>7.9434 * CHOOSE( CONTROL!$C$15, $D$11, 100%, $F$11)</f>
        <v>7.9433999999999996</v>
      </c>
      <c r="H242" s="4">
        <f>8.9183 * CHOOSE(CONTROL!$C$15, $D$11, 100%, $F$11)</f>
        <v>8.9183000000000003</v>
      </c>
      <c r="I242" s="8">
        <f>7.9319 * CHOOSE(CONTROL!$C$15, $D$11, 100%, $F$11)</f>
        <v>7.9318999999999997</v>
      </c>
      <c r="J242" s="4">
        <f>7.7837 * CHOOSE(CONTROL!$C$15, $D$11, 100%, $F$11)</f>
        <v>7.7836999999999996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8.659 * CHOOSE(CONTROL!$C$15, $D$11, 100%, $F$11)</f>
        <v>8.6590000000000007</v>
      </c>
      <c r="C243" s="8">
        <f>8.664 * CHOOSE(CONTROL!$C$15, $D$11, 100%, $F$11)</f>
        <v>8.6639999999999997</v>
      </c>
      <c r="D243" s="8">
        <f>8.6477 * CHOOSE( CONTROL!$C$15, $D$11, 100%, $F$11)</f>
        <v>8.6477000000000004</v>
      </c>
      <c r="E243" s="12">
        <f>8.6531 * CHOOSE( CONTROL!$C$15, $D$11, 100%, $F$11)</f>
        <v>8.6531000000000002</v>
      </c>
      <c r="F243" s="4">
        <f>9.3242 * CHOOSE(CONTROL!$C$15, $D$11, 100%, $F$11)</f>
        <v>9.3241999999999994</v>
      </c>
      <c r="G243" s="8">
        <f>8.5663 * CHOOSE( CONTROL!$C$15, $D$11, 100%, $F$11)</f>
        <v>8.5663</v>
      </c>
      <c r="H243" s="4">
        <f>9.4617 * CHOOSE(CONTROL!$C$15, $D$11, 100%, $F$11)</f>
        <v>9.4617000000000004</v>
      </c>
      <c r="I243" s="8">
        <f>8.5435 * CHOOSE(CONTROL!$C$15, $D$11, 100%, $F$11)</f>
        <v>8.5434999999999999</v>
      </c>
      <c r="J243" s="4">
        <f>8.3948 * CHOOSE(CONTROL!$C$15, $D$11, 100%, $F$11)</f>
        <v>8.3948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8.6432 * CHOOSE(CONTROL!$C$15, $D$11, 100%, $F$11)</f>
        <v>8.6432000000000002</v>
      </c>
      <c r="C244" s="8">
        <f>8.6483 * CHOOSE(CONTROL!$C$15, $D$11, 100%, $F$11)</f>
        <v>8.6483000000000008</v>
      </c>
      <c r="D244" s="8">
        <f>8.6337 * CHOOSE( CONTROL!$C$15, $D$11, 100%, $F$11)</f>
        <v>8.6336999999999993</v>
      </c>
      <c r="E244" s="12">
        <f>8.6385 * CHOOSE( CONTROL!$C$15, $D$11, 100%, $F$11)</f>
        <v>8.6385000000000005</v>
      </c>
      <c r="F244" s="4">
        <f>9.3085 * CHOOSE(CONTROL!$C$15, $D$11, 100%, $F$11)</f>
        <v>9.3085000000000004</v>
      </c>
      <c r="G244" s="8">
        <f>8.552 * CHOOSE( CONTROL!$C$15, $D$11, 100%, $F$11)</f>
        <v>8.5519999999999996</v>
      </c>
      <c r="H244" s="4">
        <f>9.4461 * CHOOSE(CONTROL!$C$15, $D$11, 100%, $F$11)</f>
        <v>9.4460999999999995</v>
      </c>
      <c r="I244" s="8">
        <f>8.5336 * CHOOSE(CONTROL!$C$15, $D$11, 100%, $F$11)</f>
        <v>8.5335999999999999</v>
      </c>
      <c r="J244" s="4">
        <f>8.3795 * CHOOSE(CONTROL!$C$15, $D$11, 100%, $F$11)</f>
        <v>8.3795000000000002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8.8629 * CHOOSE(CONTROL!$C$15, $D$11, 100%, $F$11)</f>
        <v>8.8628999999999998</v>
      </c>
      <c r="C245" s="8">
        <f>8.868 * CHOOSE(CONTROL!$C$15, $D$11, 100%, $F$11)</f>
        <v>8.8680000000000003</v>
      </c>
      <c r="D245" s="8">
        <f>8.8391 * CHOOSE( CONTROL!$C$15, $D$11, 100%, $F$11)</f>
        <v>8.8391000000000002</v>
      </c>
      <c r="E245" s="12">
        <f>8.8491 * CHOOSE( CONTROL!$C$15, $D$11, 100%, $F$11)</f>
        <v>8.8491</v>
      </c>
      <c r="F245" s="4">
        <f>9.5282 * CHOOSE(CONTROL!$C$15, $D$11, 100%, $F$11)</f>
        <v>9.5282</v>
      </c>
      <c r="G245" s="8">
        <f>8.7589 * CHOOSE( CONTROL!$C$15, $D$11, 100%, $F$11)</f>
        <v>8.7589000000000006</v>
      </c>
      <c r="H245" s="4">
        <f>9.6633 * CHOOSE(CONTROL!$C$15, $D$11, 100%, $F$11)</f>
        <v>9.6632999999999996</v>
      </c>
      <c r="I245" s="8">
        <f>8.7415 * CHOOSE(CONTROL!$C$15, $D$11, 100%, $F$11)</f>
        <v>8.7415000000000003</v>
      </c>
      <c r="J245" s="4">
        <f>8.5927 * CHOOSE(CONTROL!$C$15, $D$11, 100%, $F$11)</f>
        <v>8.5927000000000007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8.2906 * CHOOSE(CONTROL!$C$15, $D$11, 100%, $F$11)</f>
        <v>8.2905999999999995</v>
      </c>
      <c r="C246" s="8">
        <f>8.2956 * CHOOSE(CONTROL!$C$15, $D$11, 100%, $F$11)</f>
        <v>8.2956000000000003</v>
      </c>
      <c r="D246" s="8">
        <f>8.2667 * CHOOSE( CONTROL!$C$15, $D$11, 100%, $F$11)</f>
        <v>8.2667000000000002</v>
      </c>
      <c r="E246" s="12">
        <f>8.2767 * CHOOSE( CONTROL!$C$15, $D$11, 100%, $F$11)</f>
        <v>8.2766999999999999</v>
      </c>
      <c r="F246" s="4">
        <f>8.9558 * CHOOSE(CONTROL!$C$15, $D$11, 100%, $F$11)</f>
        <v>8.9558</v>
      </c>
      <c r="G246" s="8">
        <f>8.1932 * CHOOSE( CONTROL!$C$15, $D$11, 100%, $F$11)</f>
        <v>8.1931999999999992</v>
      </c>
      <c r="H246" s="4">
        <f>9.0976 * CHOOSE(CONTROL!$C$15, $D$11, 100%, $F$11)</f>
        <v>9.0975999999999999</v>
      </c>
      <c r="I246" s="8">
        <f>8.1857 * CHOOSE(CONTROL!$C$15, $D$11, 100%, $F$11)</f>
        <v>8.1857000000000006</v>
      </c>
      <c r="J246" s="4">
        <f>8.0372 * CHOOSE(CONTROL!$C$15, $D$11, 100%, $F$11)</f>
        <v>8.0372000000000003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8.1143 * CHOOSE(CONTROL!$C$15, $D$11, 100%, $F$11)</f>
        <v>8.1143000000000001</v>
      </c>
      <c r="C247" s="8">
        <f>8.1193 * CHOOSE(CONTROL!$C$15, $D$11, 100%, $F$11)</f>
        <v>8.1193000000000008</v>
      </c>
      <c r="D247" s="8">
        <f>8.09 * CHOOSE( CONTROL!$C$15, $D$11, 100%, $F$11)</f>
        <v>8.09</v>
      </c>
      <c r="E247" s="12">
        <f>8.1002 * CHOOSE( CONTROL!$C$15, $D$11, 100%, $F$11)</f>
        <v>8.1001999999999992</v>
      </c>
      <c r="F247" s="4">
        <f>8.7795 * CHOOSE(CONTROL!$C$15, $D$11, 100%, $F$11)</f>
        <v>8.7795000000000005</v>
      </c>
      <c r="G247" s="8">
        <f>8.0186 * CHOOSE( CONTROL!$C$15, $D$11, 100%, $F$11)</f>
        <v>8.0185999999999993</v>
      </c>
      <c r="H247" s="4">
        <f>8.9234 * CHOOSE(CONTROL!$C$15, $D$11, 100%, $F$11)</f>
        <v>8.9234000000000009</v>
      </c>
      <c r="I247" s="8">
        <f>8.0133 * CHOOSE(CONTROL!$C$15, $D$11, 100%, $F$11)</f>
        <v>8.0132999999999992</v>
      </c>
      <c r="J247" s="4">
        <f>7.8661 * CHOOSE(CONTROL!$C$15, $D$11, 100%, $F$11)</f>
        <v>7.8661000000000003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8.2382 * CHOOSE(CONTROL!$C$15, $D$11, 100%, $F$11)</f>
        <v>8.2382000000000009</v>
      </c>
      <c r="C248" s="8">
        <f>8.2427 * CHOOSE(CONTROL!$C$15, $D$11, 100%, $F$11)</f>
        <v>8.2426999999999992</v>
      </c>
      <c r="D248" s="8">
        <f>8.2861 * CHOOSE( CONTROL!$C$15, $D$11, 100%, $F$11)</f>
        <v>8.2860999999999994</v>
      </c>
      <c r="E248" s="12">
        <f>8.2713 * CHOOSE( CONTROL!$C$15, $D$11, 100%, $F$11)</f>
        <v>8.2713000000000001</v>
      </c>
      <c r="F248" s="4">
        <f>8.9826 * CHOOSE(CONTROL!$C$15, $D$11, 100%, $F$11)</f>
        <v>8.9825999999999997</v>
      </c>
      <c r="G248" s="8">
        <f>8.1482 * CHOOSE( CONTROL!$C$15, $D$11, 100%, $F$11)</f>
        <v>8.1481999999999992</v>
      </c>
      <c r="H248" s="4">
        <f>9.124 * CHOOSE(CONTROL!$C$15, $D$11, 100%, $F$11)</f>
        <v>9.1240000000000006</v>
      </c>
      <c r="I248" s="8">
        <f>8.1311 * CHOOSE(CONTROL!$C$15, $D$11, 100%, $F$11)</f>
        <v>8.1311</v>
      </c>
      <c r="J248" s="4">
        <f>7.9857 * CHOOSE(CONTROL!$C$15, $D$11, 100%, $F$11)</f>
        <v>7.9856999999999996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8.4625, 8.4588) * CHOOSE(CONTROL!$C$15, $D$11, 100%, $F$11)</f>
        <v>8.4625000000000004</v>
      </c>
      <c r="C249" s="8">
        <f>CHOOSE( CONTROL!$C$32, 8.4704, 8.4668) * CHOOSE(CONTROL!$C$15, $D$11, 100%, $F$11)</f>
        <v>8.4703999999999997</v>
      </c>
      <c r="D249" s="8">
        <f>CHOOSE( CONTROL!$C$32, 8.5082, 8.5045) * CHOOSE( CONTROL!$C$15, $D$11, 100%, $F$11)</f>
        <v>8.5082000000000004</v>
      </c>
      <c r="E249" s="12">
        <f>CHOOSE( CONTROL!$C$32, 8.4933, 8.4896) * CHOOSE( CONTROL!$C$15, $D$11, 100%, $F$11)</f>
        <v>8.4932999999999996</v>
      </c>
      <c r="F249" s="4">
        <f>CHOOSE( CONTROL!$C$32, 9.2055, 9.2018) * CHOOSE(CONTROL!$C$15, $D$11, 100%, $F$11)</f>
        <v>9.2055000000000007</v>
      </c>
      <c r="G249" s="8">
        <f>CHOOSE( CONTROL!$C$32, 8.3693, 8.3657) * CHOOSE( CONTROL!$C$15, $D$11, 100%, $F$11)</f>
        <v>8.3693000000000008</v>
      </c>
      <c r="H249" s="4">
        <f>CHOOSE( CONTROL!$C$32, 9.3443, 9.3407) * CHOOSE(CONTROL!$C$15, $D$11, 100%, $F$11)</f>
        <v>9.3443000000000005</v>
      </c>
      <c r="I249" s="8">
        <f>CHOOSE( CONTROL!$C$32, 8.3477, 8.3441) * CHOOSE(CONTROL!$C$15, $D$11, 100%, $F$11)</f>
        <v>8.3476999999999997</v>
      </c>
      <c r="J249" s="4">
        <f>CHOOSE( CONTROL!$C$32, 8.202, 8.1985) * CHOOSE(CONTROL!$C$15, $D$11, 100%, $F$11)</f>
        <v>8.202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8.3267, 8.323) * CHOOSE(CONTROL!$C$15, $D$11, 100%, $F$11)</f>
        <v>8.3267000000000007</v>
      </c>
      <c r="C250" s="8">
        <f>CHOOSE( CONTROL!$C$32, 8.3346, 8.331) * CHOOSE(CONTROL!$C$15, $D$11, 100%, $F$11)</f>
        <v>8.3346</v>
      </c>
      <c r="D250" s="8">
        <f>CHOOSE( CONTROL!$C$32, 8.3726, 8.3689) * CHOOSE( CONTROL!$C$15, $D$11, 100%, $F$11)</f>
        <v>8.3726000000000003</v>
      </c>
      <c r="E250" s="12">
        <f>CHOOSE( CONTROL!$C$32, 8.3576, 8.3539) * CHOOSE( CONTROL!$C$15, $D$11, 100%, $F$11)</f>
        <v>8.3575999999999997</v>
      </c>
      <c r="F250" s="4">
        <f>CHOOSE( CONTROL!$C$32, 9.0697, 9.066) * CHOOSE(CONTROL!$C$15, $D$11, 100%, $F$11)</f>
        <v>9.0696999999999992</v>
      </c>
      <c r="G250" s="8">
        <f>CHOOSE( CONTROL!$C$32, 8.2354, 8.2318) * CHOOSE( CONTROL!$C$15, $D$11, 100%, $F$11)</f>
        <v>8.2354000000000003</v>
      </c>
      <c r="H250" s="4">
        <f>CHOOSE( CONTROL!$C$32, 9.2101, 9.2065) * CHOOSE(CONTROL!$C$15, $D$11, 100%, $F$11)</f>
        <v>9.2101000000000006</v>
      </c>
      <c r="I250" s="8">
        <f>CHOOSE( CONTROL!$C$32, 8.2168, 8.2133) * CHOOSE(CONTROL!$C$15, $D$11, 100%, $F$11)</f>
        <v>8.2167999999999992</v>
      </c>
      <c r="J250" s="4">
        <f>CHOOSE( CONTROL!$C$32, 8.0702, 8.0667) * CHOOSE(CONTROL!$C$15, $D$11, 100%, $F$11)</f>
        <v>8.0701999999999998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8.6843, 8.6807) * CHOOSE(CONTROL!$C$15, $D$11, 100%, $F$11)</f>
        <v>8.6843000000000004</v>
      </c>
      <c r="C251" s="8">
        <f>CHOOSE( CONTROL!$C$32, 8.6923, 8.6886) * CHOOSE(CONTROL!$C$15, $D$11, 100%, $F$11)</f>
        <v>8.6922999999999995</v>
      </c>
      <c r="D251" s="8">
        <f>CHOOSE( CONTROL!$C$32, 8.7305, 8.7268) * CHOOSE( CONTROL!$C$15, $D$11, 100%, $F$11)</f>
        <v>8.7304999999999993</v>
      </c>
      <c r="E251" s="12">
        <f>CHOOSE( CONTROL!$C$32, 8.7154, 8.7118) * CHOOSE( CONTROL!$C$15, $D$11, 100%, $F$11)</f>
        <v>8.7154000000000007</v>
      </c>
      <c r="F251" s="4">
        <f>CHOOSE( CONTROL!$C$32, 9.4273, 9.4237) * CHOOSE(CONTROL!$C$15, $D$11, 100%, $F$11)</f>
        <v>9.4273000000000007</v>
      </c>
      <c r="G251" s="8">
        <f>CHOOSE( CONTROL!$C$32, 8.5892, 8.5856) * CHOOSE( CONTROL!$C$15, $D$11, 100%, $F$11)</f>
        <v>8.5891999999999999</v>
      </c>
      <c r="H251" s="4">
        <f>CHOOSE( CONTROL!$C$32, 9.5636, 9.56) * CHOOSE(CONTROL!$C$15, $D$11, 100%, $F$11)</f>
        <v>9.5635999999999992</v>
      </c>
      <c r="I251" s="8">
        <f>CHOOSE( CONTROL!$C$32, 8.5652, 8.5617) * CHOOSE(CONTROL!$C$15, $D$11, 100%, $F$11)</f>
        <v>8.5652000000000008</v>
      </c>
      <c r="J251" s="4">
        <f>CHOOSE( CONTROL!$C$32, 8.4173, 8.4138) * CHOOSE(CONTROL!$C$15, $D$11, 100%, $F$11)</f>
        <v>8.4172999999999991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8.0151, 8.0115) * CHOOSE(CONTROL!$C$15, $D$11, 100%, $F$11)</f>
        <v>8.0151000000000003</v>
      </c>
      <c r="C252" s="8">
        <f>CHOOSE( CONTROL!$C$32, 8.0231, 8.0194) * CHOOSE(CONTROL!$C$15, $D$11, 100%, $F$11)</f>
        <v>8.0230999999999995</v>
      </c>
      <c r="D252" s="8">
        <f>CHOOSE( CONTROL!$C$32, 8.0613, 8.0577) * CHOOSE( CONTROL!$C$15, $D$11, 100%, $F$11)</f>
        <v>8.0612999999999992</v>
      </c>
      <c r="E252" s="12">
        <f>CHOOSE( CONTROL!$C$32, 8.0462, 8.0426) * CHOOSE( CONTROL!$C$15, $D$11, 100%, $F$11)</f>
        <v>8.0462000000000007</v>
      </c>
      <c r="F252" s="4">
        <f>CHOOSE( CONTROL!$C$32, 8.7581, 8.7545) * CHOOSE(CONTROL!$C$15, $D$11, 100%, $F$11)</f>
        <v>8.7581000000000007</v>
      </c>
      <c r="G252" s="8">
        <f>CHOOSE( CONTROL!$C$32, 7.9279, 7.9243) * CHOOSE( CONTROL!$C$15, $D$11, 100%, $F$11)</f>
        <v>7.9279000000000002</v>
      </c>
      <c r="H252" s="4">
        <f>CHOOSE( CONTROL!$C$32, 8.9022, 8.8986) * CHOOSE(CONTROL!$C$15, $D$11, 100%, $F$11)</f>
        <v>8.9022000000000006</v>
      </c>
      <c r="I252" s="8">
        <f>CHOOSE( CONTROL!$C$32, 7.9157, 7.9122) * CHOOSE(CONTROL!$C$15, $D$11, 100%, $F$11)</f>
        <v>7.9157000000000002</v>
      </c>
      <c r="J252" s="4">
        <f>CHOOSE( CONTROL!$C$32, 7.7678, 7.7643) * CHOOSE(CONTROL!$C$15, $D$11, 100%, $F$11)</f>
        <v>7.7678000000000003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7.8475, 7.8439) * CHOOSE(CONTROL!$C$15, $D$11, 100%, $F$11)</f>
        <v>7.8475000000000001</v>
      </c>
      <c r="C253" s="8">
        <f>CHOOSE( CONTROL!$C$32, 7.8555, 7.8518) * CHOOSE(CONTROL!$C$15, $D$11, 100%, $F$11)</f>
        <v>7.8555000000000001</v>
      </c>
      <c r="D253" s="8">
        <f>CHOOSE( CONTROL!$C$32, 7.8937, 7.89) * CHOOSE( CONTROL!$C$15, $D$11, 100%, $F$11)</f>
        <v>7.8936999999999999</v>
      </c>
      <c r="E253" s="12">
        <f>CHOOSE( CONTROL!$C$32, 7.8786, 7.875) * CHOOSE( CONTROL!$C$15, $D$11, 100%, $F$11)</f>
        <v>7.8785999999999996</v>
      </c>
      <c r="F253" s="4">
        <f>CHOOSE( CONTROL!$C$32, 8.5905, 8.5869) * CHOOSE(CONTROL!$C$15, $D$11, 100%, $F$11)</f>
        <v>8.5905000000000005</v>
      </c>
      <c r="G253" s="8">
        <f>CHOOSE( CONTROL!$C$32, 7.7622, 7.7586) * CHOOSE( CONTROL!$C$15, $D$11, 100%, $F$11)</f>
        <v>7.7622</v>
      </c>
      <c r="H253" s="4">
        <f>CHOOSE( CONTROL!$C$32, 8.7366, 8.733) * CHOOSE(CONTROL!$C$15, $D$11, 100%, $F$11)</f>
        <v>8.7365999999999993</v>
      </c>
      <c r="I253" s="8">
        <f>CHOOSE( CONTROL!$C$32, 7.7526, 7.7491) * CHOOSE(CONTROL!$C$15, $D$11, 100%, $F$11)</f>
        <v>7.7526000000000002</v>
      </c>
      <c r="J253" s="4">
        <f>CHOOSE( CONTROL!$C$32, 7.6052, 7.6017) * CHOOSE(CONTROL!$C$15, $D$11, 100%, $F$11)</f>
        <v>7.6052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8.1901 * CHOOSE(CONTROL!$C$15, $D$11, 100%, $F$11)</f>
        <v>8.1900999999999993</v>
      </c>
      <c r="C254" s="8">
        <f>8.1954 * CHOOSE(CONTROL!$C$15, $D$11, 100%, $F$11)</f>
        <v>8.1953999999999994</v>
      </c>
      <c r="D254" s="8">
        <f>8.239 * CHOOSE( CONTROL!$C$15, $D$11, 100%, $F$11)</f>
        <v>8.2390000000000008</v>
      </c>
      <c r="E254" s="12">
        <f>8.224 * CHOOSE( CONTROL!$C$15, $D$11, 100%, $F$11)</f>
        <v>8.2240000000000002</v>
      </c>
      <c r="F254" s="4">
        <f>8.9348 * CHOOSE(CONTROL!$C$15, $D$11, 100%, $F$11)</f>
        <v>8.9347999999999992</v>
      </c>
      <c r="G254" s="8">
        <f>8.1019 * CHOOSE( CONTROL!$C$15, $D$11, 100%, $F$11)</f>
        <v>8.1019000000000005</v>
      </c>
      <c r="H254" s="4">
        <f>9.0768 * CHOOSE(CONTROL!$C$15, $D$11, 100%, $F$11)</f>
        <v>9.0768000000000004</v>
      </c>
      <c r="I254" s="8">
        <f>8.0877 * CHOOSE(CONTROL!$C$15, $D$11, 100%, $F$11)</f>
        <v>8.0876999999999999</v>
      </c>
      <c r="J254" s="4">
        <f>7.9393 * CHOOSE(CONTROL!$C$15, $D$11, 100%, $F$11)</f>
        <v>7.9393000000000002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8.832 * CHOOSE(CONTROL!$C$15, $D$11, 100%, $F$11)</f>
        <v>8.8320000000000007</v>
      </c>
      <c r="C255" s="8">
        <f>8.837 * CHOOSE(CONTROL!$C$15, $D$11, 100%, $F$11)</f>
        <v>8.8369999999999997</v>
      </c>
      <c r="D255" s="8">
        <f>8.8207 * CHOOSE( CONTROL!$C$15, $D$11, 100%, $F$11)</f>
        <v>8.8207000000000004</v>
      </c>
      <c r="E255" s="12">
        <f>8.8261 * CHOOSE( CONTROL!$C$15, $D$11, 100%, $F$11)</f>
        <v>8.8261000000000003</v>
      </c>
      <c r="F255" s="4">
        <f>9.4972 * CHOOSE(CONTROL!$C$15, $D$11, 100%, $F$11)</f>
        <v>9.4971999999999994</v>
      </c>
      <c r="G255" s="8">
        <f>8.7373 * CHOOSE( CONTROL!$C$15, $D$11, 100%, $F$11)</f>
        <v>8.7372999999999994</v>
      </c>
      <c r="H255" s="4">
        <f>9.6327 * CHOOSE(CONTROL!$C$15, $D$11, 100%, $F$11)</f>
        <v>9.6326999999999998</v>
      </c>
      <c r="I255" s="8">
        <f>8.7114 * CHOOSE(CONTROL!$C$15, $D$11, 100%, $F$11)</f>
        <v>8.7113999999999994</v>
      </c>
      <c r="J255" s="4">
        <f>8.5627 * CHOOSE(CONTROL!$C$15, $D$11, 100%, $F$11)</f>
        <v>8.5626999999999995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8.8159 * CHOOSE(CONTROL!$C$15, $D$11, 100%, $F$11)</f>
        <v>8.8158999999999992</v>
      </c>
      <c r="C256" s="8">
        <f>8.821 * CHOOSE(CONTROL!$C$15, $D$11, 100%, $F$11)</f>
        <v>8.8209999999999997</v>
      </c>
      <c r="D256" s="8">
        <f>8.8064 * CHOOSE( CONTROL!$C$15, $D$11, 100%, $F$11)</f>
        <v>8.8064</v>
      </c>
      <c r="E256" s="12">
        <f>8.8112 * CHOOSE( CONTROL!$C$15, $D$11, 100%, $F$11)</f>
        <v>8.8111999999999995</v>
      </c>
      <c r="F256" s="4">
        <f>9.4812 * CHOOSE(CONTROL!$C$15, $D$11, 100%, $F$11)</f>
        <v>9.4811999999999994</v>
      </c>
      <c r="G256" s="8">
        <f>8.7226 * CHOOSE( CONTROL!$C$15, $D$11, 100%, $F$11)</f>
        <v>8.7225999999999999</v>
      </c>
      <c r="H256" s="4">
        <f>9.6168 * CHOOSE(CONTROL!$C$15, $D$11, 100%, $F$11)</f>
        <v>9.6167999999999996</v>
      </c>
      <c r="I256" s="8">
        <f>8.7012 * CHOOSE(CONTROL!$C$15, $D$11, 100%, $F$11)</f>
        <v>8.7012</v>
      </c>
      <c r="J256" s="4">
        <f>8.5471 * CHOOSE(CONTROL!$C$15, $D$11, 100%, $F$11)</f>
        <v>8.5471000000000004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9.04 * CHOOSE(CONTROL!$C$15, $D$11, 100%, $F$11)</f>
        <v>9.0399999999999991</v>
      </c>
      <c r="C257" s="8">
        <f>9.0451 * CHOOSE(CONTROL!$C$15, $D$11, 100%, $F$11)</f>
        <v>9.0450999999999997</v>
      </c>
      <c r="D257" s="8">
        <f>9.0162 * CHOOSE( CONTROL!$C$15, $D$11, 100%, $F$11)</f>
        <v>9.0161999999999995</v>
      </c>
      <c r="E257" s="12">
        <f>9.0262 * CHOOSE( CONTROL!$C$15, $D$11, 100%, $F$11)</f>
        <v>9.0261999999999993</v>
      </c>
      <c r="F257" s="4">
        <f>9.7053 * CHOOSE(CONTROL!$C$15, $D$11, 100%, $F$11)</f>
        <v>9.7052999999999994</v>
      </c>
      <c r="G257" s="8">
        <f>8.9339 * CHOOSE( CONTROL!$C$15, $D$11, 100%, $F$11)</f>
        <v>8.9338999999999995</v>
      </c>
      <c r="H257" s="4">
        <f>9.8383 * CHOOSE(CONTROL!$C$15, $D$11, 100%, $F$11)</f>
        <v>9.8383000000000003</v>
      </c>
      <c r="I257" s="8">
        <f>8.9135 * CHOOSE(CONTROL!$C$15, $D$11, 100%, $F$11)</f>
        <v>8.9135000000000009</v>
      </c>
      <c r="J257" s="4">
        <f>8.7646 * CHOOSE(CONTROL!$C$15, $D$11, 100%, $F$11)</f>
        <v>8.7645999999999997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8.4562 * CHOOSE(CONTROL!$C$15, $D$11, 100%, $F$11)</f>
        <v>8.4562000000000008</v>
      </c>
      <c r="C258" s="8">
        <f>8.4613 * CHOOSE(CONTROL!$C$15, $D$11, 100%, $F$11)</f>
        <v>8.4612999999999996</v>
      </c>
      <c r="D258" s="8">
        <f>8.4324 * CHOOSE( CONTROL!$C$15, $D$11, 100%, $F$11)</f>
        <v>8.4323999999999995</v>
      </c>
      <c r="E258" s="12">
        <f>8.4424 * CHOOSE( CONTROL!$C$15, $D$11, 100%, $F$11)</f>
        <v>8.4423999999999992</v>
      </c>
      <c r="F258" s="4">
        <f>9.1215 * CHOOSE(CONTROL!$C$15, $D$11, 100%, $F$11)</f>
        <v>9.1214999999999993</v>
      </c>
      <c r="G258" s="8">
        <f>8.3569 * CHOOSE( CONTROL!$C$15, $D$11, 100%, $F$11)</f>
        <v>8.3568999999999996</v>
      </c>
      <c r="H258" s="4">
        <f>9.2613 * CHOOSE(CONTROL!$C$15, $D$11, 100%, $F$11)</f>
        <v>9.2613000000000003</v>
      </c>
      <c r="I258" s="8">
        <f>8.3465 * CHOOSE(CONTROL!$C$15, $D$11, 100%, $F$11)</f>
        <v>8.3465000000000007</v>
      </c>
      <c r="J258" s="4">
        <f>8.198 * CHOOSE(CONTROL!$C$15, $D$11, 100%, $F$11)</f>
        <v>8.1980000000000004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8.2764 * CHOOSE(CONTROL!$C$15, $D$11, 100%, $F$11)</f>
        <v>8.2764000000000006</v>
      </c>
      <c r="C259" s="8">
        <f>8.2814 * CHOOSE(CONTROL!$C$15, $D$11, 100%, $F$11)</f>
        <v>8.2813999999999997</v>
      </c>
      <c r="D259" s="8">
        <f>8.2521 * CHOOSE( CONTROL!$C$15, $D$11, 100%, $F$11)</f>
        <v>8.2521000000000004</v>
      </c>
      <c r="E259" s="12">
        <f>8.2623 * CHOOSE( CONTROL!$C$15, $D$11, 100%, $F$11)</f>
        <v>8.2622999999999998</v>
      </c>
      <c r="F259" s="4">
        <f>8.9416 * CHOOSE(CONTROL!$C$15, $D$11, 100%, $F$11)</f>
        <v>8.9415999999999993</v>
      </c>
      <c r="G259" s="8">
        <f>8.1789 * CHOOSE( CONTROL!$C$15, $D$11, 100%, $F$11)</f>
        <v>8.1789000000000005</v>
      </c>
      <c r="H259" s="4">
        <f>9.0836 * CHOOSE(CONTROL!$C$15, $D$11, 100%, $F$11)</f>
        <v>9.0836000000000006</v>
      </c>
      <c r="I259" s="8">
        <f>8.1707 * CHOOSE(CONTROL!$C$15, $D$11, 100%, $F$11)</f>
        <v>8.1707000000000001</v>
      </c>
      <c r="J259" s="4">
        <f>8.0235 * CHOOSE(CONTROL!$C$15, $D$11, 100%, $F$11)</f>
        <v>8.0235000000000003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8.4028 * CHOOSE(CONTROL!$C$15, $D$11, 100%, $F$11)</f>
        <v>8.4027999999999992</v>
      </c>
      <c r="C260" s="8">
        <f>8.4073 * CHOOSE(CONTROL!$C$15, $D$11, 100%, $F$11)</f>
        <v>8.4072999999999993</v>
      </c>
      <c r="D260" s="8">
        <f>8.4507 * CHOOSE( CONTROL!$C$15, $D$11, 100%, $F$11)</f>
        <v>8.4506999999999994</v>
      </c>
      <c r="E260" s="12">
        <f>8.4359 * CHOOSE( CONTROL!$C$15, $D$11, 100%, $F$11)</f>
        <v>8.4359000000000002</v>
      </c>
      <c r="F260" s="4">
        <f>9.1472 * CHOOSE(CONTROL!$C$15, $D$11, 100%, $F$11)</f>
        <v>9.1471999999999998</v>
      </c>
      <c r="G260" s="8">
        <f>8.3108 * CHOOSE( CONTROL!$C$15, $D$11, 100%, $F$11)</f>
        <v>8.3108000000000004</v>
      </c>
      <c r="H260" s="4">
        <f>9.2867 * CHOOSE(CONTROL!$C$15, $D$11, 100%, $F$11)</f>
        <v>9.2866999999999997</v>
      </c>
      <c r="I260" s="8">
        <f>8.2909 * CHOOSE(CONTROL!$C$15, $D$11, 100%, $F$11)</f>
        <v>8.2909000000000006</v>
      </c>
      <c r="J260" s="4">
        <f>8.1454 * CHOOSE(CONTROL!$C$15, $D$11, 100%, $F$11)</f>
        <v>8.1454000000000004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8.6314, 8.6278) * CHOOSE(CONTROL!$C$15, $D$11, 100%, $F$11)</f>
        <v>8.6313999999999993</v>
      </c>
      <c r="C261" s="8">
        <f>CHOOSE( CONTROL!$C$32, 8.6394, 8.6358) * CHOOSE(CONTROL!$C$15, $D$11, 100%, $F$11)</f>
        <v>8.6394000000000002</v>
      </c>
      <c r="D261" s="8">
        <f>CHOOSE( CONTROL!$C$32, 8.6771, 8.6735) * CHOOSE( CONTROL!$C$15, $D$11, 100%, $F$11)</f>
        <v>8.6770999999999994</v>
      </c>
      <c r="E261" s="12">
        <f>CHOOSE( CONTROL!$C$32, 8.6622, 8.6586) * CHOOSE( CONTROL!$C$15, $D$11, 100%, $F$11)</f>
        <v>8.6622000000000003</v>
      </c>
      <c r="F261" s="4">
        <f>CHOOSE( CONTROL!$C$32, 9.3744, 9.3708) * CHOOSE(CONTROL!$C$15, $D$11, 100%, $F$11)</f>
        <v>9.3743999999999996</v>
      </c>
      <c r="G261" s="8">
        <f>CHOOSE( CONTROL!$C$32, 8.5362, 8.5326) * CHOOSE( CONTROL!$C$15, $D$11, 100%, $F$11)</f>
        <v>8.5361999999999991</v>
      </c>
      <c r="H261" s="4">
        <f>CHOOSE( CONTROL!$C$32, 9.5113, 9.5077) * CHOOSE(CONTROL!$C$15, $D$11, 100%, $F$11)</f>
        <v>9.5113000000000003</v>
      </c>
      <c r="I261" s="8">
        <f>CHOOSE( CONTROL!$C$32, 8.5117, 8.5082) * CHOOSE(CONTROL!$C$15, $D$11, 100%, $F$11)</f>
        <v>8.5116999999999994</v>
      </c>
      <c r="J261" s="4">
        <f>CHOOSE( CONTROL!$C$32, 8.366, 8.3624) * CHOOSE(CONTROL!$C$15, $D$11, 100%, $F$11)</f>
        <v>8.3659999999999997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8.4929, 8.4892) * CHOOSE(CONTROL!$C$15, $D$11, 100%, $F$11)</f>
        <v>8.4929000000000006</v>
      </c>
      <c r="C262" s="8">
        <f>CHOOSE( CONTROL!$C$32, 8.5009, 8.4972) * CHOOSE(CONTROL!$C$15, $D$11, 100%, $F$11)</f>
        <v>8.5008999999999997</v>
      </c>
      <c r="D262" s="8">
        <f>CHOOSE( CONTROL!$C$32, 8.5388, 8.5352) * CHOOSE( CONTROL!$C$15, $D$11, 100%, $F$11)</f>
        <v>8.5388000000000002</v>
      </c>
      <c r="E262" s="12">
        <f>CHOOSE( CONTROL!$C$32, 8.5238, 8.5202) * CHOOSE( CONTROL!$C$15, $D$11, 100%, $F$11)</f>
        <v>8.5237999999999996</v>
      </c>
      <c r="F262" s="4">
        <f>CHOOSE( CONTROL!$C$32, 9.2359, 9.2323) * CHOOSE(CONTROL!$C$15, $D$11, 100%, $F$11)</f>
        <v>9.2359000000000009</v>
      </c>
      <c r="G262" s="8">
        <f>CHOOSE( CONTROL!$C$32, 8.3997, 8.3961) * CHOOSE( CONTROL!$C$15, $D$11, 100%, $F$11)</f>
        <v>8.3996999999999993</v>
      </c>
      <c r="H262" s="4">
        <f>CHOOSE( CONTROL!$C$32, 9.3744, 9.3708) * CHOOSE(CONTROL!$C$15, $D$11, 100%, $F$11)</f>
        <v>9.3743999999999996</v>
      </c>
      <c r="I262" s="8">
        <f>CHOOSE( CONTROL!$C$32, 8.3782, 8.3747) * CHOOSE(CONTROL!$C$15, $D$11, 100%, $F$11)</f>
        <v>8.3781999999999996</v>
      </c>
      <c r="J262" s="4">
        <f>CHOOSE( CONTROL!$C$32, 8.2315, 8.228) * CHOOSE(CONTROL!$C$15, $D$11, 100%, $F$11)</f>
        <v>8.2315000000000005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8.8577, 8.8541) * CHOOSE(CONTROL!$C$15, $D$11, 100%, $F$11)</f>
        <v>8.8576999999999995</v>
      </c>
      <c r="C263" s="8">
        <f>CHOOSE( CONTROL!$C$32, 8.8657, 8.862) * CHOOSE(CONTROL!$C$15, $D$11, 100%, $F$11)</f>
        <v>8.8657000000000004</v>
      </c>
      <c r="D263" s="8">
        <f>CHOOSE( CONTROL!$C$32, 8.9039, 8.9002) * CHOOSE( CONTROL!$C$15, $D$11, 100%, $F$11)</f>
        <v>8.9039000000000001</v>
      </c>
      <c r="E263" s="12">
        <f>CHOOSE( CONTROL!$C$32, 8.8888, 8.8852) * CHOOSE( CONTROL!$C$15, $D$11, 100%, $F$11)</f>
        <v>8.8887999999999998</v>
      </c>
      <c r="F263" s="4">
        <f>CHOOSE( CONTROL!$C$32, 9.6007, 9.5971) * CHOOSE(CONTROL!$C$15, $D$11, 100%, $F$11)</f>
        <v>9.6006999999999998</v>
      </c>
      <c r="G263" s="8">
        <f>CHOOSE( CONTROL!$C$32, 8.7606, 8.757) * CHOOSE( CONTROL!$C$15, $D$11, 100%, $F$11)</f>
        <v>8.7606000000000002</v>
      </c>
      <c r="H263" s="4">
        <f>CHOOSE( CONTROL!$C$32, 9.7349, 9.7313) * CHOOSE(CONTROL!$C$15, $D$11, 100%, $F$11)</f>
        <v>9.7348999999999997</v>
      </c>
      <c r="I263" s="8">
        <f>CHOOSE( CONTROL!$C$32, 8.7336, 8.7301) * CHOOSE(CONTROL!$C$15, $D$11, 100%, $F$11)</f>
        <v>8.7335999999999991</v>
      </c>
      <c r="J263" s="4">
        <f>CHOOSE( CONTROL!$C$32, 8.5856, 8.582) * CHOOSE(CONTROL!$C$15, $D$11, 100%, $F$11)</f>
        <v>8.5855999999999995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8.1751, 8.1715) * CHOOSE(CONTROL!$C$15, $D$11, 100%, $F$11)</f>
        <v>8.1751000000000005</v>
      </c>
      <c r="C264" s="8">
        <f>CHOOSE( CONTROL!$C$32, 8.1831, 8.1794) * CHOOSE(CONTROL!$C$15, $D$11, 100%, $F$11)</f>
        <v>8.1830999999999996</v>
      </c>
      <c r="D264" s="8">
        <f>CHOOSE( CONTROL!$C$32, 8.2213, 8.2177) * CHOOSE( CONTROL!$C$15, $D$11, 100%, $F$11)</f>
        <v>8.2212999999999994</v>
      </c>
      <c r="E264" s="12">
        <f>CHOOSE( CONTROL!$C$32, 8.2062, 8.2026) * CHOOSE( CONTROL!$C$15, $D$11, 100%, $F$11)</f>
        <v>8.2062000000000008</v>
      </c>
      <c r="F264" s="4">
        <f>CHOOSE( CONTROL!$C$32, 8.9181, 8.9145) * CHOOSE(CONTROL!$C$15, $D$11, 100%, $F$11)</f>
        <v>8.9181000000000008</v>
      </c>
      <c r="G264" s="8">
        <f>CHOOSE( CONTROL!$C$32, 8.086, 8.0824) * CHOOSE( CONTROL!$C$15, $D$11, 100%, $F$11)</f>
        <v>8.0860000000000003</v>
      </c>
      <c r="H264" s="4">
        <f>CHOOSE( CONTROL!$C$32, 9.0603, 9.0567) * CHOOSE(CONTROL!$C$15, $D$11, 100%, $F$11)</f>
        <v>9.0602999999999998</v>
      </c>
      <c r="I264" s="8">
        <f>CHOOSE( CONTROL!$C$32, 8.0711, 8.0675) * CHOOSE(CONTROL!$C$15, $D$11, 100%, $F$11)</f>
        <v>8.0710999999999995</v>
      </c>
      <c r="J264" s="4">
        <f>CHOOSE( CONTROL!$C$32, 7.9231, 7.9196) * CHOOSE(CONTROL!$C$15, $D$11, 100%, $F$11)</f>
        <v>7.9230999999999998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8.0042, 8.0005) * CHOOSE(CONTROL!$C$15, $D$11, 100%, $F$11)</f>
        <v>8.0042000000000009</v>
      </c>
      <c r="C265" s="8">
        <f>CHOOSE( CONTROL!$C$32, 8.0121, 8.0085) * CHOOSE(CONTROL!$C$15, $D$11, 100%, $F$11)</f>
        <v>8.0121000000000002</v>
      </c>
      <c r="D265" s="8">
        <f>CHOOSE( CONTROL!$C$32, 8.0503, 8.0467) * CHOOSE( CONTROL!$C$15, $D$11, 100%, $F$11)</f>
        <v>8.0503</v>
      </c>
      <c r="E265" s="12">
        <f>CHOOSE( CONTROL!$C$32, 8.0353, 8.0316) * CHOOSE( CONTROL!$C$15, $D$11, 100%, $F$11)</f>
        <v>8.0352999999999994</v>
      </c>
      <c r="F265" s="4">
        <f>CHOOSE( CONTROL!$C$32, 8.7472, 8.7435) * CHOOSE(CONTROL!$C$15, $D$11, 100%, $F$11)</f>
        <v>8.7471999999999994</v>
      </c>
      <c r="G265" s="8">
        <f>CHOOSE( CONTROL!$C$32, 7.917, 7.9134) * CHOOSE( CONTROL!$C$15, $D$11, 100%, $F$11)</f>
        <v>7.9169999999999998</v>
      </c>
      <c r="H265" s="4">
        <f>CHOOSE( CONTROL!$C$32, 8.8914, 8.8878) * CHOOSE(CONTROL!$C$15, $D$11, 100%, $F$11)</f>
        <v>8.8914000000000009</v>
      </c>
      <c r="I265" s="8">
        <f>CHOOSE( CONTROL!$C$32, 7.9047, 7.9012) * CHOOSE(CONTROL!$C$15, $D$11, 100%, $F$11)</f>
        <v>7.9047000000000001</v>
      </c>
      <c r="J265" s="4">
        <f>CHOOSE( CONTROL!$C$32, 7.7572, 7.7537) * CHOOSE(CONTROL!$C$15, $D$11, 100%, $F$11)</f>
        <v>7.7572000000000001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8.3537 * CHOOSE(CONTROL!$C$15, $D$11, 100%, $F$11)</f>
        <v>8.3536999999999999</v>
      </c>
      <c r="C266" s="8">
        <f>8.359 * CHOOSE(CONTROL!$C$15, $D$11, 100%, $F$11)</f>
        <v>8.359</v>
      </c>
      <c r="D266" s="8">
        <f>8.4026 * CHOOSE( CONTROL!$C$15, $D$11, 100%, $F$11)</f>
        <v>8.4025999999999996</v>
      </c>
      <c r="E266" s="12">
        <f>8.3876 * CHOOSE( CONTROL!$C$15, $D$11, 100%, $F$11)</f>
        <v>8.3876000000000008</v>
      </c>
      <c r="F266" s="4">
        <f>9.0984 * CHOOSE(CONTROL!$C$15, $D$11, 100%, $F$11)</f>
        <v>9.0983999999999998</v>
      </c>
      <c r="G266" s="8">
        <f>8.2636 * CHOOSE( CONTROL!$C$15, $D$11, 100%, $F$11)</f>
        <v>8.2636000000000003</v>
      </c>
      <c r="H266" s="4">
        <f>9.2385 * CHOOSE(CONTROL!$C$15, $D$11, 100%, $F$11)</f>
        <v>9.2385000000000002</v>
      </c>
      <c r="I266" s="8">
        <f>8.2466 * CHOOSE(CONTROL!$C$15, $D$11, 100%, $F$11)</f>
        <v>8.2466000000000008</v>
      </c>
      <c r="J266" s="4">
        <f>8.0981 * CHOOSE(CONTROL!$C$15, $D$11, 100%, $F$11)</f>
        <v>8.0981000000000005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9.0084 * CHOOSE(CONTROL!$C$15, $D$11, 100%, $F$11)</f>
        <v>9.0084</v>
      </c>
      <c r="C267" s="8">
        <f>9.0135 * CHOOSE(CONTROL!$C$15, $D$11, 100%, $F$11)</f>
        <v>9.0135000000000005</v>
      </c>
      <c r="D267" s="8">
        <f>8.9971 * CHOOSE( CONTROL!$C$15, $D$11, 100%, $F$11)</f>
        <v>8.9970999999999997</v>
      </c>
      <c r="E267" s="12">
        <f>9.0026 * CHOOSE( CONTROL!$C$15, $D$11, 100%, $F$11)</f>
        <v>9.0025999999999993</v>
      </c>
      <c r="F267" s="4">
        <f>9.6737 * CHOOSE(CONTROL!$C$15, $D$11, 100%, $F$11)</f>
        <v>9.6737000000000002</v>
      </c>
      <c r="G267" s="8">
        <f>8.9117 * CHOOSE( CONTROL!$C$15, $D$11, 100%, $F$11)</f>
        <v>8.9116999999999997</v>
      </c>
      <c r="H267" s="4">
        <f>9.807 * CHOOSE(CONTROL!$C$15, $D$11, 100%, $F$11)</f>
        <v>9.8070000000000004</v>
      </c>
      <c r="I267" s="8">
        <f>8.8828 * CHOOSE(CONTROL!$C$15, $D$11, 100%, $F$11)</f>
        <v>8.8827999999999996</v>
      </c>
      <c r="J267" s="4">
        <f>8.7339 * CHOOSE(CONTROL!$C$15, $D$11, 100%, $F$11)</f>
        <v>8.7339000000000002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8.992 * CHOOSE(CONTROL!$C$15, $D$11, 100%, $F$11)</f>
        <v>8.9920000000000009</v>
      </c>
      <c r="C268" s="8">
        <f>8.9971 * CHOOSE(CONTROL!$C$15, $D$11, 100%, $F$11)</f>
        <v>8.9970999999999997</v>
      </c>
      <c r="D268" s="8">
        <f>8.9825 * CHOOSE( CONTROL!$C$15, $D$11, 100%, $F$11)</f>
        <v>8.9824999999999999</v>
      </c>
      <c r="E268" s="12">
        <f>8.9873 * CHOOSE( CONTROL!$C$15, $D$11, 100%, $F$11)</f>
        <v>8.9872999999999994</v>
      </c>
      <c r="F268" s="4">
        <f>9.6573 * CHOOSE(CONTROL!$C$15, $D$11, 100%, $F$11)</f>
        <v>9.6572999999999993</v>
      </c>
      <c r="G268" s="8">
        <f>8.8967 * CHOOSE( CONTROL!$C$15, $D$11, 100%, $F$11)</f>
        <v>8.8966999999999992</v>
      </c>
      <c r="H268" s="4">
        <f>9.7909 * CHOOSE(CONTROL!$C$15, $D$11, 100%, $F$11)</f>
        <v>9.7909000000000006</v>
      </c>
      <c r="I268" s="8">
        <f>8.8723 * CHOOSE(CONTROL!$C$15, $D$11, 100%, $F$11)</f>
        <v>8.8722999999999992</v>
      </c>
      <c r="J268" s="4">
        <f>8.718 * CHOOSE(CONTROL!$C$15, $D$11, 100%, $F$11)</f>
        <v>8.718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9.257 * CHOOSE(CONTROL!$C$15, $D$11, 100%, $F$11)</f>
        <v>9.2569999999999997</v>
      </c>
      <c r="C269" s="8">
        <f>9.2621 * CHOOSE(CONTROL!$C$15, $D$11, 100%, $F$11)</f>
        <v>9.2621000000000002</v>
      </c>
      <c r="D269" s="8">
        <f>9.2332 * CHOOSE( CONTROL!$C$15, $D$11, 100%, $F$11)</f>
        <v>9.2332000000000001</v>
      </c>
      <c r="E269" s="12">
        <f>9.2432 * CHOOSE( CONTROL!$C$15, $D$11, 100%, $F$11)</f>
        <v>9.2431999999999999</v>
      </c>
      <c r="F269" s="4">
        <f>9.9223 * CHOOSE(CONTROL!$C$15, $D$11, 100%, $F$11)</f>
        <v>9.9222999999999999</v>
      </c>
      <c r="G269" s="8">
        <f>9.1483 * CHOOSE( CONTROL!$C$15, $D$11, 100%, $F$11)</f>
        <v>9.1483000000000008</v>
      </c>
      <c r="H269" s="4">
        <f>10.0527 * CHOOSE(CONTROL!$C$15, $D$11, 100%, $F$11)</f>
        <v>10.0527</v>
      </c>
      <c r="I269" s="8">
        <f>9.1242 * CHOOSE(CONTROL!$C$15, $D$11, 100%, $F$11)</f>
        <v>9.1242000000000001</v>
      </c>
      <c r="J269" s="4">
        <f>8.9752 * CHOOSE(CONTROL!$C$15, $D$11, 100%, $F$11)</f>
        <v>8.9751999999999992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8.6591 * CHOOSE(CONTROL!$C$15, $D$11, 100%, $F$11)</f>
        <v>8.6591000000000005</v>
      </c>
      <c r="C270" s="8">
        <f>8.6642 * CHOOSE(CONTROL!$C$15, $D$11, 100%, $F$11)</f>
        <v>8.6641999999999992</v>
      </c>
      <c r="D270" s="8">
        <f>8.6353 * CHOOSE( CONTROL!$C$15, $D$11, 100%, $F$11)</f>
        <v>8.6353000000000009</v>
      </c>
      <c r="E270" s="12">
        <f>8.6453 * CHOOSE( CONTROL!$C$15, $D$11, 100%, $F$11)</f>
        <v>8.6453000000000007</v>
      </c>
      <c r="F270" s="4">
        <f>9.3244 * CHOOSE(CONTROL!$C$15, $D$11, 100%, $F$11)</f>
        <v>9.3244000000000007</v>
      </c>
      <c r="G270" s="8">
        <f>8.5574 * CHOOSE( CONTROL!$C$15, $D$11, 100%, $F$11)</f>
        <v>8.5573999999999995</v>
      </c>
      <c r="H270" s="4">
        <f>9.4619 * CHOOSE(CONTROL!$C$15, $D$11, 100%, $F$11)</f>
        <v>9.4619</v>
      </c>
      <c r="I270" s="8">
        <f>8.5436 * CHOOSE(CONTROL!$C$15, $D$11, 100%, $F$11)</f>
        <v>8.5435999999999996</v>
      </c>
      <c r="J270" s="4">
        <f>8.3949 * CHOOSE(CONTROL!$C$15, $D$11, 100%, $F$11)</f>
        <v>8.3948999999999998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8.475 * CHOOSE(CONTROL!$C$15, $D$11, 100%, $F$11)</f>
        <v>8.4749999999999996</v>
      </c>
      <c r="C271" s="8">
        <f>8.4801 * CHOOSE(CONTROL!$C$15, $D$11, 100%, $F$11)</f>
        <v>8.4801000000000002</v>
      </c>
      <c r="D271" s="8">
        <f>8.4508 * CHOOSE( CONTROL!$C$15, $D$11, 100%, $F$11)</f>
        <v>8.4507999999999992</v>
      </c>
      <c r="E271" s="12">
        <f>8.461 * CHOOSE( CONTROL!$C$15, $D$11, 100%, $F$11)</f>
        <v>8.4610000000000003</v>
      </c>
      <c r="F271" s="4">
        <f>9.1403 * CHOOSE(CONTROL!$C$15, $D$11, 100%, $F$11)</f>
        <v>9.1402999999999999</v>
      </c>
      <c r="G271" s="8">
        <f>8.3752 * CHOOSE( CONTROL!$C$15, $D$11, 100%, $F$11)</f>
        <v>8.3751999999999995</v>
      </c>
      <c r="H271" s="4">
        <f>9.2799 * CHOOSE(CONTROL!$C$15, $D$11, 100%, $F$11)</f>
        <v>9.2798999999999996</v>
      </c>
      <c r="I271" s="8">
        <f>8.3636 * CHOOSE(CONTROL!$C$15, $D$11, 100%, $F$11)</f>
        <v>8.3635999999999999</v>
      </c>
      <c r="J271" s="4">
        <f>8.2162 * CHOOSE(CONTROL!$C$15, $D$11, 100%, $F$11)</f>
        <v>8.2162000000000006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8.6044 * CHOOSE(CONTROL!$C$15, $D$11, 100%, $F$11)</f>
        <v>8.6044</v>
      </c>
      <c r="C272" s="8">
        <f>8.6089 * CHOOSE(CONTROL!$C$15, $D$11, 100%, $F$11)</f>
        <v>8.6089000000000002</v>
      </c>
      <c r="D272" s="8">
        <f>8.6523 * CHOOSE( CONTROL!$C$15, $D$11, 100%, $F$11)</f>
        <v>8.6523000000000003</v>
      </c>
      <c r="E272" s="12">
        <f>8.6375 * CHOOSE( CONTROL!$C$15, $D$11, 100%, $F$11)</f>
        <v>8.6374999999999993</v>
      </c>
      <c r="F272" s="4">
        <f>9.3488 * CHOOSE(CONTROL!$C$15, $D$11, 100%, $F$11)</f>
        <v>9.3488000000000007</v>
      </c>
      <c r="G272" s="8">
        <f>8.5101 * CHOOSE( CONTROL!$C$15, $D$11, 100%, $F$11)</f>
        <v>8.5100999999999996</v>
      </c>
      <c r="H272" s="4">
        <f>9.486 * CHOOSE(CONTROL!$C$15, $D$11, 100%, $F$11)</f>
        <v>9.4860000000000007</v>
      </c>
      <c r="I272" s="8">
        <f>8.4867 * CHOOSE(CONTROL!$C$15, $D$11, 100%, $F$11)</f>
        <v>8.4867000000000008</v>
      </c>
      <c r="J272" s="4">
        <f>8.3411 * CHOOSE(CONTROL!$C$15, $D$11, 100%, $F$11)</f>
        <v>8.3411000000000008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8.8385, 8.8348) * CHOOSE(CONTROL!$C$15, $D$11, 100%, $F$11)</f>
        <v>8.8384999999999998</v>
      </c>
      <c r="C273" s="8">
        <f>CHOOSE( CONTROL!$C$32, 8.8464, 8.8428) * CHOOSE(CONTROL!$C$15, $D$11, 100%, $F$11)</f>
        <v>8.8463999999999992</v>
      </c>
      <c r="D273" s="8">
        <f>CHOOSE( CONTROL!$C$32, 8.8842, 8.8805) * CHOOSE( CONTROL!$C$15, $D$11, 100%, $F$11)</f>
        <v>8.8841999999999999</v>
      </c>
      <c r="E273" s="12">
        <f>CHOOSE( CONTROL!$C$32, 8.8693, 8.8656) * CHOOSE( CONTROL!$C$15, $D$11, 100%, $F$11)</f>
        <v>8.8693000000000008</v>
      </c>
      <c r="F273" s="4">
        <f>CHOOSE( CONTROL!$C$32, 9.5815, 9.5778) * CHOOSE(CONTROL!$C$15, $D$11, 100%, $F$11)</f>
        <v>9.5815000000000001</v>
      </c>
      <c r="G273" s="8">
        <f>CHOOSE( CONTROL!$C$32, 8.7409, 8.7373) * CHOOSE( CONTROL!$C$15, $D$11, 100%, $F$11)</f>
        <v>8.7408999999999999</v>
      </c>
      <c r="H273" s="4">
        <f>CHOOSE( CONTROL!$C$32, 9.7159, 9.7123) * CHOOSE(CONTROL!$C$15, $D$11, 100%, $F$11)</f>
        <v>9.7158999999999995</v>
      </c>
      <c r="I273" s="8">
        <f>CHOOSE( CONTROL!$C$32, 8.7127, 8.7092) * CHOOSE(CONTROL!$C$15, $D$11, 100%, $F$11)</f>
        <v>8.7126999999999999</v>
      </c>
      <c r="J273" s="4">
        <f>CHOOSE( CONTROL!$C$32, 8.5669, 8.5634) * CHOOSE(CONTROL!$C$15, $D$11, 100%, $F$11)</f>
        <v>8.5669000000000004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8.6966, 8.693) * CHOOSE(CONTROL!$C$15, $D$11, 100%, $F$11)</f>
        <v>8.6966000000000001</v>
      </c>
      <c r="C274" s="8">
        <f>CHOOSE( CONTROL!$C$32, 8.7046, 8.7009) * CHOOSE(CONTROL!$C$15, $D$11, 100%, $F$11)</f>
        <v>8.7045999999999992</v>
      </c>
      <c r="D274" s="8">
        <f>CHOOSE( CONTROL!$C$32, 8.7425, 8.7389) * CHOOSE( CONTROL!$C$15, $D$11, 100%, $F$11)</f>
        <v>8.7424999999999997</v>
      </c>
      <c r="E274" s="12">
        <f>CHOOSE( CONTROL!$C$32, 8.7275, 8.7239) * CHOOSE( CONTROL!$C$15, $D$11, 100%, $F$11)</f>
        <v>8.7274999999999991</v>
      </c>
      <c r="F274" s="4">
        <f>CHOOSE( CONTROL!$C$32, 9.4396, 9.436) * CHOOSE(CONTROL!$C$15, $D$11, 100%, $F$11)</f>
        <v>9.4396000000000004</v>
      </c>
      <c r="G274" s="8">
        <f>CHOOSE( CONTROL!$C$32, 8.601, 8.5974) * CHOOSE( CONTROL!$C$15, $D$11, 100%, $F$11)</f>
        <v>8.6010000000000009</v>
      </c>
      <c r="H274" s="4">
        <f>CHOOSE( CONTROL!$C$32, 9.5757, 9.5721) * CHOOSE(CONTROL!$C$15, $D$11, 100%, $F$11)</f>
        <v>9.5756999999999994</v>
      </c>
      <c r="I274" s="8">
        <f>CHOOSE( CONTROL!$C$32, 8.576, 8.5725) * CHOOSE(CONTROL!$C$15, $D$11, 100%, $F$11)</f>
        <v>8.5760000000000005</v>
      </c>
      <c r="J274" s="4">
        <f>CHOOSE( CONTROL!$C$32, 8.4292, 8.4257) * CHOOSE(CONTROL!$C$15, $D$11, 100%, $F$11)</f>
        <v>8.4291999999999998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9.0702, 9.0665) * CHOOSE(CONTROL!$C$15, $D$11, 100%, $F$11)</f>
        <v>9.0701999999999998</v>
      </c>
      <c r="C275" s="8">
        <f>CHOOSE( CONTROL!$C$32, 9.0782, 9.0745) * CHOOSE(CONTROL!$C$15, $D$11, 100%, $F$11)</f>
        <v>9.0782000000000007</v>
      </c>
      <c r="D275" s="8">
        <f>CHOOSE( CONTROL!$C$32, 9.1164, 9.1127) * CHOOSE( CONTROL!$C$15, $D$11, 100%, $F$11)</f>
        <v>9.1164000000000005</v>
      </c>
      <c r="E275" s="12">
        <f>CHOOSE( CONTROL!$C$32, 9.1013, 9.0976) * CHOOSE( CONTROL!$C$15, $D$11, 100%, $F$11)</f>
        <v>9.1013000000000002</v>
      </c>
      <c r="F275" s="4">
        <f>CHOOSE( CONTROL!$C$32, 9.8132, 9.8095) * CHOOSE(CONTROL!$C$15, $D$11, 100%, $F$11)</f>
        <v>9.8132000000000001</v>
      </c>
      <c r="G275" s="8">
        <f>CHOOSE( CONTROL!$C$32, 8.9705, 8.9669) * CHOOSE( CONTROL!$C$15, $D$11, 100%, $F$11)</f>
        <v>8.9704999999999995</v>
      </c>
      <c r="H275" s="4">
        <f>CHOOSE( CONTROL!$C$32, 9.9449, 9.9413) * CHOOSE(CONTROL!$C$15, $D$11, 100%, $F$11)</f>
        <v>9.9449000000000005</v>
      </c>
      <c r="I275" s="8">
        <f>CHOOSE( CONTROL!$C$32, 8.9399, 8.9364) * CHOOSE(CONTROL!$C$15, $D$11, 100%, $F$11)</f>
        <v>8.9398999999999997</v>
      </c>
      <c r="J275" s="4">
        <f>CHOOSE( CONTROL!$C$32, 8.7918, 8.7883) * CHOOSE(CONTROL!$C$15, $D$11, 100%, $F$11)</f>
        <v>8.7918000000000003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8.3712, 8.3675) * CHOOSE(CONTROL!$C$15, $D$11, 100%, $F$11)</f>
        <v>8.3712</v>
      </c>
      <c r="C276" s="8">
        <f>CHOOSE( CONTROL!$C$32, 8.3791, 8.3755) * CHOOSE(CONTROL!$C$15, $D$11, 100%, $F$11)</f>
        <v>8.3790999999999993</v>
      </c>
      <c r="D276" s="8">
        <f>CHOOSE( CONTROL!$C$32, 8.4174, 8.4138) * CHOOSE( CONTROL!$C$15, $D$11, 100%, $F$11)</f>
        <v>8.4174000000000007</v>
      </c>
      <c r="E276" s="12">
        <f>CHOOSE( CONTROL!$C$32, 8.4023, 8.3987) * CHOOSE( CONTROL!$C$15, $D$11, 100%, $F$11)</f>
        <v>8.4023000000000003</v>
      </c>
      <c r="F276" s="4">
        <f>CHOOSE( CONTROL!$C$32, 9.1142, 9.1105) * CHOOSE(CONTROL!$C$15, $D$11, 100%, $F$11)</f>
        <v>9.1142000000000003</v>
      </c>
      <c r="G276" s="8">
        <f>CHOOSE( CONTROL!$C$32, 8.2798, 8.2762) * CHOOSE( CONTROL!$C$15, $D$11, 100%, $F$11)</f>
        <v>8.2797999999999998</v>
      </c>
      <c r="H276" s="4">
        <f>CHOOSE( CONTROL!$C$32, 9.2541, 9.2505) * CHOOSE(CONTROL!$C$15, $D$11, 100%, $F$11)</f>
        <v>9.2540999999999993</v>
      </c>
      <c r="I276" s="8">
        <f>CHOOSE( CONTROL!$C$32, 8.2615, 8.2579) * CHOOSE(CONTROL!$C$15, $D$11, 100%, $F$11)</f>
        <v>8.2614999999999998</v>
      </c>
      <c r="J276" s="4">
        <f>CHOOSE( CONTROL!$C$32, 8.1134, 8.1099) * CHOOSE(CONTROL!$C$15, $D$11, 100%, $F$11)</f>
        <v>8.1134000000000004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8.1961, 8.1925) * CHOOSE(CONTROL!$C$15, $D$11, 100%, $F$11)</f>
        <v>8.1960999999999995</v>
      </c>
      <c r="C277" s="8">
        <f>CHOOSE( CONTROL!$C$32, 8.2041, 8.2005) * CHOOSE(CONTROL!$C$15, $D$11, 100%, $F$11)</f>
        <v>8.2041000000000004</v>
      </c>
      <c r="D277" s="8">
        <f>CHOOSE( CONTROL!$C$32, 8.2423, 8.2386) * CHOOSE( CONTROL!$C$15, $D$11, 100%, $F$11)</f>
        <v>8.2423000000000002</v>
      </c>
      <c r="E277" s="12">
        <f>CHOOSE( CONTROL!$C$32, 8.2272, 8.2236) * CHOOSE( CONTROL!$C$15, $D$11, 100%, $F$11)</f>
        <v>8.2271999999999998</v>
      </c>
      <c r="F277" s="4">
        <f>CHOOSE( CONTROL!$C$32, 8.9391, 8.9355) * CHOOSE(CONTROL!$C$15, $D$11, 100%, $F$11)</f>
        <v>8.9390999999999998</v>
      </c>
      <c r="G277" s="8">
        <f>CHOOSE( CONTROL!$C$32, 8.1067, 8.1031) * CHOOSE( CONTROL!$C$15, $D$11, 100%, $F$11)</f>
        <v>8.1067</v>
      </c>
      <c r="H277" s="4">
        <f>CHOOSE( CONTROL!$C$32, 9.0811, 9.0775) * CHOOSE(CONTROL!$C$15, $D$11, 100%, $F$11)</f>
        <v>9.0810999999999993</v>
      </c>
      <c r="I277" s="8">
        <f>CHOOSE( CONTROL!$C$32, 8.0911, 8.0876) * CHOOSE(CONTROL!$C$15, $D$11, 100%, $F$11)</f>
        <v>8.0911000000000008</v>
      </c>
      <c r="J277" s="4">
        <f>CHOOSE( CONTROL!$C$32, 7.9435, 7.94) * CHOOSE(CONTROL!$C$15, $D$11, 100%, $F$11)</f>
        <v>7.9435000000000002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8.5542 * CHOOSE(CONTROL!$C$15, $D$11, 100%, $F$11)</f>
        <v>8.5541999999999998</v>
      </c>
      <c r="C278" s="8">
        <f>8.5595 * CHOOSE(CONTROL!$C$15, $D$11, 100%, $F$11)</f>
        <v>8.5594999999999999</v>
      </c>
      <c r="D278" s="8">
        <f>8.6031 * CHOOSE( CONTROL!$C$15, $D$11, 100%, $F$11)</f>
        <v>8.6030999999999995</v>
      </c>
      <c r="E278" s="12">
        <f>8.5881 * CHOOSE( CONTROL!$C$15, $D$11, 100%, $F$11)</f>
        <v>8.5881000000000007</v>
      </c>
      <c r="F278" s="4">
        <f>9.2989 * CHOOSE(CONTROL!$C$15, $D$11, 100%, $F$11)</f>
        <v>9.2988999999999997</v>
      </c>
      <c r="G278" s="8">
        <f>8.4618 * CHOOSE( CONTROL!$C$15, $D$11, 100%, $F$11)</f>
        <v>8.4618000000000002</v>
      </c>
      <c r="H278" s="4">
        <f>9.4367 * CHOOSE(CONTROL!$C$15, $D$11, 100%, $F$11)</f>
        <v>9.4367000000000001</v>
      </c>
      <c r="I278" s="8">
        <f>8.4412 * CHOOSE(CONTROL!$C$15, $D$11, 100%, $F$11)</f>
        <v>8.4412000000000003</v>
      </c>
      <c r="J278" s="4">
        <f>8.2927 * CHOOSE(CONTROL!$C$15, $D$11, 100%, $F$11)</f>
        <v>8.2927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9.2246 * CHOOSE(CONTROL!$C$15, $D$11, 100%, $F$11)</f>
        <v>9.2246000000000006</v>
      </c>
      <c r="C279" s="8">
        <f>9.2297 * CHOOSE(CONTROL!$C$15, $D$11, 100%, $F$11)</f>
        <v>9.2296999999999993</v>
      </c>
      <c r="D279" s="8">
        <f>9.2134 * CHOOSE( CONTROL!$C$15, $D$11, 100%, $F$11)</f>
        <v>9.2134</v>
      </c>
      <c r="E279" s="12">
        <f>9.2188 * CHOOSE( CONTROL!$C$15, $D$11, 100%, $F$11)</f>
        <v>9.2187999999999999</v>
      </c>
      <c r="F279" s="4">
        <f>9.8899 * CHOOSE(CONTROL!$C$15, $D$11, 100%, $F$11)</f>
        <v>9.8899000000000008</v>
      </c>
      <c r="G279" s="8">
        <f>9.1254 * CHOOSE( CONTROL!$C$15, $D$11, 100%, $F$11)</f>
        <v>9.1254000000000008</v>
      </c>
      <c r="H279" s="4">
        <f>10.0207 * CHOOSE(CONTROL!$C$15, $D$11, 100%, $F$11)</f>
        <v>10.0207</v>
      </c>
      <c r="I279" s="8">
        <f>9.0927 * CHOOSE(CONTROL!$C$15, $D$11, 100%, $F$11)</f>
        <v>9.0927000000000007</v>
      </c>
      <c r="J279" s="4">
        <f>8.9438 * CHOOSE(CONTROL!$C$15, $D$11, 100%, $F$11)</f>
        <v>8.9437999999999995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9.2079 * CHOOSE(CONTROL!$C$15, $D$11, 100%, $F$11)</f>
        <v>9.2079000000000004</v>
      </c>
      <c r="C280" s="8">
        <f>9.213 * CHOOSE(CONTROL!$C$15, $D$11, 100%, $F$11)</f>
        <v>9.2129999999999992</v>
      </c>
      <c r="D280" s="8">
        <f>9.1983 * CHOOSE( CONTROL!$C$15, $D$11, 100%, $F$11)</f>
        <v>9.1982999999999997</v>
      </c>
      <c r="E280" s="12">
        <f>9.2031 * CHOOSE( CONTROL!$C$15, $D$11, 100%, $F$11)</f>
        <v>9.2030999999999992</v>
      </c>
      <c r="F280" s="4">
        <f>9.8732 * CHOOSE(CONTROL!$C$15, $D$11, 100%, $F$11)</f>
        <v>9.8732000000000006</v>
      </c>
      <c r="G280" s="8">
        <f>9.11 * CHOOSE( CONTROL!$C$15, $D$11, 100%, $F$11)</f>
        <v>9.11</v>
      </c>
      <c r="H280" s="4">
        <f>10.0042 * CHOOSE(CONTROL!$C$15, $D$11, 100%, $F$11)</f>
        <v>10.004200000000001</v>
      </c>
      <c r="I280" s="8">
        <f>9.0818 * CHOOSE(CONTROL!$C$15, $D$11, 100%, $F$11)</f>
        <v>9.0817999999999994</v>
      </c>
      <c r="J280" s="4">
        <f>8.9275 * CHOOSE(CONTROL!$C$15, $D$11, 100%, $F$11)</f>
        <v>8.9275000000000002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9.4792 * CHOOSE(CONTROL!$C$15, $D$11, 100%, $F$11)</f>
        <v>9.4792000000000005</v>
      </c>
      <c r="C281" s="8">
        <f>9.4843 * CHOOSE(CONTROL!$C$15, $D$11, 100%, $F$11)</f>
        <v>9.4842999999999993</v>
      </c>
      <c r="D281" s="8">
        <f>9.4554 * CHOOSE( CONTROL!$C$15, $D$11, 100%, $F$11)</f>
        <v>9.4553999999999991</v>
      </c>
      <c r="E281" s="12">
        <f>9.4654 * CHOOSE( CONTROL!$C$15, $D$11, 100%, $F$11)</f>
        <v>9.4654000000000007</v>
      </c>
      <c r="F281" s="4">
        <f>10.1445 * CHOOSE(CONTROL!$C$15, $D$11, 100%, $F$11)</f>
        <v>10.144500000000001</v>
      </c>
      <c r="G281" s="8">
        <f>9.3679 * CHOOSE( CONTROL!$C$15, $D$11, 100%, $F$11)</f>
        <v>9.3679000000000006</v>
      </c>
      <c r="H281" s="4">
        <f>10.2723 * CHOOSE(CONTROL!$C$15, $D$11, 100%, $F$11)</f>
        <v>10.2723</v>
      </c>
      <c r="I281" s="8">
        <f>9.3399 * CHOOSE(CONTROL!$C$15, $D$11, 100%, $F$11)</f>
        <v>9.3399000000000001</v>
      </c>
      <c r="J281" s="4">
        <f>9.1908 * CHOOSE(CONTROL!$C$15, $D$11, 100%, $F$11)</f>
        <v>9.1907999999999994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8.867 * CHOOSE(CONTROL!$C$15, $D$11, 100%, $F$11)</f>
        <v>8.8670000000000009</v>
      </c>
      <c r="C282" s="8">
        <f>8.8721 * CHOOSE(CONTROL!$C$15, $D$11, 100%, $F$11)</f>
        <v>8.8720999999999997</v>
      </c>
      <c r="D282" s="8">
        <f>8.8432 * CHOOSE( CONTROL!$C$15, $D$11, 100%, $F$11)</f>
        <v>8.8431999999999995</v>
      </c>
      <c r="E282" s="12">
        <f>8.8532 * CHOOSE( CONTROL!$C$15, $D$11, 100%, $F$11)</f>
        <v>8.8531999999999993</v>
      </c>
      <c r="F282" s="4">
        <f>9.5323 * CHOOSE(CONTROL!$C$15, $D$11, 100%, $F$11)</f>
        <v>9.5322999999999993</v>
      </c>
      <c r="G282" s="8">
        <f>8.7628 * CHOOSE( CONTROL!$C$15, $D$11, 100%, $F$11)</f>
        <v>8.7628000000000004</v>
      </c>
      <c r="H282" s="4">
        <f>9.6673 * CHOOSE(CONTROL!$C$15, $D$11, 100%, $F$11)</f>
        <v>9.6672999999999991</v>
      </c>
      <c r="I282" s="8">
        <f>8.7454 * CHOOSE(CONTROL!$C$15, $D$11, 100%, $F$11)</f>
        <v>8.7454000000000001</v>
      </c>
      <c r="J282" s="4">
        <f>8.5967 * CHOOSE(CONTROL!$C$15, $D$11, 100%, $F$11)</f>
        <v>8.5967000000000002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8.6784 * CHOOSE(CONTROL!$C$15, $D$11, 100%, $F$11)</f>
        <v>8.6783999999999999</v>
      </c>
      <c r="C283" s="8">
        <f>8.6835 * CHOOSE(CONTROL!$C$15, $D$11, 100%, $F$11)</f>
        <v>8.6835000000000004</v>
      </c>
      <c r="D283" s="8">
        <f>8.6542 * CHOOSE( CONTROL!$C$15, $D$11, 100%, $F$11)</f>
        <v>8.6541999999999994</v>
      </c>
      <c r="E283" s="12">
        <f>8.6644 * CHOOSE( CONTROL!$C$15, $D$11, 100%, $F$11)</f>
        <v>8.6644000000000005</v>
      </c>
      <c r="F283" s="4">
        <f>9.3437 * CHOOSE(CONTROL!$C$15, $D$11, 100%, $F$11)</f>
        <v>9.3437000000000001</v>
      </c>
      <c r="G283" s="8">
        <f>8.5762 * CHOOSE( CONTROL!$C$15, $D$11, 100%, $F$11)</f>
        <v>8.5762</v>
      </c>
      <c r="H283" s="4">
        <f>9.4809 * CHOOSE(CONTROL!$C$15, $D$11, 100%, $F$11)</f>
        <v>9.4809000000000001</v>
      </c>
      <c r="I283" s="8">
        <f>8.5611 * CHOOSE(CONTROL!$C$15, $D$11, 100%, $F$11)</f>
        <v>8.5610999999999997</v>
      </c>
      <c r="J283" s="4">
        <f>8.4137 * CHOOSE(CONTROL!$C$15, $D$11, 100%, $F$11)</f>
        <v>8.4137000000000004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8.811 * CHOOSE(CONTROL!$C$15, $D$11, 100%, $F$11)</f>
        <v>8.8109999999999999</v>
      </c>
      <c r="C284" s="8">
        <f>8.8155 * CHOOSE(CONTROL!$C$15, $D$11, 100%, $F$11)</f>
        <v>8.8155000000000001</v>
      </c>
      <c r="D284" s="8">
        <f>8.8588 * CHOOSE( CONTROL!$C$15, $D$11, 100%, $F$11)</f>
        <v>8.8588000000000005</v>
      </c>
      <c r="E284" s="12">
        <f>8.844 * CHOOSE( CONTROL!$C$15, $D$11, 100%, $F$11)</f>
        <v>8.8439999999999994</v>
      </c>
      <c r="F284" s="4">
        <f>9.5553 * CHOOSE(CONTROL!$C$15, $D$11, 100%, $F$11)</f>
        <v>9.5553000000000008</v>
      </c>
      <c r="G284" s="8">
        <f>8.7142 * CHOOSE( CONTROL!$C$15, $D$11, 100%, $F$11)</f>
        <v>8.7141999999999999</v>
      </c>
      <c r="H284" s="4">
        <f>9.6901 * CHOOSE(CONTROL!$C$15, $D$11, 100%, $F$11)</f>
        <v>9.6900999999999993</v>
      </c>
      <c r="I284" s="8">
        <f>8.6872 * CHOOSE(CONTROL!$C$15, $D$11, 100%, $F$11)</f>
        <v>8.6872000000000007</v>
      </c>
      <c r="J284" s="4">
        <f>8.5415 * CHOOSE(CONTROL!$C$15, $D$11, 100%, $F$11)</f>
        <v>8.5414999999999992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9.0505, 9.0468) * CHOOSE(CONTROL!$C$15, $D$11, 100%, $F$11)</f>
        <v>9.0504999999999995</v>
      </c>
      <c r="C285" s="8">
        <f>CHOOSE( CONTROL!$C$32, 9.0584, 9.0548) * CHOOSE(CONTROL!$C$15, $D$11, 100%, $F$11)</f>
        <v>9.0584000000000007</v>
      </c>
      <c r="D285" s="8">
        <f>CHOOSE( CONTROL!$C$32, 9.0962, 9.0925) * CHOOSE( CONTROL!$C$15, $D$11, 100%, $F$11)</f>
        <v>9.0961999999999996</v>
      </c>
      <c r="E285" s="12">
        <f>CHOOSE( CONTROL!$C$32, 9.0813, 9.0776) * CHOOSE( CONTROL!$C$15, $D$11, 100%, $F$11)</f>
        <v>9.0813000000000006</v>
      </c>
      <c r="F285" s="4">
        <f>CHOOSE( CONTROL!$C$32, 9.7935, 9.7898) * CHOOSE(CONTROL!$C$15, $D$11, 100%, $F$11)</f>
        <v>9.7934999999999999</v>
      </c>
      <c r="G285" s="8">
        <f>CHOOSE( CONTROL!$C$32, 8.9504, 8.9468) * CHOOSE( CONTROL!$C$15, $D$11, 100%, $F$11)</f>
        <v>8.9504000000000001</v>
      </c>
      <c r="H285" s="4">
        <f>CHOOSE( CONTROL!$C$32, 9.9254, 9.9218) * CHOOSE(CONTROL!$C$15, $D$11, 100%, $F$11)</f>
        <v>9.9253999999999998</v>
      </c>
      <c r="I285" s="8">
        <f>CHOOSE( CONTROL!$C$32, 8.9186, 8.9151) * CHOOSE(CONTROL!$C$15, $D$11, 100%, $F$11)</f>
        <v>8.9185999999999996</v>
      </c>
      <c r="J285" s="4">
        <f>CHOOSE( CONTROL!$C$32, 8.7727, 8.7691) * CHOOSE(CONTROL!$C$15, $D$11, 100%, $F$11)</f>
        <v>8.7727000000000004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8.9052, 8.9016) * CHOOSE(CONTROL!$C$15, $D$11, 100%, $F$11)</f>
        <v>8.9052000000000007</v>
      </c>
      <c r="C286" s="8">
        <f>CHOOSE( CONTROL!$C$32, 8.9132, 8.9095) * CHOOSE(CONTROL!$C$15, $D$11, 100%, $F$11)</f>
        <v>8.9131999999999998</v>
      </c>
      <c r="D286" s="8">
        <f>CHOOSE( CONTROL!$C$32, 8.9511, 8.9475) * CHOOSE( CONTROL!$C$15, $D$11, 100%, $F$11)</f>
        <v>8.9511000000000003</v>
      </c>
      <c r="E286" s="12">
        <f>CHOOSE( CONTROL!$C$32, 8.9361, 8.9325) * CHOOSE( CONTROL!$C$15, $D$11, 100%, $F$11)</f>
        <v>8.9360999999999997</v>
      </c>
      <c r="F286" s="4">
        <f>CHOOSE( CONTROL!$C$32, 9.6482, 9.6446) * CHOOSE(CONTROL!$C$15, $D$11, 100%, $F$11)</f>
        <v>9.6481999999999992</v>
      </c>
      <c r="G286" s="8">
        <f>CHOOSE( CONTROL!$C$32, 8.8071, 8.8035) * CHOOSE( CONTROL!$C$15, $D$11, 100%, $F$11)</f>
        <v>8.8071000000000002</v>
      </c>
      <c r="H286" s="4">
        <f>CHOOSE( CONTROL!$C$32, 9.7819, 9.7783) * CHOOSE(CONTROL!$C$15, $D$11, 100%, $F$11)</f>
        <v>9.7819000000000003</v>
      </c>
      <c r="I286" s="8">
        <f>CHOOSE( CONTROL!$C$32, 8.7786, 8.7751) * CHOOSE(CONTROL!$C$15, $D$11, 100%, $F$11)</f>
        <v>8.7786000000000008</v>
      </c>
      <c r="J286" s="4">
        <f>CHOOSE( CONTROL!$C$32, 8.6317, 8.6281) * CHOOSE(CONTROL!$C$15, $D$11, 100%, $F$11)</f>
        <v>8.6317000000000004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9.2878, 9.2841) * CHOOSE(CONTROL!$C$15, $D$11, 100%, $F$11)</f>
        <v>9.2878000000000007</v>
      </c>
      <c r="C287" s="8">
        <f>CHOOSE( CONTROL!$C$32, 9.2957, 9.2921) * CHOOSE(CONTROL!$C$15, $D$11, 100%, $F$11)</f>
        <v>9.2957000000000001</v>
      </c>
      <c r="D287" s="8">
        <f>CHOOSE( CONTROL!$C$32, 9.3339, 9.3303) * CHOOSE( CONTROL!$C$15, $D$11, 100%, $F$11)</f>
        <v>9.3338999999999999</v>
      </c>
      <c r="E287" s="12">
        <f>CHOOSE( CONTROL!$C$32, 9.3189, 9.3152) * CHOOSE( CONTROL!$C$15, $D$11, 100%, $F$11)</f>
        <v>9.3188999999999993</v>
      </c>
      <c r="F287" s="4">
        <f>CHOOSE( CONTROL!$C$32, 10.0308, 10.0271) * CHOOSE(CONTROL!$C$15, $D$11, 100%, $F$11)</f>
        <v>10.030799999999999</v>
      </c>
      <c r="G287" s="8">
        <f>CHOOSE( CONTROL!$C$32, 9.1856, 9.182) * CHOOSE( CONTROL!$C$15, $D$11, 100%, $F$11)</f>
        <v>9.1856000000000009</v>
      </c>
      <c r="H287" s="4">
        <f>CHOOSE( CONTROL!$C$32, 10.1599, 10.1563) * CHOOSE(CONTROL!$C$15, $D$11, 100%, $F$11)</f>
        <v>10.1599</v>
      </c>
      <c r="I287" s="8">
        <f>CHOOSE( CONTROL!$C$32, 9.1512, 9.1476) * CHOOSE(CONTROL!$C$15, $D$11, 100%, $F$11)</f>
        <v>9.1511999999999993</v>
      </c>
      <c r="J287" s="4">
        <f>CHOOSE( CONTROL!$C$32, 9.0029, 8.9994) * CHOOSE(CONTROL!$C$15, $D$11, 100%, $F$11)</f>
        <v>9.0029000000000003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8.572, 8.5683) * CHOOSE(CONTROL!$C$15, $D$11, 100%, $F$11)</f>
        <v>8.5719999999999992</v>
      </c>
      <c r="C288" s="8">
        <f>CHOOSE( CONTROL!$C$32, 8.5799, 8.5763) * CHOOSE(CONTROL!$C$15, $D$11, 100%, $F$11)</f>
        <v>8.5799000000000003</v>
      </c>
      <c r="D288" s="8">
        <f>CHOOSE( CONTROL!$C$32, 8.6182, 8.6145) * CHOOSE( CONTROL!$C$15, $D$11, 100%, $F$11)</f>
        <v>8.6181999999999999</v>
      </c>
      <c r="E288" s="12">
        <f>CHOOSE( CONTROL!$C$32, 8.6031, 8.5994) * CHOOSE( CONTROL!$C$15, $D$11, 100%, $F$11)</f>
        <v>8.6030999999999995</v>
      </c>
      <c r="F288" s="4">
        <f>CHOOSE( CONTROL!$C$32, 9.315, 9.3113) * CHOOSE(CONTROL!$C$15, $D$11, 100%, $F$11)</f>
        <v>9.3149999999999995</v>
      </c>
      <c r="G288" s="8">
        <f>CHOOSE( CONTROL!$C$32, 8.4782, 8.4746) * CHOOSE( CONTROL!$C$15, $D$11, 100%, $F$11)</f>
        <v>8.4781999999999993</v>
      </c>
      <c r="H288" s="4">
        <f>CHOOSE( CONTROL!$C$32, 9.4525, 9.4489) * CHOOSE(CONTROL!$C$15, $D$11, 100%, $F$11)</f>
        <v>9.4525000000000006</v>
      </c>
      <c r="I288" s="8">
        <f>CHOOSE( CONTROL!$C$32, 8.4564, 8.4529) * CHOOSE(CONTROL!$C$15, $D$11, 100%, $F$11)</f>
        <v>8.4564000000000004</v>
      </c>
      <c r="J288" s="4">
        <f>CHOOSE( CONTROL!$C$32, 8.3083, 8.3047) * CHOOSE(CONTROL!$C$15, $D$11, 100%, $F$11)</f>
        <v>8.3082999999999991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8.3927, 8.3891) * CHOOSE(CONTROL!$C$15, $D$11, 100%, $F$11)</f>
        <v>8.3926999999999996</v>
      </c>
      <c r="C289" s="8">
        <f>CHOOSE( CONTROL!$C$32, 8.4007, 8.397) * CHOOSE(CONTROL!$C$15, $D$11, 100%, $F$11)</f>
        <v>8.4007000000000005</v>
      </c>
      <c r="D289" s="8">
        <f>CHOOSE( CONTROL!$C$32, 8.4389, 8.4352) * CHOOSE( CONTROL!$C$15, $D$11, 100%, $F$11)</f>
        <v>8.4389000000000003</v>
      </c>
      <c r="E289" s="12">
        <f>CHOOSE( CONTROL!$C$32, 8.4238, 8.4202) * CHOOSE( CONTROL!$C$15, $D$11, 100%, $F$11)</f>
        <v>8.4238</v>
      </c>
      <c r="F289" s="4">
        <f>CHOOSE( CONTROL!$C$32, 9.1357, 9.1321) * CHOOSE(CONTROL!$C$15, $D$11, 100%, $F$11)</f>
        <v>9.1356999999999999</v>
      </c>
      <c r="G289" s="8">
        <f>CHOOSE( CONTROL!$C$32, 8.301, 8.2974) * CHOOSE( CONTROL!$C$15, $D$11, 100%, $F$11)</f>
        <v>8.3010000000000002</v>
      </c>
      <c r="H289" s="4">
        <f>CHOOSE( CONTROL!$C$32, 9.2754, 9.2718) * CHOOSE(CONTROL!$C$15, $D$11, 100%, $F$11)</f>
        <v>9.2753999999999994</v>
      </c>
      <c r="I289" s="8">
        <f>CHOOSE( CONTROL!$C$32, 8.282, 8.2785) * CHOOSE(CONTROL!$C$15, $D$11, 100%, $F$11)</f>
        <v>8.282</v>
      </c>
      <c r="J289" s="4">
        <f>CHOOSE( CONTROL!$C$32, 8.1343, 8.1308) * CHOOSE(CONTROL!$C$15, $D$11, 100%, $F$11)</f>
        <v>8.1342999999999996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8.7595 * CHOOSE(CONTROL!$C$15, $D$11, 100%, $F$11)</f>
        <v>8.7594999999999992</v>
      </c>
      <c r="C290" s="8">
        <f>8.7648 * CHOOSE(CONTROL!$C$15, $D$11, 100%, $F$11)</f>
        <v>8.7647999999999993</v>
      </c>
      <c r="D290" s="8">
        <f>8.8084 * CHOOSE( CONTROL!$C$15, $D$11, 100%, $F$11)</f>
        <v>8.8084000000000007</v>
      </c>
      <c r="E290" s="12">
        <f>8.7934 * CHOOSE( CONTROL!$C$15, $D$11, 100%, $F$11)</f>
        <v>8.7934000000000001</v>
      </c>
      <c r="F290" s="4">
        <f>9.5042 * CHOOSE(CONTROL!$C$15, $D$11, 100%, $F$11)</f>
        <v>9.5042000000000009</v>
      </c>
      <c r="G290" s="8">
        <f>8.6647 * CHOOSE( CONTROL!$C$15, $D$11, 100%, $F$11)</f>
        <v>8.6646999999999998</v>
      </c>
      <c r="H290" s="4">
        <f>9.6396 * CHOOSE(CONTROL!$C$15, $D$11, 100%, $F$11)</f>
        <v>9.6395999999999997</v>
      </c>
      <c r="I290" s="8">
        <f>8.6406 * CHOOSE(CONTROL!$C$15, $D$11, 100%, $F$11)</f>
        <v>8.6405999999999992</v>
      </c>
      <c r="J290" s="4">
        <f>8.492 * CHOOSE(CONTROL!$C$15, $D$11, 100%, $F$11)</f>
        <v>8.4920000000000009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9.4461 * CHOOSE(CONTROL!$C$15, $D$11, 100%, $F$11)</f>
        <v>9.4460999999999995</v>
      </c>
      <c r="C291" s="8">
        <f>9.4511 * CHOOSE(CONTROL!$C$15, $D$11, 100%, $F$11)</f>
        <v>9.4511000000000003</v>
      </c>
      <c r="D291" s="8">
        <f>9.4348 * CHOOSE( CONTROL!$C$15, $D$11, 100%, $F$11)</f>
        <v>9.4347999999999992</v>
      </c>
      <c r="E291" s="12">
        <f>9.4402 * CHOOSE( CONTROL!$C$15, $D$11, 100%, $F$11)</f>
        <v>9.4402000000000008</v>
      </c>
      <c r="F291" s="4">
        <f>10.1114 * CHOOSE(CONTROL!$C$15, $D$11, 100%, $F$11)</f>
        <v>10.1114</v>
      </c>
      <c r="G291" s="8">
        <f>9.3442 * CHOOSE( CONTROL!$C$15, $D$11, 100%, $F$11)</f>
        <v>9.3442000000000007</v>
      </c>
      <c r="H291" s="4">
        <f>10.2396 * CHOOSE(CONTROL!$C$15, $D$11, 100%, $F$11)</f>
        <v>10.239599999999999</v>
      </c>
      <c r="I291" s="8">
        <f>9.3077 * CHOOSE(CONTROL!$C$15, $D$11, 100%, $F$11)</f>
        <v>9.3077000000000005</v>
      </c>
      <c r="J291" s="4">
        <f>9.1587 * CHOOSE(CONTROL!$C$15, $D$11, 100%, $F$11)</f>
        <v>9.1586999999999996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9.4289 * CHOOSE(CONTROL!$C$15, $D$11, 100%, $F$11)</f>
        <v>9.4289000000000005</v>
      </c>
      <c r="C292" s="8">
        <f>9.434 * CHOOSE(CONTROL!$C$15, $D$11, 100%, $F$11)</f>
        <v>9.4339999999999993</v>
      </c>
      <c r="D292" s="8">
        <f>9.4194 * CHOOSE( CONTROL!$C$15, $D$11, 100%, $F$11)</f>
        <v>9.4193999999999996</v>
      </c>
      <c r="E292" s="12">
        <f>9.4242 * CHOOSE( CONTROL!$C$15, $D$11, 100%, $F$11)</f>
        <v>9.4242000000000008</v>
      </c>
      <c r="F292" s="4">
        <f>10.0942 * CHOOSE(CONTROL!$C$15, $D$11, 100%, $F$11)</f>
        <v>10.094200000000001</v>
      </c>
      <c r="G292" s="8">
        <f>9.3285 * CHOOSE( CONTROL!$C$15, $D$11, 100%, $F$11)</f>
        <v>9.3285</v>
      </c>
      <c r="H292" s="4">
        <f>10.2226 * CHOOSE(CONTROL!$C$15, $D$11, 100%, $F$11)</f>
        <v>10.2226</v>
      </c>
      <c r="I292" s="8">
        <f>9.2965 * CHOOSE(CONTROL!$C$15, $D$11, 100%, $F$11)</f>
        <v>9.2965</v>
      </c>
      <c r="J292" s="4">
        <f>9.142 * CHOOSE(CONTROL!$C$15, $D$11, 100%, $F$11)</f>
        <v>9.1419999999999995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9.7068 * CHOOSE(CONTROL!$C$15, $D$11, 100%, $F$11)</f>
        <v>9.7067999999999994</v>
      </c>
      <c r="C293" s="8">
        <f>9.7118 * CHOOSE(CONTROL!$C$15, $D$11, 100%, $F$11)</f>
        <v>9.7118000000000002</v>
      </c>
      <c r="D293" s="8">
        <f>9.683 * CHOOSE( CONTROL!$C$15, $D$11, 100%, $F$11)</f>
        <v>9.6829999999999998</v>
      </c>
      <c r="E293" s="12">
        <f>9.693 * CHOOSE( CONTROL!$C$15, $D$11, 100%, $F$11)</f>
        <v>9.6929999999999996</v>
      </c>
      <c r="F293" s="4">
        <f>10.372 * CHOOSE(CONTROL!$C$15, $D$11, 100%, $F$11)</f>
        <v>10.372</v>
      </c>
      <c r="G293" s="8">
        <f>9.5928 * CHOOSE( CONTROL!$C$15, $D$11, 100%, $F$11)</f>
        <v>9.5928000000000004</v>
      </c>
      <c r="H293" s="4">
        <f>10.4972 * CHOOSE(CONTROL!$C$15, $D$11, 100%, $F$11)</f>
        <v>10.497199999999999</v>
      </c>
      <c r="I293" s="8">
        <f>9.5609 * CHOOSE(CONTROL!$C$15, $D$11, 100%, $F$11)</f>
        <v>9.5609000000000002</v>
      </c>
      <c r="J293" s="4">
        <f>9.4117 * CHOOSE(CONTROL!$C$15, $D$11, 100%, $F$11)</f>
        <v>9.4116999999999997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9.0798 * CHOOSE(CONTROL!$C$15, $D$11, 100%, $F$11)</f>
        <v>9.0798000000000005</v>
      </c>
      <c r="C294" s="8">
        <f>9.0849 * CHOOSE(CONTROL!$C$15, $D$11, 100%, $F$11)</f>
        <v>9.0848999999999993</v>
      </c>
      <c r="D294" s="8">
        <f>9.056 * CHOOSE( CONTROL!$C$15, $D$11, 100%, $F$11)</f>
        <v>9.0559999999999992</v>
      </c>
      <c r="E294" s="12">
        <f>9.066 * CHOOSE( CONTROL!$C$15, $D$11, 100%, $F$11)</f>
        <v>9.0660000000000007</v>
      </c>
      <c r="F294" s="4">
        <f>9.7451 * CHOOSE(CONTROL!$C$15, $D$11, 100%, $F$11)</f>
        <v>9.7451000000000008</v>
      </c>
      <c r="G294" s="8">
        <f>8.9732 * CHOOSE( CONTROL!$C$15, $D$11, 100%, $F$11)</f>
        <v>8.9732000000000003</v>
      </c>
      <c r="H294" s="4">
        <f>9.8776 * CHOOSE(CONTROL!$C$15, $D$11, 100%, $F$11)</f>
        <v>9.8775999999999993</v>
      </c>
      <c r="I294" s="8">
        <f>8.9521 * CHOOSE(CONTROL!$C$15, $D$11, 100%, $F$11)</f>
        <v>8.9520999999999997</v>
      </c>
      <c r="J294" s="4">
        <f>8.8032 * CHOOSE(CONTROL!$C$15, $D$11, 100%, $F$11)</f>
        <v>8.8032000000000004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8.8867 * CHOOSE(CONTROL!$C$15, $D$11, 100%, $F$11)</f>
        <v>8.8866999999999994</v>
      </c>
      <c r="C295" s="8">
        <f>8.8918 * CHOOSE(CONTROL!$C$15, $D$11, 100%, $F$11)</f>
        <v>8.8917999999999999</v>
      </c>
      <c r="D295" s="8">
        <f>8.8625 * CHOOSE( CONTROL!$C$15, $D$11, 100%, $F$11)</f>
        <v>8.8625000000000007</v>
      </c>
      <c r="E295" s="12">
        <f>8.8727 * CHOOSE( CONTROL!$C$15, $D$11, 100%, $F$11)</f>
        <v>8.8727</v>
      </c>
      <c r="F295" s="4">
        <f>9.552 * CHOOSE(CONTROL!$C$15, $D$11, 100%, $F$11)</f>
        <v>9.5519999999999996</v>
      </c>
      <c r="G295" s="8">
        <f>8.7821 * CHOOSE( CONTROL!$C$15, $D$11, 100%, $F$11)</f>
        <v>8.7820999999999998</v>
      </c>
      <c r="H295" s="4">
        <f>9.6868 * CHOOSE(CONTROL!$C$15, $D$11, 100%, $F$11)</f>
        <v>9.6867999999999999</v>
      </c>
      <c r="I295" s="8">
        <f>8.7633 * CHOOSE(CONTROL!$C$15, $D$11, 100%, $F$11)</f>
        <v>8.7632999999999992</v>
      </c>
      <c r="J295" s="4">
        <f>8.6158 * CHOOSE(CONTROL!$C$15, $D$11, 100%, $F$11)</f>
        <v>8.6158000000000001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9.0224 * CHOOSE(CONTROL!$C$15, $D$11, 100%, $F$11)</f>
        <v>9.0223999999999993</v>
      </c>
      <c r="C296" s="8">
        <f>9.0269 * CHOOSE(CONTROL!$C$15, $D$11, 100%, $F$11)</f>
        <v>9.0268999999999995</v>
      </c>
      <c r="D296" s="8">
        <f>9.0703 * CHOOSE( CONTROL!$C$15, $D$11, 100%, $F$11)</f>
        <v>9.0702999999999996</v>
      </c>
      <c r="E296" s="12">
        <f>9.0555 * CHOOSE( CONTROL!$C$15, $D$11, 100%, $F$11)</f>
        <v>9.0555000000000003</v>
      </c>
      <c r="F296" s="4">
        <f>9.7668 * CHOOSE(CONTROL!$C$15, $D$11, 100%, $F$11)</f>
        <v>9.7667999999999999</v>
      </c>
      <c r="G296" s="8">
        <f>8.9232 * CHOOSE( CONTROL!$C$15, $D$11, 100%, $F$11)</f>
        <v>8.9231999999999996</v>
      </c>
      <c r="H296" s="4">
        <f>9.8991 * CHOOSE(CONTROL!$C$15, $D$11, 100%, $F$11)</f>
        <v>9.8991000000000007</v>
      </c>
      <c r="I296" s="8">
        <f>8.8926 * CHOOSE(CONTROL!$C$15, $D$11, 100%, $F$11)</f>
        <v>8.8925999999999998</v>
      </c>
      <c r="J296" s="4">
        <f>8.7468 * CHOOSE(CONTROL!$C$15, $D$11, 100%, $F$11)</f>
        <v>8.7468000000000004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9.2676, 9.2639) * CHOOSE(CONTROL!$C$15, $D$11, 100%, $F$11)</f>
        <v>9.2675999999999998</v>
      </c>
      <c r="C297" s="8">
        <f>CHOOSE( CONTROL!$C$32, 9.2756, 9.2719) * CHOOSE(CONTROL!$C$15, $D$11, 100%, $F$11)</f>
        <v>9.2756000000000007</v>
      </c>
      <c r="D297" s="8">
        <f>CHOOSE( CONTROL!$C$32, 9.3133, 9.3096) * CHOOSE( CONTROL!$C$15, $D$11, 100%, $F$11)</f>
        <v>9.3132999999999999</v>
      </c>
      <c r="E297" s="12">
        <f>CHOOSE( CONTROL!$C$32, 9.2984, 9.2947) * CHOOSE( CONTROL!$C$15, $D$11, 100%, $F$11)</f>
        <v>9.2984000000000009</v>
      </c>
      <c r="F297" s="4">
        <f>CHOOSE( CONTROL!$C$32, 10.0106, 10.0069) * CHOOSE(CONTROL!$C$15, $D$11, 100%, $F$11)</f>
        <v>10.0106</v>
      </c>
      <c r="G297" s="8">
        <f>CHOOSE( CONTROL!$C$32, 9.1649, 9.1613) * CHOOSE( CONTROL!$C$15, $D$11, 100%, $F$11)</f>
        <v>9.1648999999999994</v>
      </c>
      <c r="H297" s="4">
        <f>CHOOSE( CONTROL!$C$32, 10.14, 10.1364) * CHOOSE(CONTROL!$C$15, $D$11, 100%, $F$11)</f>
        <v>10.14</v>
      </c>
      <c r="I297" s="8">
        <f>CHOOSE( CONTROL!$C$32, 9.1294, 9.1259) * CHOOSE(CONTROL!$C$15, $D$11, 100%, $F$11)</f>
        <v>9.1294000000000004</v>
      </c>
      <c r="J297" s="4">
        <f>CHOOSE( CONTROL!$C$32, 8.9834, 8.9798) * CHOOSE(CONTROL!$C$15, $D$11, 100%, $F$11)</f>
        <v>8.9833999999999996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9.1188, 9.1152) * CHOOSE(CONTROL!$C$15, $D$11, 100%, $F$11)</f>
        <v>9.1188000000000002</v>
      </c>
      <c r="C298" s="8">
        <f>CHOOSE( CONTROL!$C$32, 9.1268, 9.1231) * CHOOSE(CONTROL!$C$15, $D$11, 100%, $F$11)</f>
        <v>9.1267999999999994</v>
      </c>
      <c r="D298" s="8">
        <f>CHOOSE( CONTROL!$C$32, 9.1647, 9.1611) * CHOOSE( CONTROL!$C$15, $D$11, 100%, $F$11)</f>
        <v>9.1646999999999998</v>
      </c>
      <c r="E298" s="12">
        <f>CHOOSE( CONTROL!$C$32, 9.1497, 9.1461) * CHOOSE( CONTROL!$C$15, $D$11, 100%, $F$11)</f>
        <v>9.1496999999999993</v>
      </c>
      <c r="F298" s="4">
        <f>CHOOSE( CONTROL!$C$32, 9.8618, 9.8582) * CHOOSE(CONTROL!$C$15, $D$11, 100%, $F$11)</f>
        <v>9.8618000000000006</v>
      </c>
      <c r="G298" s="8">
        <f>CHOOSE( CONTROL!$C$32, 9.0183, 9.0147) * CHOOSE( CONTROL!$C$15, $D$11, 100%, $F$11)</f>
        <v>9.0183</v>
      </c>
      <c r="H298" s="4">
        <f>CHOOSE( CONTROL!$C$32, 9.993, 9.9894) * CHOOSE(CONTROL!$C$15, $D$11, 100%, $F$11)</f>
        <v>9.9930000000000003</v>
      </c>
      <c r="I298" s="8">
        <f>CHOOSE( CONTROL!$C$32, 8.986, 8.9825) * CHOOSE(CONTROL!$C$15, $D$11, 100%, $F$11)</f>
        <v>8.9860000000000007</v>
      </c>
      <c r="J298" s="4">
        <f>CHOOSE( CONTROL!$C$32, 8.839, 8.8355) * CHOOSE(CONTROL!$C$15, $D$11, 100%, $F$11)</f>
        <v>8.8390000000000004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9.5106, 9.5069) * CHOOSE(CONTROL!$C$15, $D$11, 100%, $F$11)</f>
        <v>9.5106000000000002</v>
      </c>
      <c r="C299" s="8">
        <f>CHOOSE( CONTROL!$C$32, 9.5185, 9.5149) * CHOOSE(CONTROL!$C$15, $D$11, 100%, $F$11)</f>
        <v>9.5184999999999995</v>
      </c>
      <c r="D299" s="8">
        <f>CHOOSE( CONTROL!$C$32, 9.5567, 9.5531) * CHOOSE( CONTROL!$C$15, $D$11, 100%, $F$11)</f>
        <v>9.5566999999999993</v>
      </c>
      <c r="E299" s="12">
        <f>CHOOSE( CONTROL!$C$32, 9.5417, 9.538) * CHOOSE( CONTROL!$C$15, $D$11, 100%, $F$11)</f>
        <v>9.5417000000000005</v>
      </c>
      <c r="F299" s="4">
        <f>CHOOSE( CONTROL!$C$32, 10.2536, 10.2499) * CHOOSE(CONTROL!$C$15, $D$11, 100%, $F$11)</f>
        <v>10.2536</v>
      </c>
      <c r="G299" s="8">
        <f>CHOOSE( CONTROL!$C$32, 9.4058, 9.4022) * CHOOSE( CONTROL!$C$15, $D$11, 100%, $F$11)</f>
        <v>9.4057999999999993</v>
      </c>
      <c r="H299" s="4">
        <f>CHOOSE( CONTROL!$C$32, 10.3801, 10.3765) * CHOOSE(CONTROL!$C$15, $D$11, 100%, $F$11)</f>
        <v>10.380100000000001</v>
      </c>
      <c r="I299" s="8">
        <f>CHOOSE( CONTROL!$C$32, 9.3675, 9.364) * CHOOSE(CONTROL!$C$15, $D$11, 100%, $F$11)</f>
        <v>9.3674999999999997</v>
      </c>
      <c r="J299" s="4">
        <f>CHOOSE( CONTROL!$C$32, 9.2192, 9.2156) * CHOOSE(CONTROL!$C$15, $D$11, 100%, $F$11)</f>
        <v>9.2192000000000007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8.7776, 8.7739) * CHOOSE(CONTROL!$C$15, $D$11, 100%, $F$11)</f>
        <v>8.7775999999999996</v>
      </c>
      <c r="C300" s="8">
        <f>CHOOSE( CONTROL!$C$32, 8.7855, 8.7819) * CHOOSE(CONTROL!$C$15, $D$11, 100%, $F$11)</f>
        <v>8.7855000000000008</v>
      </c>
      <c r="D300" s="8">
        <f>CHOOSE( CONTROL!$C$32, 8.8238, 8.8202) * CHOOSE( CONTROL!$C$15, $D$11, 100%, $F$11)</f>
        <v>8.8238000000000003</v>
      </c>
      <c r="E300" s="12">
        <f>CHOOSE( CONTROL!$C$32, 8.8087, 8.8051) * CHOOSE( CONTROL!$C$15, $D$11, 100%, $F$11)</f>
        <v>8.8087</v>
      </c>
      <c r="F300" s="4">
        <f>CHOOSE( CONTROL!$C$32, 9.5206, 9.5169) * CHOOSE(CONTROL!$C$15, $D$11, 100%, $F$11)</f>
        <v>9.5206</v>
      </c>
      <c r="G300" s="8">
        <f>CHOOSE( CONTROL!$C$32, 8.6814, 8.6778) * CHOOSE( CONTROL!$C$15, $D$11, 100%, $F$11)</f>
        <v>8.6814</v>
      </c>
      <c r="H300" s="4">
        <f>CHOOSE( CONTROL!$C$32, 9.6557, 9.6521) * CHOOSE(CONTROL!$C$15, $D$11, 100%, $F$11)</f>
        <v>9.6556999999999995</v>
      </c>
      <c r="I300" s="8">
        <f>CHOOSE( CONTROL!$C$32, 8.6561, 8.6525) * CHOOSE(CONTROL!$C$15, $D$11, 100%, $F$11)</f>
        <v>8.6561000000000003</v>
      </c>
      <c r="J300" s="4">
        <f>CHOOSE( CONTROL!$C$32, 8.5078, 8.5043) * CHOOSE(CONTROL!$C$15, $D$11, 100%, $F$11)</f>
        <v>8.5077999999999996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8.594, 8.5904) * CHOOSE(CONTROL!$C$15, $D$11, 100%, $F$11)</f>
        <v>8.5939999999999994</v>
      </c>
      <c r="C301" s="8">
        <f>CHOOSE( CONTROL!$C$32, 8.602, 8.5983) * CHOOSE(CONTROL!$C$15, $D$11, 100%, $F$11)</f>
        <v>8.6020000000000003</v>
      </c>
      <c r="D301" s="8">
        <f>CHOOSE( CONTROL!$C$32, 8.6402, 8.6365) * CHOOSE( CONTROL!$C$15, $D$11, 100%, $F$11)</f>
        <v>8.6402000000000001</v>
      </c>
      <c r="E301" s="12">
        <f>CHOOSE( CONTROL!$C$32, 8.6251, 8.6215) * CHOOSE( CONTROL!$C$15, $D$11, 100%, $F$11)</f>
        <v>8.6250999999999998</v>
      </c>
      <c r="F301" s="4">
        <f>CHOOSE( CONTROL!$C$32, 9.337, 9.3334) * CHOOSE(CONTROL!$C$15, $D$11, 100%, $F$11)</f>
        <v>9.3369999999999997</v>
      </c>
      <c r="G301" s="8">
        <f>CHOOSE( CONTROL!$C$32, 8.4999, 8.4963) * CHOOSE( CONTROL!$C$15, $D$11, 100%, $F$11)</f>
        <v>8.4999000000000002</v>
      </c>
      <c r="H301" s="4">
        <f>CHOOSE( CONTROL!$C$32, 9.4743, 9.4707) * CHOOSE(CONTROL!$C$15, $D$11, 100%, $F$11)</f>
        <v>9.4742999999999995</v>
      </c>
      <c r="I301" s="8">
        <f>CHOOSE( CONTROL!$C$32, 8.4775, 8.4739) * CHOOSE(CONTROL!$C$15, $D$11, 100%, $F$11)</f>
        <v>8.4774999999999991</v>
      </c>
      <c r="J301" s="4">
        <f>CHOOSE( CONTROL!$C$32, 8.3297, 8.3261) * CHOOSE(CONTROL!$C$15, $D$11, 100%, $F$11)</f>
        <v>8.3297000000000008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8.9698 * CHOOSE(CONTROL!$C$15, $D$11, 100%, $F$11)</f>
        <v>8.9697999999999993</v>
      </c>
      <c r="C302" s="8">
        <f>8.9751 * CHOOSE(CONTROL!$C$15, $D$11, 100%, $F$11)</f>
        <v>8.9750999999999994</v>
      </c>
      <c r="D302" s="8">
        <f>9.0186 * CHOOSE( CONTROL!$C$15, $D$11, 100%, $F$11)</f>
        <v>9.0185999999999993</v>
      </c>
      <c r="E302" s="12">
        <f>9.0037 * CHOOSE( CONTROL!$C$15, $D$11, 100%, $F$11)</f>
        <v>9.0037000000000003</v>
      </c>
      <c r="F302" s="4">
        <f>9.7145 * CHOOSE(CONTROL!$C$15, $D$11, 100%, $F$11)</f>
        <v>9.7144999999999992</v>
      </c>
      <c r="G302" s="8">
        <f>8.8725 * CHOOSE( CONTROL!$C$15, $D$11, 100%, $F$11)</f>
        <v>8.8725000000000005</v>
      </c>
      <c r="H302" s="4">
        <f>9.8474 * CHOOSE(CONTROL!$C$15, $D$11, 100%, $F$11)</f>
        <v>9.8474000000000004</v>
      </c>
      <c r="I302" s="8">
        <f>8.8447 * CHOOSE(CONTROL!$C$15, $D$11, 100%, $F$11)</f>
        <v>8.8446999999999996</v>
      </c>
      <c r="J302" s="4">
        <f>8.696 * CHOOSE(CONTROL!$C$15, $D$11, 100%, $F$11)</f>
        <v>8.6959999999999997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9.6728 * CHOOSE(CONTROL!$C$15, $D$11, 100%, $F$11)</f>
        <v>9.6728000000000005</v>
      </c>
      <c r="C303" s="8">
        <f>9.6779 * CHOOSE(CONTROL!$C$15, $D$11, 100%, $F$11)</f>
        <v>9.6778999999999993</v>
      </c>
      <c r="D303" s="8">
        <f>9.6615 * CHOOSE( CONTROL!$C$15, $D$11, 100%, $F$11)</f>
        <v>9.6615000000000002</v>
      </c>
      <c r="E303" s="12">
        <f>9.667 * CHOOSE( CONTROL!$C$15, $D$11, 100%, $F$11)</f>
        <v>9.6669999999999998</v>
      </c>
      <c r="F303" s="4">
        <f>10.3381 * CHOOSE(CONTROL!$C$15, $D$11, 100%, $F$11)</f>
        <v>10.338100000000001</v>
      </c>
      <c r="G303" s="8">
        <f>9.5683 * CHOOSE( CONTROL!$C$15, $D$11, 100%, $F$11)</f>
        <v>9.5683000000000007</v>
      </c>
      <c r="H303" s="4">
        <f>10.4637 * CHOOSE(CONTROL!$C$15, $D$11, 100%, $F$11)</f>
        <v>10.463699999999999</v>
      </c>
      <c r="I303" s="8">
        <f>9.5279 * CHOOSE(CONTROL!$C$15, $D$11, 100%, $F$11)</f>
        <v>9.5279000000000007</v>
      </c>
      <c r="J303" s="4">
        <f>9.3787 * CHOOSE(CONTROL!$C$15, $D$11, 100%, $F$11)</f>
        <v>9.3787000000000003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9.6552 * CHOOSE(CONTROL!$C$15, $D$11, 100%, $F$11)</f>
        <v>9.6552000000000007</v>
      </c>
      <c r="C304" s="8">
        <f>9.6603 * CHOOSE(CONTROL!$C$15, $D$11, 100%, $F$11)</f>
        <v>9.6602999999999994</v>
      </c>
      <c r="D304" s="8">
        <f>9.6457 * CHOOSE( CONTROL!$C$15, $D$11, 100%, $F$11)</f>
        <v>9.6456999999999997</v>
      </c>
      <c r="E304" s="12">
        <f>9.6505 * CHOOSE( CONTROL!$C$15, $D$11, 100%, $F$11)</f>
        <v>9.6504999999999992</v>
      </c>
      <c r="F304" s="4">
        <f>10.3205 * CHOOSE(CONTROL!$C$15, $D$11, 100%, $F$11)</f>
        <v>10.320499999999999</v>
      </c>
      <c r="G304" s="8">
        <f>9.5522 * CHOOSE( CONTROL!$C$15, $D$11, 100%, $F$11)</f>
        <v>9.5521999999999991</v>
      </c>
      <c r="H304" s="4">
        <f>10.4463 * CHOOSE(CONTROL!$C$15, $D$11, 100%, $F$11)</f>
        <v>10.446300000000001</v>
      </c>
      <c r="I304" s="8">
        <f>9.5162 * CHOOSE(CONTROL!$C$15, $D$11, 100%, $F$11)</f>
        <v>9.5161999999999995</v>
      </c>
      <c r="J304" s="4">
        <f>9.3617 * CHOOSE(CONTROL!$C$15, $D$11, 100%, $F$11)</f>
        <v>9.3617000000000008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9.9398 * CHOOSE(CONTROL!$C$15, $D$11, 100%, $F$11)</f>
        <v>9.9398</v>
      </c>
      <c r="C305" s="8">
        <f>9.9449 * CHOOSE(CONTROL!$C$15, $D$11, 100%, $F$11)</f>
        <v>9.9449000000000005</v>
      </c>
      <c r="D305" s="8">
        <f>9.916 * CHOOSE( CONTROL!$C$15, $D$11, 100%, $F$11)</f>
        <v>9.9160000000000004</v>
      </c>
      <c r="E305" s="12">
        <f>9.926 * CHOOSE( CONTROL!$C$15, $D$11, 100%, $F$11)</f>
        <v>9.9260000000000002</v>
      </c>
      <c r="F305" s="4">
        <f>10.6051 * CHOOSE(CONTROL!$C$15, $D$11, 100%, $F$11)</f>
        <v>10.6051</v>
      </c>
      <c r="G305" s="8">
        <f>9.8231 * CHOOSE( CONTROL!$C$15, $D$11, 100%, $F$11)</f>
        <v>9.8231000000000002</v>
      </c>
      <c r="H305" s="4">
        <f>10.7275 * CHOOSE(CONTROL!$C$15, $D$11, 100%, $F$11)</f>
        <v>10.727499999999999</v>
      </c>
      <c r="I305" s="8">
        <f>9.7871 * CHOOSE(CONTROL!$C$15, $D$11, 100%, $F$11)</f>
        <v>9.7871000000000006</v>
      </c>
      <c r="J305" s="4">
        <f>9.6378 * CHOOSE(CONTROL!$C$15, $D$11, 100%, $F$11)</f>
        <v>9.6378000000000004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9.2978 * CHOOSE(CONTROL!$C$15, $D$11, 100%, $F$11)</f>
        <v>9.2978000000000005</v>
      </c>
      <c r="C306" s="8">
        <f>9.3028 * CHOOSE(CONTROL!$C$15, $D$11, 100%, $F$11)</f>
        <v>9.3027999999999995</v>
      </c>
      <c r="D306" s="8">
        <f>9.274 * CHOOSE( CONTROL!$C$15, $D$11, 100%, $F$11)</f>
        <v>9.2739999999999991</v>
      </c>
      <c r="E306" s="12">
        <f>9.284 * CHOOSE( CONTROL!$C$15, $D$11, 100%, $F$11)</f>
        <v>9.2840000000000007</v>
      </c>
      <c r="F306" s="4">
        <f>9.963 * CHOOSE(CONTROL!$C$15, $D$11, 100%, $F$11)</f>
        <v>9.9629999999999992</v>
      </c>
      <c r="G306" s="8">
        <f>9.1886 * CHOOSE( CONTROL!$C$15, $D$11, 100%, $F$11)</f>
        <v>9.1885999999999992</v>
      </c>
      <c r="H306" s="4">
        <f>10.093 * CHOOSE(CONTROL!$C$15, $D$11, 100%, $F$11)</f>
        <v>10.093</v>
      </c>
      <c r="I306" s="8">
        <f>9.1637 * CHOOSE(CONTROL!$C$15, $D$11, 100%, $F$11)</f>
        <v>9.1637000000000004</v>
      </c>
      <c r="J306" s="4">
        <f>9.0147 * CHOOSE(CONTROL!$C$15, $D$11, 100%, $F$11)</f>
        <v>9.0146999999999995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9.1 * CHOOSE(CONTROL!$C$15, $D$11, 100%, $F$11)</f>
        <v>9.1</v>
      </c>
      <c r="C307" s="8">
        <f>9.1051 * CHOOSE(CONTROL!$C$15, $D$11, 100%, $F$11)</f>
        <v>9.1051000000000002</v>
      </c>
      <c r="D307" s="8">
        <f>9.0758 * CHOOSE( CONTROL!$C$15, $D$11, 100%, $F$11)</f>
        <v>9.0757999999999992</v>
      </c>
      <c r="E307" s="12">
        <f>9.086 * CHOOSE( CONTROL!$C$15, $D$11, 100%, $F$11)</f>
        <v>9.0860000000000003</v>
      </c>
      <c r="F307" s="4">
        <f>9.7653 * CHOOSE(CONTROL!$C$15, $D$11, 100%, $F$11)</f>
        <v>9.7652999999999999</v>
      </c>
      <c r="G307" s="8">
        <f>8.9929 * CHOOSE( CONTROL!$C$15, $D$11, 100%, $F$11)</f>
        <v>8.9929000000000006</v>
      </c>
      <c r="H307" s="4">
        <f>9.8976 * CHOOSE(CONTROL!$C$15, $D$11, 100%, $F$11)</f>
        <v>9.8976000000000006</v>
      </c>
      <c r="I307" s="8">
        <f>8.9705 * CHOOSE(CONTROL!$C$15, $D$11, 100%, $F$11)</f>
        <v>8.9704999999999995</v>
      </c>
      <c r="J307" s="4">
        <f>8.8228 * CHOOSE(CONTROL!$C$15, $D$11, 100%, $F$11)</f>
        <v>8.8228000000000009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9.239 * CHOOSE(CONTROL!$C$15, $D$11, 100%, $F$11)</f>
        <v>9.2390000000000008</v>
      </c>
      <c r="C308" s="8">
        <f>9.2435 * CHOOSE(CONTROL!$C$15, $D$11, 100%, $F$11)</f>
        <v>9.2434999999999992</v>
      </c>
      <c r="D308" s="8">
        <f>9.2869 * CHOOSE( CONTROL!$C$15, $D$11, 100%, $F$11)</f>
        <v>9.2868999999999993</v>
      </c>
      <c r="E308" s="12">
        <f>9.2721 * CHOOSE( CONTROL!$C$15, $D$11, 100%, $F$11)</f>
        <v>9.2721</v>
      </c>
      <c r="F308" s="4">
        <f>9.9833 * CHOOSE(CONTROL!$C$15, $D$11, 100%, $F$11)</f>
        <v>9.9832999999999998</v>
      </c>
      <c r="G308" s="8">
        <f>9.1372 * CHOOSE( CONTROL!$C$15, $D$11, 100%, $F$11)</f>
        <v>9.1372</v>
      </c>
      <c r="H308" s="4">
        <f>10.1131 * CHOOSE(CONTROL!$C$15, $D$11, 100%, $F$11)</f>
        <v>10.113099999999999</v>
      </c>
      <c r="I308" s="8">
        <f>9.1028 * CHOOSE(CONTROL!$C$15, $D$11, 100%, $F$11)</f>
        <v>9.1028000000000002</v>
      </c>
      <c r="J308" s="4">
        <f>8.9569 * CHOOSE(CONTROL!$C$15, $D$11, 100%, $F$11)</f>
        <v>8.9568999999999992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9.4899, 9.4863) * CHOOSE(CONTROL!$C$15, $D$11, 100%, $F$11)</f>
        <v>9.4899000000000004</v>
      </c>
      <c r="C309" s="8">
        <f>CHOOSE( CONTROL!$C$32, 9.4979, 9.4942) * CHOOSE(CONTROL!$C$15, $D$11, 100%, $F$11)</f>
        <v>9.4978999999999996</v>
      </c>
      <c r="D309" s="8">
        <f>CHOOSE( CONTROL!$C$32, 9.5356, 9.532) * CHOOSE( CONTROL!$C$15, $D$11, 100%, $F$11)</f>
        <v>9.5356000000000005</v>
      </c>
      <c r="E309" s="12">
        <f>CHOOSE( CONTROL!$C$32, 9.5207, 9.5171) * CHOOSE( CONTROL!$C$15, $D$11, 100%, $F$11)</f>
        <v>9.5206999999999997</v>
      </c>
      <c r="F309" s="4">
        <f>CHOOSE( CONTROL!$C$32, 10.2329, 10.2293) * CHOOSE(CONTROL!$C$15, $D$11, 100%, $F$11)</f>
        <v>10.232900000000001</v>
      </c>
      <c r="G309" s="8">
        <f>CHOOSE( CONTROL!$C$32, 9.3847, 9.3811) * CHOOSE( CONTROL!$C$15, $D$11, 100%, $F$11)</f>
        <v>9.3847000000000005</v>
      </c>
      <c r="H309" s="4">
        <f>CHOOSE( CONTROL!$C$32, 10.3597, 10.3561) * CHOOSE(CONTROL!$C$15, $D$11, 100%, $F$11)</f>
        <v>10.3597</v>
      </c>
      <c r="I309" s="8">
        <f>CHOOSE( CONTROL!$C$32, 9.3453, 9.3417) * CHOOSE(CONTROL!$C$15, $D$11, 100%, $F$11)</f>
        <v>9.3452999999999999</v>
      </c>
      <c r="J309" s="4">
        <f>CHOOSE( CONTROL!$C$32, 9.1991, 9.1956) * CHOOSE(CONTROL!$C$15, $D$11, 100%, $F$11)</f>
        <v>9.1990999999999996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9.3376, 9.3339) * CHOOSE(CONTROL!$C$15, $D$11, 100%, $F$11)</f>
        <v>9.3376000000000001</v>
      </c>
      <c r="C310" s="8">
        <f>CHOOSE( CONTROL!$C$32, 9.3455, 9.3419) * CHOOSE(CONTROL!$C$15, $D$11, 100%, $F$11)</f>
        <v>9.3454999999999995</v>
      </c>
      <c r="D310" s="8">
        <f>CHOOSE( CONTROL!$C$32, 9.3835, 9.3799) * CHOOSE( CONTROL!$C$15, $D$11, 100%, $F$11)</f>
        <v>9.3834999999999997</v>
      </c>
      <c r="E310" s="12">
        <f>CHOOSE( CONTROL!$C$32, 9.3685, 9.3649) * CHOOSE( CONTROL!$C$15, $D$11, 100%, $F$11)</f>
        <v>9.3684999999999992</v>
      </c>
      <c r="F310" s="4">
        <f>CHOOSE( CONTROL!$C$32, 10.0806, 10.0769) * CHOOSE(CONTROL!$C$15, $D$11, 100%, $F$11)</f>
        <v>10.0806</v>
      </c>
      <c r="G310" s="8">
        <f>CHOOSE( CONTROL!$C$32, 9.2344, 9.2308) * CHOOSE( CONTROL!$C$15, $D$11, 100%, $F$11)</f>
        <v>9.2344000000000008</v>
      </c>
      <c r="H310" s="4">
        <f>CHOOSE( CONTROL!$C$32, 10.2092, 10.2056) * CHOOSE(CONTROL!$C$15, $D$11, 100%, $F$11)</f>
        <v>10.209199999999999</v>
      </c>
      <c r="I310" s="8">
        <f>CHOOSE( CONTROL!$C$32, 9.1984, 9.1949) * CHOOSE(CONTROL!$C$15, $D$11, 100%, $F$11)</f>
        <v>9.1983999999999995</v>
      </c>
      <c r="J310" s="4">
        <f>CHOOSE( CONTROL!$C$32, 9.0513, 9.0477) * CHOOSE(CONTROL!$C$15, $D$11, 100%, $F$11)</f>
        <v>9.0512999999999995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9.7387, 9.7351) * CHOOSE(CONTROL!$C$15, $D$11, 100%, $F$11)</f>
        <v>9.7386999999999997</v>
      </c>
      <c r="C311" s="8">
        <f>CHOOSE( CONTROL!$C$32, 9.7467, 9.7431) * CHOOSE(CONTROL!$C$15, $D$11, 100%, $F$11)</f>
        <v>9.7467000000000006</v>
      </c>
      <c r="D311" s="8">
        <f>CHOOSE( CONTROL!$C$32, 9.7849, 9.7813) * CHOOSE( CONTROL!$C$15, $D$11, 100%, $F$11)</f>
        <v>9.7849000000000004</v>
      </c>
      <c r="E311" s="12">
        <f>CHOOSE( CONTROL!$C$32, 9.7698, 9.7662) * CHOOSE( CONTROL!$C$15, $D$11, 100%, $F$11)</f>
        <v>9.7698</v>
      </c>
      <c r="F311" s="4">
        <f>CHOOSE( CONTROL!$C$32, 10.4817, 10.4781) * CHOOSE(CONTROL!$C$15, $D$11, 100%, $F$11)</f>
        <v>10.4817</v>
      </c>
      <c r="G311" s="8">
        <f>CHOOSE( CONTROL!$C$32, 9.6313, 9.6277) * CHOOSE( CONTROL!$C$15, $D$11, 100%, $F$11)</f>
        <v>9.6312999999999995</v>
      </c>
      <c r="H311" s="4">
        <f>CHOOSE( CONTROL!$C$32, 10.6056, 10.602) * CHOOSE(CONTROL!$C$15, $D$11, 100%, $F$11)</f>
        <v>10.605600000000001</v>
      </c>
      <c r="I311" s="8">
        <f>CHOOSE( CONTROL!$C$32, 9.589, 9.5855) * CHOOSE(CONTROL!$C$15, $D$11, 100%, $F$11)</f>
        <v>9.5890000000000004</v>
      </c>
      <c r="J311" s="4">
        <f>CHOOSE( CONTROL!$C$32, 9.4406, 9.4371) * CHOOSE(CONTROL!$C$15, $D$11, 100%, $F$11)</f>
        <v>9.4405999999999999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8.9881, 8.9845) * CHOOSE(CONTROL!$C$15, $D$11, 100%, $F$11)</f>
        <v>8.9880999999999993</v>
      </c>
      <c r="C312" s="8">
        <f>CHOOSE( CONTROL!$C$32, 8.9961, 8.9924) * CHOOSE(CONTROL!$C$15, $D$11, 100%, $F$11)</f>
        <v>8.9961000000000002</v>
      </c>
      <c r="D312" s="8">
        <f>CHOOSE( CONTROL!$C$32, 9.0343, 9.0307) * CHOOSE( CONTROL!$C$15, $D$11, 100%, $F$11)</f>
        <v>9.0343</v>
      </c>
      <c r="E312" s="12">
        <f>CHOOSE( CONTROL!$C$32, 9.0192, 9.0156) * CHOOSE( CONTROL!$C$15, $D$11, 100%, $F$11)</f>
        <v>9.0191999999999997</v>
      </c>
      <c r="F312" s="4">
        <f>CHOOSE( CONTROL!$C$32, 9.7311, 9.7275) * CHOOSE(CONTROL!$C$15, $D$11, 100%, $F$11)</f>
        <v>9.7310999999999996</v>
      </c>
      <c r="G312" s="8">
        <f>CHOOSE( CONTROL!$C$32, 8.8895, 8.8859) * CHOOSE( CONTROL!$C$15, $D$11, 100%, $F$11)</f>
        <v>8.8895</v>
      </c>
      <c r="H312" s="4">
        <f>CHOOSE( CONTROL!$C$32, 9.8638, 9.8602) * CHOOSE(CONTROL!$C$15, $D$11, 100%, $F$11)</f>
        <v>9.8637999999999995</v>
      </c>
      <c r="I312" s="8">
        <f>CHOOSE( CONTROL!$C$32, 8.8605, 8.857) * CHOOSE(CONTROL!$C$15, $D$11, 100%, $F$11)</f>
        <v>8.8605</v>
      </c>
      <c r="J312" s="4">
        <f>CHOOSE( CONTROL!$C$32, 8.7121, 8.7086) * CHOOSE(CONTROL!$C$15, $D$11, 100%, $F$11)</f>
        <v>8.7120999999999995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8.8001, 8.7965) * CHOOSE(CONTROL!$C$15, $D$11, 100%, $F$11)</f>
        <v>8.8001000000000005</v>
      </c>
      <c r="C313" s="8">
        <f>CHOOSE( CONTROL!$C$32, 8.8081, 8.8045) * CHOOSE(CONTROL!$C$15, $D$11, 100%, $F$11)</f>
        <v>8.8080999999999996</v>
      </c>
      <c r="D313" s="8">
        <f>CHOOSE( CONTROL!$C$32, 8.8463, 8.8427) * CHOOSE( CONTROL!$C$15, $D$11, 100%, $F$11)</f>
        <v>8.8462999999999994</v>
      </c>
      <c r="E313" s="12">
        <f>CHOOSE( CONTROL!$C$32, 8.8312, 8.8276) * CHOOSE( CONTROL!$C$15, $D$11, 100%, $F$11)</f>
        <v>8.8312000000000008</v>
      </c>
      <c r="F313" s="4">
        <f>CHOOSE( CONTROL!$C$32, 9.5431, 9.5395) * CHOOSE(CONTROL!$C$15, $D$11, 100%, $F$11)</f>
        <v>9.5431000000000008</v>
      </c>
      <c r="G313" s="8">
        <f>CHOOSE( CONTROL!$C$32, 8.7036, 8.7) * CHOOSE( CONTROL!$C$15, $D$11, 100%, $F$11)</f>
        <v>8.7035999999999998</v>
      </c>
      <c r="H313" s="4">
        <f>CHOOSE( CONTROL!$C$32, 9.678, 9.6744) * CHOOSE(CONTROL!$C$15, $D$11, 100%, $F$11)</f>
        <v>9.6780000000000008</v>
      </c>
      <c r="I313" s="8">
        <f>CHOOSE( CONTROL!$C$32, 8.6776, 8.6741) * CHOOSE(CONTROL!$C$15, $D$11, 100%, $F$11)</f>
        <v>8.6776</v>
      </c>
      <c r="J313" s="4">
        <f>CHOOSE( CONTROL!$C$32, 8.5297, 8.5262) * CHOOSE(CONTROL!$C$15, $D$11, 100%, $F$11)</f>
        <v>8.5297000000000001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9.1851 * CHOOSE(CONTROL!$C$15, $D$11, 100%, $F$11)</f>
        <v>9.1851000000000003</v>
      </c>
      <c r="C314" s="8">
        <f>9.1904 * CHOOSE(CONTROL!$C$15, $D$11, 100%, $F$11)</f>
        <v>9.1904000000000003</v>
      </c>
      <c r="D314" s="8">
        <f>9.2339 * CHOOSE( CONTROL!$C$15, $D$11, 100%, $F$11)</f>
        <v>9.2339000000000002</v>
      </c>
      <c r="E314" s="12">
        <f>9.219 * CHOOSE( CONTROL!$C$15, $D$11, 100%, $F$11)</f>
        <v>9.2189999999999994</v>
      </c>
      <c r="F314" s="4">
        <f>9.9298 * CHOOSE(CONTROL!$C$15, $D$11, 100%, $F$11)</f>
        <v>9.9298000000000002</v>
      </c>
      <c r="G314" s="8">
        <f>9.0852 * CHOOSE( CONTROL!$C$15, $D$11, 100%, $F$11)</f>
        <v>9.0852000000000004</v>
      </c>
      <c r="H314" s="4">
        <f>10.0601 * CHOOSE(CONTROL!$C$15, $D$11, 100%, $F$11)</f>
        <v>10.0601</v>
      </c>
      <c r="I314" s="8">
        <f>9.0538 * CHOOSE(CONTROL!$C$15, $D$11, 100%, $F$11)</f>
        <v>9.0538000000000007</v>
      </c>
      <c r="J314" s="4">
        <f>8.9049 * CHOOSE(CONTROL!$C$15, $D$11, 100%, $F$11)</f>
        <v>8.9048999999999996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9.905 * CHOOSE(CONTROL!$C$15, $D$11, 100%, $F$11)</f>
        <v>9.9049999999999994</v>
      </c>
      <c r="C315" s="8">
        <f>9.9101 * CHOOSE(CONTROL!$C$15, $D$11, 100%, $F$11)</f>
        <v>9.9100999999999999</v>
      </c>
      <c r="D315" s="8">
        <f>9.8937 * CHOOSE( CONTROL!$C$15, $D$11, 100%, $F$11)</f>
        <v>9.8937000000000008</v>
      </c>
      <c r="E315" s="12">
        <f>9.8992 * CHOOSE( CONTROL!$C$15, $D$11, 100%, $F$11)</f>
        <v>9.8992000000000004</v>
      </c>
      <c r="F315" s="4">
        <f>10.5703 * CHOOSE(CONTROL!$C$15, $D$11, 100%, $F$11)</f>
        <v>10.5703</v>
      </c>
      <c r="G315" s="8">
        <f>9.7978 * CHOOSE( CONTROL!$C$15, $D$11, 100%, $F$11)</f>
        <v>9.7978000000000005</v>
      </c>
      <c r="H315" s="4">
        <f>10.6932 * CHOOSE(CONTROL!$C$15, $D$11, 100%, $F$11)</f>
        <v>10.693199999999999</v>
      </c>
      <c r="I315" s="8">
        <f>9.7534 * CHOOSE(CONTROL!$C$15, $D$11, 100%, $F$11)</f>
        <v>9.7533999999999992</v>
      </c>
      <c r="J315" s="4">
        <f>9.6041 * CHOOSE(CONTROL!$C$15, $D$11, 100%, $F$11)</f>
        <v>9.6041000000000007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9.887 * CHOOSE(CONTROL!$C$15, $D$11, 100%, $F$11)</f>
        <v>9.8870000000000005</v>
      </c>
      <c r="C316" s="8">
        <f>9.8921 * CHOOSE(CONTROL!$C$15, $D$11, 100%, $F$11)</f>
        <v>9.8920999999999992</v>
      </c>
      <c r="D316" s="8">
        <f>9.8775 * CHOOSE( CONTROL!$C$15, $D$11, 100%, $F$11)</f>
        <v>9.8774999999999995</v>
      </c>
      <c r="E316" s="12">
        <f>9.8823 * CHOOSE( CONTROL!$C$15, $D$11, 100%, $F$11)</f>
        <v>9.8823000000000008</v>
      </c>
      <c r="F316" s="4">
        <f>10.5523 * CHOOSE(CONTROL!$C$15, $D$11, 100%, $F$11)</f>
        <v>10.552300000000001</v>
      </c>
      <c r="G316" s="8">
        <f>9.7812 * CHOOSE( CONTROL!$C$15, $D$11, 100%, $F$11)</f>
        <v>9.7812000000000001</v>
      </c>
      <c r="H316" s="4">
        <f>10.6754 * CHOOSE(CONTROL!$C$15, $D$11, 100%, $F$11)</f>
        <v>10.6754</v>
      </c>
      <c r="I316" s="8">
        <f>9.7413 * CHOOSE(CONTROL!$C$15, $D$11, 100%, $F$11)</f>
        <v>9.7413000000000007</v>
      </c>
      <c r="J316" s="4">
        <f>9.5866 * CHOOSE(CONTROL!$C$15, $D$11, 100%, $F$11)</f>
        <v>9.5866000000000007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10.1784 * CHOOSE(CONTROL!$C$15, $D$11, 100%, $F$11)</f>
        <v>10.1784</v>
      </c>
      <c r="C317" s="8">
        <f>10.1835 * CHOOSE(CONTROL!$C$15, $D$11, 100%, $F$11)</f>
        <v>10.1835</v>
      </c>
      <c r="D317" s="8">
        <f>10.1546 * CHOOSE( CONTROL!$C$15, $D$11, 100%, $F$11)</f>
        <v>10.1546</v>
      </c>
      <c r="E317" s="12">
        <f>10.1646 * CHOOSE( CONTROL!$C$15, $D$11, 100%, $F$11)</f>
        <v>10.1646</v>
      </c>
      <c r="F317" s="4">
        <f>10.8437 * CHOOSE(CONTROL!$C$15, $D$11, 100%, $F$11)</f>
        <v>10.8437</v>
      </c>
      <c r="G317" s="8">
        <f>10.0589 * CHOOSE( CONTROL!$C$15, $D$11, 100%, $F$11)</f>
        <v>10.0589</v>
      </c>
      <c r="H317" s="4">
        <f>10.9633 * CHOOSE(CONTROL!$C$15, $D$11, 100%, $F$11)</f>
        <v>10.9633</v>
      </c>
      <c r="I317" s="8">
        <f>10.0188 * CHOOSE(CONTROL!$C$15, $D$11, 100%, $F$11)</f>
        <v>10.018800000000001</v>
      </c>
      <c r="J317" s="4">
        <f>9.8694 * CHOOSE(CONTROL!$C$15, $D$11, 100%, $F$11)</f>
        <v>9.8694000000000006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9.521 * CHOOSE(CONTROL!$C$15, $D$11, 100%, $F$11)</f>
        <v>9.5210000000000008</v>
      </c>
      <c r="C318" s="8">
        <f>9.526 * CHOOSE(CONTROL!$C$15, $D$11, 100%, $F$11)</f>
        <v>9.5259999999999998</v>
      </c>
      <c r="D318" s="8">
        <f>9.4971 * CHOOSE( CONTROL!$C$15, $D$11, 100%, $F$11)</f>
        <v>9.4970999999999997</v>
      </c>
      <c r="E318" s="12">
        <f>9.5071 * CHOOSE( CONTROL!$C$15, $D$11, 100%, $F$11)</f>
        <v>9.5070999999999994</v>
      </c>
      <c r="F318" s="4">
        <f>10.1862 * CHOOSE(CONTROL!$C$15, $D$11, 100%, $F$11)</f>
        <v>10.186199999999999</v>
      </c>
      <c r="G318" s="8">
        <f>9.4092 * CHOOSE( CONTROL!$C$15, $D$11, 100%, $F$11)</f>
        <v>9.4092000000000002</v>
      </c>
      <c r="H318" s="4">
        <f>10.3136 * CHOOSE(CONTROL!$C$15, $D$11, 100%, $F$11)</f>
        <v>10.313599999999999</v>
      </c>
      <c r="I318" s="8">
        <f>9.3804 * CHOOSE(CONTROL!$C$15, $D$11, 100%, $F$11)</f>
        <v>9.3803999999999998</v>
      </c>
      <c r="J318" s="4">
        <f>9.2313 * CHOOSE(CONTROL!$C$15, $D$11, 100%, $F$11)</f>
        <v>9.2312999999999992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9.3185 * CHOOSE(CONTROL!$C$15, $D$11, 100%, $F$11)</f>
        <v>9.3185000000000002</v>
      </c>
      <c r="C319" s="8">
        <f>9.3235 * CHOOSE(CONTROL!$C$15, $D$11, 100%, $F$11)</f>
        <v>9.3234999999999992</v>
      </c>
      <c r="D319" s="8">
        <f>9.2943 * CHOOSE( CONTROL!$C$15, $D$11, 100%, $F$11)</f>
        <v>9.2942999999999998</v>
      </c>
      <c r="E319" s="12">
        <f>9.3044 * CHOOSE( CONTROL!$C$15, $D$11, 100%, $F$11)</f>
        <v>9.3043999999999993</v>
      </c>
      <c r="F319" s="4">
        <f>9.9837 * CHOOSE(CONTROL!$C$15, $D$11, 100%, $F$11)</f>
        <v>9.9837000000000007</v>
      </c>
      <c r="G319" s="8">
        <f>9.2088 * CHOOSE( CONTROL!$C$15, $D$11, 100%, $F$11)</f>
        <v>9.2088000000000001</v>
      </c>
      <c r="H319" s="4">
        <f>10.1135 * CHOOSE(CONTROL!$C$15, $D$11, 100%, $F$11)</f>
        <v>10.1135</v>
      </c>
      <c r="I319" s="8">
        <f>9.1826 * CHOOSE(CONTROL!$C$15, $D$11, 100%, $F$11)</f>
        <v>9.1826000000000008</v>
      </c>
      <c r="J319" s="4">
        <f>9.0348 * CHOOSE(CONTROL!$C$15, $D$11, 100%, $F$11)</f>
        <v>9.0348000000000006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9.4607 * CHOOSE(CONTROL!$C$15, $D$11, 100%, $F$11)</f>
        <v>9.4606999999999992</v>
      </c>
      <c r="C320" s="8">
        <f>9.4652 * CHOOSE(CONTROL!$C$15, $D$11, 100%, $F$11)</f>
        <v>9.4651999999999994</v>
      </c>
      <c r="D320" s="8">
        <f>9.5086 * CHOOSE( CONTROL!$C$15, $D$11, 100%, $F$11)</f>
        <v>9.5085999999999995</v>
      </c>
      <c r="E320" s="12">
        <f>9.4938 * CHOOSE( CONTROL!$C$15, $D$11, 100%, $F$11)</f>
        <v>9.4938000000000002</v>
      </c>
      <c r="F320" s="4">
        <f>10.2051 * CHOOSE(CONTROL!$C$15, $D$11, 100%, $F$11)</f>
        <v>10.2051</v>
      </c>
      <c r="G320" s="8">
        <f>9.3564 * CHOOSE( CONTROL!$C$15, $D$11, 100%, $F$11)</f>
        <v>9.3564000000000007</v>
      </c>
      <c r="H320" s="4">
        <f>10.3322 * CHOOSE(CONTROL!$C$15, $D$11, 100%, $F$11)</f>
        <v>10.3322</v>
      </c>
      <c r="I320" s="8">
        <f>9.3181 * CHOOSE(CONTROL!$C$15, $D$11, 100%, $F$11)</f>
        <v>9.3180999999999994</v>
      </c>
      <c r="J320" s="4">
        <f>9.1721 * CHOOSE(CONTROL!$C$15, $D$11, 100%, $F$11)</f>
        <v>9.1721000000000004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9.7176, 9.7139) * CHOOSE(CONTROL!$C$15, $D$11, 100%, $F$11)</f>
        <v>9.7175999999999991</v>
      </c>
      <c r="C321" s="8">
        <f>CHOOSE( CONTROL!$C$32, 9.7255, 9.7219) * CHOOSE(CONTROL!$C$15, $D$11, 100%, $F$11)</f>
        <v>9.7255000000000003</v>
      </c>
      <c r="D321" s="8">
        <f>CHOOSE( CONTROL!$C$32, 9.7633, 9.7596) * CHOOSE( CONTROL!$C$15, $D$11, 100%, $F$11)</f>
        <v>9.7632999999999992</v>
      </c>
      <c r="E321" s="12">
        <f>CHOOSE( CONTROL!$C$32, 9.7484, 9.7447) * CHOOSE( CONTROL!$C$15, $D$11, 100%, $F$11)</f>
        <v>9.7484000000000002</v>
      </c>
      <c r="F321" s="4">
        <f>CHOOSE( CONTROL!$C$32, 10.4606, 10.4569) * CHOOSE(CONTROL!$C$15, $D$11, 100%, $F$11)</f>
        <v>10.460599999999999</v>
      </c>
      <c r="G321" s="8">
        <f>CHOOSE( CONTROL!$C$32, 9.6097, 9.6061) * CHOOSE( CONTROL!$C$15, $D$11, 100%, $F$11)</f>
        <v>9.6097000000000001</v>
      </c>
      <c r="H321" s="4">
        <f>CHOOSE( CONTROL!$C$32, 10.5847, 10.5811) * CHOOSE(CONTROL!$C$15, $D$11, 100%, $F$11)</f>
        <v>10.5847</v>
      </c>
      <c r="I321" s="8">
        <f>CHOOSE( CONTROL!$C$32, 9.5663, 9.5628) * CHOOSE(CONTROL!$C$15, $D$11, 100%, $F$11)</f>
        <v>9.5663</v>
      </c>
      <c r="J321" s="4">
        <f>CHOOSE( CONTROL!$C$32, 9.4201, 9.4165) * CHOOSE(CONTROL!$C$15, $D$11, 100%, $F$11)</f>
        <v>9.4200999999999997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9.5616, 9.5579) * CHOOSE(CONTROL!$C$15, $D$11, 100%, $F$11)</f>
        <v>9.5616000000000003</v>
      </c>
      <c r="C322" s="8">
        <f>CHOOSE( CONTROL!$C$32, 9.5695, 9.5659) * CHOOSE(CONTROL!$C$15, $D$11, 100%, $F$11)</f>
        <v>9.5694999999999997</v>
      </c>
      <c r="D322" s="8">
        <f>CHOOSE( CONTROL!$C$32, 9.6075, 9.6039) * CHOOSE( CONTROL!$C$15, $D$11, 100%, $F$11)</f>
        <v>9.6074999999999999</v>
      </c>
      <c r="E322" s="12">
        <f>CHOOSE( CONTROL!$C$32, 9.5925, 9.5889) * CHOOSE( CONTROL!$C$15, $D$11, 100%, $F$11)</f>
        <v>9.5924999999999994</v>
      </c>
      <c r="F322" s="4">
        <f>CHOOSE( CONTROL!$C$32, 10.3046, 10.3009) * CHOOSE(CONTROL!$C$15, $D$11, 100%, $F$11)</f>
        <v>10.304600000000001</v>
      </c>
      <c r="G322" s="8">
        <f>CHOOSE( CONTROL!$C$32, 9.4558, 9.4522) * CHOOSE( CONTROL!$C$15, $D$11, 100%, $F$11)</f>
        <v>9.4558</v>
      </c>
      <c r="H322" s="4">
        <f>CHOOSE( CONTROL!$C$32, 10.4305, 10.4269) * CHOOSE(CONTROL!$C$15, $D$11, 100%, $F$11)</f>
        <v>10.4305</v>
      </c>
      <c r="I322" s="8">
        <f>CHOOSE( CONTROL!$C$32, 9.4159, 9.4124) * CHOOSE(CONTROL!$C$15, $D$11, 100%, $F$11)</f>
        <v>9.4159000000000006</v>
      </c>
      <c r="J322" s="4">
        <f>CHOOSE( CONTROL!$C$32, 9.2687, 9.2651) * CHOOSE(CONTROL!$C$15, $D$11, 100%, $F$11)</f>
        <v>9.2687000000000008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9.9724, 9.9687) * CHOOSE(CONTROL!$C$15, $D$11, 100%, $F$11)</f>
        <v>9.9724000000000004</v>
      </c>
      <c r="C323" s="8">
        <f>CHOOSE( CONTROL!$C$32, 9.9803, 9.9767) * CHOOSE(CONTROL!$C$15, $D$11, 100%, $F$11)</f>
        <v>9.9802999999999997</v>
      </c>
      <c r="D323" s="8">
        <f>CHOOSE( CONTROL!$C$32, 10.0185, 10.0149) * CHOOSE( CONTROL!$C$15, $D$11, 100%, $F$11)</f>
        <v>10.0185</v>
      </c>
      <c r="E323" s="12">
        <f>CHOOSE( CONTROL!$C$32, 10.0035, 9.9998) * CHOOSE( CONTROL!$C$15, $D$11, 100%, $F$11)</f>
        <v>10.003500000000001</v>
      </c>
      <c r="F323" s="4">
        <f>CHOOSE( CONTROL!$C$32, 10.7154, 10.7117) * CHOOSE(CONTROL!$C$15, $D$11, 100%, $F$11)</f>
        <v>10.715400000000001</v>
      </c>
      <c r="G323" s="8">
        <f>CHOOSE( CONTROL!$C$32, 9.8622, 9.8586) * CHOOSE( CONTROL!$C$15, $D$11, 100%, $F$11)</f>
        <v>9.8621999999999996</v>
      </c>
      <c r="H323" s="4">
        <f>CHOOSE( CONTROL!$C$32, 10.8365, 10.8329) * CHOOSE(CONTROL!$C$15, $D$11, 100%, $F$11)</f>
        <v>10.836499999999999</v>
      </c>
      <c r="I323" s="8">
        <f>CHOOSE( CONTROL!$C$32, 9.8159, 9.8124) * CHOOSE(CONTROL!$C$15, $D$11, 100%, $F$11)</f>
        <v>9.8158999999999992</v>
      </c>
      <c r="J323" s="4">
        <f>CHOOSE( CONTROL!$C$32, 9.6674, 9.6638) * CHOOSE(CONTROL!$C$15, $D$11, 100%, $F$11)</f>
        <v>9.6674000000000007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9.2037, 9.2001) * CHOOSE(CONTROL!$C$15, $D$11, 100%, $F$11)</f>
        <v>9.2036999999999995</v>
      </c>
      <c r="C324" s="8">
        <f>CHOOSE( CONTROL!$C$32, 9.2117, 9.208) * CHOOSE(CONTROL!$C$15, $D$11, 100%, $F$11)</f>
        <v>9.2117000000000004</v>
      </c>
      <c r="D324" s="8">
        <f>CHOOSE( CONTROL!$C$32, 9.2499, 9.2463) * CHOOSE( CONTROL!$C$15, $D$11, 100%, $F$11)</f>
        <v>9.2499000000000002</v>
      </c>
      <c r="E324" s="12">
        <f>CHOOSE( CONTROL!$C$32, 9.2348, 9.2312) * CHOOSE( CONTROL!$C$15, $D$11, 100%, $F$11)</f>
        <v>9.2347999999999999</v>
      </c>
      <c r="F324" s="4">
        <f>CHOOSE( CONTROL!$C$32, 9.9467, 9.9431) * CHOOSE(CONTROL!$C$15, $D$11, 100%, $F$11)</f>
        <v>9.9466999999999999</v>
      </c>
      <c r="G324" s="8">
        <f>CHOOSE( CONTROL!$C$32, 9.1026, 9.099) * CHOOSE( CONTROL!$C$15, $D$11, 100%, $F$11)</f>
        <v>9.1026000000000007</v>
      </c>
      <c r="H324" s="4">
        <f>CHOOSE( CONTROL!$C$32, 10.0769, 10.0733) * CHOOSE(CONTROL!$C$15, $D$11, 100%, $F$11)</f>
        <v>10.0769</v>
      </c>
      <c r="I324" s="8">
        <f>CHOOSE( CONTROL!$C$32, 9.0698, 9.0663) * CHOOSE(CONTROL!$C$15, $D$11, 100%, $F$11)</f>
        <v>9.0698000000000008</v>
      </c>
      <c r="J324" s="4">
        <f>CHOOSE( CONTROL!$C$32, 8.9214, 8.9178) * CHOOSE(CONTROL!$C$15, $D$11, 100%, $F$11)</f>
        <v>8.9214000000000002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9.0112, 9.0076) * CHOOSE(CONTROL!$C$15, $D$11, 100%, $F$11)</f>
        <v>9.0112000000000005</v>
      </c>
      <c r="C325" s="8">
        <f>CHOOSE( CONTROL!$C$32, 9.0192, 9.0156) * CHOOSE(CONTROL!$C$15, $D$11, 100%, $F$11)</f>
        <v>9.0191999999999997</v>
      </c>
      <c r="D325" s="8">
        <f>CHOOSE( CONTROL!$C$32, 9.0574, 9.0537) * CHOOSE( CONTROL!$C$15, $D$11, 100%, $F$11)</f>
        <v>9.0573999999999995</v>
      </c>
      <c r="E325" s="12">
        <f>CHOOSE( CONTROL!$C$32, 9.0423, 9.0387) * CHOOSE( CONTROL!$C$15, $D$11, 100%, $F$11)</f>
        <v>9.0422999999999991</v>
      </c>
      <c r="F325" s="4">
        <f>CHOOSE( CONTROL!$C$32, 9.7542, 9.7506) * CHOOSE(CONTROL!$C$15, $D$11, 100%, $F$11)</f>
        <v>9.7542000000000009</v>
      </c>
      <c r="G325" s="8">
        <f>CHOOSE( CONTROL!$C$32, 8.9123, 8.9087) * CHOOSE( CONTROL!$C$15, $D$11, 100%, $F$11)</f>
        <v>8.9123000000000001</v>
      </c>
      <c r="H325" s="4">
        <f>CHOOSE( CONTROL!$C$32, 9.8866, 9.8831) * CHOOSE(CONTROL!$C$15, $D$11, 100%, $F$11)</f>
        <v>9.8865999999999996</v>
      </c>
      <c r="I325" s="8">
        <f>CHOOSE( CONTROL!$C$32, 8.8826, 8.879) * CHOOSE(CONTROL!$C$15, $D$11, 100%, $F$11)</f>
        <v>8.8826000000000001</v>
      </c>
      <c r="J325" s="4">
        <f>CHOOSE( CONTROL!$C$32, 8.7346, 8.731) * CHOOSE(CONTROL!$C$15, $D$11, 100%, $F$11)</f>
        <v>8.7346000000000004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9.4055 * CHOOSE(CONTROL!$C$15, $D$11, 100%, $F$11)</f>
        <v>9.4055</v>
      </c>
      <c r="C326" s="8">
        <f>9.4108 * CHOOSE(CONTROL!$C$15, $D$11, 100%, $F$11)</f>
        <v>9.4108000000000001</v>
      </c>
      <c r="D326" s="8">
        <f>9.4544 * CHOOSE( CONTROL!$C$15, $D$11, 100%, $F$11)</f>
        <v>9.4543999999999997</v>
      </c>
      <c r="E326" s="12">
        <f>9.4394 * CHOOSE( CONTROL!$C$15, $D$11, 100%, $F$11)</f>
        <v>9.4393999999999991</v>
      </c>
      <c r="F326" s="4">
        <f>10.1502 * CHOOSE(CONTROL!$C$15, $D$11, 100%, $F$11)</f>
        <v>10.1502</v>
      </c>
      <c r="G326" s="8">
        <f>9.3031 * CHOOSE( CONTROL!$C$15, $D$11, 100%, $F$11)</f>
        <v>9.3031000000000006</v>
      </c>
      <c r="H326" s="4">
        <f>10.278 * CHOOSE(CONTROL!$C$15, $D$11, 100%, $F$11)</f>
        <v>10.278</v>
      </c>
      <c r="I326" s="8">
        <f>9.2679 * CHOOSE(CONTROL!$C$15, $D$11, 100%, $F$11)</f>
        <v>9.2678999999999991</v>
      </c>
      <c r="J326" s="4">
        <f>9.1189 * CHOOSE(CONTROL!$C$15, $D$11, 100%, $F$11)</f>
        <v>9.1189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10.1428 * CHOOSE(CONTROL!$C$15, $D$11, 100%, $F$11)</f>
        <v>10.142799999999999</v>
      </c>
      <c r="C327" s="8">
        <f>10.1479 * CHOOSE(CONTROL!$C$15, $D$11, 100%, $F$11)</f>
        <v>10.1479</v>
      </c>
      <c r="D327" s="8">
        <f>10.1315 * CHOOSE( CONTROL!$C$15, $D$11, 100%, $F$11)</f>
        <v>10.131500000000001</v>
      </c>
      <c r="E327" s="12">
        <f>10.137 * CHOOSE( CONTROL!$C$15, $D$11, 100%, $F$11)</f>
        <v>10.137</v>
      </c>
      <c r="F327" s="4">
        <f>10.8081 * CHOOSE(CONTROL!$C$15, $D$11, 100%, $F$11)</f>
        <v>10.8081</v>
      </c>
      <c r="G327" s="8">
        <f>10.0327 * CHOOSE( CONTROL!$C$15, $D$11, 100%, $F$11)</f>
        <v>10.0327</v>
      </c>
      <c r="H327" s="4">
        <f>10.9281 * CHOOSE(CONTROL!$C$15, $D$11, 100%, $F$11)</f>
        <v>10.928100000000001</v>
      </c>
      <c r="I327" s="8">
        <f>9.9842 * CHOOSE(CONTROL!$C$15, $D$11, 100%, $F$11)</f>
        <v>9.9841999999999995</v>
      </c>
      <c r="J327" s="4">
        <f>9.8348 * CHOOSE(CONTROL!$C$15, $D$11, 100%, $F$11)</f>
        <v>9.8347999999999995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10.1244 * CHOOSE(CONTROL!$C$15, $D$11, 100%, $F$11)</f>
        <v>10.1244</v>
      </c>
      <c r="C328" s="8">
        <f>10.1294 * CHOOSE(CONTROL!$C$15, $D$11, 100%, $F$11)</f>
        <v>10.1294</v>
      </c>
      <c r="D328" s="8">
        <f>10.1148 * CHOOSE( CONTROL!$C$15, $D$11, 100%, $F$11)</f>
        <v>10.114800000000001</v>
      </c>
      <c r="E328" s="12">
        <f>10.1196 * CHOOSE( CONTROL!$C$15, $D$11, 100%, $F$11)</f>
        <v>10.1196</v>
      </c>
      <c r="F328" s="4">
        <f>10.7896 * CHOOSE(CONTROL!$C$15, $D$11, 100%, $F$11)</f>
        <v>10.7896</v>
      </c>
      <c r="G328" s="8">
        <f>10.0158 * CHOOSE( CONTROL!$C$15, $D$11, 100%, $F$11)</f>
        <v>10.0158</v>
      </c>
      <c r="H328" s="4">
        <f>10.9099 * CHOOSE(CONTROL!$C$15, $D$11, 100%, $F$11)</f>
        <v>10.9099</v>
      </c>
      <c r="I328" s="8">
        <f>9.9717 * CHOOSE(CONTROL!$C$15, $D$11, 100%, $F$11)</f>
        <v>9.9717000000000002</v>
      </c>
      <c r="J328" s="4">
        <f>9.8169 * CHOOSE(CONTROL!$C$15, $D$11, 100%, $F$11)</f>
        <v>9.8169000000000004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10.4227 * CHOOSE(CONTROL!$C$15, $D$11, 100%, $F$11)</f>
        <v>10.422700000000001</v>
      </c>
      <c r="C329" s="8">
        <f>10.4278 * CHOOSE(CONTROL!$C$15, $D$11, 100%, $F$11)</f>
        <v>10.4278</v>
      </c>
      <c r="D329" s="8">
        <f>10.3989 * CHOOSE( CONTROL!$C$15, $D$11, 100%, $F$11)</f>
        <v>10.398899999999999</v>
      </c>
      <c r="E329" s="12">
        <f>10.4089 * CHOOSE( CONTROL!$C$15, $D$11, 100%, $F$11)</f>
        <v>10.408899999999999</v>
      </c>
      <c r="F329" s="4">
        <f>11.088 * CHOOSE(CONTROL!$C$15, $D$11, 100%, $F$11)</f>
        <v>11.087999999999999</v>
      </c>
      <c r="G329" s="8">
        <f>10.3004 * CHOOSE( CONTROL!$C$15, $D$11, 100%, $F$11)</f>
        <v>10.3004</v>
      </c>
      <c r="H329" s="4">
        <f>11.2048 * CHOOSE(CONTROL!$C$15, $D$11, 100%, $F$11)</f>
        <v>11.204800000000001</v>
      </c>
      <c r="I329" s="8">
        <f>10.2561 * CHOOSE(CONTROL!$C$15, $D$11, 100%, $F$11)</f>
        <v>10.2561</v>
      </c>
      <c r="J329" s="4">
        <f>10.1065 * CHOOSE(CONTROL!$C$15, $D$11, 100%, $F$11)</f>
        <v>10.1065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9.7495 * CHOOSE(CONTROL!$C$15, $D$11, 100%, $F$11)</f>
        <v>9.7494999999999994</v>
      </c>
      <c r="C330" s="8">
        <f>9.7546 * CHOOSE(CONTROL!$C$15, $D$11, 100%, $F$11)</f>
        <v>9.7545999999999999</v>
      </c>
      <c r="D330" s="8">
        <f>9.7257 * CHOOSE( CONTROL!$C$15, $D$11, 100%, $F$11)</f>
        <v>9.7256999999999998</v>
      </c>
      <c r="E330" s="12">
        <f>9.7357 * CHOOSE( CONTROL!$C$15, $D$11, 100%, $F$11)</f>
        <v>9.7356999999999996</v>
      </c>
      <c r="F330" s="4">
        <f>10.4148 * CHOOSE(CONTROL!$C$15, $D$11, 100%, $F$11)</f>
        <v>10.4148</v>
      </c>
      <c r="G330" s="8">
        <f>9.635 * CHOOSE( CONTROL!$C$15, $D$11, 100%, $F$11)</f>
        <v>9.6349999999999998</v>
      </c>
      <c r="H330" s="4">
        <f>10.5395 * CHOOSE(CONTROL!$C$15, $D$11, 100%, $F$11)</f>
        <v>10.5395</v>
      </c>
      <c r="I330" s="8">
        <f>9.6023 * CHOOSE(CONTROL!$C$15, $D$11, 100%, $F$11)</f>
        <v>9.6022999999999996</v>
      </c>
      <c r="J330" s="4">
        <f>9.4531 * CHOOSE(CONTROL!$C$15, $D$11, 100%, $F$11)</f>
        <v>9.4530999999999992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9.5421 * CHOOSE(CONTROL!$C$15, $D$11, 100%, $F$11)</f>
        <v>9.5420999999999996</v>
      </c>
      <c r="C331" s="8">
        <f>9.5472 * CHOOSE(CONTROL!$C$15, $D$11, 100%, $F$11)</f>
        <v>9.5472000000000001</v>
      </c>
      <c r="D331" s="8">
        <f>9.5179 * CHOOSE( CONTROL!$C$15, $D$11, 100%, $F$11)</f>
        <v>9.5178999999999991</v>
      </c>
      <c r="E331" s="12">
        <f>9.5281 * CHOOSE( CONTROL!$C$15, $D$11, 100%, $F$11)</f>
        <v>9.5281000000000002</v>
      </c>
      <c r="F331" s="4">
        <f>10.2074 * CHOOSE(CONTROL!$C$15, $D$11, 100%, $F$11)</f>
        <v>10.2074</v>
      </c>
      <c r="G331" s="8">
        <f>9.4298 * CHOOSE( CONTROL!$C$15, $D$11, 100%, $F$11)</f>
        <v>9.4298000000000002</v>
      </c>
      <c r="H331" s="4">
        <f>10.3345 * CHOOSE(CONTROL!$C$15, $D$11, 100%, $F$11)</f>
        <v>10.3345</v>
      </c>
      <c r="I331" s="8">
        <f>9.3998 * CHOOSE(CONTROL!$C$15, $D$11, 100%, $F$11)</f>
        <v>9.3998000000000008</v>
      </c>
      <c r="J331" s="4">
        <f>9.2519 * CHOOSE(CONTROL!$C$15, $D$11, 100%, $F$11)</f>
        <v>9.2518999999999991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9.6878 * CHOOSE(CONTROL!$C$15, $D$11, 100%, $F$11)</f>
        <v>9.6877999999999993</v>
      </c>
      <c r="C332" s="8">
        <f>9.6923 * CHOOSE(CONTROL!$C$15, $D$11, 100%, $F$11)</f>
        <v>9.6922999999999995</v>
      </c>
      <c r="D332" s="8">
        <f>9.7357 * CHOOSE( CONTROL!$C$15, $D$11, 100%, $F$11)</f>
        <v>9.7356999999999996</v>
      </c>
      <c r="E332" s="12">
        <f>9.7209 * CHOOSE( CONTROL!$C$15, $D$11, 100%, $F$11)</f>
        <v>9.7209000000000003</v>
      </c>
      <c r="F332" s="4">
        <f>10.4322 * CHOOSE(CONTROL!$C$15, $D$11, 100%, $F$11)</f>
        <v>10.4322</v>
      </c>
      <c r="G332" s="8">
        <f>9.5808 * CHOOSE( CONTROL!$C$15, $D$11, 100%, $F$11)</f>
        <v>9.5808</v>
      </c>
      <c r="H332" s="4">
        <f>10.5567 * CHOOSE(CONTROL!$C$15, $D$11, 100%, $F$11)</f>
        <v>10.556699999999999</v>
      </c>
      <c r="I332" s="8">
        <f>9.5386 * CHOOSE(CONTROL!$C$15, $D$11, 100%, $F$11)</f>
        <v>9.5386000000000006</v>
      </c>
      <c r="J332" s="4">
        <f>9.3925 * CHOOSE(CONTROL!$C$15, $D$11, 100%, $F$11)</f>
        <v>9.3925000000000001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9.9507, 9.9471) * CHOOSE(CONTROL!$C$15, $D$11, 100%, $F$11)</f>
        <v>9.9506999999999994</v>
      </c>
      <c r="C333" s="8">
        <f>CHOOSE( CONTROL!$C$32, 9.9587, 9.955) * CHOOSE(CONTROL!$C$15, $D$11, 100%, $F$11)</f>
        <v>9.9587000000000003</v>
      </c>
      <c r="D333" s="8">
        <f>CHOOSE( CONTROL!$C$32, 9.9964, 9.9928) * CHOOSE( CONTROL!$C$15, $D$11, 100%, $F$11)</f>
        <v>9.9963999999999995</v>
      </c>
      <c r="E333" s="12">
        <f>CHOOSE( CONTROL!$C$32, 9.9815, 9.9779) * CHOOSE( CONTROL!$C$15, $D$11, 100%, $F$11)</f>
        <v>9.9815000000000005</v>
      </c>
      <c r="F333" s="4">
        <f>CHOOSE( CONTROL!$C$32, 10.6937, 10.6901) * CHOOSE(CONTROL!$C$15, $D$11, 100%, $F$11)</f>
        <v>10.6937</v>
      </c>
      <c r="G333" s="8">
        <f>CHOOSE( CONTROL!$C$32, 9.8401, 9.8365) * CHOOSE( CONTROL!$C$15, $D$11, 100%, $F$11)</f>
        <v>9.8400999999999996</v>
      </c>
      <c r="H333" s="4">
        <f>CHOOSE( CONTROL!$C$32, 10.8151, 10.8115) * CHOOSE(CONTROL!$C$15, $D$11, 100%, $F$11)</f>
        <v>10.815099999999999</v>
      </c>
      <c r="I333" s="8">
        <f>CHOOSE( CONTROL!$C$32, 9.7927, 9.7892) * CHOOSE(CONTROL!$C$15, $D$11, 100%, $F$11)</f>
        <v>9.7927</v>
      </c>
      <c r="J333" s="4">
        <f>CHOOSE( CONTROL!$C$32, 9.6463, 9.6428) * CHOOSE(CONTROL!$C$15, $D$11, 100%, $F$11)</f>
        <v>9.6463000000000001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9.7909, 9.7873) * CHOOSE(CONTROL!$C$15, $D$11, 100%, $F$11)</f>
        <v>9.7909000000000006</v>
      </c>
      <c r="C334" s="8">
        <f>CHOOSE( CONTROL!$C$32, 9.7989, 9.7953) * CHOOSE(CONTROL!$C$15, $D$11, 100%, $F$11)</f>
        <v>9.7988999999999997</v>
      </c>
      <c r="D334" s="8">
        <f>CHOOSE( CONTROL!$C$32, 9.8369, 9.8332) * CHOOSE( CONTROL!$C$15, $D$11, 100%, $F$11)</f>
        <v>9.8369</v>
      </c>
      <c r="E334" s="12">
        <f>CHOOSE( CONTROL!$C$32, 9.8219, 9.8182) * CHOOSE( CONTROL!$C$15, $D$11, 100%, $F$11)</f>
        <v>9.8218999999999994</v>
      </c>
      <c r="F334" s="4">
        <f>CHOOSE( CONTROL!$C$32, 10.534, 10.5303) * CHOOSE(CONTROL!$C$15, $D$11, 100%, $F$11)</f>
        <v>10.534000000000001</v>
      </c>
      <c r="G334" s="8">
        <f>CHOOSE( CONTROL!$C$32, 9.6825, 9.6789) * CHOOSE( CONTROL!$C$15, $D$11, 100%, $F$11)</f>
        <v>9.6824999999999992</v>
      </c>
      <c r="H334" s="4">
        <f>CHOOSE( CONTROL!$C$32, 10.6572, 10.6536) * CHOOSE(CONTROL!$C$15, $D$11, 100%, $F$11)</f>
        <v>10.6572</v>
      </c>
      <c r="I334" s="8">
        <f>CHOOSE( CONTROL!$C$32, 9.6386, 9.6351) * CHOOSE(CONTROL!$C$15, $D$11, 100%, $F$11)</f>
        <v>9.6386000000000003</v>
      </c>
      <c r="J334" s="4">
        <f>CHOOSE( CONTROL!$C$32, 9.4913, 9.4878) * CHOOSE(CONTROL!$C$15, $D$11, 100%, $F$11)</f>
        <v>9.4913000000000007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10.2116, 10.208) * CHOOSE(CONTROL!$C$15, $D$11, 100%, $F$11)</f>
        <v>10.211600000000001</v>
      </c>
      <c r="C335" s="8">
        <f>CHOOSE( CONTROL!$C$32, 10.2196, 10.2159) * CHOOSE(CONTROL!$C$15, $D$11, 100%, $F$11)</f>
        <v>10.2196</v>
      </c>
      <c r="D335" s="8">
        <f>CHOOSE( CONTROL!$C$32, 10.2578, 10.2541) * CHOOSE( CONTROL!$C$15, $D$11, 100%, $F$11)</f>
        <v>10.2578</v>
      </c>
      <c r="E335" s="12">
        <f>CHOOSE( CONTROL!$C$32, 10.2427, 10.2391) * CHOOSE( CONTROL!$C$15, $D$11, 100%, $F$11)</f>
        <v>10.242699999999999</v>
      </c>
      <c r="F335" s="4">
        <f>CHOOSE( CONTROL!$C$32, 10.9546, 10.951) * CHOOSE(CONTROL!$C$15, $D$11, 100%, $F$11)</f>
        <v>10.954599999999999</v>
      </c>
      <c r="G335" s="8">
        <f>CHOOSE( CONTROL!$C$32, 10.0986, 10.095) * CHOOSE( CONTROL!$C$15, $D$11, 100%, $F$11)</f>
        <v>10.098599999999999</v>
      </c>
      <c r="H335" s="4">
        <f>CHOOSE( CONTROL!$C$32, 11.073, 11.0694) * CHOOSE(CONTROL!$C$15, $D$11, 100%, $F$11)</f>
        <v>11.073</v>
      </c>
      <c r="I335" s="8">
        <f>CHOOSE( CONTROL!$C$32, 10.0482, 10.0447) * CHOOSE(CONTROL!$C$15, $D$11, 100%, $F$11)</f>
        <v>10.0482</v>
      </c>
      <c r="J335" s="4">
        <f>CHOOSE( CONTROL!$C$32, 9.8996, 9.896) * CHOOSE(CONTROL!$C$15, $D$11, 100%, $F$11)</f>
        <v>9.8995999999999995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9.4245, 9.4209) * CHOOSE(CONTROL!$C$15, $D$11, 100%, $F$11)</f>
        <v>9.4245000000000001</v>
      </c>
      <c r="C336" s="8">
        <f>CHOOSE( CONTROL!$C$32, 9.4325, 9.4288) * CHOOSE(CONTROL!$C$15, $D$11, 100%, $F$11)</f>
        <v>9.4324999999999992</v>
      </c>
      <c r="D336" s="8">
        <f>CHOOSE( CONTROL!$C$32, 9.4707, 9.4671) * CHOOSE( CONTROL!$C$15, $D$11, 100%, $F$11)</f>
        <v>9.4707000000000008</v>
      </c>
      <c r="E336" s="12">
        <f>CHOOSE( CONTROL!$C$32, 9.4556, 9.452) * CHOOSE( CONTROL!$C$15, $D$11, 100%, $F$11)</f>
        <v>9.4556000000000004</v>
      </c>
      <c r="F336" s="4">
        <f>CHOOSE( CONTROL!$C$32, 10.1675, 10.1639) * CHOOSE(CONTROL!$C$15, $D$11, 100%, $F$11)</f>
        <v>10.1675</v>
      </c>
      <c r="G336" s="8">
        <f>CHOOSE( CONTROL!$C$32, 9.3208, 9.3172) * CHOOSE( CONTROL!$C$15, $D$11, 100%, $F$11)</f>
        <v>9.3208000000000002</v>
      </c>
      <c r="H336" s="4">
        <f>CHOOSE( CONTROL!$C$32, 10.2951, 10.2915) * CHOOSE(CONTROL!$C$15, $D$11, 100%, $F$11)</f>
        <v>10.2951</v>
      </c>
      <c r="I336" s="8">
        <f>CHOOSE( CONTROL!$C$32, 9.2842, 9.2807) * CHOOSE(CONTROL!$C$15, $D$11, 100%, $F$11)</f>
        <v>9.2842000000000002</v>
      </c>
      <c r="J336" s="4">
        <f>CHOOSE( CONTROL!$C$32, 9.1357, 9.1321) * CHOOSE(CONTROL!$C$15, $D$11, 100%, $F$11)</f>
        <v>9.1356999999999999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9.2274, 9.2238) * CHOOSE(CONTROL!$C$15, $D$11, 100%, $F$11)</f>
        <v>9.2273999999999994</v>
      </c>
      <c r="C337" s="8">
        <f>CHOOSE( CONTROL!$C$32, 9.2354, 9.2317) * CHOOSE(CONTROL!$C$15, $D$11, 100%, $F$11)</f>
        <v>9.2354000000000003</v>
      </c>
      <c r="D337" s="8">
        <f>CHOOSE( CONTROL!$C$32, 9.2735, 9.2699) * CHOOSE( CONTROL!$C$15, $D$11, 100%, $F$11)</f>
        <v>9.2735000000000003</v>
      </c>
      <c r="E337" s="12">
        <f>CHOOSE( CONTROL!$C$32, 9.2585, 9.2549) * CHOOSE( CONTROL!$C$15, $D$11, 100%, $F$11)</f>
        <v>9.2584999999999997</v>
      </c>
      <c r="F337" s="4">
        <f>CHOOSE( CONTROL!$C$32, 9.9704, 9.9668) * CHOOSE(CONTROL!$C$15, $D$11, 100%, $F$11)</f>
        <v>9.9703999999999997</v>
      </c>
      <c r="G337" s="8">
        <f>CHOOSE( CONTROL!$C$32, 9.1259, 9.1223) * CHOOSE( CONTROL!$C$15, $D$11, 100%, $F$11)</f>
        <v>9.1258999999999997</v>
      </c>
      <c r="H337" s="4">
        <f>CHOOSE( CONTROL!$C$32, 10.1003, 10.0967) * CHOOSE(CONTROL!$C$15, $D$11, 100%, $F$11)</f>
        <v>10.100300000000001</v>
      </c>
      <c r="I337" s="8">
        <f>CHOOSE( CONTROL!$C$32, 9.0925, 9.0889) * CHOOSE(CONTROL!$C$15, $D$11, 100%, $F$11)</f>
        <v>9.0924999999999994</v>
      </c>
      <c r="J337" s="4">
        <f>CHOOSE( CONTROL!$C$32, 8.9444, 8.9408) * CHOOSE(CONTROL!$C$15, $D$11, 100%, $F$11)</f>
        <v>8.9443999999999999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9.6313 * CHOOSE(CONTROL!$C$15, $D$11, 100%, $F$11)</f>
        <v>9.6312999999999995</v>
      </c>
      <c r="C338" s="8">
        <f>9.6366 * CHOOSE(CONTROL!$C$15, $D$11, 100%, $F$11)</f>
        <v>9.6365999999999996</v>
      </c>
      <c r="D338" s="8">
        <f>9.6801 * CHOOSE( CONTROL!$C$15, $D$11, 100%, $F$11)</f>
        <v>9.6800999999999995</v>
      </c>
      <c r="E338" s="12">
        <f>9.6652 * CHOOSE( CONTROL!$C$15, $D$11, 100%, $F$11)</f>
        <v>9.6652000000000005</v>
      </c>
      <c r="F338" s="4">
        <f>10.376 * CHOOSE(CONTROL!$C$15, $D$11, 100%, $F$11)</f>
        <v>10.375999999999999</v>
      </c>
      <c r="G338" s="8">
        <f>9.5262 * CHOOSE( CONTROL!$C$15, $D$11, 100%, $F$11)</f>
        <v>9.5261999999999993</v>
      </c>
      <c r="H338" s="4">
        <f>10.5011 * CHOOSE(CONTROL!$C$15, $D$11, 100%, $F$11)</f>
        <v>10.501099999999999</v>
      </c>
      <c r="I338" s="8">
        <f>9.4871 * CHOOSE(CONTROL!$C$15, $D$11, 100%, $F$11)</f>
        <v>9.4870999999999999</v>
      </c>
      <c r="J338" s="4">
        <f>9.338 * CHOOSE(CONTROL!$C$15, $D$11, 100%, $F$11)</f>
        <v>9.3379999999999992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10.3863 * CHOOSE(CONTROL!$C$15, $D$11, 100%, $F$11)</f>
        <v>10.3863</v>
      </c>
      <c r="C339" s="8">
        <f>10.3914 * CHOOSE(CONTROL!$C$15, $D$11, 100%, $F$11)</f>
        <v>10.391400000000001</v>
      </c>
      <c r="D339" s="8">
        <f>10.375 * CHOOSE( CONTROL!$C$15, $D$11, 100%, $F$11)</f>
        <v>10.375</v>
      </c>
      <c r="E339" s="12">
        <f>10.3805 * CHOOSE( CONTROL!$C$15, $D$11, 100%, $F$11)</f>
        <v>10.3805</v>
      </c>
      <c r="F339" s="4">
        <f>11.0516 * CHOOSE(CONTROL!$C$15, $D$11, 100%, $F$11)</f>
        <v>11.051600000000001</v>
      </c>
      <c r="G339" s="8">
        <f>10.2734 * CHOOSE( CONTROL!$C$15, $D$11, 100%, $F$11)</f>
        <v>10.273400000000001</v>
      </c>
      <c r="H339" s="4">
        <f>11.1688 * CHOOSE(CONTROL!$C$15, $D$11, 100%, $F$11)</f>
        <v>11.168799999999999</v>
      </c>
      <c r="I339" s="8">
        <f>10.2207 * CHOOSE(CONTROL!$C$15, $D$11, 100%, $F$11)</f>
        <v>10.220700000000001</v>
      </c>
      <c r="J339" s="4">
        <f>10.0711 * CHOOSE(CONTROL!$C$15, $D$11, 100%, $F$11)</f>
        <v>10.071099999999999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10.3674 * CHOOSE(CONTROL!$C$15, $D$11, 100%, $F$11)</f>
        <v>10.3674</v>
      </c>
      <c r="C340" s="8">
        <f>10.3725 * CHOOSE(CONTROL!$C$15, $D$11, 100%, $F$11)</f>
        <v>10.3725</v>
      </c>
      <c r="D340" s="8">
        <f>10.3579 * CHOOSE( CONTROL!$C$15, $D$11, 100%, $F$11)</f>
        <v>10.357900000000001</v>
      </c>
      <c r="E340" s="12">
        <f>10.3627 * CHOOSE( CONTROL!$C$15, $D$11, 100%, $F$11)</f>
        <v>10.3627</v>
      </c>
      <c r="F340" s="4">
        <f>11.0327 * CHOOSE(CONTROL!$C$15, $D$11, 100%, $F$11)</f>
        <v>11.0327</v>
      </c>
      <c r="G340" s="8">
        <f>10.256 * CHOOSE( CONTROL!$C$15, $D$11, 100%, $F$11)</f>
        <v>10.256</v>
      </c>
      <c r="H340" s="4">
        <f>11.1501 * CHOOSE(CONTROL!$C$15, $D$11, 100%, $F$11)</f>
        <v>11.1501</v>
      </c>
      <c r="I340" s="8">
        <f>10.2077 * CHOOSE(CONTROL!$C$15, $D$11, 100%, $F$11)</f>
        <v>10.207700000000001</v>
      </c>
      <c r="J340" s="4">
        <f>10.0528 * CHOOSE(CONTROL!$C$15, $D$11, 100%, $F$11)</f>
        <v>10.0528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10.6729 * CHOOSE(CONTROL!$C$15, $D$11, 100%, $F$11)</f>
        <v>10.6729</v>
      </c>
      <c r="C341" s="8">
        <f>10.678 * CHOOSE(CONTROL!$C$15, $D$11, 100%, $F$11)</f>
        <v>10.678000000000001</v>
      </c>
      <c r="D341" s="8">
        <f>10.6491 * CHOOSE( CONTROL!$C$15, $D$11, 100%, $F$11)</f>
        <v>10.649100000000001</v>
      </c>
      <c r="E341" s="12">
        <f>10.6591 * CHOOSE( CONTROL!$C$15, $D$11, 100%, $F$11)</f>
        <v>10.6591</v>
      </c>
      <c r="F341" s="4">
        <f>11.3382 * CHOOSE(CONTROL!$C$15, $D$11, 100%, $F$11)</f>
        <v>11.338200000000001</v>
      </c>
      <c r="G341" s="8">
        <f>10.5477 * CHOOSE( CONTROL!$C$15, $D$11, 100%, $F$11)</f>
        <v>10.547700000000001</v>
      </c>
      <c r="H341" s="4">
        <f>11.4521 * CHOOSE(CONTROL!$C$15, $D$11, 100%, $F$11)</f>
        <v>11.4521</v>
      </c>
      <c r="I341" s="8">
        <f>10.499 * CHOOSE(CONTROL!$C$15, $D$11, 100%, $F$11)</f>
        <v>10.499000000000001</v>
      </c>
      <c r="J341" s="4">
        <f>10.3493 * CHOOSE(CONTROL!$C$15, $D$11, 100%, $F$11)</f>
        <v>10.349299999999999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9.9835 * CHOOSE(CONTROL!$C$15, $D$11, 100%, $F$11)</f>
        <v>9.9834999999999994</v>
      </c>
      <c r="C342" s="8">
        <f>9.9886 * CHOOSE(CONTROL!$C$15, $D$11, 100%, $F$11)</f>
        <v>9.9885999999999999</v>
      </c>
      <c r="D342" s="8">
        <f>9.9597 * CHOOSE( CONTROL!$C$15, $D$11, 100%, $F$11)</f>
        <v>9.9596999999999998</v>
      </c>
      <c r="E342" s="12">
        <f>9.9697 * CHOOSE( CONTROL!$C$15, $D$11, 100%, $F$11)</f>
        <v>9.9696999999999996</v>
      </c>
      <c r="F342" s="4">
        <f>10.6488 * CHOOSE(CONTROL!$C$15, $D$11, 100%, $F$11)</f>
        <v>10.6488</v>
      </c>
      <c r="G342" s="8">
        <f>9.8663 * CHOOSE( CONTROL!$C$15, $D$11, 100%, $F$11)</f>
        <v>9.8663000000000007</v>
      </c>
      <c r="H342" s="4">
        <f>10.7708 * CHOOSE(CONTROL!$C$15, $D$11, 100%, $F$11)</f>
        <v>10.770799999999999</v>
      </c>
      <c r="I342" s="8">
        <f>9.8296 * CHOOSE(CONTROL!$C$15, $D$11, 100%, $F$11)</f>
        <v>9.8295999999999992</v>
      </c>
      <c r="J342" s="4">
        <f>9.6803 * CHOOSE(CONTROL!$C$15, $D$11, 100%, $F$11)</f>
        <v>9.6803000000000008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9.7712 * CHOOSE(CONTROL!$C$15, $D$11, 100%, $F$11)</f>
        <v>9.7712000000000003</v>
      </c>
      <c r="C343" s="8">
        <f>9.7763 * CHOOSE(CONTROL!$C$15, $D$11, 100%, $F$11)</f>
        <v>9.7763000000000009</v>
      </c>
      <c r="D343" s="8">
        <f>9.747 * CHOOSE( CONTROL!$C$15, $D$11, 100%, $F$11)</f>
        <v>9.7469999999999999</v>
      </c>
      <c r="E343" s="12">
        <f>9.7572 * CHOOSE( CONTROL!$C$15, $D$11, 100%, $F$11)</f>
        <v>9.7571999999999992</v>
      </c>
      <c r="F343" s="4">
        <f>10.4365 * CHOOSE(CONTROL!$C$15, $D$11, 100%, $F$11)</f>
        <v>10.436500000000001</v>
      </c>
      <c r="G343" s="8">
        <f>9.6562 * CHOOSE( CONTROL!$C$15, $D$11, 100%, $F$11)</f>
        <v>9.6562000000000001</v>
      </c>
      <c r="H343" s="4">
        <f>10.5609 * CHOOSE(CONTROL!$C$15, $D$11, 100%, $F$11)</f>
        <v>10.5609</v>
      </c>
      <c r="I343" s="8">
        <f>9.6222 * CHOOSE(CONTROL!$C$15, $D$11, 100%, $F$11)</f>
        <v>9.6221999999999994</v>
      </c>
      <c r="J343" s="4">
        <f>9.4742 * CHOOSE(CONTROL!$C$15, $D$11, 100%, $F$11)</f>
        <v>9.4741999999999997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9.9203 * CHOOSE(CONTROL!$C$15, $D$11, 100%, $F$11)</f>
        <v>9.9202999999999992</v>
      </c>
      <c r="C344" s="8">
        <f>9.9249 * CHOOSE(CONTROL!$C$15, $D$11, 100%, $F$11)</f>
        <v>9.9248999999999992</v>
      </c>
      <c r="D344" s="8">
        <f>9.9682 * CHOOSE( CONTROL!$C$15, $D$11, 100%, $F$11)</f>
        <v>9.9681999999999995</v>
      </c>
      <c r="E344" s="12">
        <f>9.9534 * CHOOSE( CONTROL!$C$15, $D$11, 100%, $F$11)</f>
        <v>9.9534000000000002</v>
      </c>
      <c r="F344" s="4">
        <f>10.6647 * CHOOSE(CONTROL!$C$15, $D$11, 100%, $F$11)</f>
        <v>10.6647</v>
      </c>
      <c r="G344" s="8">
        <f>9.8106 * CHOOSE( CONTROL!$C$15, $D$11, 100%, $F$11)</f>
        <v>9.8106000000000009</v>
      </c>
      <c r="H344" s="4">
        <f>10.7865 * CHOOSE(CONTROL!$C$15, $D$11, 100%, $F$11)</f>
        <v>10.7865</v>
      </c>
      <c r="I344" s="8">
        <f>9.7644 * CHOOSE(CONTROL!$C$15, $D$11, 100%, $F$11)</f>
        <v>9.7644000000000002</v>
      </c>
      <c r="J344" s="4">
        <f>9.6182 * CHOOSE(CONTROL!$C$15, $D$11, 100%, $F$11)</f>
        <v>9.6181999999999999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10.1894, 10.1858) * CHOOSE(CONTROL!$C$15, $D$11, 100%, $F$11)</f>
        <v>10.189399999999999</v>
      </c>
      <c r="C345" s="8">
        <f>CHOOSE( CONTROL!$C$32, 10.1974, 10.1938) * CHOOSE(CONTROL!$C$15, $D$11, 100%, $F$11)</f>
        <v>10.1974</v>
      </c>
      <c r="D345" s="8">
        <f>CHOOSE( CONTROL!$C$32, 10.2351, 10.2315) * CHOOSE( CONTROL!$C$15, $D$11, 100%, $F$11)</f>
        <v>10.235099999999999</v>
      </c>
      <c r="E345" s="12">
        <f>CHOOSE( CONTROL!$C$32, 10.2202, 10.2166) * CHOOSE( CONTROL!$C$15, $D$11, 100%, $F$11)</f>
        <v>10.2202</v>
      </c>
      <c r="F345" s="4">
        <f>CHOOSE( CONTROL!$C$32, 10.9324, 10.9288) * CHOOSE(CONTROL!$C$15, $D$11, 100%, $F$11)</f>
        <v>10.932399999999999</v>
      </c>
      <c r="G345" s="8">
        <f>CHOOSE( CONTROL!$C$32, 10.076, 10.0724) * CHOOSE( CONTROL!$C$15, $D$11, 100%, $F$11)</f>
        <v>10.076000000000001</v>
      </c>
      <c r="H345" s="4">
        <f>CHOOSE( CONTROL!$C$32, 11.051, 11.0474) * CHOOSE(CONTROL!$C$15, $D$11, 100%, $F$11)</f>
        <v>11.051</v>
      </c>
      <c r="I345" s="8">
        <f>CHOOSE( CONTROL!$C$32, 10.0245, 10.021) * CHOOSE(CONTROL!$C$15, $D$11, 100%, $F$11)</f>
        <v>10.0245</v>
      </c>
      <c r="J345" s="4">
        <f>CHOOSE( CONTROL!$C$32, 9.878, 9.8745) * CHOOSE(CONTROL!$C$15, $D$11, 100%, $F$11)</f>
        <v>9.8780000000000001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10.0258, 10.0222) * CHOOSE(CONTROL!$C$15, $D$11, 100%, $F$11)</f>
        <v>10.0258</v>
      </c>
      <c r="C346" s="8">
        <f>CHOOSE( CONTROL!$C$32, 10.0338, 10.0302) * CHOOSE(CONTROL!$C$15, $D$11, 100%, $F$11)</f>
        <v>10.033799999999999</v>
      </c>
      <c r="D346" s="8">
        <f>CHOOSE( CONTROL!$C$32, 10.0718, 10.0681) * CHOOSE( CONTROL!$C$15, $D$11, 100%, $F$11)</f>
        <v>10.0718</v>
      </c>
      <c r="E346" s="12">
        <f>CHOOSE( CONTROL!$C$32, 10.0568, 10.0531) * CHOOSE( CONTROL!$C$15, $D$11, 100%, $F$11)</f>
        <v>10.056800000000001</v>
      </c>
      <c r="F346" s="4">
        <f>CHOOSE( CONTROL!$C$32, 10.7688, 10.7652) * CHOOSE(CONTROL!$C$15, $D$11, 100%, $F$11)</f>
        <v>10.768800000000001</v>
      </c>
      <c r="G346" s="8">
        <f>CHOOSE( CONTROL!$C$32, 9.9147, 9.9111) * CHOOSE( CONTROL!$C$15, $D$11, 100%, $F$11)</f>
        <v>9.9146999999999998</v>
      </c>
      <c r="H346" s="4">
        <f>CHOOSE( CONTROL!$C$32, 10.8894, 10.8858) * CHOOSE(CONTROL!$C$15, $D$11, 100%, $F$11)</f>
        <v>10.8894</v>
      </c>
      <c r="I346" s="8">
        <f>CHOOSE( CONTROL!$C$32, 9.8667, 9.8632) * CHOOSE(CONTROL!$C$15, $D$11, 100%, $F$11)</f>
        <v>9.8666999999999998</v>
      </c>
      <c r="J346" s="4">
        <f>CHOOSE( CONTROL!$C$32, 9.7193, 9.7157) * CHOOSE(CONTROL!$C$15, $D$11, 100%, $F$11)</f>
        <v>9.7193000000000005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10.4566, 10.453) * CHOOSE(CONTROL!$C$15, $D$11, 100%, $F$11)</f>
        <v>10.4566</v>
      </c>
      <c r="C347" s="8">
        <f>CHOOSE( CONTROL!$C$32, 10.4646, 10.461) * CHOOSE(CONTROL!$C$15, $D$11, 100%, $F$11)</f>
        <v>10.464600000000001</v>
      </c>
      <c r="D347" s="8">
        <f>CHOOSE( CONTROL!$C$32, 10.5028, 10.4992) * CHOOSE( CONTROL!$C$15, $D$11, 100%, $F$11)</f>
        <v>10.502800000000001</v>
      </c>
      <c r="E347" s="12">
        <f>CHOOSE( CONTROL!$C$32, 10.4877, 10.4841) * CHOOSE( CONTROL!$C$15, $D$11, 100%, $F$11)</f>
        <v>10.4877</v>
      </c>
      <c r="F347" s="4">
        <f>CHOOSE( CONTROL!$C$32, 11.1996, 11.196) * CHOOSE(CONTROL!$C$15, $D$11, 100%, $F$11)</f>
        <v>11.1996</v>
      </c>
      <c r="G347" s="8">
        <f>CHOOSE( CONTROL!$C$32, 10.3408, 10.3372) * CHOOSE( CONTROL!$C$15, $D$11, 100%, $F$11)</f>
        <v>10.3408</v>
      </c>
      <c r="H347" s="4">
        <f>CHOOSE( CONTROL!$C$32, 11.3151, 11.3115) * CHOOSE(CONTROL!$C$15, $D$11, 100%, $F$11)</f>
        <v>11.315099999999999</v>
      </c>
      <c r="I347" s="8">
        <f>CHOOSE( CONTROL!$C$32, 10.2861, 10.2826) * CHOOSE(CONTROL!$C$15, $D$11, 100%, $F$11)</f>
        <v>10.286099999999999</v>
      </c>
      <c r="J347" s="4">
        <f>CHOOSE( CONTROL!$C$32, 10.1373, 10.1338) * CHOOSE(CONTROL!$C$15, $D$11, 100%, $F$11)</f>
        <v>10.1373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9.6506, 9.6469) * CHOOSE(CONTROL!$C$15, $D$11, 100%, $F$11)</f>
        <v>9.6506000000000007</v>
      </c>
      <c r="C348" s="8">
        <f>CHOOSE( CONTROL!$C$32, 9.6586, 9.6549) * CHOOSE(CONTROL!$C$15, $D$11, 100%, $F$11)</f>
        <v>9.6585999999999999</v>
      </c>
      <c r="D348" s="8">
        <f>CHOOSE( CONTROL!$C$32, 9.6968, 9.6932) * CHOOSE( CONTROL!$C$15, $D$11, 100%, $F$11)</f>
        <v>9.6967999999999996</v>
      </c>
      <c r="E348" s="12">
        <f>CHOOSE( CONTROL!$C$32, 9.6817, 9.6781) * CHOOSE( CONTROL!$C$15, $D$11, 100%, $F$11)</f>
        <v>9.6816999999999993</v>
      </c>
      <c r="F348" s="4">
        <f>CHOOSE( CONTROL!$C$32, 10.3936, 10.39) * CHOOSE(CONTROL!$C$15, $D$11, 100%, $F$11)</f>
        <v>10.393599999999999</v>
      </c>
      <c r="G348" s="8">
        <f>CHOOSE( CONTROL!$C$32, 9.5442, 9.5406) * CHOOSE( CONTROL!$C$15, $D$11, 100%, $F$11)</f>
        <v>9.5442</v>
      </c>
      <c r="H348" s="4">
        <f>CHOOSE( CONTROL!$C$32, 10.5185, 10.5149) * CHOOSE(CONTROL!$C$15, $D$11, 100%, $F$11)</f>
        <v>10.5185</v>
      </c>
      <c r="I348" s="8">
        <f>CHOOSE( CONTROL!$C$32, 9.5038, 9.5002) * CHOOSE(CONTROL!$C$15, $D$11, 100%, $F$11)</f>
        <v>9.5038</v>
      </c>
      <c r="J348" s="4">
        <f>CHOOSE( CONTROL!$C$32, 9.3551, 9.3515) * CHOOSE(CONTROL!$C$15, $D$11, 100%, $F$11)</f>
        <v>9.3551000000000002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9.4487, 9.4451) * CHOOSE(CONTROL!$C$15, $D$11, 100%, $F$11)</f>
        <v>9.4487000000000005</v>
      </c>
      <c r="C349" s="8">
        <f>CHOOSE( CONTROL!$C$32, 9.4567, 9.4531) * CHOOSE(CONTROL!$C$15, $D$11, 100%, $F$11)</f>
        <v>9.4566999999999997</v>
      </c>
      <c r="D349" s="8">
        <f>CHOOSE( CONTROL!$C$32, 9.4949, 9.4913) * CHOOSE( CONTROL!$C$15, $D$11, 100%, $F$11)</f>
        <v>9.4948999999999995</v>
      </c>
      <c r="E349" s="12">
        <f>CHOOSE( CONTROL!$C$32, 9.4798, 9.4762) * CHOOSE( CONTROL!$C$15, $D$11, 100%, $F$11)</f>
        <v>9.4797999999999991</v>
      </c>
      <c r="F349" s="4">
        <f>CHOOSE( CONTROL!$C$32, 10.1918, 10.1881) * CHOOSE(CONTROL!$C$15, $D$11, 100%, $F$11)</f>
        <v>10.191800000000001</v>
      </c>
      <c r="G349" s="8">
        <f>CHOOSE( CONTROL!$C$32, 9.3447, 9.3411) * CHOOSE( CONTROL!$C$15, $D$11, 100%, $F$11)</f>
        <v>9.3446999999999996</v>
      </c>
      <c r="H349" s="4">
        <f>CHOOSE( CONTROL!$C$32, 10.319, 10.3154) * CHOOSE(CONTROL!$C$15, $D$11, 100%, $F$11)</f>
        <v>10.319000000000001</v>
      </c>
      <c r="I349" s="8">
        <f>CHOOSE( CONTROL!$C$32, 9.3074, 9.3039) * CHOOSE(CONTROL!$C$15, $D$11, 100%, $F$11)</f>
        <v>9.3073999999999995</v>
      </c>
      <c r="J349" s="4">
        <f>CHOOSE( CONTROL!$C$32, 9.1592, 9.1557) * CHOOSE(CONTROL!$C$15, $D$11, 100%, $F$11)</f>
        <v>9.1592000000000002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9.8625 * CHOOSE(CONTROL!$C$15, $D$11, 100%, $F$11)</f>
        <v>9.8625000000000007</v>
      </c>
      <c r="C350" s="8">
        <f>9.8678 * CHOOSE(CONTROL!$C$15, $D$11, 100%, $F$11)</f>
        <v>9.8678000000000008</v>
      </c>
      <c r="D350" s="8">
        <f>9.9113 * CHOOSE( CONTROL!$C$15, $D$11, 100%, $F$11)</f>
        <v>9.9113000000000007</v>
      </c>
      <c r="E350" s="12">
        <f>9.8964 * CHOOSE( CONTROL!$C$15, $D$11, 100%, $F$11)</f>
        <v>9.8963999999999999</v>
      </c>
      <c r="F350" s="4">
        <f>10.6072 * CHOOSE(CONTROL!$C$15, $D$11, 100%, $F$11)</f>
        <v>10.607200000000001</v>
      </c>
      <c r="G350" s="8">
        <f>9.7547 * CHOOSE( CONTROL!$C$15, $D$11, 100%, $F$11)</f>
        <v>9.7546999999999997</v>
      </c>
      <c r="H350" s="4">
        <f>10.7296 * CHOOSE(CONTROL!$C$15, $D$11, 100%, $F$11)</f>
        <v>10.7296</v>
      </c>
      <c r="I350" s="8">
        <f>9.7115 * CHOOSE(CONTROL!$C$15, $D$11, 100%, $F$11)</f>
        <v>9.7114999999999991</v>
      </c>
      <c r="J350" s="4">
        <f>9.5624 * CHOOSE(CONTROL!$C$15, $D$11, 100%, $F$11)</f>
        <v>9.5624000000000002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10.6356 * CHOOSE(CONTROL!$C$15, $D$11, 100%, $F$11)</f>
        <v>10.6356</v>
      </c>
      <c r="C351" s="8">
        <f>10.6407 * CHOOSE(CONTROL!$C$15, $D$11, 100%, $F$11)</f>
        <v>10.640700000000001</v>
      </c>
      <c r="D351" s="8">
        <f>10.6243 * CHOOSE( CONTROL!$C$15, $D$11, 100%, $F$11)</f>
        <v>10.6243</v>
      </c>
      <c r="E351" s="12">
        <f>10.6298 * CHOOSE( CONTROL!$C$15, $D$11, 100%, $F$11)</f>
        <v>10.629799999999999</v>
      </c>
      <c r="F351" s="4">
        <f>11.3009 * CHOOSE(CONTROL!$C$15, $D$11, 100%, $F$11)</f>
        <v>11.3009</v>
      </c>
      <c r="G351" s="8">
        <f>10.5198 * CHOOSE( CONTROL!$C$15, $D$11, 100%, $F$11)</f>
        <v>10.5198</v>
      </c>
      <c r="H351" s="4">
        <f>11.4152 * CHOOSE(CONTROL!$C$15, $D$11, 100%, $F$11)</f>
        <v>11.4152</v>
      </c>
      <c r="I351" s="8">
        <f>10.4628 * CHOOSE(CONTROL!$C$15, $D$11, 100%, $F$11)</f>
        <v>10.4628</v>
      </c>
      <c r="J351" s="4">
        <f>10.3131 * CHOOSE(CONTROL!$C$15, $D$11, 100%, $F$11)</f>
        <v>10.3131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10.6163 * CHOOSE(CONTROL!$C$15, $D$11, 100%, $F$11)</f>
        <v>10.616300000000001</v>
      </c>
      <c r="C352" s="8">
        <f>10.6214 * CHOOSE(CONTROL!$C$15, $D$11, 100%, $F$11)</f>
        <v>10.6214</v>
      </c>
      <c r="D352" s="8">
        <f>10.6067 * CHOOSE( CONTROL!$C$15, $D$11, 100%, $F$11)</f>
        <v>10.6067</v>
      </c>
      <c r="E352" s="12">
        <f>10.6115 * CHOOSE( CONTROL!$C$15, $D$11, 100%, $F$11)</f>
        <v>10.611499999999999</v>
      </c>
      <c r="F352" s="4">
        <f>11.2816 * CHOOSE(CONTROL!$C$15, $D$11, 100%, $F$11)</f>
        <v>11.281599999999999</v>
      </c>
      <c r="G352" s="8">
        <f>10.5019 * CHOOSE( CONTROL!$C$15, $D$11, 100%, $F$11)</f>
        <v>10.501899999999999</v>
      </c>
      <c r="H352" s="4">
        <f>11.3961 * CHOOSE(CONTROL!$C$15, $D$11, 100%, $F$11)</f>
        <v>11.396100000000001</v>
      </c>
      <c r="I352" s="8">
        <f>10.4494 * CHOOSE(CONTROL!$C$15, $D$11, 100%, $F$11)</f>
        <v>10.449400000000001</v>
      </c>
      <c r="J352" s="4">
        <f>10.2944 * CHOOSE(CONTROL!$C$15, $D$11, 100%, $F$11)</f>
        <v>10.2944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10.9292 * CHOOSE(CONTROL!$C$15, $D$11, 100%, $F$11)</f>
        <v>10.9292</v>
      </c>
      <c r="C353" s="8">
        <f>10.9342 * CHOOSE(CONTROL!$C$15, $D$11, 100%, $F$11)</f>
        <v>10.934200000000001</v>
      </c>
      <c r="D353" s="8">
        <f>10.9054 * CHOOSE( CONTROL!$C$15, $D$11, 100%, $F$11)</f>
        <v>10.9054</v>
      </c>
      <c r="E353" s="12">
        <f>10.9154 * CHOOSE( CONTROL!$C$15, $D$11, 100%, $F$11)</f>
        <v>10.9154</v>
      </c>
      <c r="F353" s="4">
        <f>11.5945 * CHOOSE(CONTROL!$C$15, $D$11, 100%, $F$11)</f>
        <v>11.5945</v>
      </c>
      <c r="G353" s="8">
        <f>10.8009 * CHOOSE( CONTROL!$C$15, $D$11, 100%, $F$11)</f>
        <v>10.8009</v>
      </c>
      <c r="H353" s="4">
        <f>11.7053 * CHOOSE(CONTROL!$C$15, $D$11, 100%, $F$11)</f>
        <v>11.705299999999999</v>
      </c>
      <c r="I353" s="8">
        <f>10.7478 * CHOOSE(CONTROL!$C$15, $D$11, 100%, $F$11)</f>
        <v>10.7478</v>
      </c>
      <c r="J353" s="4">
        <f>10.598 * CHOOSE(CONTROL!$C$15, $D$11, 100%, $F$11)</f>
        <v>10.598000000000001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10.2232 * CHOOSE(CONTROL!$C$15, $D$11, 100%, $F$11)</f>
        <v>10.2232</v>
      </c>
      <c r="C354" s="8">
        <f>10.2283 * CHOOSE(CONTROL!$C$15, $D$11, 100%, $F$11)</f>
        <v>10.228300000000001</v>
      </c>
      <c r="D354" s="8">
        <f>10.1994 * CHOOSE( CONTROL!$C$15, $D$11, 100%, $F$11)</f>
        <v>10.199400000000001</v>
      </c>
      <c r="E354" s="12">
        <f>10.2094 * CHOOSE( CONTROL!$C$15, $D$11, 100%, $F$11)</f>
        <v>10.2094</v>
      </c>
      <c r="F354" s="4">
        <f>10.8885 * CHOOSE(CONTROL!$C$15, $D$11, 100%, $F$11)</f>
        <v>10.888500000000001</v>
      </c>
      <c r="G354" s="8">
        <f>10.1032 * CHOOSE( CONTROL!$C$15, $D$11, 100%, $F$11)</f>
        <v>10.103199999999999</v>
      </c>
      <c r="H354" s="4">
        <f>11.0076 * CHOOSE(CONTROL!$C$15, $D$11, 100%, $F$11)</f>
        <v>11.0076</v>
      </c>
      <c r="I354" s="8">
        <f>10.0623 * CHOOSE(CONTROL!$C$15, $D$11, 100%, $F$11)</f>
        <v>10.0623</v>
      </c>
      <c r="J354" s="4">
        <f>9.9129 * CHOOSE(CONTROL!$C$15, $D$11, 100%, $F$11)</f>
        <v>9.9129000000000005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10.0058 * CHOOSE(CONTROL!$C$15, $D$11, 100%, $F$11)</f>
        <v>10.005800000000001</v>
      </c>
      <c r="C355" s="8">
        <f>10.0108 * CHOOSE(CONTROL!$C$15, $D$11, 100%, $F$11)</f>
        <v>10.0108</v>
      </c>
      <c r="D355" s="8">
        <f>9.9816 * CHOOSE( CONTROL!$C$15, $D$11, 100%, $F$11)</f>
        <v>9.9816000000000003</v>
      </c>
      <c r="E355" s="12">
        <f>9.9917 * CHOOSE( CONTROL!$C$15, $D$11, 100%, $F$11)</f>
        <v>9.9916999999999998</v>
      </c>
      <c r="F355" s="4">
        <f>10.671 * CHOOSE(CONTROL!$C$15, $D$11, 100%, $F$11)</f>
        <v>10.670999999999999</v>
      </c>
      <c r="G355" s="8">
        <f>9.888 * CHOOSE( CONTROL!$C$15, $D$11, 100%, $F$11)</f>
        <v>9.8879999999999999</v>
      </c>
      <c r="H355" s="4">
        <f>10.7927 * CHOOSE(CONTROL!$C$15, $D$11, 100%, $F$11)</f>
        <v>10.7927</v>
      </c>
      <c r="I355" s="8">
        <f>9.8499 * CHOOSE(CONTROL!$C$15, $D$11, 100%, $F$11)</f>
        <v>9.8498999999999999</v>
      </c>
      <c r="J355" s="4">
        <f>9.7018 * CHOOSE(CONTROL!$C$15, $D$11, 100%, $F$11)</f>
        <v>9.7018000000000004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10.1585 * CHOOSE(CONTROL!$C$15, $D$11, 100%, $F$11)</f>
        <v>10.1585</v>
      </c>
      <c r="C356" s="8">
        <f>10.163 * CHOOSE(CONTROL!$C$15, $D$11, 100%, $F$11)</f>
        <v>10.163</v>
      </c>
      <c r="D356" s="8">
        <f>10.2064 * CHOOSE( CONTROL!$C$15, $D$11, 100%, $F$11)</f>
        <v>10.2064</v>
      </c>
      <c r="E356" s="12">
        <f>10.1916 * CHOOSE( CONTROL!$C$15, $D$11, 100%, $F$11)</f>
        <v>10.191599999999999</v>
      </c>
      <c r="F356" s="4">
        <f>10.9028 * CHOOSE(CONTROL!$C$15, $D$11, 100%, $F$11)</f>
        <v>10.902799999999999</v>
      </c>
      <c r="G356" s="8">
        <f>10.046 * CHOOSE( CONTROL!$C$15, $D$11, 100%, $F$11)</f>
        <v>10.045999999999999</v>
      </c>
      <c r="H356" s="4">
        <f>11.0218 * CHOOSE(CONTROL!$C$15, $D$11, 100%, $F$11)</f>
        <v>11.021800000000001</v>
      </c>
      <c r="I356" s="8">
        <f>9.9956 * CHOOSE(CONTROL!$C$15, $D$11, 100%, $F$11)</f>
        <v>9.9955999999999996</v>
      </c>
      <c r="J356" s="4">
        <f>9.8493 * CHOOSE(CONTROL!$C$15, $D$11, 100%, $F$11)</f>
        <v>9.8492999999999995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10.4339, 10.4303) * CHOOSE(CONTROL!$C$15, $D$11, 100%, $F$11)</f>
        <v>10.4339</v>
      </c>
      <c r="C357" s="8">
        <f>CHOOSE( CONTROL!$C$32, 10.4419, 10.4382) * CHOOSE(CONTROL!$C$15, $D$11, 100%, $F$11)</f>
        <v>10.4419</v>
      </c>
      <c r="D357" s="8">
        <f>CHOOSE( CONTROL!$C$32, 10.4796, 10.476) * CHOOSE( CONTROL!$C$15, $D$11, 100%, $F$11)</f>
        <v>10.4796</v>
      </c>
      <c r="E357" s="12">
        <f>CHOOSE( CONTROL!$C$32, 10.4647, 10.4611) * CHOOSE( CONTROL!$C$15, $D$11, 100%, $F$11)</f>
        <v>10.464700000000001</v>
      </c>
      <c r="F357" s="4">
        <f>CHOOSE( CONTROL!$C$32, 11.1769, 11.1733) * CHOOSE(CONTROL!$C$15, $D$11, 100%, $F$11)</f>
        <v>11.1769</v>
      </c>
      <c r="G357" s="8">
        <f>CHOOSE( CONTROL!$C$32, 10.3176, 10.314) * CHOOSE( CONTROL!$C$15, $D$11, 100%, $F$11)</f>
        <v>10.317600000000001</v>
      </c>
      <c r="H357" s="4">
        <f>CHOOSE( CONTROL!$C$32, 11.2927, 11.2891) * CHOOSE(CONTROL!$C$15, $D$11, 100%, $F$11)</f>
        <v>11.2927</v>
      </c>
      <c r="I357" s="8">
        <f>CHOOSE( CONTROL!$C$32, 10.2619, 10.2584) * CHOOSE(CONTROL!$C$15, $D$11, 100%, $F$11)</f>
        <v>10.261900000000001</v>
      </c>
      <c r="J357" s="4">
        <f>CHOOSE( CONTROL!$C$32, 10.1153, 10.1117) * CHOOSE(CONTROL!$C$15, $D$11, 100%, $F$11)</f>
        <v>10.1153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10.2664, 10.2627) * CHOOSE(CONTROL!$C$15, $D$11, 100%, $F$11)</f>
        <v>10.266400000000001</v>
      </c>
      <c r="C358" s="8">
        <f>CHOOSE( CONTROL!$C$32, 10.2744, 10.2707) * CHOOSE(CONTROL!$C$15, $D$11, 100%, $F$11)</f>
        <v>10.2744</v>
      </c>
      <c r="D358" s="8">
        <f>CHOOSE( CONTROL!$C$32, 10.3123, 10.3087) * CHOOSE( CONTROL!$C$15, $D$11, 100%, $F$11)</f>
        <v>10.3123</v>
      </c>
      <c r="E358" s="12">
        <f>CHOOSE( CONTROL!$C$32, 10.2973, 10.2937) * CHOOSE( CONTROL!$C$15, $D$11, 100%, $F$11)</f>
        <v>10.2973</v>
      </c>
      <c r="F358" s="4">
        <f>CHOOSE( CONTROL!$C$32, 11.0094, 11.0057) * CHOOSE(CONTROL!$C$15, $D$11, 100%, $F$11)</f>
        <v>11.009399999999999</v>
      </c>
      <c r="G358" s="8">
        <f>CHOOSE( CONTROL!$C$32, 10.1524, 10.1488) * CHOOSE( CONTROL!$C$15, $D$11, 100%, $F$11)</f>
        <v>10.1524</v>
      </c>
      <c r="H358" s="4">
        <f>CHOOSE( CONTROL!$C$32, 11.1271, 11.1235) * CHOOSE(CONTROL!$C$15, $D$11, 100%, $F$11)</f>
        <v>11.1271</v>
      </c>
      <c r="I358" s="8">
        <f>CHOOSE( CONTROL!$C$32, 10.1003, 10.0967) * CHOOSE(CONTROL!$C$15, $D$11, 100%, $F$11)</f>
        <v>10.100300000000001</v>
      </c>
      <c r="J358" s="4">
        <f>CHOOSE( CONTROL!$C$32, 9.9527, 9.9492) * CHOOSE(CONTROL!$C$15, $D$11, 100%, $F$11)</f>
        <v>9.9527000000000001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10.7075, 10.7039) * CHOOSE(CONTROL!$C$15, $D$11, 100%, $F$11)</f>
        <v>10.7075</v>
      </c>
      <c r="C359" s="8">
        <f>CHOOSE( CONTROL!$C$32, 10.7155, 10.7118) * CHOOSE(CONTROL!$C$15, $D$11, 100%, $F$11)</f>
        <v>10.7155</v>
      </c>
      <c r="D359" s="8">
        <f>CHOOSE( CONTROL!$C$32, 10.7537, 10.75) * CHOOSE( CONTROL!$C$15, $D$11, 100%, $F$11)</f>
        <v>10.7537</v>
      </c>
      <c r="E359" s="12">
        <f>CHOOSE( CONTROL!$C$32, 10.7386, 10.735) * CHOOSE( CONTROL!$C$15, $D$11, 100%, $F$11)</f>
        <v>10.7386</v>
      </c>
      <c r="F359" s="4">
        <f>CHOOSE( CONTROL!$C$32, 11.4505, 11.4469) * CHOOSE(CONTROL!$C$15, $D$11, 100%, $F$11)</f>
        <v>11.4505</v>
      </c>
      <c r="G359" s="8">
        <f>CHOOSE( CONTROL!$C$32, 10.5887, 10.5851) * CHOOSE( CONTROL!$C$15, $D$11, 100%, $F$11)</f>
        <v>10.588699999999999</v>
      </c>
      <c r="H359" s="4">
        <f>CHOOSE( CONTROL!$C$32, 11.5631, 11.5595) * CHOOSE(CONTROL!$C$15, $D$11, 100%, $F$11)</f>
        <v>11.5631</v>
      </c>
      <c r="I359" s="8">
        <f>CHOOSE( CONTROL!$C$32, 10.5297, 10.5262) * CHOOSE(CONTROL!$C$15, $D$11, 100%, $F$11)</f>
        <v>10.5297</v>
      </c>
      <c r="J359" s="4">
        <f>CHOOSE( CONTROL!$C$32, 10.3808, 10.3773) * CHOOSE(CONTROL!$C$15, $D$11, 100%, $F$11)</f>
        <v>10.380800000000001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9.8821, 9.8785) * CHOOSE(CONTROL!$C$15, $D$11, 100%, $F$11)</f>
        <v>9.8820999999999994</v>
      </c>
      <c r="C360" s="8">
        <f>CHOOSE( CONTROL!$C$32, 9.8901, 9.8864) * CHOOSE(CONTROL!$C$15, $D$11, 100%, $F$11)</f>
        <v>9.8901000000000003</v>
      </c>
      <c r="D360" s="8">
        <f>CHOOSE( CONTROL!$C$32, 9.9283, 9.9247) * CHOOSE( CONTROL!$C$15, $D$11, 100%, $F$11)</f>
        <v>9.9283000000000001</v>
      </c>
      <c r="E360" s="12">
        <f>CHOOSE( CONTROL!$C$32, 9.9132, 9.9096) * CHOOSE( CONTROL!$C$15, $D$11, 100%, $F$11)</f>
        <v>9.9131999999999998</v>
      </c>
      <c r="F360" s="4">
        <f>CHOOSE( CONTROL!$C$32, 10.6251, 10.6215) * CHOOSE(CONTROL!$C$15, $D$11, 100%, $F$11)</f>
        <v>10.6251</v>
      </c>
      <c r="G360" s="8">
        <f>CHOOSE( CONTROL!$C$32, 9.7731, 9.7695) * CHOOSE( CONTROL!$C$15, $D$11, 100%, $F$11)</f>
        <v>9.7730999999999995</v>
      </c>
      <c r="H360" s="4">
        <f>CHOOSE( CONTROL!$C$32, 10.7473, 10.7437) * CHOOSE(CONTROL!$C$15, $D$11, 100%, $F$11)</f>
        <v>10.747299999999999</v>
      </c>
      <c r="I360" s="8">
        <f>CHOOSE( CONTROL!$C$32, 9.7286, 9.725) * CHOOSE(CONTROL!$C$15, $D$11, 100%, $F$11)</f>
        <v>9.7286000000000001</v>
      </c>
      <c r="J360" s="4">
        <f>CHOOSE( CONTROL!$C$32, 9.5798, 9.5762) * CHOOSE(CONTROL!$C$15, $D$11, 100%, $F$11)</f>
        <v>9.5798000000000005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9.6754, 9.6718) * CHOOSE(CONTROL!$C$15, $D$11, 100%, $F$11)</f>
        <v>9.6753999999999998</v>
      </c>
      <c r="C361" s="8">
        <f>CHOOSE( CONTROL!$C$32, 9.6834, 9.6798) * CHOOSE(CONTROL!$C$15, $D$11, 100%, $F$11)</f>
        <v>9.6834000000000007</v>
      </c>
      <c r="D361" s="8">
        <f>CHOOSE( CONTROL!$C$32, 9.7216, 9.7179) * CHOOSE( CONTROL!$C$15, $D$11, 100%, $F$11)</f>
        <v>9.7216000000000005</v>
      </c>
      <c r="E361" s="12">
        <f>CHOOSE( CONTROL!$C$32, 9.7065, 9.7029) * CHOOSE( CONTROL!$C$15, $D$11, 100%, $F$11)</f>
        <v>9.7065000000000001</v>
      </c>
      <c r="F361" s="4">
        <f>CHOOSE( CONTROL!$C$32, 10.4184, 10.4148) * CHOOSE(CONTROL!$C$15, $D$11, 100%, $F$11)</f>
        <v>10.4184</v>
      </c>
      <c r="G361" s="8">
        <f>CHOOSE( CONTROL!$C$32, 9.5687, 9.5651) * CHOOSE( CONTROL!$C$15, $D$11, 100%, $F$11)</f>
        <v>9.5686999999999998</v>
      </c>
      <c r="H361" s="4">
        <f>CHOOSE( CONTROL!$C$32, 10.5431, 10.5395) * CHOOSE(CONTROL!$C$15, $D$11, 100%, $F$11)</f>
        <v>10.543100000000001</v>
      </c>
      <c r="I361" s="8">
        <f>CHOOSE( CONTROL!$C$32, 9.5275, 9.524) * CHOOSE(CONTROL!$C$15, $D$11, 100%, $F$11)</f>
        <v>9.5274999999999999</v>
      </c>
      <c r="J361" s="4">
        <f>CHOOSE( CONTROL!$C$32, 9.3792, 9.3756) * CHOOSE(CONTROL!$C$15, $D$11, 100%, $F$11)</f>
        <v>9.3792000000000009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10.0992 * CHOOSE(CONTROL!$C$15, $D$11, 100%, $F$11)</f>
        <v>10.0992</v>
      </c>
      <c r="C362" s="8">
        <f>10.1045 * CHOOSE(CONTROL!$C$15, $D$11, 100%, $F$11)</f>
        <v>10.1045</v>
      </c>
      <c r="D362" s="8">
        <f>10.1481 * CHOOSE( CONTROL!$C$15, $D$11, 100%, $F$11)</f>
        <v>10.148099999999999</v>
      </c>
      <c r="E362" s="12">
        <f>10.1331 * CHOOSE( CONTROL!$C$15, $D$11, 100%, $F$11)</f>
        <v>10.133100000000001</v>
      </c>
      <c r="F362" s="4">
        <f>10.8439 * CHOOSE(CONTROL!$C$15, $D$11, 100%, $F$11)</f>
        <v>10.8439</v>
      </c>
      <c r="G362" s="8">
        <f>9.9887 * CHOOSE( CONTROL!$C$15, $D$11, 100%, $F$11)</f>
        <v>9.9886999999999997</v>
      </c>
      <c r="H362" s="4">
        <f>10.9636 * CHOOSE(CONTROL!$C$15, $D$11, 100%, $F$11)</f>
        <v>10.9636</v>
      </c>
      <c r="I362" s="8">
        <f>9.9414 * CHOOSE(CONTROL!$C$15, $D$11, 100%, $F$11)</f>
        <v>9.9413999999999998</v>
      </c>
      <c r="J362" s="4">
        <f>9.7921 * CHOOSE(CONTROL!$C$15, $D$11, 100%, $F$11)</f>
        <v>9.7920999999999996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10.8909 * CHOOSE(CONTROL!$C$15, $D$11, 100%, $F$11)</f>
        <v>10.8909</v>
      </c>
      <c r="C363" s="8">
        <f>10.896 * CHOOSE(CONTROL!$C$15, $D$11, 100%, $F$11)</f>
        <v>10.896000000000001</v>
      </c>
      <c r="D363" s="8">
        <f>10.8797 * CHOOSE( CONTROL!$C$15, $D$11, 100%, $F$11)</f>
        <v>10.8797</v>
      </c>
      <c r="E363" s="12">
        <f>10.8851 * CHOOSE( CONTROL!$C$15, $D$11, 100%, $F$11)</f>
        <v>10.8851</v>
      </c>
      <c r="F363" s="4">
        <f>11.5562 * CHOOSE(CONTROL!$C$15, $D$11, 100%, $F$11)</f>
        <v>11.5562</v>
      </c>
      <c r="G363" s="8">
        <f>10.7721 * CHOOSE( CONTROL!$C$15, $D$11, 100%, $F$11)</f>
        <v>10.7721</v>
      </c>
      <c r="H363" s="4">
        <f>11.6675 * CHOOSE(CONTROL!$C$15, $D$11, 100%, $F$11)</f>
        <v>11.6675</v>
      </c>
      <c r="I363" s="8">
        <f>10.7107 * CHOOSE(CONTROL!$C$15, $D$11, 100%, $F$11)</f>
        <v>10.710699999999999</v>
      </c>
      <c r="J363" s="4">
        <f>10.5609 * CHOOSE(CONTROL!$C$15, $D$11, 100%, $F$11)</f>
        <v>10.5609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10.8712 * CHOOSE(CONTROL!$C$15, $D$11, 100%, $F$11)</f>
        <v>10.8712</v>
      </c>
      <c r="C364" s="8">
        <f>10.8762 * CHOOSE(CONTROL!$C$15, $D$11, 100%, $F$11)</f>
        <v>10.876200000000001</v>
      </c>
      <c r="D364" s="8">
        <f>10.8616 * CHOOSE( CONTROL!$C$15, $D$11, 100%, $F$11)</f>
        <v>10.861599999999999</v>
      </c>
      <c r="E364" s="12">
        <f>10.8664 * CHOOSE( CONTROL!$C$15, $D$11, 100%, $F$11)</f>
        <v>10.866400000000001</v>
      </c>
      <c r="F364" s="4">
        <f>11.5364 * CHOOSE(CONTROL!$C$15, $D$11, 100%, $F$11)</f>
        <v>11.5364</v>
      </c>
      <c r="G364" s="8">
        <f>10.7538 * CHOOSE( CONTROL!$C$15, $D$11, 100%, $F$11)</f>
        <v>10.7538</v>
      </c>
      <c r="H364" s="4">
        <f>11.648 * CHOOSE(CONTROL!$C$15, $D$11, 100%, $F$11)</f>
        <v>11.648</v>
      </c>
      <c r="I364" s="8">
        <f>10.6969 * CHOOSE(CONTROL!$C$15, $D$11, 100%, $F$11)</f>
        <v>10.696899999999999</v>
      </c>
      <c r="J364" s="4">
        <f>10.5417 * CHOOSE(CONTROL!$C$15, $D$11, 100%, $F$11)</f>
        <v>10.541700000000001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11.1916 * CHOOSE(CONTROL!$C$15, $D$11, 100%, $F$11)</f>
        <v>11.191599999999999</v>
      </c>
      <c r="C365" s="8">
        <f>11.1966 * CHOOSE(CONTROL!$C$15, $D$11, 100%, $F$11)</f>
        <v>11.1966</v>
      </c>
      <c r="D365" s="8">
        <f>11.1678 * CHOOSE( CONTROL!$C$15, $D$11, 100%, $F$11)</f>
        <v>11.1678</v>
      </c>
      <c r="E365" s="12">
        <f>11.1778 * CHOOSE( CONTROL!$C$15, $D$11, 100%, $F$11)</f>
        <v>11.1778</v>
      </c>
      <c r="F365" s="4">
        <f>11.8568 * CHOOSE(CONTROL!$C$15, $D$11, 100%, $F$11)</f>
        <v>11.8568</v>
      </c>
      <c r="G365" s="8">
        <f>11.0602 * CHOOSE( CONTROL!$C$15, $D$11, 100%, $F$11)</f>
        <v>11.0602</v>
      </c>
      <c r="H365" s="4">
        <f>11.9646 * CHOOSE(CONTROL!$C$15, $D$11, 100%, $F$11)</f>
        <v>11.964600000000001</v>
      </c>
      <c r="I365" s="8">
        <f>11.0026 * CHOOSE(CONTROL!$C$15, $D$11, 100%, $F$11)</f>
        <v>11.002599999999999</v>
      </c>
      <c r="J365" s="4">
        <f>10.8527 * CHOOSE(CONTROL!$C$15, $D$11, 100%, $F$11)</f>
        <v>10.8527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10.4686 * CHOOSE(CONTROL!$C$15, $D$11, 100%, $F$11)</f>
        <v>10.4686</v>
      </c>
      <c r="C366" s="8">
        <f>10.4737 * CHOOSE(CONTROL!$C$15, $D$11, 100%, $F$11)</f>
        <v>10.473699999999999</v>
      </c>
      <c r="D366" s="8">
        <f>10.4448 * CHOOSE( CONTROL!$C$15, $D$11, 100%, $F$11)</f>
        <v>10.444800000000001</v>
      </c>
      <c r="E366" s="12">
        <f>10.4548 * CHOOSE( CONTROL!$C$15, $D$11, 100%, $F$11)</f>
        <v>10.454800000000001</v>
      </c>
      <c r="F366" s="4">
        <f>11.1339 * CHOOSE(CONTROL!$C$15, $D$11, 100%, $F$11)</f>
        <v>11.133900000000001</v>
      </c>
      <c r="G366" s="8">
        <f>10.3457 * CHOOSE( CONTROL!$C$15, $D$11, 100%, $F$11)</f>
        <v>10.345700000000001</v>
      </c>
      <c r="H366" s="4">
        <f>11.2502 * CHOOSE(CONTROL!$C$15, $D$11, 100%, $F$11)</f>
        <v>11.2502</v>
      </c>
      <c r="I366" s="8">
        <f>10.3006 * CHOOSE(CONTROL!$C$15, $D$11, 100%, $F$11)</f>
        <v>10.300599999999999</v>
      </c>
      <c r="J366" s="4">
        <f>10.151 * CHOOSE(CONTROL!$C$15, $D$11, 100%, $F$11)</f>
        <v>10.151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10.246 * CHOOSE(CONTROL!$C$15, $D$11, 100%, $F$11)</f>
        <v>10.246</v>
      </c>
      <c r="C367" s="8">
        <f>10.251 * CHOOSE(CONTROL!$C$15, $D$11, 100%, $F$11)</f>
        <v>10.250999999999999</v>
      </c>
      <c r="D367" s="8">
        <f>10.2218 * CHOOSE( CONTROL!$C$15, $D$11, 100%, $F$11)</f>
        <v>10.2218</v>
      </c>
      <c r="E367" s="12">
        <f>10.2319 * CHOOSE( CONTROL!$C$15, $D$11, 100%, $F$11)</f>
        <v>10.2319</v>
      </c>
      <c r="F367" s="4">
        <f>10.9112 * CHOOSE(CONTROL!$C$15, $D$11, 100%, $F$11)</f>
        <v>10.911199999999999</v>
      </c>
      <c r="G367" s="8">
        <f>10.1254 * CHOOSE( CONTROL!$C$15, $D$11, 100%, $F$11)</f>
        <v>10.125400000000001</v>
      </c>
      <c r="H367" s="4">
        <f>11.0301 * CHOOSE(CONTROL!$C$15, $D$11, 100%, $F$11)</f>
        <v>11.030099999999999</v>
      </c>
      <c r="I367" s="8">
        <f>10.0831 * CHOOSE(CONTROL!$C$15, $D$11, 100%, $F$11)</f>
        <v>10.0831</v>
      </c>
      <c r="J367" s="4">
        <f>9.935 * CHOOSE(CONTROL!$C$15, $D$11, 100%, $F$11)</f>
        <v>9.9350000000000005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10.4023 * CHOOSE(CONTROL!$C$15, $D$11, 100%, $F$11)</f>
        <v>10.4023</v>
      </c>
      <c r="C368" s="8">
        <f>10.4068 * CHOOSE(CONTROL!$C$15, $D$11, 100%, $F$11)</f>
        <v>10.4068</v>
      </c>
      <c r="D368" s="8">
        <f>10.4502 * CHOOSE( CONTROL!$C$15, $D$11, 100%, $F$11)</f>
        <v>10.450200000000001</v>
      </c>
      <c r="E368" s="12">
        <f>10.4354 * CHOOSE( CONTROL!$C$15, $D$11, 100%, $F$11)</f>
        <v>10.4354</v>
      </c>
      <c r="F368" s="4">
        <f>11.1467 * CHOOSE(CONTROL!$C$15, $D$11, 100%, $F$11)</f>
        <v>11.146699999999999</v>
      </c>
      <c r="G368" s="8">
        <f>10.287 * CHOOSE( CONTROL!$C$15, $D$11, 100%, $F$11)</f>
        <v>10.287000000000001</v>
      </c>
      <c r="H368" s="4">
        <f>11.2628 * CHOOSE(CONTROL!$C$15, $D$11, 100%, $F$11)</f>
        <v>11.2628</v>
      </c>
      <c r="I368" s="8">
        <f>10.2324 * CHOOSE(CONTROL!$C$15, $D$11, 100%, $F$11)</f>
        <v>10.2324</v>
      </c>
      <c r="J368" s="4">
        <f>10.086 * CHOOSE(CONTROL!$C$15, $D$11, 100%, $F$11)</f>
        <v>10.086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10.6842, 10.6806) * CHOOSE(CONTROL!$C$15, $D$11, 100%, $F$11)</f>
        <v>10.684200000000001</v>
      </c>
      <c r="C369" s="8">
        <f>CHOOSE( CONTROL!$C$32, 10.6922, 10.6886) * CHOOSE(CONTROL!$C$15, $D$11, 100%, $F$11)</f>
        <v>10.6922</v>
      </c>
      <c r="D369" s="8">
        <f>CHOOSE( CONTROL!$C$32, 10.73, 10.7263) * CHOOSE( CONTROL!$C$15, $D$11, 100%, $F$11)</f>
        <v>10.73</v>
      </c>
      <c r="E369" s="12">
        <f>CHOOSE( CONTROL!$C$32, 10.7151, 10.7114) * CHOOSE( CONTROL!$C$15, $D$11, 100%, $F$11)</f>
        <v>10.7151</v>
      </c>
      <c r="F369" s="4">
        <f>CHOOSE( CONTROL!$C$32, 11.4272, 11.4236) * CHOOSE(CONTROL!$C$15, $D$11, 100%, $F$11)</f>
        <v>11.427199999999999</v>
      </c>
      <c r="G369" s="8">
        <f>CHOOSE( CONTROL!$C$32, 10.565, 10.5614) * CHOOSE( CONTROL!$C$15, $D$11, 100%, $F$11)</f>
        <v>10.565</v>
      </c>
      <c r="H369" s="4">
        <f>CHOOSE( CONTROL!$C$32, 11.5401, 11.5365) * CHOOSE(CONTROL!$C$15, $D$11, 100%, $F$11)</f>
        <v>11.540100000000001</v>
      </c>
      <c r="I369" s="8">
        <f>CHOOSE( CONTROL!$C$32, 10.505, 10.5014) * CHOOSE(CONTROL!$C$15, $D$11, 100%, $F$11)</f>
        <v>10.505000000000001</v>
      </c>
      <c r="J369" s="4">
        <f>CHOOSE( CONTROL!$C$32, 10.3582, 10.3547) * CHOOSE(CONTROL!$C$15, $D$11, 100%, $F$11)</f>
        <v>10.3582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10.5127, 10.5091) * CHOOSE(CONTROL!$C$15, $D$11, 100%, $F$11)</f>
        <v>10.512700000000001</v>
      </c>
      <c r="C370" s="8">
        <f>CHOOSE( CONTROL!$C$32, 10.5207, 10.517) * CHOOSE(CONTROL!$C$15, $D$11, 100%, $F$11)</f>
        <v>10.5207</v>
      </c>
      <c r="D370" s="8">
        <f>CHOOSE( CONTROL!$C$32, 10.5586, 10.555) * CHOOSE( CONTROL!$C$15, $D$11, 100%, $F$11)</f>
        <v>10.5586</v>
      </c>
      <c r="E370" s="12">
        <f>CHOOSE( CONTROL!$C$32, 10.5436, 10.54) * CHOOSE( CONTROL!$C$15, $D$11, 100%, $F$11)</f>
        <v>10.5436</v>
      </c>
      <c r="F370" s="4">
        <f>CHOOSE( CONTROL!$C$32, 11.2557, 11.2521) * CHOOSE(CONTROL!$C$15, $D$11, 100%, $F$11)</f>
        <v>11.255699999999999</v>
      </c>
      <c r="G370" s="8">
        <f>CHOOSE( CONTROL!$C$32, 10.3958, 10.3922) * CHOOSE( CONTROL!$C$15, $D$11, 100%, $F$11)</f>
        <v>10.395799999999999</v>
      </c>
      <c r="H370" s="4">
        <f>CHOOSE( CONTROL!$C$32, 11.3705, 11.3669) * CHOOSE(CONTROL!$C$15, $D$11, 100%, $F$11)</f>
        <v>11.3705</v>
      </c>
      <c r="I370" s="8">
        <f>CHOOSE( CONTROL!$C$32, 10.3394, 10.3359) * CHOOSE(CONTROL!$C$15, $D$11, 100%, $F$11)</f>
        <v>10.339399999999999</v>
      </c>
      <c r="J370" s="4">
        <f>CHOOSE( CONTROL!$C$32, 10.1918, 10.1882) * CHOOSE(CONTROL!$C$15, $D$11, 100%, $F$11)</f>
        <v>10.191800000000001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10.9644, 10.9608) * CHOOSE(CONTROL!$C$15, $D$11, 100%, $F$11)</f>
        <v>10.964399999999999</v>
      </c>
      <c r="C371" s="8">
        <f>CHOOSE( CONTROL!$C$32, 10.9724, 10.9688) * CHOOSE(CONTROL!$C$15, $D$11, 100%, $F$11)</f>
        <v>10.9724</v>
      </c>
      <c r="D371" s="8">
        <f>CHOOSE( CONTROL!$C$32, 11.0106, 11.007) * CHOOSE( CONTROL!$C$15, $D$11, 100%, $F$11)</f>
        <v>11.0106</v>
      </c>
      <c r="E371" s="12">
        <f>CHOOSE( CONTROL!$C$32, 10.9955, 10.9919) * CHOOSE( CONTROL!$C$15, $D$11, 100%, $F$11)</f>
        <v>10.9955</v>
      </c>
      <c r="F371" s="4">
        <f>CHOOSE( CONTROL!$C$32, 11.7074, 11.7038) * CHOOSE(CONTROL!$C$15, $D$11, 100%, $F$11)</f>
        <v>11.7074</v>
      </c>
      <c r="G371" s="8">
        <f>CHOOSE( CONTROL!$C$32, 10.8426, 10.839) * CHOOSE( CONTROL!$C$15, $D$11, 100%, $F$11)</f>
        <v>10.842599999999999</v>
      </c>
      <c r="H371" s="4">
        <f>CHOOSE( CONTROL!$C$32, 11.817, 11.8134) * CHOOSE(CONTROL!$C$15, $D$11, 100%, $F$11)</f>
        <v>11.817</v>
      </c>
      <c r="I371" s="8">
        <f>CHOOSE( CONTROL!$C$32, 10.7792, 10.7757) * CHOOSE(CONTROL!$C$15, $D$11, 100%, $F$11)</f>
        <v>10.779199999999999</v>
      </c>
      <c r="J371" s="4">
        <f>CHOOSE( CONTROL!$C$32, 10.6302, 10.6266) * CHOOSE(CONTROL!$C$15, $D$11, 100%, $F$11)</f>
        <v>10.6302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10.1192, 10.1156) * CHOOSE(CONTROL!$C$15, $D$11, 100%, $F$11)</f>
        <v>10.119199999999999</v>
      </c>
      <c r="C372" s="8">
        <f>CHOOSE( CONTROL!$C$32, 10.1272, 10.1235) * CHOOSE(CONTROL!$C$15, $D$11, 100%, $F$11)</f>
        <v>10.1272</v>
      </c>
      <c r="D372" s="8">
        <f>CHOOSE( CONTROL!$C$32, 10.1654, 10.1618) * CHOOSE( CONTROL!$C$15, $D$11, 100%, $F$11)</f>
        <v>10.1654</v>
      </c>
      <c r="E372" s="12">
        <f>CHOOSE( CONTROL!$C$32, 10.1503, 10.1467) * CHOOSE( CONTROL!$C$15, $D$11, 100%, $F$11)</f>
        <v>10.1503</v>
      </c>
      <c r="F372" s="4">
        <f>CHOOSE( CONTROL!$C$32, 10.8622, 10.8586) * CHOOSE(CONTROL!$C$15, $D$11, 100%, $F$11)</f>
        <v>10.8622</v>
      </c>
      <c r="G372" s="8">
        <f>CHOOSE( CONTROL!$C$32, 10.0074, 10.0038) * CHOOSE( CONTROL!$C$15, $D$11, 100%, $F$11)</f>
        <v>10.007400000000001</v>
      </c>
      <c r="H372" s="4">
        <f>CHOOSE( CONTROL!$C$32, 10.9816, 10.978) * CHOOSE(CONTROL!$C$15, $D$11, 100%, $F$11)</f>
        <v>10.9816</v>
      </c>
      <c r="I372" s="8">
        <f>CHOOSE( CONTROL!$C$32, 9.9588, 9.9552) * CHOOSE(CONTROL!$C$15, $D$11, 100%, $F$11)</f>
        <v>9.9588000000000001</v>
      </c>
      <c r="J372" s="4">
        <f>CHOOSE( CONTROL!$C$32, 9.8099, 9.8063) * CHOOSE(CONTROL!$C$15, $D$11, 100%, $F$11)</f>
        <v>9.8099000000000007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9.9075, 9.9039) * CHOOSE(CONTROL!$C$15, $D$11, 100%, $F$11)</f>
        <v>9.9075000000000006</v>
      </c>
      <c r="C373" s="8">
        <f>CHOOSE( CONTROL!$C$32, 9.9155, 9.9119) * CHOOSE(CONTROL!$C$15, $D$11, 100%, $F$11)</f>
        <v>9.9154999999999998</v>
      </c>
      <c r="D373" s="8">
        <f>CHOOSE( CONTROL!$C$32, 9.9537, 9.9501) * CHOOSE( CONTROL!$C$15, $D$11, 100%, $F$11)</f>
        <v>9.9536999999999995</v>
      </c>
      <c r="E373" s="12">
        <f>CHOOSE( CONTROL!$C$32, 9.9386, 9.935) * CHOOSE( CONTROL!$C$15, $D$11, 100%, $F$11)</f>
        <v>9.9385999999999992</v>
      </c>
      <c r="F373" s="4">
        <f>CHOOSE( CONTROL!$C$32, 10.6505, 10.6469) * CHOOSE(CONTROL!$C$15, $D$11, 100%, $F$11)</f>
        <v>10.650499999999999</v>
      </c>
      <c r="G373" s="8">
        <f>CHOOSE( CONTROL!$C$32, 9.7981, 9.7945) * CHOOSE( CONTROL!$C$15, $D$11, 100%, $F$11)</f>
        <v>9.7980999999999998</v>
      </c>
      <c r="H373" s="4">
        <f>CHOOSE( CONTROL!$C$32, 10.7725, 10.7689) * CHOOSE(CONTROL!$C$15, $D$11, 100%, $F$11)</f>
        <v>10.772500000000001</v>
      </c>
      <c r="I373" s="8">
        <f>CHOOSE( CONTROL!$C$32, 9.7529, 9.7493) * CHOOSE(CONTROL!$C$15, $D$11, 100%, $F$11)</f>
        <v>9.7529000000000003</v>
      </c>
      <c r="J373" s="4">
        <f>CHOOSE( CONTROL!$C$32, 9.6044, 9.6009) * CHOOSE(CONTROL!$C$15, $D$11, 100%, $F$11)</f>
        <v>9.6044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10.3416 * CHOOSE(CONTROL!$C$15, $D$11, 100%, $F$11)</f>
        <v>10.3416</v>
      </c>
      <c r="C374" s="8">
        <f>10.347 * CHOOSE(CONTROL!$C$15, $D$11, 100%, $F$11)</f>
        <v>10.347</v>
      </c>
      <c r="D374" s="8">
        <f>10.3905 * CHOOSE( CONTROL!$C$15, $D$11, 100%, $F$11)</f>
        <v>10.390499999999999</v>
      </c>
      <c r="E374" s="12">
        <f>10.3756 * CHOOSE( CONTROL!$C$15, $D$11, 100%, $F$11)</f>
        <v>10.3756</v>
      </c>
      <c r="F374" s="4">
        <f>11.0864 * CHOOSE(CONTROL!$C$15, $D$11, 100%, $F$11)</f>
        <v>11.086399999999999</v>
      </c>
      <c r="G374" s="8">
        <f>10.2283 * CHOOSE( CONTROL!$C$15, $D$11, 100%, $F$11)</f>
        <v>10.228300000000001</v>
      </c>
      <c r="H374" s="4">
        <f>11.2032 * CHOOSE(CONTROL!$C$15, $D$11, 100%, $F$11)</f>
        <v>11.203200000000001</v>
      </c>
      <c r="I374" s="8">
        <f>10.1768 * CHOOSE(CONTROL!$C$15, $D$11, 100%, $F$11)</f>
        <v>10.1768</v>
      </c>
      <c r="J374" s="4">
        <f>10.0274 * CHOOSE(CONTROL!$C$15, $D$11, 100%, $F$11)</f>
        <v>10.0274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11.1524 * CHOOSE(CONTROL!$C$15, $D$11, 100%, $F$11)</f>
        <v>11.1524</v>
      </c>
      <c r="C375" s="8">
        <f>11.1575 * CHOOSE(CONTROL!$C$15, $D$11, 100%, $F$11)</f>
        <v>11.157500000000001</v>
      </c>
      <c r="D375" s="8">
        <f>11.1411 * CHOOSE( CONTROL!$C$15, $D$11, 100%, $F$11)</f>
        <v>11.1411</v>
      </c>
      <c r="E375" s="12">
        <f>11.1466 * CHOOSE( CONTROL!$C$15, $D$11, 100%, $F$11)</f>
        <v>11.146599999999999</v>
      </c>
      <c r="F375" s="4">
        <f>11.8177 * CHOOSE(CONTROL!$C$15, $D$11, 100%, $F$11)</f>
        <v>11.8177</v>
      </c>
      <c r="G375" s="8">
        <f>11.0305 * CHOOSE( CONTROL!$C$15, $D$11, 100%, $F$11)</f>
        <v>11.0305</v>
      </c>
      <c r="H375" s="4">
        <f>11.9259 * CHOOSE(CONTROL!$C$15, $D$11, 100%, $F$11)</f>
        <v>11.9259</v>
      </c>
      <c r="I375" s="8">
        <f>10.9646 * CHOOSE(CONTROL!$C$15, $D$11, 100%, $F$11)</f>
        <v>10.964600000000001</v>
      </c>
      <c r="J375" s="4">
        <f>10.8147 * CHOOSE(CONTROL!$C$15, $D$11, 100%, $F$11)</f>
        <v>10.8147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11.1321 * CHOOSE(CONTROL!$C$15, $D$11, 100%, $F$11)</f>
        <v>11.132099999999999</v>
      </c>
      <c r="C376" s="8">
        <f>11.1372 * CHOOSE(CONTROL!$C$15, $D$11, 100%, $F$11)</f>
        <v>11.1372</v>
      </c>
      <c r="D376" s="8">
        <f>11.1226 * CHOOSE( CONTROL!$C$15, $D$11, 100%, $F$11)</f>
        <v>11.1226</v>
      </c>
      <c r="E376" s="12">
        <f>11.1274 * CHOOSE( CONTROL!$C$15, $D$11, 100%, $F$11)</f>
        <v>11.1274</v>
      </c>
      <c r="F376" s="4">
        <f>11.7974 * CHOOSE(CONTROL!$C$15, $D$11, 100%, $F$11)</f>
        <v>11.7974</v>
      </c>
      <c r="G376" s="8">
        <f>11.0118 * CHOOSE( CONTROL!$C$15, $D$11, 100%, $F$11)</f>
        <v>11.011799999999999</v>
      </c>
      <c r="H376" s="4">
        <f>11.9059 * CHOOSE(CONTROL!$C$15, $D$11, 100%, $F$11)</f>
        <v>11.905900000000001</v>
      </c>
      <c r="I376" s="8">
        <f>10.9503 * CHOOSE(CONTROL!$C$15, $D$11, 100%, $F$11)</f>
        <v>10.9503</v>
      </c>
      <c r="J376" s="4">
        <f>10.795 * CHOOSE(CONTROL!$C$15, $D$11, 100%, $F$11)</f>
        <v>10.795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11.4602 * CHOOSE(CONTROL!$C$15, $D$11, 100%, $F$11)</f>
        <v>11.4602</v>
      </c>
      <c r="C377" s="8">
        <f>11.4653 * CHOOSE(CONTROL!$C$15, $D$11, 100%, $F$11)</f>
        <v>11.465299999999999</v>
      </c>
      <c r="D377" s="8">
        <f>11.4364 * CHOOSE( CONTROL!$C$15, $D$11, 100%, $F$11)</f>
        <v>11.436400000000001</v>
      </c>
      <c r="E377" s="12">
        <f>11.4464 * CHOOSE( CONTROL!$C$15, $D$11, 100%, $F$11)</f>
        <v>11.446400000000001</v>
      </c>
      <c r="F377" s="4">
        <f>12.1255 * CHOOSE(CONTROL!$C$15, $D$11, 100%, $F$11)</f>
        <v>12.125500000000001</v>
      </c>
      <c r="G377" s="8">
        <f>11.3257 * CHOOSE( CONTROL!$C$15, $D$11, 100%, $F$11)</f>
        <v>11.325699999999999</v>
      </c>
      <c r="H377" s="4">
        <f>12.2302 * CHOOSE(CONTROL!$C$15, $D$11, 100%, $F$11)</f>
        <v>12.2302</v>
      </c>
      <c r="I377" s="8">
        <f>11.2635 * CHOOSE(CONTROL!$C$15, $D$11, 100%, $F$11)</f>
        <v>11.263500000000001</v>
      </c>
      <c r="J377" s="4">
        <f>11.1134 * CHOOSE(CONTROL!$C$15, $D$11, 100%, $F$11)</f>
        <v>11.1134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10.7199 * CHOOSE(CONTROL!$C$15, $D$11, 100%, $F$11)</f>
        <v>10.719900000000001</v>
      </c>
      <c r="C378" s="8">
        <f>10.725 * CHOOSE(CONTROL!$C$15, $D$11, 100%, $F$11)</f>
        <v>10.725</v>
      </c>
      <c r="D378" s="8">
        <f>10.6961 * CHOOSE( CONTROL!$C$15, $D$11, 100%, $F$11)</f>
        <v>10.696099999999999</v>
      </c>
      <c r="E378" s="12">
        <f>10.7061 * CHOOSE( CONTROL!$C$15, $D$11, 100%, $F$11)</f>
        <v>10.706099999999999</v>
      </c>
      <c r="F378" s="4">
        <f>11.3852 * CHOOSE(CONTROL!$C$15, $D$11, 100%, $F$11)</f>
        <v>11.385199999999999</v>
      </c>
      <c r="G378" s="8">
        <f>10.5941 * CHOOSE( CONTROL!$C$15, $D$11, 100%, $F$11)</f>
        <v>10.594099999999999</v>
      </c>
      <c r="H378" s="4">
        <f>11.4985 * CHOOSE(CONTROL!$C$15, $D$11, 100%, $F$11)</f>
        <v>11.4985</v>
      </c>
      <c r="I378" s="8">
        <f>10.5446 * CHOOSE(CONTROL!$C$15, $D$11, 100%, $F$11)</f>
        <v>10.544600000000001</v>
      </c>
      <c r="J378" s="4">
        <f>10.395 * CHOOSE(CONTROL!$C$15, $D$11, 100%, $F$11)</f>
        <v>10.395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10.4919 * CHOOSE(CONTROL!$C$15, $D$11, 100%, $F$11)</f>
        <v>10.491899999999999</v>
      </c>
      <c r="C379" s="8">
        <f>10.497 * CHOOSE(CONTROL!$C$15, $D$11, 100%, $F$11)</f>
        <v>10.497</v>
      </c>
      <c r="D379" s="8">
        <f>10.4677 * CHOOSE( CONTROL!$C$15, $D$11, 100%, $F$11)</f>
        <v>10.467700000000001</v>
      </c>
      <c r="E379" s="12">
        <f>10.4779 * CHOOSE( CONTROL!$C$15, $D$11, 100%, $F$11)</f>
        <v>10.4779</v>
      </c>
      <c r="F379" s="4">
        <f>11.1572 * CHOOSE(CONTROL!$C$15, $D$11, 100%, $F$11)</f>
        <v>11.1572</v>
      </c>
      <c r="G379" s="8">
        <f>10.3685 * CHOOSE( CONTROL!$C$15, $D$11, 100%, $F$11)</f>
        <v>10.368499999999999</v>
      </c>
      <c r="H379" s="4">
        <f>11.2732 * CHOOSE(CONTROL!$C$15, $D$11, 100%, $F$11)</f>
        <v>11.273199999999999</v>
      </c>
      <c r="I379" s="8">
        <f>10.322 * CHOOSE(CONTROL!$C$15, $D$11, 100%, $F$11)</f>
        <v>10.321999999999999</v>
      </c>
      <c r="J379" s="4">
        <f>10.1737 * CHOOSE(CONTROL!$C$15, $D$11, 100%, $F$11)</f>
        <v>10.1737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10.652 * CHOOSE(CONTROL!$C$15, $D$11, 100%, $F$11)</f>
        <v>10.651999999999999</v>
      </c>
      <c r="C380" s="8">
        <f>10.6565 * CHOOSE(CONTROL!$C$15, $D$11, 100%, $F$11)</f>
        <v>10.656499999999999</v>
      </c>
      <c r="D380" s="8">
        <f>10.6999 * CHOOSE( CONTROL!$C$15, $D$11, 100%, $F$11)</f>
        <v>10.6999</v>
      </c>
      <c r="E380" s="12">
        <f>10.6851 * CHOOSE( CONTROL!$C$15, $D$11, 100%, $F$11)</f>
        <v>10.6851</v>
      </c>
      <c r="F380" s="4">
        <f>11.3964 * CHOOSE(CONTROL!$C$15, $D$11, 100%, $F$11)</f>
        <v>11.3964</v>
      </c>
      <c r="G380" s="8">
        <f>10.5337 * CHOOSE( CONTROL!$C$15, $D$11, 100%, $F$11)</f>
        <v>10.5337</v>
      </c>
      <c r="H380" s="4">
        <f>11.5096 * CHOOSE(CONTROL!$C$15, $D$11, 100%, $F$11)</f>
        <v>11.509600000000001</v>
      </c>
      <c r="I380" s="8">
        <f>10.4749 * CHOOSE(CONTROL!$C$15, $D$11, 100%, $F$11)</f>
        <v>10.4749</v>
      </c>
      <c r="J380" s="4">
        <f>10.3283 * CHOOSE(CONTROL!$C$15, $D$11, 100%, $F$11)</f>
        <v>10.3283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10.9406, 10.937) * CHOOSE(CONTROL!$C$15, $D$11, 100%, $F$11)</f>
        <v>10.9406</v>
      </c>
      <c r="C381" s="8">
        <f>CHOOSE( CONTROL!$C$32, 10.9486, 10.9449) * CHOOSE(CONTROL!$C$15, $D$11, 100%, $F$11)</f>
        <v>10.948600000000001</v>
      </c>
      <c r="D381" s="8">
        <f>CHOOSE( CONTROL!$C$32, 10.9863, 10.9827) * CHOOSE( CONTROL!$C$15, $D$11, 100%, $F$11)</f>
        <v>10.9863</v>
      </c>
      <c r="E381" s="12">
        <f>CHOOSE( CONTROL!$C$32, 10.9714, 10.9678) * CHOOSE( CONTROL!$C$15, $D$11, 100%, $F$11)</f>
        <v>10.971399999999999</v>
      </c>
      <c r="F381" s="4">
        <f>CHOOSE( CONTROL!$C$32, 11.6836, 11.68) * CHOOSE(CONTROL!$C$15, $D$11, 100%, $F$11)</f>
        <v>11.6836</v>
      </c>
      <c r="G381" s="8">
        <f>CHOOSE( CONTROL!$C$32, 10.8184, 10.8148) * CHOOSE( CONTROL!$C$15, $D$11, 100%, $F$11)</f>
        <v>10.8184</v>
      </c>
      <c r="H381" s="4">
        <f>CHOOSE( CONTROL!$C$32, 11.7934, 11.7898) * CHOOSE(CONTROL!$C$15, $D$11, 100%, $F$11)</f>
        <v>11.7934</v>
      </c>
      <c r="I381" s="8">
        <f>CHOOSE( CONTROL!$C$32, 10.7539, 10.7504) * CHOOSE(CONTROL!$C$15, $D$11, 100%, $F$11)</f>
        <v>10.7539</v>
      </c>
      <c r="J381" s="4">
        <f>CHOOSE( CONTROL!$C$32, 10.607, 10.6035) * CHOOSE(CONTROL!$C$15, $D$11, 100%, $F$11)</f>
        <v>10.606999999999999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10.7649, 10.7613) * CHOOSE(CONTROL!$C$15, $D$11, 100%, $F$11)</f>
        <v>10.764900000000001</v>
      </c>
      <c r="C382" s="8">
        <f>CHOOSE( CONTROL!$C$32, 10.7729, 10.7693) * CHOOSE(CONTROL!$C$15, $D$11, 100%, $F$11)</f>
        <v>10.7729</v>
      </c>
      <c r="D382" s="8">
        <f>CHOOSE( CONTROL!$C$32, 10.8109, 10.8072) * CHOOSE( CONTROL!$C$15, $D$11, 100%, $F$11)</f>
        <v>10.8109</v>
      </c>
      <c r="E382" s="12">
        <f>CHOOSE( CONTROL!$C$32, 10.7959, 10.7922) * CHOOSE( CONTROL!$C$15, $D$11, 100%, $F$11)</f>
        <v>10.7959</v>
      </c>
      <c r="F382" s="4">
        <f>CHOOSE( CONTROL!$C$32, 11.5079, 11.5043) * CHOOSE(CONTROL!$C$15, $D$11, 100%, $F$11)</f>
        <v>11.507899999999999</v>
      </c>
      <c r="G382" s="8">
        <f>CHOOSE( CONTROL!$C$32, 10.6451, 10.6415) * CHOOSE( CONTROL!$C$15, $D$11, 100%, $F$11)</f>
        <v>10.645099999999999</v>
      </c>
      <c r="H382" s="4">
        <f>CHOOSE( CONTROL!$C$32, 11.6198, 11.6162) * CHOOSE(CONTROL!$C$15, $D$11, 100%, $F$11)</f>
        <v>11.6198</v>
      </c>
      <c r="I382" s="8">
        <f>CHOOSE( CONTROL!$C$32, 10.5844, 10.5808) * CHOOSE(CONTROL!$C$15, $D$11, 100%, $F$11)</f>
        <v>10.5844</v>
      </c>
      <c r="J382" s="4">
        <f>CHOOSE( CONTROL!$C$32, 10.4366, 10.433) * CHOOSE(CONTROL!$C$15, $D$11, 100%, $F$11)</f>
        <v>10.4366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11.2275, 11.2239) * CHOOSE(CONTROL!$C$15, $D$11, 100%, $F$11)</f>
        <v>11.227499999999999</v>
      </c>
      <c r="C383" s="8">
        <f>CHOOSE( CONTROL!$C$32, 11.2355, 11.2319) * CHOOSE(CONTROL!$C$15, $D$11, 100%, $F$11)</f>
        <v>11.2355</v>
      </c>
      <c r="D383" s="8">
        <f>CHOOSE( CONTROL!$C$32, 11.2737, 11.2701) * CHOOSE( CONTROL!$C$15, $D$11, 100%, $F$11)</f>
        <v>11.2737</v>
      </c>
      <c r="E383" s="12">
        <f>CHOOSE( CONTROL!$C$32, 11.2586, 11.255) * CHOOSE( CONTROL!$C$15, $D$11, 100%, $F$11)</f>
        <v>11.258599999999999</v>
      </c>
      <c r="F383" s="4">
        <f>CHOOSE( CONTROL!$C$32, 11.9705, 11.9669) * CHOOSE(CONTROL!$C$15, $D$11, 100%, $F$11)</f>
        <v>11.970499999999999</v>
      </c>
      <c r="G383" s="8">
        <f>CHOOSE( CONTROL!$C$32, 11.1026, 11.099) * CHOOSE( CONTROL!$C$15, $D$11, 100%, $F$11)</f>
        <v>11.102600000000001</v>
      </c>
      <c r="H383" s="4">
        <f>CHOOSE( CONTROL!$C$32, 12.077, 12.0734) * CHOOSE(CONTROL!$C$15, $D$11, 100%, $F$11)</f>
        <v>12.077</v>
      </c>
      <c r="I383" s="8">
        <f>CHOOSE( CONTROL!$C$32, 11.0347, 11.0311) * CHOOSE(CONTROL!$C$15, $D$11, 100%, $F$11)</f>
        <v>11.034700000000001</v>
      </c>
      <c r="J383" s="4">
        <f>CHOOSE( CONTROL!$C$32, 10.8855, 10.882) * CHOOSE(CONTROL!$C$15, $D$11, 100%, $F$11)</f>
        <v>10.8855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10.362, 10.3583) * CHOOSE(CONTROL!$C$15, $D$11, 100%, $F$11)</f>
        <v>10.362</v>
      </c>
      <c r="C384" s="8">
        <f>CHOOSE( CONTROL!$C$32, 10.37, 10.3663) * CHOOSE(CONTROL!$C$15, $D$11, 100%, $F$11)</f>
        <v>10.37</v>
      </c>
      <c r="D384" s="8">
        <f>CHOOSE( CONTROL!$C$32, 10.4082, 10.4046) * CHOOSE( CONTROL!$C$15, $D$11, 100%, $F$11)</f>
        <v>10.408200000000001</v>
      </c>
      <c r="E384" s="12">
        <f>CHOOSE( CONTROL!$C$32, 10.3931, 10.3895) * CHOOSE( CONTROL!$C$15, $D$11, 100%, $F$11)</f>
        <v>10.3931</v>
      </c>
      <c r="F384" s="4">
        <f>CHOOSE( CONTROL!$C$32, 11.105, 11.1013) * CHOOSE(CONTROL!$C$15, $D$11, 100%, $F$11)</f>
        <v>11.105</v>
      </c>
      <c r="G384" s="8">
        <f>CHOOSE( CONTROL!$C$32, 10.2473, 10.2437) * CHOOSE( CONTROL!$C$15, $D$11, 100%, $F$11)</f>
        <v>10.247299999999999</v>
      </c>
      <c r="H384" s="4">
        <f>CHOOSE( CONTROL!$C$32, 11.2216, 11.218) * CHOOSE(CONTROL!$C$15, $D$11, 100%, $F$11)</f>
        <v>11.2216</v>
      </c>
      <c r="I384" s="8">
        <f>CHOOSE( CONTROL!$C$32, 10.1945, 10.191) * CHOOSE(CONTROL!$C$15, $D$11, 100%, $F$11)</f>
        <v>10.1945</v>
      </c>
      <c r="J384" s="4">
        <f>CHOOSE( CONTROL!$C$32, 10.0455, 10.0419) * CHOOSE(CONTROL!$C$15, $D$11, 100%, $F$11)</f>
        <v>10.045500000000001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10.1452, 10.1416) * CHOOSE(CONTROL!$C$15, $D$11, 100%, $F$11)</f>
        <v>10.145200000000001</v>
      </c>
      <c r="C385" s="8">
        <f>CHOOSE( CONTROL!$C$32, 10.1532, 10.1496) * CHOOSE(CONTROL!$C$15, $D$11, 100%, $F$11)</f>
        <v>10.1532</v>
      </c>
      <c r="D385" s="8">
        <f>CHOOSE( CONTROL!$C$32, 10.1914, 10.1878) * CHOOSE( CONTROL!$C$15, $D$11, 100%, $F$11)</f>
        <v>10.1914</v>
      </c>
      <c r="E385" s="12">
        <f>CHOOSE( CONTROL!$C$32, 10.1763, 10.1727) * CHOOSE( CONTROL!$C$15, $D$11, 100%, $F$11)</f>
        <v>10.176299999999999</v>
      </c>
      <c r="F385" s="4">
        <f>CHOOSE( CONTROL!$C$32, 10.8882, 10.8846) * CHOOSE(CONTROL!$C$15, $D$11, 100%, $F$11)</f>
        <v>10.888199999999999</v>
      </c>
      <c r="G385" s="8">
        <f>CHOOSE( CONTROL!$C$32, 10.033, 10.0294) * CHOOSE( CONTROL!$C$15, $D$11, 100%, $F$11)</f>
        <v>10.032999999999999</v>
      </c>
      <c r="H385" s="4">
        <f>CHOOSE( CONTROL!$C$32, 11.0074, 11.0038) * CHOOSE(CONTROL!$C$15, $D$11, 100%, $F$11)</f>
        <v>11.007400000000001</v>
      </c>
      <c r="I385" s="8">
        <f>CHOOSE( CONTROL!$C$32, 9.9837, 9.9801) * CHOOSE(CONTROL!$C$15, $D$11, 100%, $F$11)</f>
        <v>9.9837000000000007</v>
      </c>
      <c r="J385" s="4">
        <f>CHOOSE( CONTROL!$C$32, 9.8351, 9.8316) * CHOOSE(CONTROL!$C$15, $D$11, 100%, $F$11)</f>
        <v>9.8351000000000006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10.5899 * CHOOSE(CONTROL!$C$15, $D$11, 100%, $F$11)</f>
        <v>10.5899</v>
      </c>
      <c r="C386" s="8">
        <f>10.5952 * CHOOSE(CONTROL!$C$15, $D$11, 100%, $F$11)</f>
        <v>10.5952</v>
      </c>
      <c r="D386" s="8">
        <f>10.6388 * CHOOSE( CONTROL!$C$15, $D$11, 100%, $F$11)</f>
        <v>10.6388</v>
      </c>
      <c r="E386" s="12">
        <f>10.6238 * CHOOSE( CONTROL!$C$15, $D$11, 100%, $F$11)</f>
        <v>10.623799999999999</v>
      </c>
      <c r="F386" s="4">
        <f>11.3346 * CHOOSE(CONTROL!$C$15, $D$11, 100%, $F$11)</f>
        <v>11.3346</v>
      </c>
      <c r="G386" s="8">
        <f>10.4736 * CHOOSE( CONTROL!$C$15, $D$11, 100%, $F$11)</f>
        <v>10.473599999999999</v>
      </c>
      <c r="H386" s="4">
        <f>11.4485 * CHOOSE(CONTROL!$C$15, $D$11, 100%, $F$11)</f>
        <v>11.448499999999999</v>
      </c>
      <c r="I386" s="8">
        <f>10.4179 * CHOOSE(CONTROL!$C$15, $D$11, 100%, $F$11)</f>
        <v>10.417899999999999</v>
      </c>
      <c r="J386" s="4">
        <f>10.2684 * CHOOSE(CONTROL!$C$15, $D$11, 100%, $F$11)</f>
        <v>10.2684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11.4202 * CHOOSE(CONTROL!$C$15, $D$11, 100%, $F$11)</f>
        <v>11.420199999999999</v>
      </c>
      <c r="C387" s="8">
        <f>11.4252 * CHOOSE(CONTROL!$C$15, $D$11, 100%, $F$11)</f>
        <v>11.4252</v>
      </c>
      <c r="D387" s="8">
        <f>11.4089 * CHOOSE( CONTROL!$C$15, $D$11, 100%, $F$11)</f>
        <v>11.408899999999999</v>
      </c>
      <c r="E387" s="12">
        <f>11.4143 * CHOOSE( CONTROL!$C$15, $D$11, 100%, $F$11)</f>
        <v>11.414300000000001</v>
      </c>
      <c r="F387" s="4">
        <f>12.0854 * CHOOSE(CONTROL!$C$15, $D$11, 100%, $F$11)</f>
        <v>12.0854</v>
      </c>
      <c r="G387" s="8">
        <f>11.2952 * CHOOSE( CONTROL!$C$15, $D$11, 100%, $F$11)</f>
        <v>11.295199999999999</v>
      </c>
      <c r="H387" s="4">
        <f>12.1906 * CHOOSE(CONTROL!$C$15, $D$11, 100%, $F$11)</f>
        <v>12.1906</v>
      </c>
      <c r="I387" s="8">
        <f>11.2245 * CHOOSE(CONTROL!$C$15, $D$11, 100%, $F$11)</f>
        <v>11.224500000000001</v>
      </c>
      <c r="J387" s="4">
        <f>11.0745 * CHOOSE(CONTROL!$C$15, $D$11, 100%, $F$11)</f>
        <v>11.0745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11.3994 * CHOOSE(CONTROL!$C$15, $D$11, 100%, $F$11)</f>
        <v>11.3994</v>
      </c>
      <c r="C388" s="8">
        <f>11.4045 * CHOOSE(CONTROL!$C$15, $D$11, 100%, $F$11)</f>
        <v>11.404500000000001</v>
      </c>
      <c r="D388" s="8">
        <f>11.3899 * CHOOSE( CONTROL!$C$15, $D$11, 100%, $F$11)</f>
        <v>11.389900000000001</v>
      </c>
      <c r="E388" s="12">
        <f>11.3947 * CHOOSE( CONTROL!$C$15, $D$11, 100%, $F$11)</f>
        <v>11.3947</v>
      </c>
      <c r="F388" s="4">
        <f>12.0647 * CHOOSE(CONTROL!$C$15, $D$11, 100%, $F$11)</f>
        <v>12.0647</v>
      </c>
      <c r="G388" s="8">
        <f>11.2759 * CHOOSE( CONTROL!$C$15, $D$11, 100%, $F$11)</f>
        <v>11.2759</v>
      </c>
      <c r="H388" s="4">
        <f>12.17 * CHOOSE(CONTROL!$C$15, $D$11, 100%, $F$11)</f>
        <v>12.17</v>
      </c>
      <c r="I388" s="8">
        <f>11.2098 * CHOOSE(CONTROL!$C$15, $D$11, 100%, $F$11)</f>
        <v>11.2098</v>
      </c>
      <c r="J388" s="4">
        <f>11.0544 * CHOOSE(CONTROL!$C$15, $D$11, 100%, $F$11)</f>
        <v>11.054399999999999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11.7354 * CHOOSE(CONTROL!$C$15, $D$11, 100%, $F$11)</f>
        <v>11.7354</v>
      </c>
      <c r="C389" s="8">
        <f>11.7405 * CHOOSE(CONTROL!$C$15, $D$11, 100%, $F$11)</f>
        <v>11.740500000000001</v>
      </c>
      <c r="D389" s="8">
        <f>11.7116 * CHOOSE( CONTROL!$C$15, $D$11, 100%, $F$11)</f>
        <v>11.711600000000001</v>
      </c>
      <c r="E389" s="12">
        <f>11.7216 * CHOOSE( CONTROL!$C$15, $D$11, 100%, $F$11)</f>
        <v>11.7216</v>
      </c>
      <c r="F389" s="4">
        <f>12.4007 * CHOOSE(CONTROL!$C$15, $D$11, 100%, $F$11)</f>
        <v>12.400700000000001</v>
      </c>
      <c r="G389" s="8">
        <f>11.5977 * CHOOSE( CONTROL!$C$15, $D$11, 100%, $F$11)</f>
        <v>11.5977</v>
      </c>
      <c r="H389" s="4">
        <f>12.5021 * CHOOSE(CONTROL!$C$15, $D$11, 100%, $F$11)</f>
        <v>12.5021</v>
      </c>
      <c r="I389" s="8">
        <f>11.5306 * CHOOSE(CONTROL!$C$15, $D$11, 100%, $F$11)</f>
        <v>11.5306</v>
      </c>
      <c r="J389" s="4">
        <f>11.3804 * CHOOSE(CONTROL!$C$15, $D$11, 100%, $F$11)</f>
        <v>11.3804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10.9773 * CHOOSE(CONTROL!$C$15, $D$11, 100%, $F$11)</f>
        <v>10.9773</v>
      </c>
      <c r="C390" s="8">
        <f>10.9824 * CHOOSE(CONTROL!$C$15, $D$11, 100%, $F$11)</f>
        <v>10.9824</v>
      </c>
      <c r="D390" s="8">
        <f>10.9535 * CHOOSE( CONTROL!$C$15, $D$11, 100%, $F$11)</f>
        <v>10.9535</v>
      </c>
      <c r="E390" s="12">
        <f>10.9635 * CHOOSE( CONTROL!$C$15, $D$11, 100%, $F$11)</f>
        <v>10.9635</v>
      </c>
      <c r="F390" s="4">
        <f>11.6426 * CHOOSE(CONTROL!$C$15, $D$11, 100%, $F$11)</f>
        <v>11.6426</v>
      </c>
      <c r="G390" s="8">
        <f>10.8484 * CHOOSE( CONTROL!$C$15, $D$11, 100%, $F$11)</f>
        <v>10.8484</v>
      </c>
      <c r="H390" s="4">
        <f>11.7529 * CHOOSE(CONTROL!$C$15, $D$11, 100%, $F$11)</f>
        <v>11.7529</v>
      </c>
      <c r="I390" s="8">
        <f>10.7945 * CHOOSE(CONTROL!$C$15, $D$11, 100%, $F$11)</f>
        <v>10.794499999999999</v>
      </c>
      <c r="J390" s="4">
        <f>10.6447 * CHOOSE(CONTROL!$C$15, $D$11, 100%, $F$11)</f>
        <v>10.6447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10.7438 * CHOOSE(CONTROL!$C$15, $D$11, 100%, $F$11)</f>
        <v>10.7438</v>
      </c>
      <c r="C391" s="8">
        <f>10.7489 * CHOOSE(CONTROL!$C$15, $D$11, 100%, $F$11)</f>
        <v>10.748900000000001</v>
      </c>
      <c r="D391" s="8">
        <f>10.7196 * CHOOSE( CONTROL!$C$15, $D$11, 100%, $F$11)</f>
        <v>10.7196</v>
      </c>
      <c r="E391" s="12">
        <f>10.7298 * CHOOSE( CONTROL!$C$15, $D$11, 100%, $F$11)</f>
        <v>10.729799999999999</v>
      </c>
      <c r="F391" s="4">
        <f>11.4091 * CHOOSE(CONTROL!$C$15, $D$11, 100%, $F$11)</f>
        <v>11.4091</v>
      </c>
      <c r="G391" s="8">
        <f>10.6174 * CHOOSE( CONTROL!$C$15, $D$11, 100%, $F$11)</f>
        <v>10.6174</v>
      </c>
      <c r="H391" s="4">
        <f>11.5221 * CHOOSE(CONTROL!$C$15, $D$11, 100%, $F$11)</f>
        <v>11.5221</v>
      </c>
      <c r="I391" s="8">
        <f>10.5665 * CHOOSE(CONTROL!$C$15, $D$11, 100%, $F$11)</f>
        <v>10.5665</v>
      </c>
      <c r="J391" s="4">
        <f>10.4181 * CHOOSE(CONTROL!$C$15, $D$11, 100%, $F$11)</f>
        <v>10.418100000000001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10.9077 * CHOOSE(CONTROL!$C$15, $D$11, 100%, $F$11)</f>
        <v>10.9077</v>
      </c>
      <c r="C392" s="8">
        <f>10.9122 * CHOOSE(CONTROL!$C$15, $D$11, 100%, $F$11)</f>
        <v>10.9122</v>
      </c>
      <c r="D392" s="8">
        <f>10.9556 * CHOOSE( CONTROL!$C$15, $D$11, 100%, $F$11)</f>
        <v>10.9556</v>
      </c>
      <c r="E392" s="12">
        <f>10.9408 * CHOOSE( CONTROL!$C$15, $D$11, 100%, $F$11)</f>
        <v>10.940799999999999</v>
      </c>
      <c r="F392" s="4">
        <f>11.6521 * CHOOSE(CONTROL!$C$15, $D$11, 100%, $F$11)</f>
        <v>11.652100000000001</v>
      </c>
      <c r="G392" s="8">
        <f>10.7864 * CHOOSE( CONTROL!$C$15, $D$11, 100%, $F$11)</f>
        <v>10.7864</v>
      </c>
      <c r="H392" s="4">
        <f>11.7623 * CHOOSE(CONTROL!$C$15, $D$11, 100%, $F$11)</f>
        <v>11.7623</v>
      </c>
      <c r="I392" s="8">
        <f>10.7232 * CHOOSE(CONTROL!$C$15, $D$11, 100%, $F$11)</f>
        <v>10.7232</v>
      </c>
      <c r="J392" s="4">
        <f>10.5765 * CHOOSE(CONTROL!$C$15, $D$11, 100%, $F$11)</f>
        <v>10.576499999999999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11.2031, 11.1995) * CHOOSE(CONTROL!$C$15, $D$11, 100%, $F$11)</f>
        <v>11.203099999999999</v>
      </c>
      <c r="C393" s="8">
        <f>CHOOSE( CONTROL!$C$32, 11.2111, 11.2075) * CHOOSE(CONTROL!$C$15, $D$11, 100%, $F$11)</f>
        <v>11.2111</v>
      </c>
      <c r="D393" s="8">
        <f>CHOOSE( CONTROL!$C$32, 11.2488, 11.2452) * CHOOSE( CONTROL!$C$15, $D$11, 100%, $F$11)</f>
        <v>11.248799999999999</v>
      </c>
      <c r="E393" s="12">
        <f>CHOOSE( CONTROL!$C$32, 11.2339, 11.2303) * CHOOSE( CONTROL!$C$15, $D$11, 100%, $F$11)</f>
        <v>11.2339</v>
      </c>
      <c r="F393" s="4">
        <f>CHOOSE( CONTROL!$C$32, 11.9461, 11.9425) * CHOOSE(CONTROL!$C$15, $D$11, 100%, $F$11)</f>
        <v>11.946099999999999</v>
      </c>
      <c r="G393" s="8">
        <f>CHOOSE( CONTROL!$C$32, 11.0778, 11.0742) * CHOOSE( CONTROL!$C$15, $D$11, 100%, $F$11)</f>
        <v>11.0778</v>
      </c>
      <c r="H393" s="4">
        <f>CHOOSE( CONTROL!$C$32, 12.0529, 12.0493) * CHOOSE(CONTROL!$C$15, $D$11, 100%, $F$11)</f>
        <v>12.052899999999999</v>
      </c>
      <c r="I393" s="8">
        <f>CHOOSE( CONTROL!$C$32, 11.0088, 11.0053) * CHOOSE(CONTROL!$C$15, $D$11, 100%, $F$11)</f>
        <v>11.008800000000001</v>
      </c>
      <c r="J393" s="4">
        <f>CHOOSE( CONTROL!$C$32, 10.8618, 10.8583) * CHOOSE(CONTROL!$C$15, $D$11, 100%, $F$11)</f>
        <v>10.861800000000001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11.0232, 11.0196) * CHOOSE(CONTROL!$C$15, $D$11, 100%, $F$11)</f>
        <v>11.023199999999999</v>
      </c>
      <c r="C394" s="8">
        <f>CHOOSE( CONTROL!$C$32, 11.0312, 11.0276) * CHOOSE(CONTROL!$C$15, $D$11, 100%, $F$11)</f>
        <v>11.0312</v>
      </c>
      <c r="D394" s="8">
        <f>CHOOSE( CONTROL!$C$32, 11.0692, 11.0655) * CHOOSE( CONTROL!$C$15, $D$11, 100%, $F$11)</f>
        <v>11.0692</v>
      </c>
      <c r="E394" s="12">
        <f>CHOOSE( CONTROL!$C$32, 11.0542, 11.0505) * CHOOSE( CONTROL!$C$15, $D$11, 100%, $F$11)</f>
        <v>11.0542</v>
      </c>
      <c r="F394" s="4">
        <f>CHOOSE( CONTROL!$C$32, 11.7662, 11.7626) * CHOOSE(CONTROL!$C$15, $D$11, 100%, $F$11)</f>
        <v>11.7662</v>
      </c>
      <c r="G394" s="8">
        <f>CHOOSE( CONTROL!$C$32, 10.9004, 10.8968) * CHOOSE( CONTROL!$C$15, $D$11, 100%, $F$11)</f>
        <v>10.900399999999999</v>
      </c>
      <c r="H394" s="4">
        <f>CHOOSE( CONTROL!$C$32, 11.8751, 11.8715) * CHOOSE(CONTROL!$C$15, $D$11, 100%, $F$11)</f>
        <v>11.8751</v>
      </c>
      <c r="I394" s="8">
        <f>CHOOSE( CONTROL!$C$32, 10.8352, 10.8316) * CHOOSE(CONTROL!$C$15, $D$11, 100%, $F$11)</f>
        <v>10.8352</v>
      </c>
      <c r="J394" s="4">
        <f>CHOOSE( CONTROL!$C$32, 10.6872, 10.6837) * CHOOSE(CONTROL!$C$15, $D$11, 100%, $F$11)</f>
        <v>10.687200000000001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11.4969, 11.4933) * CHOOSE(CONTROL!$C$15, $D$11, 100%, $F$11)</f>
        <v>11.4969</v>
      </c>
      <c r="C395" s="8">
        <f>CHOOSE( CONTROL!$C$32, 11.5049, 11.5013) * CHOOSE(CONTROL!$C$15, $D$11, 100%, $F$11)</f>
        <v>11.504899999999999</v>
      </c>
      <c r="D395" s="8">
        <f>CHOOSE( CONTROL!$C$32, 11.5431, 11.5395) * CHOOSE( CONTROL!$C$15, $D$11, 100%, $F$11)</f>
        <v>11.543100000000001</v>
      </c>
      <c r="E395" s="12">
        <f>CHOOSE( CONTROL!$C$32, 11.528, 11.5244) * CHOOSE( CONTROL!$C$15, $D$11, 100%, $F$11)</f>
        <v>11.528</v>
      </c>
      <c r="F395" s="4">
        <f>CHOOSE( CONTROL!$C$32, 12.2399, 12.2363) * CHOOSE(CONTROL!$C$15, $D$11, 100%, $F$11)</f>
        <v>12.2399</v>
      </c>
      <c r="G395" s="8">
        <f>CHOOSE( CONTROL!$C$32, 11.3689, 11.3653) * CHOOSE( CONTROL!$C$15, $D$11, 100%, $F$11)</f>
        <v>11.3689</v>
      </c>
      <c r="H395" s="4">
        <f>CHOOSE( CONTROL!$C$32, 12.3432, 12.3396) * CHOOSE(CONTROL!$C$15, $D$11, 100%, $F$11)</f>
        <v>12.3432</v>
      </c>
      <c r="I395" s="8">
        <f>CHOOSE( CONTROL!$C$32, 11.2962, 11.2927) * CHOOSE(CONTROL!$C$15, $D$11, 100%, $F$11)</f>
        <v>11.296200000000001</v>
      </c>
      <c r="J395" s="4">
        <f>CHOOSE( CONTROL!$C$32, 11.147, 11.1434) * CHOOSE(CONTROL!$C$15, $D$11, 100%, $F$11)</f>
        <v>11.147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10.6106, 10.607) * CHOOSE(CONTROL!$C$15, $D$11, 100%, $F$11)</f>
        <v>10.6106</v>
      </c>
      <c r="C396" s="8">
        <f>CHOOSE( CONTROL!$C$32, 10.6186, 10.6149) * CHOOSE(CONTROL!$C$15, $D$11, 100%, $F$11)</f>
        <v>10.618600000000001</v>
      </c>
      <c r="D396" s="8">
        <f>CHOOSE( CONTROL!$C$32, 10.6568, 10.6532) * CHOOSE( CONTROL!$C$15, $D$11, 100%, $F$11)</f>
        <v>10.6568</v>
      </c>
      <c r="E396" s="12">
        <f>CHOOSE( CONTROL!$C$32, 10.6417, 10.6381) * CHOOSE( CONTROL!$C$15, $D$11, 100%, $F$11)</f>
        <v>10.6417</v>
      </c>
      <c r="F396" s="4">
        <f>CHOOSE( CONTROL!$C$32, 11.3536, 11.35) * CHOOSE(CONTROL!$C$15, $D$11, 100%, $F$11)</f>
        <v>11.3536</v>
      </c>
      <c r="G396" s="8">
        <f>CHOOSE( CONTROL!$C$32, 10.493, 10.4894) * CHOOSE( CONTROL!$C$15, $D$11, 100%, $F$11)</f>
        <v>10.493</v>
      </c>
      <c r="H396" s="4">
        <f>CHOOSE( CONTROL!$C$32, 11.4673, 11.4637) * CHOOSE(CONTROL!$C$15, $D$11, 100%, $F$11)</f>
        <v>11.4673</v>
      </c>
      <c r="I396" s="8">
        <f>CHOOSE( CONTROL!$C$32, 10.4359, 10.4324) * CHOOSE(CONTROL!$C$15, $D$11, 100%, $F$11)</f>
        <v>10.4359</v>
      </c>
      <c r="J396" s="4">
        <f>CHOOSE( CONTROL!$C$32, 10.2868, 10.2832) * CHOOSE(CONTROL!$C$15, $D$11, 100%, $F$11)</f>
        <v>10.286799999999999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10.3886, 10.385) * CHOOSE(CONTROL!$C$15, $D$11, 100%, $F$11)</f>
        <v>10.3886</v>
      </c>
      <c r="C397" s="8">
        <f>CHOOSE( CONTROL!$C$32, 10.3966, 10.393) * CHOOSE(CONTROL!$C$15, $D$11, 100%, $F$11)</f>
        <v>10.396599999999999</v>
      </c>
      <c r="D397" s="8">
        <f>CHOOSE( CONTROL!$C$32, 10.4348, 10.4312) * CHOOSE( CONTROL!$C$15, $D$11, 100%, $F$11)</f>
        <v>10.434799999999999</v>
      </c>
      <c r="E397" s="12">
        <f>CHOOSE( CONTROL!$C$32, 10.4197, 10.4161) * CHOOSE( CONTROL!$C$15, $D$11, 100%, $F$11)</f>
        <v>10.419700000000001</v>
      </c>
      <c r="F397" s="4">
        <f>CHOOSE( CONTROL!$C$32, 11.1317, 11.128) * CHOOSE(CONTROL!$C$15, $D$11, 100%, $F$11)</f>
        <v>11.1317</v>
      </c>
      <c r="G397" s="8">
        <f>CHOOSE( CONTROL!$C$32, 10.2735, 10.2699) * CHOOSE( CONTROL!$C$15, $D$11, 100%, $F$11)</f>
        <v>10.2735</v>
      </c>
      <c r="H397" s="4">
        <f>CHOOSE( CONTROL!$C$32, 11.2479, 11.2443) * CHOOSE(CONTROL!$C$15, $D$11, 100%, $F$11)</f>
        <v>11.2479</v>
      </c>
      <c r="I397" s="8">
        <f>CHOOSE( CONTROL!$C$32, 10.22, 10.2165) * CHOOSE(CONTROL!$C$15, $D$11, 100%, $F$11)</f>
        <v>10.220000000000001</v>
      </c>
      <c r="J397" s="4">
        <f>CHOOSE( CONTROL!$C$32, 10.0714, 10.0678) * CHOOSE(CONTROL!$C$15, $D$11, 100%, $F$11)</f>
        <v>10.071400000000001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10.8441 * CHOOSE(CONTROL!$C$15, $D$11, 100%, $F$11)</f>
        <v>10.844099999999999</v>
      </c>
      <c r="C398" s="8">
        <f>10.8495 * CHOOSE(CONTROL!$C$15, $D$11, 100%, $F$11)</f>
        <v>10.849500000000001</v>
      </c>
      <c r="D398" s="8">
        <f>10.893 * CHOOSE( CONTROL!$C$15, $D$11, 100%, $F$11)</f>
        <v>10.893000000000001</v>
      </c>
      <c r="E398" s="12">
        <f>10.8781 * CHOOSE( CONTROL!$C$15, $D$11, 100%, $F$11)</f>
        <v>10.8781</v>
      </c>
      <c r="F398" s="4">
        <f>11.5889 * CHOOSE(CONTROL!$C$15, $D$11, 100%, $F$11)</f>
        <v>11.588900000000001</v>
      </c>
      <c r="G398" s="8">
        <f>10.7249 * CHOOSE( CONTROL!$C$15, $D$11, 100%, $F$11)</f>
        <v>10.7249</v>
      </c>
      <c r="H398" s="4">
        <f>11.6998 * CHOOSE(CONTROL!$C$15, $D$11, 100%, $F$11)</f>
        <v>11.6998</v>
      </c>
      <c r="I398" s="8">
        <f>10.6647 * CHOOSE(CONTROL!$C$15, $D$11, 100%, $F$11)</f>
        <v>10.6647</v>
      </c>
      <c r="J398" s="4">
        <f>10.5151 * CHOOSE(CONTROL!$C$15, $D$11, 100%, $F$11)</f>
        <v>10.5151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11.6943 * CHOOSE(CONTROL!$C$15, $D$11, 100%, $F$11)</f>
        <v>11.6943</v>
      </c>
      <c r="C399" s="8">
        <f>11.6994 * CHOOSE(CONTROL!$C$15, $D$11, 100%, $F$11)</f>
        <v>11.699400000000001</v>
      </c>
      <c r="D399" s="8">
        <f>11.6831 * CHOOSE( CONTROL!$C$15, $D$11, 100%, $F$11)</f>
        <v>11.6831</v>
      </c>
      <c r="E399" s="12">
        <f>11.6885 * CHOOSE( CONTROL!$C$15, $D$11, 100%, $F$11)</f>
        <v>11.688499999999999</v>
      </c>
      <c r="F399" s="4">
        <f>12.3596 * CHOOSE(CONTROL!$C$15, $D$11, 100%, $F$11)</f>
        <v>12.3596</v>
      </c>
      <c r="G399" s="8">
        <f>11.5661 * CHOOSE( CONTROL!$C$15, $D$11, 100%, $F$11)</f>
        <v>11.5661</v>
      </c>
      <c r="H399" s="4">
        <f>12.4615 * CHOOSE(CONTROL!$C$15, $D$11, 100%, $F$11)</f>
        <v>12.461499999999999</v>
      </c>
      <c r="I399" s="8">
        <f>11.4908 * CHOOSE(CONTROL!$C$15, $D$11, 100%, $F$11)</f>
        <v>11.4908</v>
      </c>
      <c r="J399" s="4">
        <f>11.3406 * CHOOSE(CONTROL!$C$15, $D$11, 100%, $F$11)</f>
        <v>11.3406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11.6731 * CHOOSE(CONTROL!$C$15, $D$11, 100%, $F$11)</f>
        <v>11.6731</v>
      </c>
      <c r="C400" s="8">
        <f>11.6782 * CHOOSE(CONTROL!$C$15, $D$11, 100%, $F$11)</f>
        <v>11.6782</v>
      </c>
      <c r="D400" s="8">
        <f>11.6635 * CHOOSE( CONTROL!$C$15, $D$11, 100%, $F$11)</f>
        <v>11.663500000000001</v>
      </c>
      <c r="E400" s="12">
        <f>11.6683 * CHOOSE( CONTROL!$C$15, $D$11, 100%, $F$11)</f>
        <v>11.6683</v>
      </c>
      <c r="F400" s="4">
        <f>12.3384 * CHOOSE(CONTROL!$C$15, $D$11, 100%, $F$11)</f>
        <v>12.3384</v>
      </c>
      <c r="G400" s="8">
        <f>11.5464 * CHOOSE( CONTROL!$C$15, $D$11, 100%, $F$11)</f>
        <v>11.5464</v>
      </c>
      <c r="H400" s="4">
        <f>12.4405 * CHOOSE(CONTROL!$C$15, $D$11, 100%, $F$11)</f>
        <v>12.4405</v>
      </c>
      <c r="I400" s="8">
        <f>11.4755 * CHOOSE(CONTROL!$C$15, $D$11, 100%, $F$11)</f>
        <v>11.4755</v>
      </c>
      <c r="J400" s="4">
        <f>11.32 * CHOOSE(CONTROL!$C$15, $D$11, 100%, $F$11)</f>
        <v>11.32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12.0171 * CHOOSE(CONTROL!$C$15, $D$11, 100%, $F$11)</f>
        <v>12.017099999999999</v>
      </c>
      <c r="C401" s="8">
        <f>12.0222 * CHOOSE(CONTROL!$C$15, $D$11, 100%, $F$11)</f>
        <v>12.0222</v>
      </c>
      <c r="D401" s="8">
        <f>11.9933 * CHOOSE( CONTROL!$C$15, $D$11, 100%, $F$11)</f>
        <v>11.9933</v>
      </c>
      <c r="E401" s="12">
        <f>12.0033 * CHOOSE( CONTROL!$C$15, $D$11, 100%, $F$11)</f>
        <v>12.003299999999999</v>
      </c>
      <c r="F401" s="4">
        <f>12.6824 * CHOOSE(CONTROL!$C$15, $D$11, 100%, $F$11)</f>
        <v>12.682399999999999</v>
      </c>
      <c r="G401" s="8">
        <f>11.8761 * CHOOSE( CONTROL!$C$15, $D$11, 100%, $F$11)</f>
        <v>11.876099999999999</v>
      </c>
      <c r="H401" s="4">
        <f>12.7805 * CHOOSE(CONTROL!$C$15, $D$11, 100%, $F$11)</f>
        <v>12.7805</v>
      </c>
      <c r="I401" s="8">
        <f>11.8042 * CHOOSE(CONTROL!$C$15, $D$11, 100%, $F$11)</f>
        <v>11.8042</v>
      </c>
      <c r="J401" s="4">
        <f>11.6539 * CHOOSE(CONTROL!$C$15, $D$11, 100%, $F$11)</f>
        <v>11.6539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11.2408 * CHOOSE(CONTROL!$C$15, $D$11, 100%, $F$11)</f>
        <v>11.2408</v>
      </c>
      <c r="C402" s="8">
        <f>11.2459 * CHOOSE(CONTROL!$C$15, $D$11, 100%, $F$11)</f>
        <v>11.245900000000001</v>
      </c>
      <c r="D402" s="8">
        <f>11.217 * CHOOSE( CONTROL!$C$15, $D$11, 100%, $F$11)</f>
        <v>11.217000000000001</v>
      </c>
      <c r="E402" s="12">
        <f>11.227 * CHOOSE( CONTROL!$C$15, $D$11, 100%, $F$11)</f>
        <v>11.227</v>
      </c>
      <c r="F402" s="4">
        <f>11.9061 * CHOOSE(CONTROL!$C$15, $D$11, 100%, $F$11)</f>
        <v>11.9061</v>
      </c>
      <c r="G402" s="8">
        <f>11.1089 * CHOOSE( CONTROL!$C$15, $D$11, 100%, $F$11)</f>
        <v>11.1089</v>
      </c>
      <c r="H402" s="4">
        <f>12.0133 * CHOOSE(CONTROL!$C$15, $D$11, 100%, $F$11)</f>
        <v>12.013299999999999</v>
      </c>
      <c r="I402" s="8">
        <f>11.0504 * CHOOSE(CONTROL!$C$15, $D$11, 100%, $F$11)</f>
        <v>11.0504</v>
      </c>
      <c r="J402" s="4">
        <f>10.9005 * CHOOSE(CONTROL!$C$15, $D$11, 100%, $F$11)</f>
        <v>10.900499999999999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11.0017 * CHOOSE(CONTROL!$C$15, $D$11, 100%, $F$11)</f>
        <v>11.0017</v>
      </c>
      <c r="C403" s="8">
        <f>11.0068 * CHOOSE(CONTROL!$C$15, $D$11, 100%, $F$11)</f>
        <v>11.0068</v>
      </c>
      <c r="D403" s="8">
        <f>10.9775 * CHOOSE( CONTROL!$C$15, $D$11, 100%, $F$11)</f>
        <v>10.977499999999999</v>
      </c>
      <c r="E403" s="12">
        <f>10.9877 * CHOOSE( CONTROL!$C$15, $D$11, 100%, $F$11)</f>
        <v>10.9877</v>
      </c>
      <c r="F403" s="4">
        <f>11.667 * CHOOSE(CONTROL!$C$15, $D$11, 100%, $F$11)</f>
        <v>11.667</v>
      </c>
      <c r="G403" s="8">
        <f>10.8723 * CHOOSE( CONTROL!$C$15, $D$11, 100%, $F$11)</f>
        <v>10.872299999999999</v>
      </c>
      <c r="H403" s="4">
        <f>11.777 * CHOOSE(CONTROL!$C$15, $D$11, 100%, $F$11)</f>
        <v>11.776999999999999</v>
      </c>
      <c r="I403" s="8">
        <f>10.817 * CHOOSE(CONTROL!$C$15, $D$11, 100%, $F$11)</f>
        <v>10.817</v>
      </c>
      <c r="J403" s="4">
        <f>10.6684 * CHOOSE(CONTROL!$C$15, $D$11, 100%, $F$11)</f>
        <v>10.6684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11.1696 * CHOOSE(CONTROL!$C$15, $D$11, 100%, $F$11)</f>
        <v>11.169600000000001</v>
      </c>
      <c r="C404" s="8">
        <f>11.1741 * CHOOSE(CONTROL!$C$15, $D$11, 100%, $F$11)</f>
        <v>11.174099999999999</v>
      </c>
      <c r="D404" s="8">
        <f>11.2175 * CHOOSE( CONTROL!$C$15, $D$11, 100%, $F$11)</f>
        <v>11.217499999999999</v>
      </c>
      <c r="E404" s="12">
        <f>11.2027 * CHOOSE( CONTROL!$C$15, $D$11, 100%, $F$11)</f>
        <v>11.2027</v>
      </c>
      <c r="F404" s="4">
        <f>11.914 * CHOOSE(CONTROL!$C$15, $D$11, 100%, $F$11)</f>
        <v>11.914</v>
      </c>
      <c r="G404" s="8">
        <f>11.0452 * CHOOSE( CONTROL!$C$15, $D$11, 100%, $F$11)</f>
        <v>11.045199999999999</v>
      </c>
      <c r="H404" s="4">
        <f>12.0211 * CHOOSE(CONTROL!$C$15, $D$11, 100%, $F$11)</f>
        <v>12.021100000000001</v>
      </c>
      <c r="I404" s="8">
        <f>10.9774 * CHOOSE(CONTROL!$C$15, $D$11, 100%, $F$11)</f>
        <v>10.977399999999999</v>
      </c>
      <c r="J404" s="4">
        <f>10.8306 * CHOOSE(CONTROL!$C$15, $D$11, 100%, $F$11)</f>
        <v>10.8306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11.4719, 11.4683) * CHOOSE(CONTROL!$C$15, $D$11, 100%, $F$11)</f>
        <v>11.4719</v>
      </c>
      <c r="C405" s="8">
        <f>CHOOSE( CONTROL!$C$32, 11.4799, 11.4763) * CHOOSE(CONTROL!$C$15, $D$11, 100%, $F$11)</f>
        <v>11.479900000000001</v>
      </c>
      <c r="D405" s="8">
        <f>CHOOSE( CONTROL!$C$32, 11.5177, 11.514) * CHOOSE( CONTROL!$C$15, $D$11, 100%, $F$11)</f>
        <v>11.5177</v>
      </c>
      <c r="E405" s="12">
        <f>CHOOSE( CONTROL!$C$32, 11.5028, 11.4991) * CHOOSE( CONTROL!$C$15, $D$11, 100%, $F$11)</f>
        <v>11.502800000000001</v>
      </c>
      <c r="F405" s="4">
        <f>CHOOSE( CONTROL!$C$32, 12.215, 12.2113) * CHOOSE(CONTROL!$C$15, $D$11, 100%, $F$11)</f>
        <v>12.215</v>
      </c>
      <c r="G405" s="8">
        <f>CHOOSE( CONTROL!$C$32, 11.3435, 11.3399) * CHOOSE( CONTROL!$C$15, $D$11, 100%, $F$11)</f>
        <v>11.343500000000001</v>
      </c>
      <c r="H405" s="4">
        <f>CHOOSE( CONTROL!$C$32, 12.3186, 12.315) * CHOOSE(CONTROL!$C$15, $D$11, 100%, $F$11)</f>
        <v>12.3186</v>
      </c>
      <c r="I405" s="8">
        <f>CHOOSE( CONTROL!$C$32, 11.2698, 11.2663) * CHOOSE(CONTROL!$C$15, $D$11, 100%, $F$11)</f>
        <v>11.2698</v>
      </c>
      <c r="J405" s="4">
        <f>CHOOSE( CONTROL!$C$32, 11.1227, 11.1192) * CHOOSE(CONTROL!$C$15, $D$11, 100%, $F$11)</f>
        <v>11.1227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11.2877, 11.2841) * CHOOSE(CONTROL!$C$15, $D$11, 100%, $F$11)</f>
        <v>11.287699999999999</v>
      </c>
      <c r="C406" s="8">
        <f>CHOOSE( CONTROL!$C$32, 11.2957, 11.2921) * CHOOSE(CONTROL!$C$15, $D$11, 100%, $F$11)</f>
        <v>11.2957</v>
      </c>
      <c r="D406" s="8">
        <f>CHOOSE( CONTROL!$C$32, 11.3337, 11.33) * CHOOSE( CONTROL!$C$15, $D$11, 100%, $F$11)</f>
        <v>11.3337</v>
      </c>
      <c r="E406" s="12">
        <f>CHOOSE( CONTROL!$C$32, 11.3187, 11.315) * CHOOSE( CONTROL!$C$15, $D$11, 100%, $F$11)</f>
        <v>11.3187</v>
      </c>
      <c r="F406" s="4">
        <f>CHOOSE( CONTROL!$C$32, 12.0308, 12.0271) * CHOOSE(CONTROL!$C$15, $D$11, 100%, $F$11)</f>
        <v>12.030799999999999</v>
      </c>
      <c r="G406" s="8">
        <f>CHOOSE( CONTROL!$C$32, 11.1618, 11.1582) * CHOOSE( CONTROL!$C$15, $D$11, 100%, $F$11)</f>
        <v>11.161799999999999</v>
      </c>
      <c r="H406" s="4">
        <f>CHOOSE( CONTROL!$C$32, 12.1365, 12.1329) * CHOOSE(CONTROL!$C$15, $D$11, 100%, $F$11)</f>
        <v>12.1365</v>
      </c>
      <c r="I406" s="8">
        <f>CHOOSE( CONTROL!$C$32, 11.092, 11.0885) * CHOOSE(CONTROL!$C$15, $D$11, 100%, $F$11)</f>
        <v>11.092000000000001</v>
      </c>
      <c r="J406" s="4">
        <f>CHOOSE( CONTROL!$C$32, 10.9439, 10.9404) * CHOOSE(CONTROL!$C$15, $D$11, 100%, $F$11)</f>
        <v>10.943899999999999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11.7728, 11.7692) * CHOOSE(CONTROL!$C$15, $D$11, 100%, $F$11)</f>
        <v>11.7728</v>
      </c>
      <c r="C407" s="8">
        <f>CHOOSE( CONTROL!$C$32, 11.7808, 11.7772) * CHOOSE(CONTROL!$C$15, $D$11, 100%, $F$11)</f>
        <v>11.780799999999999</v>
      </c>
      <c r="D407" s="8">
        <f>CHOOSE( CONTROL!$C$32, 11.819, 11.8154) * CHOOSE( CONTROL!$C$15, $D$11, 100%, $F$11)</f>
        <v>11.819000000000001</v>
      </c>
      <c r="E407" s="12">
        <f>CHOOSE( CONTROL!$C$32, 11.8039, 11.8003) * CHOOSE( CONTROL!$C$15, $D$11, 100%, $F$11)</f>
        <v>11.803900000000001</v>
      </c>
      <c r="F407" s="4">
        <f>CHOOSE( CONTROL!$C$32, 12.5158, 12.5122) * CHOOSE(CONTROL!$C$15, $D$11, 100%, $F$11)</f>
        <v>12.5158</v>
      </c>
      <c r="G407" s="8">
        <f>CHOOSE( CONTROL!$C$32, 11.6415, 11.6379) * CHOOSE( CONTROL!$C$15, $D$11, 100%, $F$11)</f>
        <v>11.641500000000001</v>
      </c>
      <c r="H407" s="4">
        <f>CHOOSE( CONTROL!$C$32, 12.6159, 12.6123) * CHOOSE(CONTROL!$C$15, $D$11, 100%, $F$11)</f>
        <v>12.6159</v>
      </c>
      <c r="I407" s="8">
        <f>CHOOSE( CONTROL!$C$32, 11.5641, 11.5606) * CHOOSE(CONTROL!$C$15, $D$11, 100%, $F$11)</f>
        <v>11.5641</v>
      </c>
      <c r="J407" s="4">
        <f>CHOOSE( CONTROL!$C$32, 11.4147, 11.4112) * CHOOSE(CONTROL!$C$15, $D$11, 100%, $F$11)</f>
        <v>11.4147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10.8652, 10.8615) * CHOOSE(CONTROL!$C$15, $D$11, 100%, $F$11)</f>
        <v>10.8652</v>
      </c>
      <c r="C408" s="8">
        <f>CHOOSE( CONTROL!$C$32, 10.8732, 10.8695) * CHOOSE(CONTROL!$C$15, $D$11, 100%, $F$11)</f>
        <v>10.873200000000001</v>
      </c>
      <c r="D408" s="8">
        <f>CHOOSE( CONTROL!$C$32, 10.9114, 10.9078) * CHOOSE( CONTROL!$C$15, $D$11, 100%, $F$11)</f>
        <v>10.9114</v>
      </c>
      <c r="E408" s="12">
        <f>CHOOSE( CONTROL!$C$32, 10.8963, 10.8927) * CHOOSE( CONTROL!$C$15, $D$11, 100%, $F$11)</f>
        <v>10.8963</v>
      </c>
      <c r="F408" s="4">
        <f>CHOOSE( CONTROL!$C$32, 11.6082, 11.6046) * CHOOSE(CONTROL!$C$15, $D$11, 100%, $F$11)</f>
        <v>11.6082</v>
      </c>
      <c r="G408" s="8">
        <f>CHOOSE( CONTROL!$C$32, 10.7446, 10.741) * CHOOSE( CONTROL!$C$15, $D$11, 100%, $F$11)</f>
        <v>10.7446</v>
      </c>
      <c r="H408" s="4">
        <f>CHOOSE( CONTROL!$C$32, 11.7189, 11.7153) * CHOOSE(CONTROL!$C$15, $D$11, 100%, $F$11)</f>
        <v>11.7189</v>
      </c>
      <c r="I408" s="8">
        <f>CHOOSE( CONTROL!$C$32, 10.6831, 10.6796) * CHOOSE(CONTROL!$C$15, $D$11, 100%, $F$11)</f>
        <v>10.6831</v>
      </c>
      <c r="J408" s="4">
        <f>CHOOSE( CONTROL!$C$32, 10.5338, 10.5303) * CHOOSE(CONTROL!$C$15, $D$11, 100%, $F$11)</f>
        <v>10.533799999999999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10.6379, 10.6343) * CHOOSE(CONTROL!$C$15, $D$11, 100%, $F$11)</f>
        <v>10.6379</v>
      </c>
      <c r="C409" s="8">
        <f>CHOOSE( CONTROL!$C$32, 10.6459, 10.6422) * CHOOSE(CONTROL!$C$15, $D$11, 100%, $F$11)</f>
        <v>10.645899999999999</v>
      </c>
      <c r="D409" s="8">
        <f>CHOOSE( CONTROL!$C$32, 10.6841, 10.6804) * CHOOSE( CONTROL!$C$15, $D$11, 100%, $F$11)</f>
        <v>10.684100000000001</v>
      </c>
      <c r="E409" s="12">
        <f>CHOOSE( CONTROL!$C$32, 10.669, 10.6654) * CHOOSE( CONTROL!$C$15, $D$11, 100%, $F$11)</f>
        <v>10.669</v>
      </c>
      <c r="F409" s="4">
        <f>CHOOSE( CONTROL!$C$32, 11.3809, 11.3773) * CHOOSE(CONTROL!$C$15, $D$11, 100%, $F$11)</f>
        <v>11.3809</v>
      </c>
      <c r="G409" s="8">
        <f>CHOOSE( CONTROL!$C$32, 10.5199, 10.5163) * CHOOSE( CONTROL!$C$15, $D$11, 100%, $F$11)</f>
        <v>10.5199</v>
      </c>
      <c r="H409" s="4">
        <f>CHOOSE( CONTROL!$C$32, 11.4943, 11.4907) * CHOOSE(CONTROL!$C$15, $D$11, 100%, $F$11)</f>
        <v>11.494300000000001</v>
      </c>
      <c r="I409" s="8">
        <f>CHOOSE( CONTROL!$C$32, 10.4621, 10.4585) * CHOOSE(CONTROL!$C$15, $D$11, 100%, $F$11)</f>
        <v>10.4621</v>
      </c>
      <c r="J409" s="4">
        <f>CHOOSE( CONTROL!$C$32, 10.3133, 10.3097) * CHOOSE(CONTROL!$C$15, $D$11, 100%, $F$11)</f>
        <v>10.3133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11.1045 * CHOOSE(CONTROL!$C$15, $D$11, 100%, $F$11)</f>
        <v>11.1045</v>
      </c>
      <c r="C410" s="8">
        <f>11.1098 * CHOOSE(CONTROL!$C$15, $D$11, 100%, $F$11)</f>
        <v>11.1098</v>
      </c>
      <c r="D410" s="8">
        <f>11.1533 * CHOOSE( CONTROL!$C$15, $D$11, 100%, $F$11)</f>
        <v>11.1533</v>
      </c>
      <c r="E410" s="12">
        <f>11.1384 * CHOOSE( CONTROL!$C$15, $D$11, 100%, $F$11)</f>
        <v>11.138400000000001</v>
      </c>
      <c r="F410" s="4">
        <f>11.8492 * CHOOSE(CONTROL!$C$15, $D$11, 100%, $F$11)</f>
        <v>11.8492</v>
      </c>
      <c r="G410" s="8">
        <f>10.9822 * CHOOSE( CONTROL!$C$15, $D$11, 100%, $F$11)</f>
        <v>10.982200000000001</v>
      </c>
      <c r="H410" s="4">
        <f>11.9571 * CHOOSE(CONTROL!$C$15, $D$11, 100%, $F$11)</f>
        <v>11.957100000000001</v>
      </c>
      <c r="I410" s="8">
        <f>10.9175 * CHOOSE(CONTROL!$C$15, $D$11, 100%, $F$11)</f>
        <v>10.9175</v>
      </c>
      <c r="J410" s="4">
        <f>10.7677 * CHOOSE(CONTROL!$C$15, $D$11, 100%, $F$11)</f>
        <v>10.7677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11.9751 * CHOOSE(CONTROL!$C$15, $D$11, 100%, $F$11)</f>
        <v>11.975099999999999</v>
      </c>
      <c r="C411" s="8">
        <f>11.9802 * CHOOSE(CONTROL!$C$15, $D$11, 100%, $F$11)</f>
        <v>11.9802</v>
      </c>
      <c r="D411" s="8">
        <f>11.9638 * CHOOSE( CONTROL!$C$15, $D$11, 100%, $F$11)</f>
        <v>11.963800000000001</v>
      </c>
      <c r="E411" s="12">
        <f>11.9693 * CHOOSE( CONTROL!$C$15, $D$11, 100%, $F$11)</f>
        <v>11.9693</v>
      </c>
      <c r="F411" s="4">
        <f>12.6404 * CHOOSE(CONTROL!$C$15, $D$11, 100%, $F$11)</f>
        <v>12.6404</v>
      </c>
      <c r="G411" s="8">
        <f>11.8436 * CHOOSE( CONTROL!$C$15, $D$11, 100%, $F$11)</f>
        <v>11.8436</v>
      </c>
      <c r="H411" s="4">
        <f>12.739 * CHOOSE(CONTROL!$C$15, $D$11, 100%, $F$11)</f>
        <v>12.739000000000001</v>
      </c>
      <c r="I411" s="8">
        <f>11.7634 * CHOOSE(CONTROL!$C$15, $D$11, 100%, $F$11)</f>
        <v>11.763400000000001</v>
      </c>
      <c r="J411" s="4">
        <f>11.6131 * CHOOSE(CONTROL!$C$15, $D$11, 100%, $F$11)</f>
        <v>11.613099999999999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11.9533 * CHOOSE(CONTROL!$C$15, $D$11, 100%, $F$11)</f>
        <v>11.9533</v>
      </c>
      <c r="C412" s="8">
        <f>11.9584 * CHOOSE(CONTROL!$C$15, $D$11, 100%, $F$11)</f>
        <v>11.958399999999999</v>
      </c>
      <c r="D412" s="8">
        <f>11.9438 * CHOOSE( CONTROL!$C$15, $D$11, 100%, $F$11)</f>
        <v>11.9438</v>
      </c>
      <c r="E412" s="12">
        <f>11.9486 * CHOOSE( CONTROL!$C$15, $D$11, 100%, $F$11)</f>
        <v>11.948600000000001</v>
      </c>
      <c r="F412" s="4">
        <f>12.6186 * CHOOSE(CONTROL!$C$15, $D$11, 100%, $F$11)</f>
        <v>12.618600000000001</v>
      </c>
      <c r="G412" s="8">
        <f>11.8233 * CHOOSE( CONTROL!$C$15, $D$11, 100%, $F$11)</f>
        <v>11.8233</v>
      </c>
      <c r="H412" s="4">
        <f>12.7175 * CHOOSE(CONTROL!$C$15, $D$11, 100%, $F$11)</f>
        <v>12.717499999999999</v>
      </c>
      <c r="I412" s="8">
        <f>11.7476 * CHOOSE(CONTROL!$C$15, $D$11, 100%, $F$11)</f>
        <v>11.7476</v>
      </c>
      <c r="J412" s="4">
        <f>11.592 * CHOOSE(CONTROL!$C$15, $D$11, 100%, $F$11)</f>
        <v>11.592000000000001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12.3057 * CHOOSE(CONTROL!$C$15, $D$11, 100%, $F$11)</f>
        <v>12.3057</v>
      </c>
      <c r="C413" s="8">
        <f>12.3107 * CHOOSE(CONTROL!$C$15, $D$11, 100%, $F$11)</f>
        <v>12.310700000000001</v>
      </c>
      <c r="D413" s="8">
        <f>12.2819 * CHOOSE( CONTROL!$C$15, $D$11, 100%, $F$11)</f>
        <v>12.2819</v>
      </c>
      <c r="E413" s="12">
        <f>12.2919 * CHOOSE( CONTROL!$C$15, $D$11, 100%, $F$11)</f>
        <v>12.2919</v>
      </c>
      <c r="F413" s="4">
        <f>12.9709 * CHOOSE(CONTROL!$C$15, $D$11, 100%, $F$11)</f>
        <v>12.9709</v>
      </c>
      <c r="G413" s="8">
        <f>12.1613 * CHOOSE( CONTROL!$C$15, $D$11, 100%, $F$11)</f>
        <v>12.161300000000001</v>
      </c>
      <c r="H413" s="4">
        <f>13.0657 * CHOOSE(CONTROL!$C$15, $D$11, 100%, $F$11)</f>
        <v>13.0657</v>
      </c>
      <c r="I413" s="8">
        <f>12.0844 * CHOOSE(CONTROL!$C$15, $D$11, 100%, $F$11)</f>
        <v>12.0844</v>
      </c>
      <c r="J413" s="4">
        <f>11.9339 * CHOOSE(CONTROL!$C$15, $D$11, 100%, $F$11)</f>
        <v>11.9339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11.5107 * CHOOSE(CONTROL!$C$15, $D$11, 100%, $F$11)</f>
        <v>11.5107</v>
      </c>
      <c r="C414" s="8">
        <f>11.5158 * CHOOSE(CONTROL!$C$15, $D$11, 100%, $F$11)</f>
        <v>11.5158</v>
      </c>
      <c r="D414" s="8">
        <f>11.4869 * CHOOSE( CONTROL!$C$15, $D$11, 100%, $F$11)</f>
        <v>11.4869</v>
      </c>
      <c r="E414" s="12">
        <f>11.4969 * CHOOSE( CONTROL!$C$15, $D$11, 100%, $F$11)</f>
        <v>11.4969</v>
      </c>
      <c r="F414" s="4">
        <f>12.176 * CHOOSE(CONTROL!$C$15, $D$11, 100%, $F$11)</f>
        <v>12.176</v>
      </c>
      <c r="G414" s="8">
        <f>11.3756 * CHOOSE( CONTROL!$C$15, $D$11, 100%, $F$11)</f>
        <v>11.3756</v>
      </c>
      <c r="H414" s="4">
        <f>12.28 * CHOOSE(CONTROL!$C$15, $D$11, 100%, $F$11)</f>
        <v>12.28</v>
      </c>
      <c r="I414" s="8">
        <f>11.3124 * CHOOSE(CONTROL!$C$15, $D$11, 100%, $F$11)</f>
        <v>11.3124</v>
      </c>
      <c r="J414" s="4">
        <f>11.1624 * CHOOSE(CONTROL!$C$15, $D$11, 100%, $F$11)</f>
        <v>11.1624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11.2659 * CHOOSE(CONTROL!$C$15, $D$11, 100%, $F$11)</f>
        <v>11.2659</v>
      </c>
      <c r="C415" s="8">
        <f>11.2709 * CHOOSE(CONTROL!$C$15, $D$11, 100%, $F$11)</f>
        <v>11.270899999999999</v>
      </c>
      <c r="D415" s="8">
        <f>11.2417 * CHOOSE( CONTROL!$C$15, $D$11, 100%, $F$11)</f>
        <v>11.2417</v>
      </c>
      <c r="E415" s="12">
        <f>11.2518 * CHOOSE( CONTROL!$C$15, $D$11, 100%, $F$11)</f>
        <v>11.251799999999999</v>
      </c>
      <c r="F415" s="4">
        <f>11.9311 * CHOOSE(CONTROL!$C$15, $D$11, 100%, $F$11)</f>
        <v>11.931100000000001</v>
      </c>
      <c r="G415" s="8">
        <f>11.1333 * CHOOSE( CONTROL!$C$15, $D$11, 100%, $F$11)</f>
        <v>11.1333</v>
      </c>
      <c r="H415" s="4">
        <f>12.0381 * CHOOSE(CONTROL!$C$15, $D$11, 100%, $F$11)</f>
        <v>12.0381</v>
      </c>
      <c r="I415" s="8">
        <f>11.0735 * CHOOSE(CONTROL!$C$15, $D$11, 100%, $F$11)</f>
        <v>11.073499999999999</v>
      </c>
      <c r="J415" s="4">
        <f>10.9248 * CHOOSE(CONTROL!$C$15, $D$11, 100%, $F$11)</f>
        <v>10.924799999999999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11.4377 * CHOOSE(CONTROL!$C$15, $D$11, 100%, $F$11)</f>
        <v>11.4377</v>
      </c>
      <c r="C416" s="8">
        <f>11.4422 * CHOOSE(CONTROL!$C$15, $D$11, 100%, $F$11)</f>
        <v>11.4422</v>
      </c>
      <c r="D416" s="8">
        <f>11.4856 * CHOOSE( CONTROL!$C$15, $D$11, 100%, $F$11)</f>
        <v>11.4856</v>
      </c>
      <c r="E416" s="12">
        <f>11.4708 * CHOOSE( CONTROL!$C$15, $D$11, 100%, $F$11)</f>
        <v>11.470800000000001</v>
      </c>
      <c r="F416" s="4">
        <f>12.1821 * CHOOSE(CONTROL!$C$15, $D$11, 100%, $F$11)</f>
        <v>12.1821</v>
      </c>
      <c r="G416" s="8">
        <f>11.3102 * CHOOSE( CONTROL!$C$15, $D$11, 100%, $F$11)</f>
        <v>11.3102</v>
      </c>
      <c r="H416" s="4">
        <f>12.2861 * CHOOSE(CONTROL!$C$15, $D$11, 100%, $F$11)</f>
        <v>12.286099999999999</v>
      </c>
      <c r="I416" s="8">
        <f>11.2378 * CHOOSE(CONTROL!$C$15, $D$11, 100%, $F$11)</f>
        <v>11.2378</v>
      </c>
      <c r="J416" s="4">
        <f>11.0908 * CHOOSE(CONTROL!$C$15, $D$11, 100%, $F$11)</f>
        <v>11.0908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11.7472, 11.7436) * CHOOSE(CONTROL!$C$15, $D$11, 100%, $F$11)</f>
        <v>11.747199999999999</v>
      </c>
      <c r="C417" s="8">
        <f>CHOOSE( CONTROL!$C$32, 11.7552, 11.7516) * CHOOSE(CONTROL!$C$15, $D$11, 100%, $F$11)</f>
        <v>11.7552</v>
      </c>
      <c r="D417" s="8">
        <f>CHOOSE( CONTROL!$C$32, 11.7929, 11.7893) * CHOOSE( CONTROL!$C$15, $D$11, 100%, $F$11)</f>
        <v>11.792899999999999</v>
      </c>
      <c r="E417" s="12">
        <f>CHOOSE( CONTROL!$C$32, 11.778, 11.7744) * CHOOSE( CONTROL!$C$15, $D$11, 100%, $F$11)</f>
        <v>11.778</v>
      </c>
      <c r="F417" s="4">
        <f>CHOOSE( CONTROL!$C$32, 12.4902, 12.4866) * CHOOSE(CONTROL!$C$15, $D$11, 100%, $F$11)</f>
        <v>12.4902</v>
      </c>
      <c r="G417" s="8">
        <f>CHOOSE( CONTROL!$C$32, 11.6156, 11.612) * CHOOSE( CONTROL!$C$15, $D$11, 100%, $F$11)</f>
        <v>11.615600000000001</v>
      </c>
      <c r="H417" s="4">
        <f>CHOOSE( CONTROL!$C$32, 12.5906, 12.587) * CHOOSE(CONTROL!$C$15, $D$11, 100%, $F$11)</f>
        <v>12.5906</v>
      </c>
      <c r="I417" s="8">
        <f>CHOOSE( CONTROL!$C$32, 11.5371, 11.5336) * CHOOSE(CONTROL!$C$15, $D$11, 100%, $F$11)</f>
        <v>11.537100000000001</v>
      </c>
      <c r="J417" s="4">
        <f>CHOOSE( CONTROL!$C$32, 11.3899, 11.3863) * CHOOSE(CONTROL!$C$15, $D$11, 100%, $F$11)</f>
        <v>11.389900000000001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11.5586, 11.555) * CHOOSE(CONTROL!$C$15, $D$11, 100%, $F$11)</f>
        <v>11.5586</v>
      </c>
      <c r="C418" s="8">
        <f>CHOOSE( CONTROL!$C$32, 11.5666, 11.5629) * CHOOSE(CONTROL!$C$15, $D$11, 100%, $F$11)</f>
        <v>11.566599999999999</v>
      </c>
      <c r="D418" s="8">
        <f>CHOOSE( CONTROL!$C$32, 11.6045, 11.6009) * CHOOSE( CONTROL!$C$15, $D$11, 100%, $F$11)</f>
        <v>11.6045</v>
      </c>
      <c r="E418" s="12">
        <f>CHOOSE( CONTROL!$C$32, 11.5895, 11.5859) * CHOOSE( CONTROL!$C$15, $D$11, 100%, $F$11)</f>
        <v>11.589499999999999</v>
      </c>
      <c r="F418" s="4">
        <f>CHOOSE( CONTROL!$C$32, 12.3016, 12.298) * CHOOSE(CONTROL!$C$15, $D$11, 100%, $F$11)</f>
        <v>12.301600000000001</v>
      </c>
      <c r="G418" s="8">
        <f>CHOOSE( CONTROL!$C$32, 11.4295, 11.4259) * CHOOSE( CONTROL!$C$15, $D$11, 100%, $F$11)</f>
        <v>11.429500000000001</v>
      </c>
      <c r="H418" s="4">
        <f>CHOOSE( CONTROL!$C$32, 12.4042, 12.4006) * CHOOSE(CONTROL!$C$15, $D$11, 100%, $F$11)</f>
        <v>12.404199999999999</v>
      </c>
      <c r="I418" s="8">
        <f>CHOOSE( CONTROL!$C$32, 11.355, 11.3515) * CHOOSE(CONTROL!$C$15, $D$11, 100%, $F$11)</f>
        <v>11.355</v>
      </c>
      <c r="J418" s="4">
        <f>CHOOSE( CONTROL!$C$32, 11.2068, 11.2033) * CHOOSE(CONTROL!$C$15, $D$11, 100%, $F$11)</f>
        <v>11.206799999999999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12.0553, 12.0517) * CHOOSE(CONTROL!$C$15, $D$11, 100%, $F$11)</f>
        <v>12.055300000000001</v>
      </c>
      <c r="C419" s="8">
        <f>CHOOSE( CONTROL!$C$32, 12.0633, 12.0597) * CHOOSE(CONTROL!$C$15, $D$11, 100%, $F$11)</f>
        <v>12.0633</v>
      </c>
      <c r="D419" s="8">
        <f>CHOOSE( CONTROL!$C$32, 12.1015, 12.0979) * CHOOSE( CONTROL!$C$15, $D$11, 100%, $F$11)</f>
        <v>12.1015</v>
      </c>
      <c r="E419" s="12">
        <f>CHOOSE( CONTROL!$C$32, 12.0864, 12.0828) * CHOOSE( CONTROL!$C$15, $D$11, 100%, $F$11)</f>
        <v>12.086399999999999</v>
      </c>
      <c r="F419" s="4">
        <f>CHOOSE( CONTROL!$C$32, 12.7983, 12.7947) * CHOOSE(CONTROL!$C$15, $D$11, 100%, $F$11)</f>
        <v>12.798299999999999</v>
      </c>
      <c r="G419" s="8">
        <f>CHOOSE( CONTROL!$C$32, 11.9207, 11.9171) * CHOOSE( CONTROL!$C$15, $D$11, 100%, $F$11)</f>
        <v>11.9207</v>
      </c>
      <c r="H419" s="4">
        <f>CHOOSE( CONTROL!$C$32, 12.8951, 12.8915) * CHOOSE(CONTROL!$C$15, $D$11, 100%, $F$11)</f>
        <v>12.895099999999999</v>
      </c>
      <c r="I419" s="8">
        <f>CHOOSE( CONTROL!$C$32, 11.8385, 11.8349) * CHOOSE(CONTROL!$C$15, $D$11, 100%, $F$11)</f>
        <v>11.8385</v>
      </c>
      <c r="J419" s="4">
        <f>CHOOSE( CONTROL!$C$32, 11.6889, 11.6854) * CHOOSE(CONTROL!$C$15, $D$11, 100%, $F$11)</f>
        <v>11.6889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11.1259, 11.1223) * CHOOSE(CONTROL!$C$15, $D$11, 100%, $F$11)</f>
        <v>11.1259</v>
      </c>
      <c r="C420" s="8">
        <f>CHOOSE( CONTROL!$C$32, 11.1339, 11.1302) * CHOOSE(CONTROL!$C$15, $D$11, 100%, $F$11)</f>
        <v>11.133900000000001</v>
      </c>
      <c r="D420" s="8">
        <f>CHOOSE( CONTROL!$C$32, 11.1721, 11.1685) * CHOOSE( CONTROL!$C$15, $D$11, 100%, $F$11)</f>
        <v>11.1721</v>
      </c>
      <c r="E420" s="12">
        <f>CHOOSE( CONTROL!$C$32, 11.157, 11.1534) * CHOOSE( CONTROL!$C$15, $D$11, 100%, $F$11)</f>
        <v>11.157</v>
      </c>
      <c r="F420" s="4">
        <f>CHOOSE( CONTROL!$C$32, 11.8689, 11.8653) * CHOOSE(CONTROL!$C$15, $D$11, 100%, $F$11)</f>
        <v>11.8689</v>
      </c>
      <c r="G420" s="8">
        <f>CHOOSE( CONTROL!$C$32, 11.0023, 10.9987) * CHOOSE( CONTROL!$C$15, $D$11, 100%, $F$11)</f>
        <v>11.0023</v>
      </c>
      <c r="H420" s="4">
        <f>CHOOSE( CONTROL!$C$32, 11.9766, 11.973) * CHOOSE(CONTROL!$C$15, $D$11, 100%, $F$11)</f>
        <v>11.976599999999999</v>
      </c>
      <c r="I420" s="8">
        <f>CHOOSE( CONTROL!$C$32, 10.9363, 10.9327) * CHOOSE(CONTROL!$C$15, $D$11, 100%, $F$11)</f>
        <v>10.936299999999999</v>
      </c>
      <c r="J420" s="4">
        <f>CHOOSE( CONTROL!$C$32, 10.7869, 10.7833) * CHOOSE(CONTROL!$C$15, $D$11, 100%, $F$11)</f>
        <v>10.786899999999999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10.8932, 10.8895) * CHOOSE(CONTROL!$C$15, $D$11, 100%, $F$11)</f>
        <v>10.8932</v>
      </c>
      <c r="C421" s="8">
        <f>CHOOSE( CONTROL!$C$32, 10.9011, 10.8975) * CHOOSE(CONTROL!$C$15, $D$11, 100%, $F$11)</f>
        <v>10.9011</v>
      </c>
      <c r="D421" s="8">
        <f>CHOOSE( CONTROL!$C$32, 10.9393, 10.9357) * CHOOSE( CONTROL!$C$15, $D$11, 100%, $F$11)</f>
        <v>10.939299999999999</v>
      </c>
      <c r="E421" s="12">
        <f>CHOOSE( CONTROL!$C$32, 10.9243, 10.9206) * CHOOSE( CONTROL!$C$15, $D$11, 100%, $F$11)</f>
        <v>10.924300000000001</v>
      </c>
      <c r="F421" s="4">
        <f>CHOOSE( CONTROL!$C$32, 11.6362, 11.6325) * CHOOSE(CONTROL!$C$15, $D$11, 100%, $F$11)</f>
        <v>11.636200000000001</v>
      </c>
      <c r="G421" s="8">
        <f>CHOOSE( CONTROL!$C$32, 10.7721, 10.7685) * CHOOSE( CONTROL!$C$15, $D$11, 100%, $F$11)</f>
        <v>10.7721</v>
      </c>
      <c r="H421" s="4">
        <f>CHOOSE( CONTROL!$C$32, 11.7465, 11.7429) * CHOOSE(CONTROL!$C$15, $D$11, 100%, $F$11)</f>
        <v>11.746499999999999</v>
      </c>
      <c r="I421" s="8">
        <f>CHOOSE( CONTROL!$C$32, 10.7099, 10.7064) * CHOOSE(CONTROL!$C$15, $D$11, 100%, $F$11)</f>
        <v>10.709899999999999</v>
      </c>
      <c r="J421" s="4">
        <f>CHOOSE( CONTROL!$C$32, 10.561, 10.5574) * CHOOSE(CONTROL!$C$15, $D$11, 100%, $F$11)</f>
        <v>10.561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11.371 * CHOOSE(CONTROL!$C$15, $D$11, 100%, $F$11)</f>
        <v>11.371</v>
      </c>
      <c r="C422" s="8">
        <f>11.3764 * CHOOSE(CONTROL!$C$15, $D$11, 100%, $F$11)</f>
        <v>11.3764</v>
      </c>
      <c r="D422" s="8">
        <f>11.4199 * CHOOSE( CONTROL!$C$15, $D$11, 100%, $F$11)</f>
        <v>11.4199</v>
      </c>
      <c r="E422" s="12">
        <f>11.405 * CHOOSE( CONTROL!$C$15, $D$11, 100%, $F$11)</f>
        <v>11.404999999999999</v>
      </c>
      <c r="F422" s="4">
        <f>12.1158 * CHOOSE(CONTROL!$C$15, $D$11, 100%, $F$11)</f>
        <v>12.1158</v>
      </c>
      <c r="G422" s="8">
        <f>11.2456 * CHOOSE( CONTROL!$C$15, $D$11, 100%, $F$11)</f>
        <v>11.2456</v>
      </c>
      <c r="H422" s="4">
        <f>12.2205 * CHOOSE(CONTROL!$C$15, $D$11, 100%, $F$11)</f>
        <v>12.220499999999999</v>
      </c>
      <c r="I422" s="8">
        <f>11.1763 * CHOOSE(CONTROL!$C$15, $D$11, 100%, $F$11)</f>
        <v>11.176299999999999</v>
      </c>
      <c r="J422" s="4">
        <f>11.0264 * CHOOSE(CONTROL!$C$15, $D$11, 100%, $F$11)</f>
        <v>11.026400000000001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12.2626 * CHOOSE(CONTROL!$C$15, $D$11, 100%, $F$11)</f>
        <v>12.262600000000001</v>
      </c>
      <c r="C423" s="8">
        <f>12.2677 * CHOOSE(CONTROL!$C$15, $D$11, 100%, $F$11)</f>
        <v>12.2677</v>
      </c>
      <c r="D423" s="8">
        <f>12.2513 * CHOOSE( CONTROL!$C$15, $D$11, 100%, $F$11)</f>
        <v>12.251300000000001</v>
      </c>
      <c r="E423" s="12">
        <f>12.2568 * CHOOSE( CONTROL!$C$15, $D$11, 100%, $F$11)</f>
        <v>12.2568</v>
      </c>
      <c r="F423" s="4">
        <f>12.9279 * CHOOSE(CONTROL!$C$15, $D$11, 100%, $F$11)</f>
        <v>12.927899999999999</v>
      </c>
      <c r="G423" s="8">
        <f>12.1278 * CHOOSE( CONTROL!$C$15, $D$11, 100%, $F$11)</f>
        <v>12.127800000000001</v>
      </c>
      <c r="H423" s="4">
        <f>13.0232 * CHOOSE(CONTROL!$C$15, $D$11, 100%, $F$11)</f>
        <v>13.023199999999999</v>
      </c>
      <c r="I423" s="8">
        <f>12.0426 * CHOOSE(CONTROL!$C$15, $D$11, 100%, $F$11)</f>
        <v>12.0426</v>
      </c>
      <c r="J423" s="4">
        <f>11.8921 * CHOOSE(CONTROL!$C$15, $D$11, 100%, $F$11)</f>
        <v>11.892099999999999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12.2403 * CHOOSE(CONTROL!$C$15, $D$11, 100%, $F$11)</f>
        <v>12.2403</v>
      </c>
      <c r="C424" s="8">
        <f>12.2454 * CHOOSE(CONTROL!$C$15, $D$11, 100%, $F$11)</f>
        <v>12.2454</v>
      </c>
      <c r="D424" s="8">
        <f>12.2308 * CHOOSE( CONTROL!$C$15, $D$11, 100%, $F$11)</f>
        <v>12.2308</v>
      </c>
      <c r="E424" s="12">
        <f>12.2356 * CHOOSE( CONTROL!$C$15, $D$11, 100%, $F$11)</f>
        <v>12.2356</v>
      </c>
      <c r="F424" s="4">
        <f>12.9056 * CHOOSE(CONTROL!$C$15, $D$11, 100%, $F$11)</f>
        <v>12.9056</v>
      </c>
      <c r="G424" s="8">
        <f>12.107 * CHOOSE( CONTROL!$C$15, $D$11, 100%, $F$11)</f>
        <v>12.106999999999999</v>
      </c>
      <c r="H424" s="4">
        <f>13.0011 * CHOOSE(CONTROL!$C$15, $D$11, 100%, $F$11)</f>
        <v>13.001099999999999</v>
      </c>
      <c r="I424" s="8">
        <f>12.0263 * CHOOSE(CONTROL!$C$15, $D$11, 100%, $F$11)</f>
        <v>12.026300000000001</v>
      </c>
      <c r="J424" s="4">
        <f>11.8705 * CHOOSE(CONTROL!$C$15, $D$11, 100%, $F$11)</f>
        <v>11.8705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12.6011 * CHOOSE(CONTROL!$C$15, $D$11, 100%, $F$11)</f>
        <v>12.601100000000001</v>
      </c>
      <c r="C425" s="8">
        <f>12.6062 * CHOOSE(CONTROL!$C$15, $D$11, 100%, $F$11)</f>
        <v>12.606199999999999</v>
      </c>
      <c r="D425" s="8">
        <f>12.5773 * CHOOSE( CONTROL!$C$15, $D$11, 100%, $F$11)</f>
        <v>12.577299999999999</v>
      </c>
      <c r="E425" s="12">
        <f>12.5873 * CHOOSE( CONTROL!$C$15, $D$11, 100%, $F$11)</f>
        <v>12.587300000000001</v>
      </c>
      <c r="F425" s="4">
        <f>13.2664 * CHOOSE(CONTROL!$C$15, $D$11, 100%, $F$11)</f>
        <v>13.266400000000001</v>
      </c>
      <c r="G425" s="8">
        <f>12.4533 * CHOOSE( CONTROL!$C$15, $D$11, 100%, $F$11)</f>
        <v>12.4533</v>
      </c>
      <c r="H425" s="4">
        <f>13.3577 * CHOOSE(CONTROL!$C$15, $D$11, 100%, $F$11)</f>
        <v>13.357699999999999</v>
      </c>
      <c r="I425" s="8">
        <f>12.3712 * CHOOSE(CONTROL!$C$15, $D$11, 100%, $F$11)</f>
        <v>12.3712</v>
      </c>
      <c r="J425" s="4">
        <f>12.2206 * CHOOSE(CONTROL!$C$15, $D$11, 100%, $F$11)</f>
        <v>12.220599999999999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11.7871 * CHOOSE(CONTROL!$C$15, $D$11, 100%, $F$11)</f>
        <v>11.787100000000001</v>
      </c>
      <c r="C426" s="8">
        <f>11.7921 * CHOOSE(CONTROL!$C$15, $D$11, 100%, $F$11)</f>
        <v>11.7921</v>
      </c>
      <c r="D426" s="8">
        <f>11.7633 * CHOOSE( CONTROL!$C$15, $D$11, 100%, $F$11)</f>
        <v>11.763299999999999</v>
      </c>
      <c r="E426" s="12">
        <f>11.7733 * CHOOSE( CONTROL!$C$15, $D$11, 100%, $F$11)</f>
        <v>11.773300000000001</v>
      </c>
      <c r="F426" s="4">
        <f>12.4523 * CHOOSE(CONTROL!$C$15, $D$11, 100%, $F$11)</f>
        <v>12.452299999999999</v>
      </c>
      <c r="G426" s="8">
        <f>11.6487 * CHOOSE( CONTROL!$C$15, $D$11, 100%, $F$11)</f>
        <v>11.6487</v>
      </c>
      <c r="H426" s="4">
        <f>12.5532 * CHOOSE(CONTROL!$C$15, $D$11, 100%, $F$11)</f>
        <v>12.5532</v>
      </c>
      <c r="I426" s="8">
        <f>11.5808 * CHOOSE(CONTROL!$C$15, $D$11, 100%, $F$11)</f>
        <v>11.5808</v>
      </c>
      <c r="J426" s="4">
        <f>11.4306 * CHOOSE(CONTROL!$C$15, $D$11, 100%, $F$11)</f>
        <v>11.4306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11.5363 * CHOOSE(CONTROL!$C$15, $D$11, 100%, $F$11)</f>
        <v>11.536300000000001</v>
      </c>
      <c r="C427" s="8">
        <f>11.5414 * CHOOSE(CONTROL!$C$15, $D$11, 100%, $F$11)</f>
        <v>11.541399999999999</v>
      </c>
      <c r="D427" s="8">
        <f>11.5121 * CHOOSE( CONTROL!$C$15, $D$11, 100%, $F$11)</f>
        <v>11.5121</v>
      </c>
      <c r="E427" s="12">
        <f>11.5223 * CHOOSE( CONTROL!$C$15, $D$11, 100%, $F$11)</f>
        <v>11.5223</v>
      </c>
      <c r="F427" s="4">
        <f>12.2016 * CHOOSE(CONTROL!$C$15, $D$11, 100%, $F$11)</f>
        <v>12.201599999999999</v>
      </c>
      <c r="G427" s="8">
        <f>11.4007 * CHOOSE( CONTROL!$C$15, $D$11, 100%, $F$11)</f>
        <v>11.400700000000001</v>
      </c>
      <c r="H427" s="4">
        <f>12.3054 * CHOOSE(CONTROL!$C$15, $D$11, 100%, $F$11)</f>
        <v>12.305400000000001</v>
      </c>
      <c r="I427" s="8">
        <f>11.3361 * CHOOSE(CONTROL!$C$15, $D$11, 100%, $F$11)</f>
        <v>11.3361</v>
      </c>
      <c r="J427" s="4">
        <f>11.1873 * CHOOSE(CONTROL!$C$15, $D$11, 100%, $F$11)</f>
        <v>11.1873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11.7123 * CHOOSE(CONTROL!$C$15, $D$11, 100%, $F$11)</f>
        <v>11.712300000000001</v>
      </c>
      <c r="C428" s="8">
        <f>11.7168 * CHOOSE(CONTROL!$C$15, $D$11, 100%, $F$11)</f>
        <v>11.716799999999999</v>
      </c>
      <c r="D428" s="8">
        <f>11.7602 * CHOOSE( CONTROL!$C$15, $D$11, 100%, $F$11)</f>
        <v>11.760199999999999</v>
      </c>
      <c r="E428" s="12">
        <f>11.7454 * CHOOSE( CONTROL!$C$15, $D$11, 100%, $F$11)</f>
        <v>11.7454</v>
      </c>
      <c r="F428" s="4">
        <f>12.4567 * CHOOSE(CONTROL!$C$15, $D$11, 100%, $F$11)</f>
        <v>12.4567</v>
      </c>
      <c r="G428" s="8">
        <f>11.5816 * CHOOSE( CONTROL!$C$15, $D$11, 100%, $F$11)</f>
        <v>11.5816</v>
      </c>
      <c r="H428" s="4">
        <f>12.5574 * CHOOSE(CONTROL!$C$15, $D$11, 100%, $F$11)</f>
        <v>12.557399999999999</v>
      </c>
      <c r="I428" s="8">
        <f>11.5044 * CHOOSE(CONTROL!$C$15, $D$11, 100%, $F$11)</f>
        <v>11.5044</v>
      </c>
      <c r="J428" s="4">
        <f>11.3573 * CHOOSE(CONTROL!$C$15, $D$11, 100%, $F$11)</f>
        <v>11.3573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12.0291, 12.0255) * CHOOSE(CONTROL!$C$15, $D$11, 100%, $F$11)</f>
        <v>12.0291</v>
      </c>
      <c r="C429" s="8">
        <f>CHOOSE( CONTROL!$C$32, 12.0371, 12.0335) * CHOOSE(CONTROL!$C$15, $D$11, 100%, $F$11)</f>
        <v>12.037100000000001</v>
      </c>
      <c r="D429" s="8">
        <f>CHOOSE( CONTROL!$C$32, 12.0748, 12.0712) * CHOOSE( CONTROL!$C$15, $D$11, 100%, $F$11)</f>
        <v>12.0748</v>
      </c>
      <c r="E429" s="12">
        <f>CHOOSE( CONTROL!$C$32, 12.0599, 12.0563) * CHOOSE( CONTROL!$C$15, $D$11, 100%, $F$11)</f>
        <v>12.059900000000001</v>
      </c>
      <c r="F429" s="4">
        <f>CHOOSE( CONTROL!$C$32, 12.7721, 12.7685) * CHOOSE(CONTROL!$C$15, $D$11, 100%, $F$11)</f>
        <v>12.7721</v>
      </c>
      <c r="G429" s="8">
        <f>CHOOSE( CONTROL!$C$32, 11.8942, 11.8906) * CHOOSE( CONTROL!$C$15, $D$11, 100%, $F$11)</f>
        <v>11.8942</v>
      </c>
      <c r="H429" s="4">
        <f>CHOOSE( CONTROL!$C$32, 12.8692, 12.8656) * CHOOSE(CONTROL!$C$15, $D$11, 100%, $F$11)</f>
        <v>12.869199999999999</v>
      </c>
      <c r="I429" s="8">
        <f>CHOOSE( CONTROL!$C$32, 11.8108, 11.8073) * CHOOSE(CONTROL!$C$15, $D$11, 100%, $F$11)</f>
        <v>11.8108</v>
      </c>
      <c r="J429" s="4">
        <f>CHOOSE( CONTROL!$C$32, 11.6635, 11.6599) * CHOOSE(CONTROL!$C$15, $D$11, 100%, $F$11)</f>
        <v>11.663500000000001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11.836, 11.8323) * CHOOSE(CONTROL!$C$15, $D$11, 100%, $F$11)</f>
        <v>11.836</v>
      </c>
      <c r="C430" s="8">
        <f>CHOOSE( CONTROL!$C$32, 11.8439, 11.8403) * CHOOSE(CONTROL!$C$15, $D$11, 100%, $F$11)</f>
        <v>11.8439</v>
      </c>
      <c r="D430" s="8">
        <f>CHOOSE( CONTROL!$C$32, 11.8819, 11.8783) * CHOOSE( CONTROL!$C$15, $D$11, 100%, $F$11)</f>
        <v>11.8819</v>
      </c>
      <c r="E430" s="12">
        <f>CHOOSE( CONTROL!$C$32, 11.8669, 11.8633) * CHOOSE( CONTROL!$C$15, $D$11, 100%, $F$11)</f>
        <v>11.866899999999999</v>
      </c>
      <c r="F430" s="4">
        <f>CHOOSE( CONTROL!$C$32, 12.579, 12.5753) * CHOOSE(CONTROL!$C$15, $D$11, 100%, $F$11)</f>
        <v>12.579000000000001</v>
      </c>
      <c r="G430" s="8">
        <f>CHOOSE( CONTROL!$C$32, 11.7036, 11.7) * CHOOSE( CONTROL!$C$15, $D$11, 100%, $F$11)</f>
        <v>11.7036</v>
      </c>
      <c r="H430" s="4">
        <f>CHOOSE( CONTROL!$C$32, 12.6783, 12.6747) * CHOOSE(CONTROL!$C$15, $D$11, 100%, $F$11)</f>
        <v>12.6783</v>
      </c>
      <c r="I430" s="8">
        <f>CHOOSE( CONTROL!$C$32, 11.6243, 11.6208) * CHOOSE(CONTROL!$C$15, $D$11, 100%, $F$11)</f>
        <v>11.6243</v>
      </c>
      <c r="J430" s="4">
        <f>CHOOSE( CONTROL!$C$32, 11.476, 11.4725) * CHOOSE(CONTROL!$C$15, $D$11, 100%, $F$11)</f>
        <v>11.476000000000001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12.3446, 12.341) * CHOOSE(CONTROL!$C$15, $D$11, 100%, $F$11)</f>
        <v>12.3446</v>
      </c>
      <c r="C431" s="8">
        <f>CHOOSE( CONTROL!$C$32, 12.3526, 12.349) * CHOOSE(CONTROL!$C$15, $D$11, 100%, $F$11)</f>
        <v>12.352600000000001</v>
      </c>
      <c r="D431" s="8">
        <f>CHOOSE( CONTROL!$C$32, 12.3908, 12.3872) * CHOOSE( CONTROL!$C$15, $D$11, 100%, $F$11)</f>
        <v>12.3908</v>
      </c>
      <c r="E431" s="12">
        <f>CHOOSE( CONTROL!$C$32, 12.3757, 12.3721) * CHOOSE( CONTROL!$C$15, $D$11, 100%, $F$11)</f>
        <v>12.3757</v>
      </c>
      <c r="F431" s="4">
        <f>CHOOSE( CONTROL!$C$32, 13.0876, 13.084) * CHOOSE(CONTROL!$C$15, $D$11, 100%, $F$11)</f>
        <v>13.0876</v>
      </c>
      <c r="G431" s="8">
        <f>CHOOSE( CONTROL!$C$32, 12.2067, 12.2031) * CHOOSE( CONTROL!$C$15, $D$11, 100%, $F$11)</f>
        <v>12.2067</v>
      </c>
      <c r="H431" s="4">
        <f>CHOOSE( CONTROL!$C$32, 13.181, 13.1774) * CHOOSE(CONTROL!$C$15, $D$11, 100%, $F$11)</f>
        <v>13.180999999999999</v>
      </c>
      <c r="I431" s="8">
        <f>CHOOSE( CONTROL!$C$32, 12.1194, 12.1158) * CHOOSE(CONTROL!$C$15, $D$11, 100%, $F$11)</f>
        <v>12.119400000000001</v>
      </c>
      <c r="J431" s="4">
        <f>CHOOSE( CONTROL!$C$32, 11.9697, 11.9661) * CHOOSE(CONTROL!$C$15, $D$11, 100%, $F$11)</f>
        <v>11.9697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11.3929, 11.3892) * CHOOSE(CONTROL!$C$15, $D$11, 100%, $F$11)</f>
        <v>11.392899999999999</v>
      </c>
      <c r="C432" s="8">
        <f>CHOOSE( CONTROL!$C$32, 11.4008, 11.3972) * CHOOSE(CONTROL!$C$15, $D$11, 100%, $F$11)</f>
        <v>11.4008</v>
      </c>
      <c r="D432" s="8">
        <f>CHOOSE( CONTROL!$C$32, 11.4391, 11.4355) * CHOOSE( CONTROL!$C$15, $D$11, 100%, $F$11)</f>
        <v>11.4391</v>
      </c>
      <c r="E432" s="12">
        <f>CHOOSE( CONTROL!$C$32, 11.424, 11.4204) * CHOOSE( CONTROL!$C$15, $D$11, 100%, $F$11)</f>
        <v>11.423999999999999</v>
      </c>
      <c r="F432" s="4">
        <f>CHOOSE( CONTROL!$C$32, 12.1359, 12.1322) * CHOOSE(CONTROL!$C$15, $D$11, 100%, $F$11)</f>
        <v>12.135899999999999</v>
      </c>
      <c r="G432" s="8">
        <f>CHOOSE( CONTROL!$C$32, 11.2661, 11.2625) * CHOOSE( CONTROL!$C$15, $D$11, 100%, $F$11)</f>
        <v>11.2661</v>
      </c>
      <c r="H432" s="4">
        <f>CHOOSE( CONTROL!$C$32, 12.2404, 12.2368) * CHOOSE(CONTROL!$C$15, $D$11, 100%, $F$11)</f>
        <v>12.240399999999999</v>
      </c>
      <c r="I432" s="8">
        <f>CHOOSE( CONTROL!$C$32, 11.1955, 11.192) * CHOOSE(CONTROL!$C$15, $D$11, 100%, $F$11)</f>
        <v>11.195499999999999</v>
      </c>
      <c r="J432" s="4">
        <f>CHOOSE( CONTROL!$C$32, 11.046, 11.0424) * CHOOSE(CONTROL!$C$15, $D$11, 100%, $F$11)</f>
        <v>11.045999999999999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11.1545, 11.1509) * CHOOSE(CONTROL!$C$15, $D$11, 100%, $F$11)</f>
        <v>11.154500000000001</v>
      </c>
      <c r="C433" s="8">
        <f>CHOOSE( CONTROL!$C$32, 11.1625, 11.1589) * CHOOSE(CONTROL!$C$15, $D$11, 100%, $F$11)</f>
        <v>11.1625</v>
      </c>
      <c r="D433" s="8">
        <f>CHOOSE( CONTROL!$C$32, 11.2007, 11.197) * CHOOSE( CONTROL!$C$15, $D$11, 100%, $F$11)</f>
        <v>11.200699999999999</v>
      </c>
      <c r="E433" s="12">
        <f>CHOOSE( CONTROL!$C$32, 11.1856, 11.182) * CHOOSE( CONTROL!$C$15, $D$11, 100%, $F$11)</f>
        <v>11.185600000000001</v>
      </c>
      <c r="F433" s="4">
        <f>CHOOSE( CONTROL!$C$32, 11.8975, 11.8939) * CHOOSE(CONTROL!$C$15, $D$11, 100%, $F$11)</f>
        <v>11.897500000000001</v>
      </c>
      <c r="G433" s="8">
        <f>CHOOSE( CONTROL!$C$32, 11.0305, 11.0269) * CHOOSE( CONTROL!$C$15, $D$11, 100%, $F$11)</f>
        <v>11.0305</v>
      </c>
      <c r="H433" s="4">
        <f>CHOOSE( CONTROL!$C$32, 12.0049, 12.0013) * CHOOSE(CONTROL!$C$15, $D$11, 100%, $F$11)</f>
        <v>12.004899999999999</v>
      </c>
      <c r="I433" s="8">
        <f>CHOOSE( CONTROL!$C$32, 10.9637, 10.9602) * CHOOSE(CONTROL!$C$15, $D$11, 100%, $F$11)</f>
        <v>10.963699999999999</v>
      </c>
      <c r="J433" s="4">
        <f>CHOOSE( CONTROL!$C$32, 10.8147, 10.8111) * CHOOSE(CONTROL!$C$15, $D$11, 100%, $F$11)</f>
        <v>10.8147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11.644 * CHOOSE(CONTROL!$C$15, $D$11, 100%, $F$11)</f>
        <v>11.644</v>
      </c>
      <c r="C434" s="8">
        <f>11.6494 * CHOOSE(CONTROL!$C$15, $D$11, 100%, $F$11)</f>
        <v>11.6494</v>
      </c>
      <c r="D434" s="8">
        <f>11.6929 * CHOOSE( CONTROL!$C$15, $D$11, 100%, $F$11)</f>
        <v>11.6929</v>
      </c>
      <c r="E434" s="12">
        <f>11.678 * CHOOSE( CONTROL!$C$15, $D$11, 100%, $F$11)</f>
        <v>11.678000000000001</v>
      </c>
      <c r="F434" s="4">
        <f>12.3888 * CHOOSE(CONTROL!$C$15, $D$11, 100%, $F$11)</f>
        <v>12.3888</v>
      </c>
      <c r="G434" s="8">
        <f>11.5154 * CHOOSE( CONTROL!$C$15, $D$11, 100%, $F$11)</f>
        <v>11.5154</v>
      </c>
      <c r="H434" s="4">
        <f>12.4903 * CHOOSE(CONTROL!$C$15, $D$11, 100%, $F$11)</f>
        <v>12.4903</v>
      </c>
      <c r="I434" s="8">
        <f>11.4414 * CHOOSE(CONTROL!$C$15, $D$11, 100%, $F$11)</f>
        <v>11.4414</v>
      </c>
      <c r="J434" s="4">
        <f>11.2914 * CHOOSE(CONTROL!$C$15, $D$11, 100%, $F$11)</f>
        <v>11.291399999999999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12.557 * CHOOSE(CONTROL!$C$15, $D$11, 100%, $F$11)</f>
        <v>12.557</v>
      </c>
      <c r="C435" s="8">
        <f>12.5621 * CHOOSE(CONTROL!$C$15, $D$11, 100%, $F$11)</f>
        <v>12.562099999999999</v>
      </c>
      <c r="D435" s="8">
        <f>12.5458 * CHOOSE( CONTROL!$C$15, $D$11, 100%, $F$11)</f>
        <v>12.5458</v>
      </c>
      <c r="E435" s="12">
        <f>12.5512 * CHOOSE( CONTROL!$C$15, $D$11, 100%, $F$11)</f>
        <v>12.5512</v>
      </c>
      <c r="F435" s="4">
        <f>13.2223 * CHOOSE(CONTROL!$C$15, $D$11, 100%, $F$11)</f>
        <v>13.222300000000001</v>
      </c>
      <c r="G435" s="8">
        <f>12.4187 * CHOOSE( CONTROL!$C$15, $D$11, 100%, $F$11)</f>
        <v>12.418699999999999</v>
      </c>
      <c r="H435" s="4">
        <f>13.3141 * CHOOSE(CONTROL!$C$15, $D$11, 100%, $F$11)</f>
        <v>13.3141</v>
      </c>
      <c r="I435" s="8">
        <f>12.3284 * CHOOSE(CONTROL!$C$15, $D$11, 100%, $F$11)</f>
        <v>12.3284</v>
      </c>
      <c r="J435" s="4">
        <f>12.1779 * CHOOSE(CONTROL!$C$15, $D$11, 100%, $F$11)</f>
        <v>12.177899999999999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12.5342 * CHOOSE(CONTROL!$C$15, $D$11, 100%, $F$11)</f>
        <v>12.5342</v>
      </c>
      <c r="C436" s="8">
        <f>12.5393 * CHOOSE(CONTROL!$C$15, $D$11, 100%, $F$11)</f>
        <v>12.539300000000001</v>
      </c>
      <c r="D436" s="8">
        <f>12.5247 * CHOOSE( CONTROL!$C$15, $D$11, 100%, $F$11)</f>
        <v>12.524699999999999</v>
      </c>
      <c r="E436" s="12">
        <f>12.5295 * CHOOSE( CONTROL!$C$15, $D$11, 100%, $F$11)</f>
        <v>12.529500000000001</v>
      </c>
      <c r="F436" s="4">
        <f>13.1995 * CHOOSE(CONTROL!$C$15, $D$11, 100%, $F$11)</f>
        <v>13.1995</v>
      </c>
      <c r="G436" s="8">
        <f>12.3974 * CHOOSE( CONTROL!$C$15, $D$11, 100%, $F$11)</f>
        <v>12.397399999999999</v>
      </c>
      <c r="H436" s="4">
        <f>13.2916 * CHOOSE(CONTROL!$C$15, $D$11, 100%, $F$11)</f>
        <v>13.291600000000001</v>
      </c>
      <c r="I436" s="8">
        <f>12.3117 * CHOOSE(CONTROL!$C$15, $D$11, 100%, $F$11)</f>
        <v>12.3117</v>
      </c>
      <c r="J436" s="4">
        <f>12.1557 * CHOOSE(CONTROL!$C$15, $D$11, 100%, $F$11)</f>
        <v>12.1557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12.9037 * CHOOSE(CONTROL!$C$15, $D$11, 100%, $F$11)</f>
        <v>12.903700000000001</v>
      </c>
      <c r="C437" s="8">
        <f>12.9088 * CHOOSE(CONTROL!$C$15, $D$11, 100%, $F$11)</f>
        <v>12.908799999999999</v>
      </c>
      <c r="D437" s="8">
        <f>12.8799 * CHOOSE( CONTROL!$C$15, $D$11, 100%, $F$11)</f>
        <v>12.879899999999999</v>
      </c>
      <c r="E437" s="12">
        <f>12.8899 * CHOOSE( CONTROL!$C$15, $D$11, 100%, $F$11)</f>
        <v>12.889900000000001</v>
      </c>
      <c r="F437" s="4">
        <f>13.569 * CHOOSE(CONTROL!$C$15, $D$11, 100%, $F$11)</f>
        <v>13.569000000000001</v>
      </c>
      <c r="G437" s="8">
        <f>12.7523 * CHOOSE( CONTROL!$C$15, $D$11, 100%, $F$11)</f>
        <v>12.7523</v>
      </c>
      <c r="H437" s="4">
        <f>13.6567 * CHOOSE(CONTROL!$C$15, $D$11, 100%, $F$11)</f>
        <v>13.656700000000001</v>
      </c>
      <c r="I437" s="8">
        <f>12.665 * CHOOSE(CONTROL!$C$15, $D$11, 100%, $F$11)</f>
        <v>12.664999999999999</v>
      </c>
      <c r="J437" s="4">
        <f>12.5143 * CHOOSE(CONTROL!$C$15, $D$11, 100%, $F$11)</f>
        <v>12.5143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12.0701 * CHOOSE(CONTROL!$C$15, $D$11, 100%, $F$11)</f>
        <v>12.0701</v>
      </c>
      <c r="C438" s="8">
        <f>12.0751 * CHOOSE(CONTROL!$C$15, $D$11, 100%, $F$11)</f>
        <v>12.075100000000001</v>
      </c>
      <c r="D438" s="8">
        <f>12.0462 * CHOOSE( CONTROL!$C$15, $D$11, 100%, $F$11)</f>
        <v>12.046200000000001</v>
      </c>
      <c r="E438" s="12">
        <f>12.0562 * CHOOSE( CONTROL!$C$15, $D$11, 100%, $F$11)</f>
        <v>12.0562</v>
      </c>
      <c r="F438" s="4">
        <f>12.7353 * CHOOSE(CONTROL!$C$15, $D$11, 100%, $F$11)</f>
        <v>12.735300000000001</v>
      </c>
      <c r="G438" s="8">
        <f>11.9284 * CHOOSE( CONTROL!$C$15, $D$11, 100%, $F$11)</f>
        <v>11.9284</v>
      </c>
      <c r="H438" s="4">
        <f>12.8328 * CHOOSE(CONTROL!$C$15, $D$11, 100%, $F$11)</f>
        <v>12.832800000000001</v>
      </c>
      <c r="I438" s="8">
        <f>11.8556 * CHOOSE(CONTROL!$C$15, $D$11, 100%, $F$11)</f>
        <v>11.855600000000001</v>
      </c>
      <c r="J438" s="4">
        <f>11.7052 * CHOOSE(CONTROL!$C$15, $D$11, 100%, $F$11)</f>
        <v>11.7052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11.8133 * CHOOSE(CONTROL!$C$15, $D$11, 100%, $F$11)</f>
        <v>11.8133</v>
      </c>
      <c r="C439" s="8">
        <f>11.8184 * CHOOSE(CONTROL!$C$15, $D$11, 100%, $F$11)</f>
        <v>11.8184</v>
      </c>
      <c r="D439" s="8">
        <f>11.7891 * CHOOSE( CONTROL!$C$15, $D$11, 100%, $F$11)</f>
        <v>11.789099999999999</v>
      </c>
      <c r="E439" s="12">
        <f>11.7993 * CHOOSE( CONTROL!$C$15, $D$11, 100%, $F$11)</f>
        <v>11.799300000000001</v>
      </c>
      <c r="F439" s="4">
        <f>12.4786 * CHOOSE(CONTROL!$C$15, $D$11, 100%, $F$11)</f>
        <v>12.4786</v>
      </c>
      <c r="G439" s="8">
        <f>11.6744 * CHOOSE( CONTROL!$C$15, $D$11, 100%, $F$11)</f>
        <v>11.6744</v>
      </c>
      <c r="H439" s="4">
        <f>12.5791 * CHOOSE(CONTROL!$C$15, $D$11, 100%, $F$11)</f>
        <v>12.5791</v>
      </c>
      <c r="I439" s="8">
        <f>11.605 * CHOOSE(CONTROL!$C$15, $D$11, 100%, $F$11)</f>
        <v>11.605</v>
      </c>
      <c r="J439" s="4">
        <f>11.4561 * CHOOSE(CONTROL!$C$15, $D$11, 100%, $F$11)</f>
        <v>11.456099999999999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11.9935 * CHOOSE(CONTROL!$C$15, $D$11, 100%, $F$11)</f>
        <v>11.993499999999999</v>
      </c>
      <c r="C440" s="8">
        <f>11.998 * CHOOSE(CONTROL!$C$15, $D$11, 100%, $F$11)</f>
        <v>11.997999999999999</v>
      </c>
      <c r="D440" s="8">
        <f>12.0414 * CHOOSE( CONTROL!$C$15, $D$11, 100%, $F$11)</f>
        <v>12.041399999999999</v>
      </c>
      <c r="E440" s="12">
        <f>12.0266 * CHOOSE( CONTROL!$C$15, $D$11, 100%, $F$11)</f>
        <v>12.0266</v>
      </c>
      <c r="F440" s="4">
        <f>12.7379 * CHOOSE(CONTROL!$C$15, $D$11, 100%, $F$11)</f>
        <v>12.7379</v>
      </c>
      <c r="G440" s="8">
        <f>11.8595 * CHOOSE( CONTROL!$C$15, $D$11, 100%, $F$11)</f>
        <v>11.859500000000001</v>
      </c>
      <c r="H440" s="4">
        <f>12.8353 * CHOOSE(CONTROL!$C$15, $D$11, 100%, $F$11)</f>
        <v>12.8353</v>
      </c>
      <c r="I440" s="8">
        <f>11.7774 * CHOOSE(CONTROL!$C$15, $D$11, 100%, $F$11)</f>
        <v>11.7774</v>
      </c>
      <c r="J440" s="4">
        <f>11.6302 * CHOOSE(CONTROL!$C$15, $D$11, 100%, $F$11)</f>
        <v>11.6302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12.3178, 12.3142) * CHOOSE(CONTROL!$C$15, $D$11, 100%, $F$11)</f>
        <v>12.3178</v>
      </c>
      <c r="C441" s="8">
        <f>CHOOSE( CONTROL!$C$32, 12.3258, 12.3221) * CHOOSE(CONTROL!$C$15, $D$11, 100%, $F$11)</f>
        <v>12.325799999999999</v>
      </c>
      <c r="D441" s="8">
        <f>CHOOSE( CONTROL!$C$32, 12.3635, 12.3599) * CHOOSE( CONTROL!$C$15, $D$11, 100%, $F$11)</f>
        <v>12.3635</v>
      </c>
      <c r="E441" s="12">
        <f>CHOOSE( CONTROL!$C$32, 12.3486, 12.345) * CHOOSE( CONTROL!$C$15, $D$11, 100%, $F$11)</f>
        <v>12.348599999999999</v>
      </c>
      <c r="F441" s="4">
        <f>CHOOSE( CONTROL!$C$32, 13.0608, 13.0572) * CHOOSE(CONTROL!$C$15, $D$11, 100%, $F$11)</f>
        <v>13.0608</v>
      </c>
      <c r="G441" s="8">
        <f>CHOOSE( CONTROL!$C$32, 12.1795, 12.1759) * CHOOSE( CONTROL!$C$15, $D$11, 100%, $F$11)</f>
        <v>12.179500000000001</v>
      </c>
      <c r="H441" s="4">
        <f>CHOOSE( CONTROL!$C$32, 13.1545, 13.1509) * CHOOSE(CONTROL!$C$15, $D$11, 100%, $F$11)</f>
        <v>13.154500000000001</v>
      </c>
      <c r="I441" s="8">
        <f>CHOOSE( CONTROL!$C$32, 12.0911, 12.0876) * CHOOSE(CONTROL!$C$15, $D$11, 100%, $F$11)</f>
        <v>12.091100000000001</v>
      </c>
      <c r="J441" s="4">
        <f>CHOOSE( CONTROL!$C$32, 11.9436, 11.9401) * CHOOSE(CONTROL!$C$15, $D$11, 100%, $F$11)</f>
        <v>11.9436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12.12, 12.1164) * CHOOSE(CONTROL!$C$15, $D$11, 100%, $F$11)</f>
        <v>12.12</v>
      </c>
      <c r="C442" s="8">
        <f>CHOOSE( CONTROL!$C$32, 12.128, 12.1243) * CHOOSE(CONTROL!$C$15, $D$11, 100%, $F$11)</f>
        <v>12.128</v>
      </c>
      <c r="D442" s="8">
        <f>CHOOSE( CONTROL!$C$32, 12.1659, 12.1623) * CHOOSE( CONTROL!$C$15, $D$11, 100%, $F$11)</f>
        <v>12.165900000000001</v>
      </c>
      <c r="E442" s="12">
        <f>CHOOSE( CONTROL!$C$32, 12.1509, 12.1473) * CHOOSE( CONTROL!$C$15, $D$11, 100%, $F$11)</f>
        <v>12.1509</v>
      </c>
      <c r="F442" s="4">
        <f>CHOOSE( CONTROL!$C$32, 12.863, 12.8594) * CHOOSE(CONTROL!$C$15, $D$11, 100%, $F$11)</f>
        <v>12.863</v>
      </c>
      <c r="G442" s="8">
        <f>CHOOSE( CONTROL!$C$32, 11.9843, 11.9807) * CHOOSE( CONTROL!$C$15, $D$11, 100%, $F$11)</f>
        <v>11.984299999999999</v>
      </c>
      <c r="H442" s="4">
        <f>CHOOSE( CONTROL!$C$32, 12.959, 12.9554) * CHOOSE(CONTROL!$C$15, $D$11, 100%, $F$11)</f>
        <v>12.959</v>
      </c>
      <c r="I442" s="8">
        <f>CHOOSE( CONTROL!$C$32, 11.9001, 11.8966) * CHOOSE(CONTROL!$C$15, $D$11, 100%, $F$11)</f>
        <v>11.9001</v>
      </c>
      <c r="J442" s="4">
        <f>CHOOSE( CONTROL!$C$32, 11.7516, 11.7481) * CHOOSE(CONTROL!$C$15, $D$11, 100%, $F$11)</f>
        <v>11.7516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12.6409, 12.6373) * CHOOSE(CONTROL!$C$15, $D$11, 100%, $F$11)</f>
        <v>12.6409</v>
      </c>
      <c r="C443" s="8">
        <f>CHOOSE( CONTROL!$C$32, 12.6489, 12.6452) * CHOOSE(CONTROL!$C$15, $D$11, 100%, $F$11)</f>
        <v>12.648899999999999</v>
      </c>
      <c r="D443" s="8">
        <f>CHOOSE( CONTROL!$C$32, 12.6871, 12.6834) * CHOOSE( CONTROL!$C$15, $D$11, 100%, $F$11)</f>
        <v>12.687099999999999</v>
      </c>
      <c r="E443" s="12">
        <f>CHOOSE( CONTROL!$C$32, 12.672, 12.6684) * CHOOSE( CONTROL!$C$15, $D$11, 100%, $F$11)</f>
        <v>12.672000000000001</v>
      </c>
      <c r="F443" s="4">
        <f>CHOOSE( CONTROL!$C$32, 13.3839, 13.3803) * CHOOSE(CONTROL!$C$15, $D$11, 100%, $F$11)</f>
        <v>13.383900000000001</v>
      </c>
      <c r="G443" s="8">
        <f>CHOOSE( CONTROL!$C$32, 12.4994, 12.4958) * CHOOSE( CONTROL!$C$15, $D$11, 100%, $F$11)</f>
        <v>12.4994</v>
      </c>
      <c r="H443" s="4">
        <f>CHOOSE( CONTROL!$C$32, 13.4738, 13.4702) * CHOOSE(CONTROL!$C$15, $D$11, 100%, $F$11)</f>
        <v>13.473800000000001</v>
      </c>
      <c r="I443" s="8">
        <f>CHOOSE( CONTROL!$C$32, 12.407, 12.4035) * CHOOSE(CONTROL!$C$15, $D$11, 100%, $F$11)</f>
        <v>12.407</v>
      </c>
      <c r="J443" s="4">
        <f>CHOOSE( CONTROL!$C$32, 12.2572, 12.2536) * CHOOSE(CONTROL!$C$15, $D$11, 100%, $F$11)</f>
        <v>12.257199999999999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11.6663, 11.6626) * CHOOSE(CONTROL!$C$15, $D$11, 100%, $F$11)</f>
        <v>11.6663</v>
      </c>
      <c r="C444" s="8">
        <f>CHOOSE( CONTROL!$C$32, 11.6742, 11.6706) * CHOOSE(CONTROL!$C$15, $D$11, 100%, $F$11)</f>
        <v>11.674200000000001</v>
      </c>
      <c r="D444" s="8">
        <f>CHOOSE( CONTROL!$C$32, 11.7125, 11.7088) * CHOOSE( CONTROL!$C$15, $D$11, 100%, $F$11)</f>
        <v>11.7125</v>
      </c>
      <c r="E444" s="12">
        <f>CHOOSE( CONTROL!$C$32, 11.6974, 11.6937) * CHOOSE( CONTROL!$C$15, $D$11, 100%, $F$11)</f>
        <v>11.6974</v>
      </c>
      <c r="F444" s="4">
        <f>CHOOSE( CONTROL!$C$32, 12.4093, 12.4056) * CHOOSE(CONTROL!$C$15, $D$11, 100%, $F$11)</f>
        <v>12.4093</v>
      </c>
      <c r="G444" s="8">
        <f>CHOOSE( CONTROL!$C$32, 11.5363, 11.5327) * CHOOSE( CONTROL!$C$15, $D$11, 100%, $F$11)</f>
        <v>11.536300000000001</v>
      </c>
      <c r="H444" s="4">
        <f>CHOOSE( CONTROL!$C$32, 12.5106, 12.507) * CHOOSE(CONTROL!$C$15, $D$11, 100%, $F$11)</f>
        <v>12.5106</v>
      </c>
      <c r="I444" s="8">
        <f>CHOOSE( CONTROL!$C$32, 11.4609, 11.4574) * CHOOSE(CONTROL!$C$15, $D$11, 100%, $F$11)</f>
        <v>11.460900000000001</v>
      </c>
      <c r="J444" s="4">
        <f>CHOOSE( CONTROL!$C$32, 11.3113, 11.3077) * CHOOSE(CONTROL!$C$15, $D$11, 100%, $F$11)</f>
        <v>11.311299999999999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11.4222, 11.4185) * CHOOSE(CONTROL!$C$15, $D$11, 100%, $F$11)</f>
        <v>11.4222</v>
      </c>
      <c r="C445" s="8">
        <f>CHOOSE( CONTROL!$C$32, 11.4302, 11.4265) * CHOOSE(CONTROL!$C$15, $D$11, 100%, $F$11)</f>
        <v>11.430199999999999</v>
      </c>
      <c r="D445" s="8">
        <f>CHOOSE( CONTROL!$C$32, 11.4683, 11.4647) * CHOOSE( CONTROL!$C$15, $D$11, 100%, $F$11)</f>
        <v>11.468299999999999</v>
      </c>
      <c r="E445" s="12">
        <f>CHOOSE( CONTROL!$C$32, 11.4533, 11.4496) * CHOOSE( CONTROL!$C$15, $D$11, 100%, $F$11)</f>
        <v>11.4533</v>
      </c>
      <c r="F445" s="4">
        <f>CHOOSE( CONTROL!$C$32, 12.1652, 12.1616) * CHOOSE(CONTROL!$C$15, $D$11, 100%, $F$11)</f>
        <v>12.1652</v>
      </c>
      <c r="G445" s="8">
        <f>CHOOSE( CONTROL!$C$32, 11.295, 11.2914) * CHOOSE( CONTROL!$C$15, $D$11, 100%, $F$11)</f>
        <v>11.295</v>
      </c>
      <c r="H445" s="4">
        <f>CHOOSE( CONTROL!$C$32, 12.2694, 12.2658) * CHOOSE(CONTROL!$C$15, $D$11, 100%, $F$11)</f>
        <v>12.269399999999999</v>
      </c>
      <c r="I445" s="8">
        <f>CHOOSE( CONTROL!$C$32, 11.2236, 11.2201) * CHOOSE(CONTROL!$C$15, $D$11, 100%, $F$11)</f>
        <v>11.223599999999999</v>
      </c>
      <c r="J445" s="4">
        <f>CHOOSE( CONTROL!$C$32, 11.0744, 11.0709) * CHOOSE(CONTROL!$C$15, $D$11, 100%, $F$11)</f>
        <v>11.074400000000001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11.9236 * CHOOSE(CONTROL!$C$15, $D$11, 100%, $F$11)</f>
        <v>11.9236</v>
      </c>
      <c r="C446" s="8">
        <f>11.9289 * CHOOSE(CONTROL!$C$15, $D$11, 100%, $F$11)</f>
        <v>11.928900000000001</v>
      </c>
      <c r="D446" s="8">
        <f>11.9724 * CHOOSE( CONTROL!$C$15, $D$11, 100%, $F$11)</f>
        <v>11.9724</v>
      </c>
      <c r="E446" s="12">
        <f>11.9575 * CHOOSE( CONTROL!$C$15, $D$11, 100%, $F$11)</f>
        <v>11.9575</v>
      </c>
      <c r="F446" s="4">
        <f>12.6683 * CHOOSE(CONTROL!$C$15, $D$11, 100%, $F$11)</f>
        <v>12.6683</v>
      </c>
      <c r="G446" s="8">
        <f>11.7917 * CHOOSE( CONTROL!$C$15, $D$11, 100%, $F$11)</f>
        <v>11.791700000000001</v>
      </c>
      <c r="H446" s="4">
        <f>12.7666 * CHOOSE(CONTROL!$C$15, $D$11, 100%, $F$11)</f>
        <v>12.7666</v>
      </c>
      <c r="I446" s="8">
        <f>11.7129 * CHOOSE(CONTROL!$C$15, $D$11, 100%, $F$11)</f>
        <v>11.712899999999999</v>
      </c>
      <c r="J446" s="4">
        <f>11.5627 * CHOOSE(CONTROL!$C$15, $D$11, 100%, $F$11)</f>
        <v>11.5627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12.8585 * CHOOSE(CONTROL!$C$15, $D$11, 100%, $F$11)</f>
        <v>12.858499999999999</v>
      </c>
      <c r="C447" s="8">
        <f>12.8636 * CHOOSE(CONTROL!$C$15, $D$11, 100%, $F$11)</f>
        <v>12.8636</v>
      </c>
      <c r="D447" s="8">
        <f>12.8473 * CHOOSE( CONTROL!$C$15, $D$11, 100%, $F$11)</f>
        <v>12.847300000000001</v>
      </c>
      <c r="E447" s="12">
        <f>12.8527 * CHOOSE( CONTROL!$C$15, $D$11, 100%, $F$11)</f>
        <v>12.8527</v>
      </c>
      <c r="F447" s="4">
        <f>13.5238 * CHOOSE(CONTROL!$C$15, $D$11, 100%, $F$11)</f>
        <v>13.5238</v>
      </c>
      <c r="G447" s="8">
        <f>12.7167 * CHOOSE( CONTROL!$C$15, $D$11, 100%, $F$11)</f>
        <v>12.716699999999999</v>
      </c>
      <c r="H447" s="4">
        <f>13.6121 * CHOOSE(CONTROL!$C$15, $D$11, 100%, $F$11)</f>
        <v>13.6121</v>
      </c>
      <c r="I447" s="8">
        <f>12.6212 * CHOOSE(CONTROL!$C$15, $D$11, 100%, $F$11)</f>
        <v>12.6212</v>
      </c>
      <c r="J447" s="4">
        <f>12.4705 * CHOOSE(CONTROL!$C$15, $D$11, 100%, $F$11)</f>
        <v>12.470499999999999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12.8352 * CHOOSE(CONTROL!$C$15, $D$11, 100%, $F$11)</f>
        <v>12.8352</v>
      </c>
      <c r="C448" s="8">
        <f>12.8403 * CHOOSE(CONTROL!$C$15, $D$11, 100%, $F$11)</f>
        <v>12.840299999999999</v>
      </c>
      <c r="D448" s="8">
        <f>12.8256 * CHOOSE( CONTROL!$C$15, $D$11, 100%, $F$11)</f>
        <v>12.8256</v>
      </c>
      <c r="E448" s="12">
        <f>12.8304 * CHOOSE( CONTROL!$C$15, $D$11, 100%, $F$11)</f>
        <v>12.830399999999999</v>
      </c>
      <c r="F448" s="4">
        <f>13.5005 * CHOOSE(CONTROL!$C$15, $D$11, 100%, $F$11)</f>
        <v>13.500500000000001</v>
      </c>
      <c r="G448" s="8">
        <f>12.6948 * CHOOSE( CONTROL!$C$15, $D$11, 100%, $F$11)</f>
        <v>12.694800000000001</v>
      </c>
      <c r="H448" s="4">
        <f>13.589 * CHOOSE(CONTROL!$C$15, $D$11, 100%, $F$11)</f>
        <v>13.589</v>
      </c>
      <c r="I448" s="8">
        <f>12.6039 * CHOOSE(CONTROL!$C$15, $D$11, 100%, $F$11)</f>
        <v>12.603899999999999</v>
      </c>
      <c r="J448" s="4">
        <f>12.4478 * CHOOSE(CONTROL!$C$15, $D$11, 100%, $F$11)</f>
        <v>12.447800000000001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13.2135 * CHOOSE(CONTROL!$C$15, $D$11, 100%, $F$11)</f>
        <v>13.2135</v>
      </c>
      <c r="C449" s="8">
        <f>13.2186 * CHOOSE(CONTROL!$C$15, $D$11, 100%, $F$11)</f>
        <v>13.2186</v>
      </c>
      <c r="D449" s="8">
        <f>13.1897 * CHOOSE( CONTROL!$C$15, $D$11, 100%, $F$11)</f>
        <v>13.1897</v>
      </c>
      <c r="E449" s="12">
        <f>13.1997 * CHOOSE( CONTROL!$C$15, $D$11, 100%, $F$11)</f>
        <v>13.1997</v>
      </c>
      <c r="F449" s="4">
        <f>13.8788 * CHOOSE(CONTROL!$C$15, $D$11, 100%, $F$11)</f>
        <v>13.8788</v>
      </c>
      <c r="G449" s="8">
        <f>13.0585 * CHOOSE( CONTROL!$C$15, $D$11, 100%, $F$11)</f>
        <v>13.0585</v>
      </c>
      <c r="H449" s="4">
        <f>13.9629 * CHOOSE(CONTROL!$C$15, $D$11, 100%, $F$11)</f>
        <v>13.962899999999999</v>
      </c>
      <c r="I449" s="8">
        <f>12.9659 * CHOOSE(CONTROL!$C$15, $D$11, 100%, $F$11)</f>
        <v>12.9659</v>
      </c>
      <c r="J449" s="4">
        <f>12.815 * CHOOSE(CONTROL!$C$15, $D$11, 100%, $F$11)</f>
        <v>12.815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12.3599 * CHOOSE(CONTROL!$C$15, $D$11, 100%, $F$11)</f>
        <v>12.3599</v>
      </c>
      <c r="C450" s="8">
        <f>12.3649 * CHOOSE(CONTROL!$C$15, $D$11, 100%, $F$11)</f>
        <v>12.3649</v>
      </c>
      <c r="D450" s="8">
        <f>12.336 * CHOOSE( CONTROL!$C$15, $D$11, 100%, $F$11)</f>
        <v>12.336</v>
      </c>
      <c r="E450" s="12">
        <f>12.346 * CHOOSE( CONTROL!$C$15, $D$11, 100%, $F$11)</f>
        <v>12.346</v>
      </c>
      <c r="F450" s="4">
        <f>13.0251 * CHOOSE(CONTROL!$C$15, $D$11, 100%, $F$11)</f>
        <v>13.0251</v>
      </c>
      <c r="G450" s="8">
        <f>12.2148 * CHOOSE( CONTROL!$C$15, $D$11, 100%, $F$11)</f>
        <v>12.2148</v>
      </c>
      <c r="H450" s="4">
        <f>13.1192 * CHOOSE(CONTROL!$C$15, $D$11, 100%, $F$11)</f>
        <v>13.119199999999999</v>
      </c>
      <c r="I450" s="8">
        <f>12.1369 * CHOOSE(CONTROL!$C$15, $D$11, 100%, $F$11)</f>
        <v>12.136900000000001</v>
      </c>
      <c r="J450" s="4">
        <f>11.9865 * CHOOSE(CONTROL!$C$15, $D$11, 100%, $F$11)</f>
        <v>11.986499999999999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12.0969 * CHOOSE(CONTROL!$C$15, $D$11, 100%, $F$11)</f>
        <v>12.0969</v>
      </c>
      <c r="C451" s="8">
        <f>12.102 * CHOOSE(CONTROL!$C$15, $D$11, 100%, $F$11)</f>
        <v>12.102</v>
      </c>
      <c r="D451" s="8">
        <f>12.0727 * CHOOSE( CONTROL!$C$15, $D$11, 100%, $F$11)</f>
        <v>12.072699999999999</v>
      </c>
      <c r="E451" s="12">
        <f>12.0829 * CHOOSE( CONTROL!$C$15, $D$11, 100%, $F$11)</f>
        <v>12.0829</v>
      </c>
      <c r="F451" s="4">
        <f>12.7622 * CHOOSE(CONTROL!$C$15, $D$11, 100%, $F$11)</f>
        <v>12.7622</v>
      </c>
      <c r="G451" s="8">
        <f>11.9547 * CHOOSE( CONTROL!$C$15, $D$11, 100%, $F$11)</f>
        <v>11.954700000000001</v>
      </c>
      <c r="H451" s="4">
        <f>12.8594 * CHOOSE(CONTROL!$C$15, $D$11, 100%, $F$11)</f>
        <v>12.859400000000001</v>
      </c>
      <c r="I451" s="8">
        <f>11.8804 * CHOOSE(CONTROL!$C$15, $D$11, 100%, $F$11)</f>
        <v>11.8804</v>
      </c>
      <c r="J451" s="4">
        <f>11.7313 * CHOOSE(CONTROL!$C$15, $D$11, 100%, $F$11)</f>
        <v>11.731299999999999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12.2814 * CHOOSE(CONTROL!$C$15, $D$11, 100%, $F$11)</f>
        <v>12.2814</v>
      </c>
      <c r="C452" s="8">
        <f>12.2859 * CHOOSE(CONTROL!$C$15, $D$11, 100%, $F$11)</f>
        <v>12.2859</v>
      </c>
      <c r="D452" s="8">
        <f>12.3293 * CHOOSE( CONTROL!$C$15, $D$11, 100%, $F$11)</f>
        <v>12.3293</v>
      </c>
      <c r="E452" s="12">
        <f>12.3145 * CHOOSE( CONTROL!$C$15, $D$11, 100%, $F$11)</f>
        <v>12.314500000000001</v>
      </c>
      <c r="F452" s="4">
        <f>13.0258 * CHOOSE(CONTROL!$C$15, $D$11, 100%, $F$11)</f>
        <v>13.0258</v>
      </c>
      <c r="G452" s="8">
        <f>12.1441 * CHOOSE( CONTROL!$C$15, $D$11, 100%, $F$11)</f>
        <v>12.1441</v>
      </c>
      <c r="H452" s="4">
        <f>13.1199 * CHOOSE(CONTROL!$C$15, $D$11, 100%, $F$11)</f>
        <v>13.119899999999999</v>
      </c>
      <c r="I452" s="8">
        <f>12.057 * CHOOSE(CONTROL!$C$15, $D$11, 100%, $F$11)</f>
        <v>12.057</v>
      </c>
      <c r="J452" s="4">
        <f>11.9096 * CHOOSE(CONTROL!$C$15, $D$11, 100%, $F$11)</f>
        <v>11.909599999999999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12.6134, 12.6098) * CHOOSE(CONTROL!$C$15, $D$11, 100%, $F$11)</f>
        <v>12.6134</v>
      </c>
      <c r="C453" s="8">
        <f>CHOOSE( CONTROL!$C$32, 12.6214, 12.6178) * CHOOSE(CONTROL!$C$15, $D$11, 100%, $F$11)</f>
        <v>12.6214</v>
      </c>
      <c r="D453" s="8">
        <f>CHOOSE( CONTROL!$C$32, 12.6591, 12.6555) * CHOOSE( CONTROL!$C$15, $D$11, 100%, $F$11)</f>
        <v>12.6591</v>
      </c>
      <c r="E453" s="12">
        <f>CHOOSE( CONTROL!$C$32, 12.6442, 12.6406) * CHOOSE( CONTROL!$C$15, $D$11, 100%, $F$11)</f>
        <v>12.6442</v>
      </c>
      <c r="F453" s="4">
        <f>CHOOSE( CONTROL!$C$32, 13.3564, 13.3528) * CHOOSE(CONTROL!$C$15, $D$11, 100%, $F$11)</f>
        <v>13.356400000000001</v>
      </c>
      <c r="G453" s="8">
        <f>CHOOSE( CONTROL!$C$32, 12.4716, 12.468) * CHOOSE( CONTROL!$C$15, $D$11, 100%, $F$11)</f>
        <v>12.4716</v>
      </c>
      <c r="H453" s="4">
        <f>CHOOSE( CONTROL!$C$32, 13.4467, 13.4431) * CHOOSE(CONTROL!$C$15, $D$11, 100%, $F$11)</f>
        <v>13.4467</v>
      </c>
      <c r="I453" s="8">
        <f>CHOOSE( CONTROL!$C$32, 12.3782, 12.3746) * CHOOSE(CONTROL!$C$15, $D$11, 100%, $F$11)</f>
        <v>12.3782</v>
      </c>
      <c r="J453" s="4">
        <f>CHOOSE( CONTROL!$C$32, 12.2305, 12.227) * CHOOSE(CONTROL!$C$15, $D$11, 100%, $F$11)</f>
        <v>12.230499999999999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12.4109, 12.4072) * CHOOSE(CONTROL!$C$15, $D$11, 100%, $F$11)</f>
        <v>12.4109</v>
      </c>
      <c r="C454" s="8">
        <f>CHOOSE( CONTROL!$C$32, 12.4188, 12.4152) * CHOOSE(CONTROL!$C$15, $D$11, 100%, $F$11)</f>
        <v>12.418799999999999</v>
      </c>
      <c r="D454" s="8">
        <f>CHOOSE( CONTROL!$C$32, 12.4568, 12.4532) * CHOOSE( CONTROL!$C$15, $D$11, 100%, $F$11)</f>
        <v>12.456799999999999</v>
      </c>
      <c r="E454" s="12">
        <f>CHOOSE( CONTROL!$C$32, 12.4418, 12.4382) * CHOOSE( CONTROL!$C$15, $D$11, 100%, $F$11)</f>
        <v>12.441800000000001</v>
      </c>
      <c r="F454" s="4">
        <f>CHOOSE( CONTROL!$C$32, 13.1539, 13.1502) * CHOOSE(CONTROL!$C$15, $D$11, 100%, $F$11)</f>
        <v>13.1539</v>
      </c>
      <c r="G454" s="8">
        <f>CHOOSE( CONTROL!$C$32, 12.2718, 12.2682) * CHOOSE( CONTROL!$C$15, $D$11, 100%, $F$11)</f>
        <v>12.271800000000001</v>
      </c>
      <c r="H454" s="4">
        <f>CHOOSE( CONTROL!$C$32, 13.2465, 13.2429) * CHOOSE(CONTROL!$C$15, $D$11, 100%, $F$11)</f>
        <v>13.246499999999999</v>
      </c>
      <c r="I454" s="8">
        <f>CHOOSE( CONTROL!$C$32, 12.1825, 12.179) * CHOOSE(CONTROL!$C$15, $D$11, 100%, $F$11)</f>
        <v>12.182499999999999</v>
      </c>
      <c r="J454" s="4">
        <f>CHOOSE( CONTROL!$C$32, 12.0339, 12.0304) * CHOOSE(CONTROL!$C$15, $D$11, 100%, $F$11)</f>
        <v>12.033899999999999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12.9443, 12.9406) * CHOOSE(CONTROL!$C$15, $D$11, 100%, $F$11)</f>
        <v>12.9443</v>
      </c>
      <c r="C455" s="8">
        <f>CHOOSE( CONTROL!$C$32, 12.9522, 12.9486) * CHOOSE(CONTROL!$C$15, $D$11, 100%, $F$11)</f>
        <v>12.952199999999999</v>
      </c>
      <c r="D455" s="8">
        <f>CHOOSE( CONTROL!$C$32, 12.9904, 12.9868) * CHOOSE( CONTROL!$C$15, $D$11, 100%, $F$11)</f>
        <v>12.990399999999999</v>
      </c>
      <c r="E455" s="12">
        <f>CHOOSE( CONTROL!$C$32, 12.9754, 12.9717) * CHOOSE( CONTROL!$C$15, $D$11, 100%, $F$11)</f>
        <v>12.9754</v>
      </c>
      <c r="F455" s="4">
        <f>CHOOSE( CONTROL!$C$32, 13.6873, 13.6836) * CHOOSE(CONTROL!$C$15, $D$11, 100%, $F$11)</f>
        <v>13.6873</v>
      </c>
      <c r="G455" s="8">
        <f>CHOOSE( CONTROL!$C$32, 12.7993, 12.7957) * CHOOSE( CONTROL!$C$15, $D$11, 100%, $F$11)</f>
        <v>12.799300000000001</v>
      </c>
      <c r="H455" s="4">
        <f>CHOOSE( CONTROL!$C$32, 13.7736, 13.77) * CHOOSE(CONTROL!$C$15, $D$11, 100%, $F$11)</f>
        <v>13.7736</v>
      </c>
      <c r="I455" s="8">
        <f>CHOOSE( CONTROL!$C$32, 12.7016, 12.6981) * CHOOSE(CONTROL!$C$15, $D$11, 100%, $F$11)</f>
        <v>12.701599999999999</v>
      </c>
      <c r="J455" s="4">
        <f>CHOOSE( CONTROL!$C$32, 12.5516, 12.5481) * CHOOSE(CONTROL!$C$15, $D$11, 100%, $F$11)</f>
        <v>12.551600000000001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11.9462, 11.9426) * CHOOSE(CONTROL!$C$15, $D$11, 100%, $F$11)</f>
        <v>11.946199999999999</v>
      </c>
      <c r="C456" s="8">
        <f>CHOOSE( CONTROL!$C$32, 11.9542, 11.9505) * CHOOSE(CONTROL!$C$15, $D$11, 100%, $F$11)</f>
        <v>11.9542</v>
      </c>
      <c r="D456" s="8">
        <f>CHOOSE( CONTROL!$C$32, 11.9924, 11.9888) * CHOOSE( CONTROL!$C$15, $D$11, 100%, $F$11)</f>
        <v>11.9924</v>
      </c>
      <c r="E456" s="12">
        <f>CHOOSE( CONTROL!$C$32, 11.9773, 11.9737) * CHOOSE( CONTROL!$C$15, $D$11, 100%, $F$11)</f>
        <v>11.9773</v>
      </c>
      <c r="F456" s="4">
        <f>CHOOSE( CONTROL!$C$32, 12.6892, 12.6856) * CHOOSE(CONTROL!$C$15, $D$11, 100%, $F$11)</f>
        <v>12.6892</v>
      </c>
      <c r="G456" s="8">
        <f>CHOOSE( CONTROL!$C$32, 11.813, 11.8094) * CHOOSE( CONTROL!$C$15, $D$11, 100%, $F$11)</f>
        <v>11.813000000000001</v>
      </c>
      <c r="H456" s="4">
        <f>CHOOSE( CONTROL!$C$32, 12.7873, 12.7837) * CHOOSE(CONTROL!$C$15, $D$11, 100%, $F$11)</f>
        <v>12.7873</v>
      </c>
      <c r="I456" s="8">
        <f>CHOOSE( CONTROL!$C$32, 11.7328, 11.7292) * CHOOSE(CONTROL!$C$15, $D$11, 100%, $F$11)</f>
        <v>11.732799999999999</v>
      </c>
      <c r="J456" s="4">
        <f>CHOOSE( CONTROL!$C$32, 11.583, 11.5794) * CHOOSE(CONTROL!$C$15, $D$11, 100%, $F$11)</f>
        <v>11.583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11.6963, 11.6926) * CHOOSE(CONTROL!$C$15, $D$11, 100%, $F$11)</f>
        <v>11.696300000000001</v>
      </c>
      <c r="C457" s="8">
        <f>CHOOSE( CONTROL!$C$32, 11.7043, 11.7006) * CHOOSE(CONTROL!$C$15, $D$11, 100%, $F$11)</f>
        <v>11.7043</v>
      </c>
      <c r="D457" s="8">
        <f>CHOOSE( CONTROL!$C$32, 11.7424, 11.7388) * CHOOSE( CONTROL!$C$15, $D$11, 100%, $F$11)</f>
        <v>11.7424</v>
      </c>
      <c r="E457" s="12">
        <f>CHOOSE( CONTROL!$C$32, 11.7274, 11.7237) * CHOOSE( CONTROL!$C$15, $D$11, 100%, $F$11)</f>
        <v>11.727399999999999</v>
      </c>
      <c r="F457" s="4">
        <f>CHOOSE( CONTROL!$C$32, 12.4393, 12.4356) * CHOOSE(CONTROL!$C$15, $D$11, 100%, $F$11)</f>
        <v>12.439299999999999</v>
      </c>
      <c r="G457" s="8">
        <f>CHOOSE( CONTROL!$C$32, 11.5659, 11.5623) * CHOOSE( CONTROL!$C$15, $D$11, 100%, $F$11)</f>
        <v>11.565899999999999</v>
      </c>
      <c r="H457" s="4">
        <f>CHOOSE( CONTROL!$C$32, 12.5403, 12.5367) * CHOOSE(CONTROL!$C$15, $D$11, 100%, $F$11)</f>
        <v>12.5403</v>
      </c>
      <c r="I457" s="8">
        <f>CHOOSE( CONTROL!$C$32, 11.4897, 11.4862) * CHOOSE(CONTROL!$C$15, $D$11, 100%, $F$11)</f>
        <v>11.489699999999999</v>
      </c>
      <c r="J457" s="4">
        <f>CHOOSE( CONTROL!$C$32, 11.3404, 11.3369) * CHOOSE(CONTROL!$C$15, $D$11, 100%, $F$11)</f>
        <v>11.340400000000001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12.2098 * CHOOSE(CONTROL!$C$15, $D$11, 100%, $F$11)</f>
        <v>12.2098</v>
      </c>
      <c r="C458" s="8">
        <f>12.2152 * CHOOSE(CONTROL!$C$15, $D$11, 100%, $F$11)</f>
        <v>12.215199999999999</v>
      </c>
      <c r="D458" s="8">
        <f>12.2587 * CHOOSE( CONTROL!$C$15, $D$11, 100%, $F$11)</f>
        <v>12.258699999999999</v>
      </c>
      <c r="E458" s="12">
        <f>12.2438 * CHOOSE( CONTROL!$C$15, $D$11, 100%, $F$11)</f>
        <v>12.2438</v>
      </c>
      <c r="F458" s="4">
        <f>12.9546 * CHOOSE(CONTROL!$C$15, $D$11, 100%, $F$11)</f>
        <v>12.954599999999999</v>
      </c>
      <c r="G458" s="8">
        <f>12.0746 * CHOOSE( CONTROL!$C$15, $D$11, 100%, $F$11)</f>
        <v>12.0746</v>
      </c>
      <c r="H458" s="4">
        <f>13.0495 * CHOOSE(CONTROL!$C$15, $D$11, 100%, $F$11)</f>
        <v>13.0495</v>
      </c>
      <c r="I458" s="8">
        <f>11.9908 * CHOOSE(CONTROL!$C$15, $D$11, 100%, $F$11)</f>
        <v>11.9908</v>
      </c>
      <c r="J458" s="4">
        <f>11.8405 * CHOOSE(CONTROL!$C$15, $D$11, 100%, $F$11)</f>
        <v>11.8405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13.1673 * CHOOSE(CONTROL!$C$15, $D$11, 100%, $F$11)</f>
        <v>13.167299999999999</v>
      </c>
      <c r="C459" s="8">
        <f>13.1724 * CHOOSE(CONTROL!$C$15, $D$11, 100%, $F$11)</f>
        <v>13.1724</v>
      </c>
      <c r="D459" s="8">
        <f>13.156 * CHOOSE( CONTROL!$C$15, $D$11, 100%, $F$11)</f>
        <v>13.156000000000001</v>
      </c>
      <c r="E459" s="12">
        <f>13.1615 * CHOOSE( CONTROL!$C$15, $D$11, 100%, $F$11)</f>
        <v>13.1615</v>
      </c>
      <c r="F459" s="4">
        <f>13.8326 * CHOOSE(CONTROL!$C$15, $D$11, 100%, $F$11)</f>
        <v>13.832599999999999</v>
      </c>
      <c r="G459" s="8">
        <f>13.0218 * CHOOSE( CONTROL!$C$15, $D$11, 100%, $F$11)</f>
        <v>13.021800000000001</v>
      </c>
      <c r="H459" s="4">
        <f>13.9172 * CHOOSE(CONTROL!$C$15, $D$11, 100%, $F$11)</f>
        <v>13.917199999999999</v>
      </c>
      <c r="I459" s="8">
        <f>12.921 * CHOOSE(CONTROL!$C$15, $D$11, 100%, $F$11)</f>
        <v>12.920999999999999</v>
      </c>
      <c r="J459" s="4">
        <f>12.7701 * CHOOSE(CONTROL!$C$15, $D$11, 100%, $F$11)</f>
        <v>12.770099999999999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13.1434 * CHOOSE(CONTROL!$C$15, $D$11, 100%, $F$11)</f>
        <v>13.1434</v>
      </c>
      <c r="C460" s="8">
        <f>13.1484 * CHOOSE(CONTROL!$C$15, $D$11, 100%, $F$11)</f>
        <v>13.148400000000001</v>
      </c>
      <c r="D460" s="8">
        <f>13.1338 * CHOOSE( CONTROL!$C$15, $D$11, 100%, $F$11)</f>
        <v>13.133800000000001</v>
      </c>
      <c r="E460" s="12">
        <f>13.1386 * CHOOSE( CONTROL!$C$15, $D$11, 100%, $F$11)</f>
        <v>13.1386</v>
      </c>
      <c r="F460" s="4">
        <f>13.8086 * CHOOSE(CONTROL!$C$15, $D$11, 100%, $F$11)</f>
        <v>13.8086</v>
      </c>
      <c r="G460" s="8">
        <f>12.9994 * CHOOSE( CONTROL!$C$15, $D$11, 100%, $F$11)</f>
        <v>12.9994</v>
      </c>
      <c r="H460" s="4">
        <f>13.8936 * CHOOSE(CONTROL!$C$15, $D$11, 100%, $F$11)</f>
        <v>13.893599999999999</v>
      </c>
      <c r="I460" s="8">
        <f>12.9031 * CHOOSE(CONTROL!$C$15, $D$11, 100%, $F$11)</f>
        <v>12.9031</v>
      </c>
      <c r="J460" s="4">
        <f>12.7469 * CHOOSE(CONTROL!$C$15, $D$11, 100%, $F$11)</f>
        <v>12.7469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13.5308 * CHOOSE(CONTROL!$C$15, $D$11, 100%, $F$11)</f>
        <v>13.530799999999999</v>
      </c>
      <c r="C461" s="8">
        <f>13.5359 * CHOOSE(CONTROL!$C$15, $D$11, 100%, $F$11)</f>
        <v>13.5359</v>
      </c>
      <c r="D461" s="8">
        <f>13.507 * CHOOSE( CONTROL!$C$15, $D$11, 100%, $F$11)</f>
        <v>13.507</v>
      </c>
      <c r="E461" s="12">
        <f>13.517 * CHOOSE( CONTROL!$C$15, $D$11, 100%, $F$11)</f>
        <v>13.516999999999999</v>
      </c>
      <c r="F461" s="4">
        <f>14.1961 * CHOOSE(CONTROL!$C$15, $D$11, 100%, $F$11)</f>
        <v>14.196099999999999</v>
      </c>
      <c r="G461" s="8">
        <f>13.372 * CHOOSE( CONTROL!$C$15, $D$11, 100%, $F$11)</f>
        <v>13.372</v>
      </c>
      <c r="H461" s="4">
        <f>14.2765 * CHOOSE(CONTROL!$C$15, $D$11, 100%, $F$11)</f>
        <v>14.2765</v>
      </c>
      <c r="I461" s="8">
        <f>13.2739 * CHOOSE(CONTROL!$C$15, $D$11, 100%, $F$11)</f>
        <v>13.273899999999999</v>
      </c>
      <c r="J461" s="4">
        <f>13.1229 * CHOOSE(CONTROL!$C$15, $D$11, 100%, $F$11)</f>
        <v>13.1229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12.6566 * CHOOSE(CONTROL!$C$15, $D$11, 100%, $F$11)</f>
        <v>12.656599999999999</v>
      </c>
      <c r="C462" s="8">
        <f>12.6617 * CHOOSE(CONTROL!$C$15, $D$11, 100%, $F$11)</f>
        <v>12.6617</v>
      </c>
      <c r="D462" s="8">
        <f>12.6328 * CHOOSE( CONTROL!$C$15, $D$11, 100%, $F$11)</f>
        <v>12.6328</v>
      </c>
      <c r="E462" s="12">
        <f>12.6428 * CHOOSE( CONTROL!$C$15, $D$11, 100%, $F$11)</f>
        <v>12.642799999999999</v>
      </c>
      <c r="F462" s="4">
        <f>13.3219 * CHOOSE(CONTROL!$C$15, $D$11, 100%, $F$11)</f>
        <v>13.321899999999999</v>
      </c>
      <c r="G462" s="8">
        <f>12.5081 * CHOOSE( CONTROL!$C$15, $D$11, 100%, $F$11)</f>
        <v>12.508100000000001</v>
      </c>
      <c r="H462" s="4">
        <f>13.4125 * CHOOSE(CONTROL!$C$15, $D$11, 100%, $F$11)</f>
        <v>13.4125</v>
      </c>
      <c r="I462" s="8">
        <f>12.4251 * CHOOSE(CONTROL!$C$15, $D$11, 100%, $F$11)</f>
        <v>12.4251</v>
      </c>
      <c r="J462" s="4">
        <f>12.2745 * CHOOSE(CONTROL!$C$15, $D$11, 100%, $F$11)</f>
        <v>12.2745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12.3874 * CHOOSE(CONTROL!$C$15, $D$11, 100%, $F$11)</f>
        <v>12.3874</v>
      </c>
      <c r="C463" s="8">
        <f>12.3925 * CHOOSE(CONTROL!$C$15, $D$11, 100%, $F$11)</f>
        <v>12.3925</v>
      </c>
      <c r="D463" s="8">
        <f>12.3632 * CHOOSE( CONTROL!$C$15, $D$11, 100%, $F$11)</f>
        <v>12.363200000000001</v>
      </c>
      <c r="E463" s="12">
        <f>12.3734 * CHOOSE( CONTROL!$C$15, $D$11, 100%, $F$11)</f>
        <v>12.3734</v>
      </c>
      <c r="F463" s="4">
        <f>13.0527 * CHOOSE(CONTROL!$C$15, $D$11, 100%, $F$11)</f>
        <v>13.0527</v>
      </c>
      <c r="G463" s="8">
        <f>12.2417 * CHOOSE( CONTROL!$C$15, $D$11, 100%, $F$11)</f>
        <v>12.2417</v>
      </c>
      <c r="H463" s="4">
        <f>13.1464 * CHOOSE(CONTROL!$C$15, $D$11, 100%, $F$11)</f>
        <v>13.1464</v>
      </c>
      <c r="I463" s="8">
        <f>12.1624 * CHOOSE(CONTROL!$C$15, $D$11, 100%, $F$11)</f>
        <v>12.1624</v>
      </c>
      <c r="J463" s="4">
        <f>12.0132 * CHOOSE(CONTROL!$C$15, $D$11, 100%, $F$11)</f>
        <v>12.013199999999999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12.5763 * CHOOSE(CONTROL!$C$15, $D$11, 100%, $F$11)</f>
        <v>12.5763</v>
      </c>
      <c r="C464" s="8">
        <f>12.5808 * CHOOSE(CONTROL!$C$15, $D$11, 100%, $F$11)</f>
        <v>12.5808</v>
      </c>
      <c r="D464" s="8">
        <f>12.6242 * CHOOSE( CONTROL!$C$15, $D$11, 100%, $F$11)</f>
        <v>12.6242</v>
      </c>
      <c r="E464" s="12">
        <f>12.6094 * CHOOSE( CONTROL!$C$15, $D$11, 100%, $F$11)</f>
        <v>12.609400000000001</v>
      </c>
      <c r="F464" s="4">
        <f>13.3207 * CHOOSE(CONTROL!$C$15, $D$11, 100%, $F$11)</f>
        <v>13.3207</v>
      </c>
      <c r="G464" s="8">
        <f>12.4355 * CHOOSE( CONTROL!$C$15, $D$11, 100%, $F$11)</f>
        <v>12.435499999999999</v>
      </c>
      <c r="H464" s="4">
        <f>13.4113 * CHOOSE(CONTROL!$C$15, $D$11, 100%, $F$11)</f>
        <v>13.411300000000001</v>
      </c>
      <c r="I464" s="8">
        <f>12.3433 * CHOOSE(CONTROL!$C$15, $D$11, 100%, $F$11)</f>
        <v>12.343299999999999</v>
      </c>
      <c r="J464" s="4">
        <f>12.1958 * CHOOSE(CONTROL!$C$15, $D$11, 100%, $F$11)</f>
        <v>12.1958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12.9161, 12.9125) * CHOOSE(CONTROL!$C$15, $D$11, 100%, $F$11)</f>
        <v>12.9161</v>
      </c>
      <c r="C465" s="8">
        <f>CHOOSE( CONTROL!$C$32, 12.9241, 12.9205) * CHOOSE(CONTROL!$C$15, $D$11, 100%, $F$11)</f>
        <v>12.924099999999999</v>
      </c>
      <c r="D465" s="8">
        <f>CHOOSE( CONTROL!$C$32, 12.9618, 12.9582) * CHOOSE( CONTROL!$C$15, $D$11, 100%, $F$11)</f>
        <v>12.9618</v>
      </c>
      <c r="E465" s="12">
        <f>CHOOSE( CONTROL!$C$32, 12.9469, 12.9433) * CHOOSE( CONTROL!$C$15, $D$11, 100%, $F$11)</f>
        <v>12.946899999999999</v>
      </c>
      <c r="F465" s="4">
        <f>CHOOSE( CONTROL!$C$32, 13.6591, 13.6555) * CHOOSE(CONTROL!$C$15, $D$11, 100%, $F$11)</f>
        <v>13.6591</v>
      </c>
      <c r="G465" s="8">
        <f>CHOOSE( CONTROL!$C$32, 12.7708, 12.7672) * CHOOSE( CONTROL!$C$15, $D$11, 100%, $F$11)</f>
        <v>12.770799999999999</v>
      </c>
      <c r="H465" s="4">
        <f>CHOOSE( CONTROL!$C$32, 13.7458, 13.7422) * CHOOSE(CONTROL!$C$15, $D$11, 100%, $F$11)</f>
        <v>13.745799999999999</v>
      </c>
      <c r="I465" s="8">
        <f>CHOOSE( CONTROL!$C$32, 12.6721, 12.6686) * CHOOSE(CONTROL!$C$15, $D$11, 100%, $F$11)</f>
        <v>12.6721</v>
      </c>
      <c r="J465" s="4">
        <f>CHOOSE( CONTROL!$C$32, 12.5243, 12.5208) * CHOOSE(CONTROL!$C$15, $D$11, 100%, $F$11)</f>
        <v>12.5243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12.7087, 12.7051) * CHOOSE(CONTROL!$C$15, $D$11, 100%, $F$11)</f>
        <v>12.7087</v>
      </c>
      <c r="C466" s="8">
        <f>CHOOSE( CONTROL!$C$32, 12.7167, 12.713) * CHOOSE(CONTROL!$C$15, $D$11, 100%, $F$11)</f>
        <v>12.716699999999999</v>
      </c>
      <c r="D466" s="8">
        <f>CHOOSE( CONTROL!$C$32, 12.7546, 12.751) * CHOOSE( CONTROL!$C$15, $D$11, 100%, $F$11)</f>
        <v>12.7546</v>
      </c>
      <c r="E466" s="12">
        <f>CHOOSE( CONTROL!$C$32, 12.7396, 12.736) * CHOOSE( CONTROL!$C$15, $D$11, 100%, $F$11)</f>
        <v>12.739599999999999</v>
      </c>
      <c r="F466" s="4">
        <f>CHOOSE( CONTROL!$C$32, 13.4517, 13.4481) * CHOOSE(CONTROL!$C$15, $D$11, 100%, $F$11)</f>
        <v>13.451700000000001</v>
      </c>
      <c r="G466" s="8">
        <f>CHOOSE( CONTROL!$C$32, 12.5661, 12.5625) * CHOOSE( CONTROL!$C$15, $D$11, 100%, $F$11)</f>
        <v>12.5661</v>
      </c>
      <c r="H466" s="4">
        <f>CHOOSE( CONTROL!$C$32, 13.5408, 13.5372) * CHOOSE(CONTROL!$C$15, $D$11, 100%, $F$11)</f>
        <v>13.540800000000001</v>
      </c>
      <c r="I466" s="8">
        <f>CHOOSE( CONTROL!$C$32, 12.4717, 12.4682) * CHOOSE(CONTROL!$C$15, $D$11, 100%, $F$11)</f>
        <v>12.4717</v>
      </c>
      <c r="J466" s="4">
        <f>CHOOSE( CONTROL!$C$32, 12.323, 12.3194) * CHOOSE(CONTROL!$C$15, $D$11, 100%, $F$11)</f>
        <v>12.323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13.2549, 13.2513) * CHOOSE(CONTROL!$C$15, $D$11, 100%, $F$11)</f>
        <v>13.254899999999999</v>
      </c>
      <c r="C467" s="8">
        <f>CHOOSE( CONTROL!$C$32, 13.2629, 13.2593) * CHOOSE(CONTROL!$C$15, $D$11, 100%, $F$11)</f>
        <v>13.2629</v>
      </c>
      <c r="D467" s="8">
        <f>CHOOSE( CONTROL!$C$32, 13.3011, 13.2975) * CHOOSE( CONTROL!$C$15, $D$11, 100%, $F$11)</f>
        <v>13.3011</v>
      </c>
      <c r="E467" s="12">
        <f>CHOOSE( CONTROL!$C$32, 13.286, 13.2824) * CHOOSE( CONTROL!$C$15, $D$11, 100%, $F$11)</f>
        <v>13.286</v>
      </c>
      <c r="F467" s="4">
        <f>CHOOSE( CONTROL!$C$32, 13.9979, 13.9943) * CHOOSE(CONTROL!$C$15, $D$11, 100%, $F$11)</f>
        <v>13.9979</v>
      </c>
      <c r="G467" s="8">
        <f>CHOOSE( CONTROL!$C$32, 13.1063, 13.1027) * CHOOSE( CONTROL!$C$15, $D$11, 100%, $F$11)</f>
        <v>13.106299999999999</v>
      </c>
      <c r="H467" s="4">
        <f>CHOOSE( CONTROL!$C$32, 14.0807, 14.0771) * CHOOSE(CONTROL!$C$15, $D$11, 100%, $F$11)</f>
        <v>14.0807</v>
      </c>
      <c r="I467" s="8">
        <f>CHOOSE( CONTROL!$C$32, 13.0032, 12.9997) * CHOOSE(CONTROL!$C$15, $D$11, 100%, $F$11)</f>
        <v>13.0032</v>
      </c>
      <c r="J467" s="4">
        <f>CHOOSE( CONTROL!$C$32, 12.8531, 12.8496) * CHOOSE(CONTROL!$C$15, $D$11, 100%, $F$11)</f>
        <v>12.8531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12.2329, 12.2292) * CHOOSE(CONTROL!$C$15, $D$11, 100%, $F$11)</f>
        <v>12.232900000000001</v>
      </c>
      <c r="C468" s="8">
        <f>CHOOSE( CONTROL!$C$32, 12.2409, 12.2372) * CHOOSE(CONTROL!$C$15, $D$11, 100%, $F$11)</f>
        <v>12.2409</v>
      </c>
      <c r="D468" s="8">
        <f>CHOOSE( CONTROL!$C$32, 12.2791, 12.2755) * CHOOSE( CONTROL!$C$15, $D$11, 100%, $F$11)</f>
        <v>12.2791</v>
      </c>
      <c r="E468" s="12">
        <f>CHOOSE( CONTROL!$C$32, 12.264, 12.2604) * CHOOSE( CONTROL!$C$15, $D$11, 100%, $F$11)</f>
        <v>12.263999999999999</v>
      </c>
      <c r="F468" s="4">
        <f>CHOOSE( CONTROL!$C$32, 12.9759, 12.9723) * CHOOSE(CONTROL!$C$15, $D$11, 100%, $F$11)</f>
        <v>12.975899999999999</v>
      </c>
      <c r="G468" s="8">
        <f>CHOOSE( CONTROL!$C$32, 12.0963, 12.0927) * CHOOSE( CONTROL!$C$15, $D$11, 100%, $F$11)</f>
        <v>12.096299999999999</v>
      </c>
      <c r="H468" s="4">
        <f>CHOOSE( CONTROL!$C$32, 13.0706, 13.067) * CHOOSE(CONTROL!$C$15, $D$11, 100%, $F$11)</f>
        <v>13.070600000000001</v>
      </c>
      <c r="I468" s="8">
        <f>CHOOSE( CONTROL!$C$32, 12.0111, 12.0076) * CHOOSE(CONTROL!$C$15, $D$11, 100%, $F$11)</f>
        <v>12.011100000000001</v>
      </c>
      <c r="J468" s="4">
        <f>CHOOSE( CONTROL!$C$32, 11.8612, 11.8577) * CHOOSE(CONTROL!$C$15, $D$11, 100%, $F$11)</f>
        <v>11.8612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11.977, 11.9733) * CHOOSE(CONTROL!$C$15, $D$11, 100%, $F$11)</f>
        <v>11.977</v>
      </c>
      <c r="C469" s="8">
        <f>CHOOSE( CONTROL!$C$32, 11.9849, 11.9813) * CHOOSE(CONTROL!$C$15, $D$11, 100%, $F$11)</f>
        <v>11.9849</v>
      </c>
      <c r="D469" s="8">
        <f>CHOOSE( CONTROL!$C$32, 12.0231, 12.0195) * CHOOSE( CONTROL!$C$15, $D$11, 100%, $F$11)</f>
        <v>12.023099999999999</v>
      </c>
      <c r="E469" s="12">
        <f>CHOOSE( CONTROL!$C$32, 12.0081, 12.0044) * CHOOSE( CONTROL!$C$15, $D$11, 100%, $F$11)</f>
        <v>12.008100000000001</v>
      </c>
      <c r="F469" s="4">
        <f>CHOOSE( CONTROL!$C$32, 12.72, 12.7163) * CHOOSE(CONTROL!$C$15, $D$11, 100%, $F$11)</f>
        <v>12.72</v>
      </c>
      <c r="G469" s="8">
        <f>CHOOSE( CONTROL!$C$32, 11.8433, 11.8397) * CHOOSE( CONTROL!$C$15, $D$11, 100%, $F$11)</f>
        <v>11.843299999999999</v>
      </c>
      <c r="H469" s="4">
        <f>CHOOSE( CONTROL!$C$32, 12.8176, 12.814) * CHOOSE(CONTROL!$C$15, $D$11, 100%, $F$11)</f>
        <v>12.817600000000001</v>
      </c>
      <c r="I469" s="8">
        <f>CHOOSE( CONTROL!$C$32, 11.7623, 11.7587) * CHOOSE(CONTROL!$C$15, $D$11, 100%, $F$11)</f>
        <v>11.7623</v>
      </c>
      <c r="J469" s="4">
        <f>CHOOSE( CONTROL!$C$32, 11.6128, 11.6093) * CHOOSE(CONTROL!$C$15, $D$11, 100%, $F$11)</f>
        <v>11.6128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12.503 * CHOOSE(CONTROL!$C$15, $D$11, 100%, $F$11)</f>
        <v>12.503</v>
      </c>
      <c r="C470" s="8">
        <f>12.5083 * CHOOSE(CONTROL!$C$15, $D$11, 100%, $F$11)</f>
        <v>12.5083</v>
      </c>
      <c r="D470" s="8">
        <f>12.5518 * CHOOSE( CONTROL!$C$15, $D$11, 100%, $F$11)</f>
        <v>12.5518</v>
      </c>
      <c r="E470" s="12">
        <f>12.5369 * CHOOSE( CONTROL!$C$15, $D$11, 100%, $F$11)</f>
        <v>12.536899999999999</v>
      </c>
      <c r="F470" s="4">
        <f>13.2477 * CHOOSE(CONTROL!$C$15, $D$11, 100%, $F$11)</f>
        <v>13.2477</v>
      </c>
      <c r="G470" s="8">
        <f>12.3643 * CHOOSE( CONTROL!$C$15, $D$11, 100%, $F$11)</f>
        <v>12.3643</v>
      </c>
      <c r="H470" s="4">
        <f>13.3392 * CHOOSE(CONTROL!$C$15, $D$11, 100%, $F$11)</f>
        <v>13.3392</v>
      </c>
      <c r="I470" s="8">
        <f>12.2755 * CHOOSE(CONTROL!$C$15, $D$11, 100%, $F$11)</f>
        <v>12.275499999999999</v>
      </c>
      <c r="J470" s="4">
        <f>12.125 * CHOOSE(CONTROL!$C$15, $D$11, 100%, $F$11)</f>
        <v>12.125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13.4834 * CHOOSE(CONTROL!$C$15, $D$11, 100%, $F$11)</f>
        <v>13.4834</v>
      </c>
      <c r="C471" s="8">
        <f>13.4885 * CHOOSE(CONTROL!$C$15, $D$11, 100%, $F$11)</f>
        <v>13.4885</v>
      </c>
      <c r="D471" s="8">
        <f>13.4722 * CHOOSE( CONTROL!$C$15, $D$11, 100%, $F$11)</f>
        <v>13.472200000000001</v>
      </c>
      <c r="E471" s="12">
        <f>13.4776 * CHOOSE( CONTROL!$C$15, $D$11, 100%, $F$11)</f>
        <v>13.477600000000001</v>
      </c>
      <c r="F471" s="4">
        <f>14.1487 * CHOOSE(CONTROL!$C$15, $D$11, 100%, $F$11)</f>
        <v>14.1487</v>
      </c>
      <c r="G471" s="8">
        <f>13.3343 * CHOOSE( CONTROL!$C$15, $D$11, 100%, $F$11)</f>
        <v>13.334300000000001</v>
      </c>
      <c r="H471" s="4">
        <f>14.2297 * CHOOSE(CONTROL!$C$15, $D$11, 100%, $F$11)</f>
        <v>14.229699999999999</v>
      </c>
      <c r="I471" s="8">
        <f>13.228 * CHOOSE(CONTROL!$C$15, $D$11, 100%, $F$11)</f>
        <v>13.228</v>
      </c>
      <c r="J471" s="4">
        <f>13.0769 * CHOOSE(CONTROL!$C$15, $D$11, 100%, $F$11)</f>
        <v>13.0769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13.4589 * CHOOSE(CONTROL!$C$15, $D$11, 100%, $F$11)</f>
        <v>13.4589</v>
      </c>
      <c r="C472" s="8">
        <f>13.464 * CHOOSE(CONTROL!$C$15, $D$11, 100%, $F$11)</f>
        <v>13.464</v>
      </c>
      <c r="D472" s="8">
        <f>13.4494 * CHOOSE( CONTROL!$C$15, $D$11, 100%, $F$11)</f>
        <v>13.449400000000001</v>
      </c>
      <c r="E472" s="12">
        <f>13.4542 * CHOOSE( CONTROL!$C$15, $D$11, 100%, $F$11)</f>
        <v>13.4542</v>
      </c>
      <c r="F472" s="4">
        <f>14.1242 * CHOOSE(CONTROL!$C$15, $D$11, 100%, $F$11)</f>
        <v>14.1242</v>
      </c>
      <c r="G472" s="8">
        <f>13.3113 * CHOOSE( CONTROL!$C$15, $D$11, 100%, $F$11)</f>
        <v>13.311299999999999</v>
      </c>
      <c r="H472" s="4">
        <f>14.2055 * CHOOSE(CONTROL!$C$15, $D$11, 100%, $F$11)</f>
        <v>14.205500000000001</v>
      </c>
      <c r="I472" s="8">
        <f>13.2096 * CHOOSE(CONTROL!$C$15, $D$11, 100%, $F$11)</f>
        <v>13.2096</v>
      </c>
      <c r="J472" s="4">
        <f>13.0531 * CHOOSE(CONTROL!$C$15, $D$11, 100%, $F$11)</f>
        <v>13.053100000000001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13.8557 * CHOOSE(CONTROL!$C$15, $D$11, 100%, $F$11)</f>
        <v>13.855700000000001</v>
      </c>
      <c r="C473" s="8">
        <f>13.8607 * CHOOSE(CONTROL!$C$15, $D$11, 100%, $F$11)</f>
        <v>13.8607</v>
      </c>
      <c r="D473" s="8">
        <f>13.8319 * CHOOSE( CONTROL!$C$15, $D$11, 100%, $F$11)</f>
        <v>13.831899999999999</v>
      </c>
      <c r="E473" s="12">
        <f>13.8419 * CHOOSE( CONTROL!$C$15, $D$11, 100%, $F$11)</f>
        <v>13.841900000000001</v>
      </c>
      <c r="F473" s="4">
        <f>14.521 * CHOOSE(CONTROL!$C$15, $D$11, 100%, $F$11)</f>
        <v>14.521000000000001</v>
      </c>
      <c r="G473" s="8">
        <f>13.6931 * CHOOSE( CONTROL!$C$15, $D$11, 100%, $F$11)</f>
        <v>13.693099999999999</v>
      </c>
      <c r="H473" s="4">
        <f>14.5975 * CHOOSE(CONTROL!$C$15, $D$11, 100%, $F$11)</f>
        <v>14.5975</v>
      </c>
      <c r="I473" s="8">
        <f>13.5894 * CHOOSE(CONTROL!$C$15, $D$11, 100%, $F$11)</f>
        <v>13.589399999999999</v>
      </c>
      <c r="J473" s="4">
        <f>13.4382 * CHOOSE(CONTROL!$C$15, $D$11, 100%, $F$11)</f>
        <v>13.4382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12.9605 * CHOOSE(CONTROL!$C$15, $D$11, 100%, $F$11)</f>
        <v>12.9605</v>
      </c>
      <c r="C474" s="8">
        <f>12.9656 * CHOOSE(CONTROL!$C$15, $D$11, 100%, $F$11)</f>
        <v>12.9656</v>
      </c>
      <c r="D474" s="8">
        <f>12.9367 * CHOOSE( CONTROL!$C$15, $D$11, 100%, $F$11)</f>
        <v>12.9367</v>
      </c>
      <c r="E474" s="12">
        <f>12.9467 * CHOOSE( CONTROL!$C$15, $D$11, 100%, $F$11)</f>
        <v>12.9467</v>
      </c>
      <c r="F474" s="4">
        <f>13.6258 * CHOOSE(CONTROL!$C$15, $D$11, 100%, $F$11)</f>
        <v>13.6258</v>
      </c>
      <c r="G474" s="8">
        <f>12.8084 * CHOOSE( CONTROL!$C$15, $D$11, 100%, $F$11)</f>
        <v>12.808400000000001</v>
      </c>
      <c r="H474" s="4">
        <f>13.7129 * CHOOSE(CONTROL!$C$15, $D$11, 100%, $F$11)</f>
        <v>13.712899999999999</v>
      </c>
      <c r="I474" s="8">
        <f>12.7202 * CHOOSE(CONTROL!$C$15, $D$11, 100%, $F$11)</f>
        <v>12.7202</v>
      </c>
      <c r="J474" s="4">
        <f>12.5694 * CHOOSE(CONTROL!$C$15, $D$11, 100%, $F$11)</f>
        <v>12.5694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12.6848 * CHOOSE(CONTROL!$C$15, $D$11, 100%, $F$11)</f>
        <v>12.684799999999999</v>
      </c>
      <c r="C475" s="8">
        <f>12.6899 * CHOOSE(CONTROL!$C$15, $D$11, 100%, $F$11)</f>
        <v>12.6899</v>
      </c>
      <c r="D475" s="8">
        <f>12.6606 * CHOOSE( CONTROL!$C$15, $D$11, 100%, $F$11)</f>
        <v>12.660600000000001</v>
      </c>
      <c r="E475" s="12">
        <f>12.6708 * CHOOSE( CONTROL!$C$15, $D$11, 100%, $F$11)</f>
        <v>12.6708</v>
      </c>
      <c r="F475" s="4">
        <f>13.3501 * CHOOSE(CONTROL!$C$15, $D$11, 100%, $F$11)</f>
        <v>13.350099999999999</v>
      </c>
      <c r="G475" s="8">
        <f>12.5357 * CHOOSE( CONTROL!$C$15, $D$11, 100%, $F$11)</f>
        <v>12.5357</v>
      </c>
      <c r="H475" s="4">
        <f>13.4404 * CHOOSE(CONTROL!$C$15, $D$11, 100%, $F$11)</f>
        <v>13.4404</v>
      </c>
      <c r="I475" s="8">
        <f>12.4512 * CHOOSE(CONTROL!$C$15, $D$11, 100%, $F$11)</f>
        <v>12.4512</v>
      </c>
      <c r="J475" s="4">
        <f>12.3018 * CHOOSE(CONTROL!$C$15, $D$11, 100%, $F$11)</f>
        <v>12.3018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12.8782 * CHOOSE(CONTROL!$C$15, $D$11, 100%, $F$11)</f>
        <v>12.8782</v>
      </c>
      <c r="C476" s="8">
        <f>12.8827 * CHOOSE(CONTROL!$C$15, $D$11, 100%, $F$11)</f>
        <v>12.8827</v>
      </c>
      <c r="D476" s="8">
        <f>12.9261 * CHOOSE( CONTROL!$C$15, $D$11, 100%, $F$11)</f>
        <v>12.9261</v>
      </c>
      <c r="E476" s="12">
        <f>12.9113 * CHOOSE( CONTROL!$C$15, $D$11, 100%, $F$11)</f>
        <v>12.911300000000001</v>
      </c>
      <c r="F476" s="4">
        <f>13.6226 * CHOOSE(CONTROL!$C$15, $D$11, 100%, $F$11)</f>
        <v>13.6226</v>
      </c>
      <c r="G476" s="8">
        <f>12.7339 * CHOOSE( CONTROL!$C$15, $D$11, 100%, $F$11)</f>
        <v>12.7339</v>
      </c>
      <c r="H476" s="4">
        <f>13.7097 * CHOOSE(CONTROL!$C$15, $D$11, 100%, $F$11)</f>
        <v>13.7097</v>
      </c>
      <c r="I476" s="8">
        <f>12.6365 * CHOOSE(CONTROL!$C$15, $D$11, 100%, $F$11)</f>
        <v>12.6365</v>
      </c>
      <c r="J476" s="4">
        <f>12.4888 * CHOOSE(CONTROL!$C$15, $D$11, 100%, $F$11)</f>
        <v>12.488799999999999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13.2261, 13.2225) * CHOOSE(CONTROL!$C$15, $D$11, 100%, $F$11)</f>
        <v>13.226100000000001</v>
      </c>
      <c r="C477" s="8">
        <f>CHOOSE( CONTROL!$C$32, 13.2341, 13.2305) * CHOOSE(CONTROL!$C$15, $D$11, 100%, $F$11)</f>
        <v>13.2341</v>
      </c>
      <c r="D477" s="8">
        <f>CHOOSE( CONTROL!$C$32, 13.2718, 13.2682) * CHOOSE( CONTROL!$C$15, $D$11, 100%, $F$11)</f>
        <v>13.271800000000001</v>
      </c>
      <c r="E477" s="12">
        <f>CHOOSE( CONTROL!$C$32, 13.2569, 13.2533) * CHOOSE( CONTROL!$C$15, $D$11, 100%, $F$11)</f>
        <v>13.2569</v>
      </c>
      <c r="F477" s="4">
        <f>CHOOSE( CONTROL!$C$32, 13.9691, 13.9655) * CHOOSE(CONTROL!$C$15, $D$11, 100%, $F$11)</f>
        <v>13.969099999999999</v>
      </c>
      <c r="G477" s="8">
        <f>CHOOSE( CONTROL!$C$32, 13.0771, 13.0735) * CHOOSE( CONTROL!$C$15, $D$11, 100%, $F$11)</f>
        <v>13.0771</v>
      </c>
      <c r="H477" s="4">
        <f>CHOOSE( CONTROL!$C$32, 14.0522, 14.0486) * CHOOSE(CONTROL!$C$15, $D$11, 100%, $F$11)</f>
        <v>14.052199999999999</v>
      </c>
      <c r="I477" s="8">
        <f>CHOOSE( CONTROL!$C$32, 12.9731, 12.9696) * CHOOSE(CONTROL!$C$15, $D$11, 100%, $F$11)</f>
        <v>12.973100000000001</v>
      </c>
      <c r="J477" s="4">
        <f>CHOOSE( CONTROL!$C$32, 12.8251, 12.8216) * CHOOSE(CONTROL!$C$15, $D$11, 100%, $F$11)</f>
        <v>12.825100000000001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13.0137, 13.0101) * CHOOSE(CONTROL!$C$15, $D$11, 100%, $F$11)</f>
        <v>13.0137</v>
      </c>
      <c r="C478" s="8">
        <f>CHOOSE( CONTROL!$C$32, 13.0217, 13.018) * CHOOSE(CONTROL!$C$15, $D$11, 100%, $F$11)</f>
        <v>13.021699999999999</v>
      </c>
      <c r="D478" s="8">
        <f>CHOOSE( CONTROL!$C$32, 13.0596, 13.056) * CHOOSE( CONTROL!$C$15, $D$11, 100%, $F$11)</f>
        <v>13.0596</v>
      </c>
      <c r="E478" s="12">
        <f>CHOOSE( CONTROL!$C$32, 13.0446, 13.041) * CHOOSE( CONTROL!$C$15, $D$11, 100%, $F$11)</f>
        <v>13.044600000000001</v>
      </c>
      <c r="F478" s="4">
        <f>CHOOSE( CONTROL!$C$32, 13.7567, 13.7531) * CHOOSE(CONTROL!$C$15, $D$11, 100%, $F$11)</f>
        <v>13.7567</v>
      </c>
      <c r="G478" s="8">
        <f>CHOOSE( CONTROL!$C$32, 12.8675, 12.8639) * CHOOSE( CONTROL!$C$15, $D$11, 100%, $F$11)</f>
        <v>12.8675</v>
      </c>
      <c r="H478" s="4">
        <f>CHOOSE( CONTROL!$C$32, 13.8423, 13.8387) * CHOOSE(CONTROL!$C$15, $D$11, 100%, $F$11)</f>
        <v>13.8423</v>
      </c>
      <c r="I478" s="8">
        <f>CHOOSE( CONTROL!$C$32, 12.7679, 12.7644) * CHOOSE(CONTROL!$C$15, $D$11, 100%, $F$11)</f>
        <v>12.767899999999999</v>
      </c>
      <c r="J478" s="4">
        <f>CHOOSE( CONTROL!$C$32, 12.619, 12.6155) * CHOOSE(CONTROL!$C$15, $D$11, 100%, $F$11)</f>
        <v>12.619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13.5731, 13.5694) * CHOOSE(CONTROL!$C$15, $D$11, 100%, $F$11)</f>
        <v>13.5731</v>
      </c>
      <c r="C479" s="8">
        <f>CHOOSE( CONTROL!$C$32, 13.581, 13.5774) * CHOOSE(CONTROL!$C$15, $D$11, 100%, $F$11)</f>
        <v>13.581</v>
      </c>
      <c r="D479" s="8">
        <f>CHOOSE( CONTROL!$C$32, 13.6192, 13.6156) * CHOOSE( CONTROL!$C$15, $D$11, 100%, $F$11)</f>
        <v>13.619199999999999</v>
      </c>
      <c r="E479" s="12">
        <f>CHOOSE( CONTROL!$C$32, 13.6042, 13.6005) * CHOOSE( CONTROL!$C$15, $D$11, 100%, $F$11)</f>
        <v>13.604200000000001</v>
      </c>
      <c r="F479" s="4">
        <f>CHOOSE( CONTROL!$C$32, 14.3161, 14.3124) * CHOOSE(CONTROL!$C$15, $D$11, 100%, $F$11)</f>
        <v>14.3161</v>
      </c>
      <c r="G479" s="8">
        <f>CHOOSE( CONTROL!$C$32, 13.4207, 13.4171) * CHOOSE( CONTROL!$C$15, $D$11, 100%, $F$11)</f>
        <v>13.4207</v>
      </c>
      <c r="H479" s="4">
        <f>CHOOSE( CONTROL!$C$32, 14.3951, 14.3915) * CHOOSE(CONTROL!$C$15, $D$11, 100%, $F$11)</f>
        <v>14.395099999999999</v>
      </c>
      <c r="I479" s="8">
        <f>CHOOSE( CONTROL!$C$32, 13.3121, 13.3086) * CHOOSE(CONTROL!$C$15, $D$11, 100%, $F$11)</f>
        <v>13.312099999999999</v>
      </c>
      <c r="J479" s="4">
        <f>CHOOSE( CONTROL!$C$32, 13.1618, 13.1583) * CHOOSE(CONTROL!$C$15, $D$11, 100%, $F$11)</f>
        <v>13.161799999999999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12.5265, 12.5228) * CHOOSE(CONTROL!$C$15, $D$11, 100%, $F$11)</f>
        <v>12.5265</v>
      </c>
      <c r="C480" s="8">
        <f>CHOOSE( CONTROL!$C$32, 12.5344, 12.5308) * CHOOSE(CONTROL!$C$15, $D$11, 100%, $F$11)</f>
        <v>12.5344</v>
      </c>
      <c r="D480" s="8">
        <f>CHOOSE( CONTROL!$C$32, 12.5727, 12.5691) * CHOOSE( CONTROL!$C$15, $D$11, 100%, $F$11)</f>
        <v>12.572699999999999</v>
      </c>
      <c r="E480" s="12">
        <f>CHOOSE( CONTROL!$C$32, 12.5576, 12.554) * CHOOSE( CONTROL!$C$15, $D$11, 100%, $F$11)</f>
        <v>12.557600000000001</v>
      </c>
      <c r="F480" s="4">
        <f>CHOOSE( CONTROL!$C$32, 13.2695, 13.2658) * CHOOSE(CONTROL!$C$15, $D$11, 100%, $F$11)</f>
        <v>13.269500000000001</v>
      </c>
      <c r="G480" s="8">
        <f>CHOOSE( CONTROL!$C$32, 12.3864, 12.3828) * CHOOSE( CONTROL!$C$15, $D$11, 100%, $F$11)</f>
        <v>12.3864</v>
      </c>
      <c r="H480" s="4">
        <f>CHOOSE( CONTROL!$C$32, 13.3607, 13.3571) * CHOOSE(CONTROL!$C$15, $D$11, 100%, $F$11)</f>
        <v>13.3607</v>
      </c>
      <c r="I480" s="8">
        <f>CHOOSE( CONTROL!$C$32, 12.2962, 12.2927) * CHOOSE(CONTROL!$C$15, $D$11, 100%, $F$11)</f>
        <v>12.296200000000001</v>
      </c>
      <c r="J480" s="4">
        <f>CHOOSE( CONTROL!$C$32, 12.1461, 12.1426) * CHOOSE(CONTROL!$C$15, $D$11, 100%, $F$11)</f>
        <v>12.146100000000001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12.2644, 12.2607) * CHOOSE(CONTROL!$C$15, $D$11, 100%, $F$11)</f>
        <v>12.2644</v>
      </c>
      <c r="C481" s="8">
        <f>CHOOSE( CONTROL!$C$32, 12.2724, 12.2687) * CHOOSE(CONTROL!$C$15, $D$11, 100%, $F$11)</f>
        <v>12.272399999999999</v>
      </c>
      <c r="D481" s="8">
        <f>CHOOSE( CONTROL!$C$32, 12.3105, 12.3069) * CHOOSE( CONTROL!$C$15, $D$11, 100%, $F$11)</f>
        <v>12.310499999999999</v>
      </c>
      <c r="E481" s="12">
        <f>CHOOSE( CONTROL!$C$32, 12.2955, 12.2918) * CHOOSE( CONTROL!$C$15, $D$11, 100%, $F$11)</f>
        <v>12.295500000000001</v>
      </c>
      <c r="F481" s="4">
        <f>CHOOSE( CONTROL!$C$32, 13.0074, 13.0037) * CHOOSE(CONTROL!$C$15, $D$11, 100%, $F$11)</f>
        <v>13.007400000000001</v>
      </c>
      <c r="G481" s="8">
        <f>CHOOSE( CONTROL!$C$32, 12.1273, 12.1237) * CHOOSE( CONTROL!$C$15, $D$11, 100%, $F$11)</f>
        <v>12.1273</v>
      </c>
      <c r="H481" s="4">
        <f>CHOOSE( CONTROL!$C$32, 13.1017, 13.0981) * CHOOSE(CONTROL!$C$15, $D$11, 100%, $F$11)</f>
        <v>13.101699999999999</v>
      </c>
      <c r="I481" s="8">
        <f>CHOOSE( CONTROL!$C$32, 12.0413, 12.0378) * CHOOSE(CONTROL!$C$15, $D$11, 100%, $F$11)</f>
        <v>12.0413</v>
      </c>
      <c r="J481" s="4">
        <f>CHOOSE( CONTROL!$C$32, 11.8918, 11.8882) * CHOOSE(CONTROL!$C$15, $D$11, 100%, $F$11)</f>
        <v>11.8918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12.8032 * CHOOSE(CONTROL!$C$15, $D$11, 100%, $F$11)</f>
        <v>12.8032</v>
      </c>
      <c r="C482" s="8">
        <f>12.8085 * CHOOSE(CONTROL!$C$15, $D$11, 100%, $F$11)</f>
        <v>12.8085</v>
      </c>
      <c r="D482" s="8">
        <f>12.852 * CHOOSE( CONTROL!$C$15, $D$11, 100%, $F$11)</f>
        <v>12.852</v>
      </c>
      <c r="E482" s="12">
        <f>12.8371 * CHOOSE( CONTROL!$C$15, $D$11, 100%, $F$11)</f>
        <v>12.8371</v>
      </c>
      <c r="F482" s="4">
        <f>13.5479 * CHOOSE(CONTROL!$C$15, $D$11, 100%, $F$11)</f>
        <v>13.5479</v>
      </c>
      <c r="G482" s="8">
        <f>12.661 * CHOOSE( CONTROL!$C$15, $D$11, 100%, $F$11)</f>
        <v>12.661</v>
      </c>
      <c r="H482" s="4">
        <f>13.6359 * CHOOSE(CONTROL!$C$15, $D$11, 100%, $F$11)</f>
        <v>13.635899999999999</v>
      </c>
      <c r="I482" s="8">
        <f>12.5669 * CHOOSE(CONTROL!$C$15, $D$11, 100%, $F$11)</f>
        <v>12.5669</v>
      </c>
      <c r="J482" s="4">
        <f>12.4163 * CHOOSE(CONTROL!$C$15, $D$11, 100%, $F$11)</f>
        <v>12.4163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13.8072 * CHOOSE(CONTROL!$C$15, $D$11, 100%, $F$11)</f>
        <v>13.8072</v>
      </c>
      <c r="C483" s="8">
        <f>13.8123 * CHOOSE(CONTROL!$C$15, $D$11, 100%, $F$11)</f>
        <v>13.8123</v>
      </c>
      <c r="D483" s="8">
        <f>13.7959 * CHOOSE( CONTROL!$C$15, $D$11, 100%, $F$11)</f>
        <v>13.7959</v>
      </c>
      <c r="E483" s="12">
        <f>13.8014 * CHOOSE( CONTROL!$C$15, $D$11, 100%, $F$11)</f>
        <v>13.801399999999999</v>
      </c>
      <c r="F483" s="4">
        <f>14.4725 * CHOOSE(CONTROL!$C$15, $D$11, 100%, $F$11)</f>
        <v>14.4725</v>
      </c>
      <c r="G483" s="8">
        <f>13.6542 * CHOOSE( CONTROL!$C$15, $D$11, 100%, $F$11)</f>
        <v>13.654199999999999</v>
      </c>
      <c r="H483" s="4">
        <f>14.5496 * CHOOSE(CONTROL!$C$15, $D$11, 100%, $F$11)</f>
        <v>14.5496</v>
      </c>
      <c r="I483" s="8">
        <f>13.5423 * CHOOSE(CONTROL!$C$15, $D$11, 100%, $F$11)</f>
        <v>13.542299999999999</v>
      </c>
      <c r="J483" s="4">
        <f>13.3911 * CHOOSE(CONTROL!$C$15, $D$11, 100%, $F$11)</f>
        <v>13.3911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13.7821 * CHOOSE(CONTROL!$C$15, $D$11, 100%, $F$11)</f>
        <v>13.7821</v>
      </c>
      <c r="C484" s="8">
        <f>13.7872 * CHOOSE(CONTROL!$C$15, $D$11, 100%, $F$11)</f>
        <v>13.7872</v>
      </c>
      <c r="D484" s="8">
        <f>13.7726 * CHOOSE( CONTROL!$C$15, $D$11, 100%, $F$11)</f>
        <v>13.772600000000001</v>
      </c>
      <c r="E484" s="12">
        <f>13.7774 * CHOOSE( CONTROL!$C$15, $D$11, 100%, $F$11)</f>
        <v>13.7774</v>
      </c>
      <c r="F484" s="4">
        <f>14.4474 * CHOOSE(CONTROL!$C$15, $D$11, 100%, $F$11)</f>
        <v>14.4474</v>
      </c>
      <c r="G484" s="8">
        <f>13.6307 * CHOOSE( CONTROL!$C$15, $D$11, 100%, $F$11)</f>
        <v>13.630699999999999</v>
      </c>
      <c r="H484" s="4">
        <f>14.5248 * CHOOSE(CONTROL!$C$15, $D$11, 100%, $F$11)</f>
        <v>14.524800000000001</v>
      </c>
      <c r="I484" s="8">
        <f>13.5233 * CHOOSE(CONTROL!$C$15, $D$11, 100%, $F$11)</f>
        <v>13.523300000000001</v>
      </c>
      <c r="J484" s="4">
        <f>13.3668 * CHOOSE(CONTROL!$C$15, $D$11, 100%, $F$11)</f>
        <v>13.3668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14.1884 * CHOOSE(CONTROL!$C$15, $D$11, 100%, $F$11)</f>
        <v>14.1884</v>
      </c>
      <c r="C485" s="8">
        <f>14.1934 * CHOOSE(CONTROL!$C$15, $D$11, 100%, $F$11)</f>
        <v>14.1934</v>
      </c>
      <c r="D485" s="8">
        <f>14.1646 * CHOOSE( CONTROL!$C$15, $D$11, 100%, $F$11)</f>
        <v>14.1646</v>
      </c>
      <c r="E485" s="12">
        <f>14.1746 * CHOOSE( CONTROL!$C$15, $D$11, 100%, $F$11)</f>
        <v>14.1746</v>
      </c>
      <c r="F485" s="4">
        <f>14.8537 * CHOOSE(CONTROL!$C$15, $D$11, 100%, $F$11)</f>
        <v>14.8537</v>
      </c>
      <c r="G485" s="8">
        <f>14.0219 * CHOOSE( CONTROL!$C$15, $D$11, 100%, $F$11)</f>
        <v>14.0219</v>
      </c>
      <c r="H485" s="4">
        <f>14.9263 * CHOOSE(CONTROL!$C$15, $D$11, 100%, $F$11)</f>
        <v>14.926299999999999</v>
      </c>
      <c r="I485" s="8">
        <f>13.9124 * CHOOSE(CONTROL!$C$15, $D$11, 100%, $F$11)</f>
        <v>13.9124</v>
      </c>
      <c r="J485" s="4">
        <f>13.7611 * CHOOSE(CONTROL!$C$15, $D$11, 100%, $F$11)</f>
        <v>13.761100000000001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13.2717 * CHOOSE(CONTROL!$C$15, $D$11, 100%, $F$11)</f>
        <v>13.271699999999999</v>
      </c>
      <c r="C486" s="8">
        <f>13.2768 * CHOOSE(CONTROL!$C$15, $D$11, 100%, $F$11)</f>
        <v>13.2768</v>
      </c>
      <c r="D486" s="8">
        <f>13.2479 * CHOOSE( CONTROL!$C$15, $D$11, 100%, $F$11)</f>
        <v>13.2479</v>
      </c>
      <c r="E486" s="12">
        <f>13.2579 * CHOOSE( CONTROL!$C$15, $D$11, 100%, $F$11)</f>
        <v>13.257899999999999</v>
      </c>
      <c r="F486" s="4">
        <f>13.937 * CHOOSE(CONTROL!$C$15, $D$11, 100%, $F$11)</f>
        <v>13.936999999999999</v>
      </c>
      <c r="G486" s="8">
        <f>13.116 * CHOOSE( CONTROL!$C$15, $D$11, 100%, $F$11)</f>
        <v>13.116</v>
      </c>
      <c r="H486" s="4">
        <f>14.0204 * CHOOSE(CONTROL!$C$15, $D$11, 100%, $F$11)</f>
        <v>14.0204</v>
      </c>
      <c r="I486" s="8">
        <f>13.0223 * CHOOSE(CONTROL!$C$15, $D$11, 100%, $F$11)</f>
        <v>13.0223</v>
      </c>
      <c r="J486" s="4">
        <f>12.8714 * CHOOSE(CONTROL!$C$15, $D$11, 100%, $F$11)</f>
        <v>12.8714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12.9894 * CHOOSE(CONTROL!$C$15, $D$11, 100%, $F$11)</f>
        <v>12.9894</v>
      </c>
      <c r="C487" s="8">
        <f>12.9944 * CHOOSE(CONTROL!$C$15, $D$11, 100%, $F$11)</f>
        <v>12.994400000000001</v>
      </c>
      <c r="D487" s="8">
        <f>12.9652 * CHOOSE( CONTROL!$C$15, $D$11, 100%, $F$11)</f>
        <v>12.965199999999999</v>
      </c>
      <c r="E487" s="12">
        <f>12.9753 * CHOOSE( CONTROL!$C$15, $D$11, 100%, $F$11)</f>
        <v>12.975300000000001</v>
      </c>
      <c r="F487" s="4">
        <f>13.6546 * CHOOSE(CONTROL!$C$15, $D$11, 100%, $F$11)</f>
        <v>13.6546</v>
      </c>
      <c r="G487" s="8">
        <f>12.8367 * CHOOSE( CONTROL!$C$15, $D$11, 100%, $F$11)</f>
        <v>12.8367</v>
      </c>
      <c r="H487" s="4">
        <f>13.7414 * CHOOSE(CONTROL!$C$15, $D$11, 100%, $F$11)</f>
        <v>13.741400000000001</v>
      </c>
      <c r="I487" s="8">
        <f>12.747 * CHOOSE(CONTROL!$C$15, $D$11, 100%, $F$11)</f>
        <v>12.747</v>
      </c>
      <c r="J487" s="4">
        <f>12.5974 * CHOOSE(CONTROL!$C$15, $D$11, 100%, $F$11)</f>
        <v>12.5974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13.1874 * CHOOSE(CONTROL!$C$15, $D$11, 100%, $F$11)</f>
        <v>13.1874</v>
      </c>
      <c r="C488" s="8">
        <f>13.1919 * CHOOSE(CONTROL!$C$15, $D$11, 100%, $F$11)</f>
        <v>13.1919</v>
      </c>
      <c r="D488" s="8">
        <f>13.2353 * CHOOSE( CONTROL!$C$15, $D$11, 100%, $F$11)</f>
        <v>13.235300000000001</v>
      </c>
      <c r="E488" s="12">
        <f>13.2205 * CHOOSE( CONTROL!$C$15, $D$11, 100%, $F$11)</f>
        <v>13.220499999999999</v>
      </c>
      <c r="F488" s="4">
        <f>13.9318 * CHOOSE(CONTROL!$C$15, $D$11, 100%, $F$11)</f>
        <v>13.931800000000001</v>
      </c>
      <c r="G488" s="8">
        <f>13.0394 * CHOOSE( CONTROL!$C$15, $D$11, 100%, $F$11)</f>
        <v>13.039400000000001</v>
      </c>
      <c r="H488" s="4">
        <f>14.0153 * CHOOSE(CONTROL!$C$15, $D$11, 100%, $F$11)</f>
        <v>14.0153</v>
      </c>
      <c r="I488" s="8">
        <f>12.9367 * CHOOSE(CONTROL!$C$15, $D$11, 100%, $F$11)</f>
        <v>12.9367</v>
      </c>
      <c r="J488" s="4">
        <f>12.7889 * CHOOSE(CONTROL!$C$15, $D$11, 100%, $F$11)</f>
        <v>12.7889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13.5436, 13.5399) * CHOOSE(CONTROL!$C$15, $D$11, 100%, $F$11)</f>
        <v>13.5436</v>
      </c>
      <c r="C489" s="8">
        <f>CHOOSE( CONTROL!$C$32, 13.5515, 13.5479) * CHOOSE(CONTROL!$C$15, $D$11, 100%, $F$11)</f>
        <v>13.551500000000001</v>
      </c>
      <c r="D489" s="8">
        <f>CHOOSE( CONTROL!$C$32, 13.5893, 13.5856) * CHOOSE( CONTROL!$C$15, $D$11, 100%, $F$11)</f>
        <v>13.5893</v>
      </c>
      <c r="E489" s="12">
        <f>CHOOSE( CONTROL!$C$32, 13.5744, 13.5707) * CHOOSE( CONTROL!$C$15, $D$11, 100%, $F$11)</f>
        <v>13.574400000000001</v>
      </c>
      <c r="F489" s="4">
        <f>CHOOSE( CONTROL!$C$32, 14.2866, 14.2829) * CHOOSE(CONTROL!$C$15, $D$11, 100%, $F$11)</f>
        <v>14.2866</v>
      </c>
      <c r="G489" s="8">
        <f>CHOOSE( CONTROL!$C$32, 13.3908, 13.3872) * CHOOSE( CONTROL!$C$15, $D$11, 100%, $F$11)</f>
        <v>13.3908</v>
      </c>
      <c r="H489" s="4">
        <f>CHOOSE( CONTROL!$C$32, 14.3659, 14.3623) * CHOOSE(CONTROL!$C$15, $D$11, 100%, $F$11)</f>
        <v>14.3659</v>
      </c>
      <c r="I489" s="8">
        <f>CHOOSE( CONTROL!$C$32, 13.2813, 13.2778) * CHOOSE(CONTROL!$C$15, $D$11, 100%, $F$11)</f>
        <v>13.2813</v>
      </c>
      <c r="J489" s="4">
        <f>CHOOSE( CONTROL!$C$32, 13.1332, 13.1297) * CHOOSE(CONTROL!$C$15, $D$11, 100%, $F$11)</f>
        <v>13.1332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13.326, 13.3224) * CHOOSE(CONTROL!$C$15, $D$11, 100%, $F$11)</f>
        <v>13.326000000000001</v>
      </c>
      <c r="C490" s="8">
        <f>CHOOSE( CONTROL!$C$32, 13.334, 13.3304) * CHOOSE(CONTROL!$C$15, $D$11, 100%, $F$11)</f>
        <v>13.334</v>
      </c>
      <c r="D490" s="8">
        <f>CHOOSE( CONTROL!$C$32, 13.372, 13.3683) * CHOOSE( CONTROL!$C$15, $D$11, 100%, $F$11)</f>
        <v>13.372</v>
      </c>
      <c r="E490" s="12">
        <f>CHOOSE( CONTROL!$C$32, 13.357, 13.3533) * CHOOSE( CONTROL!$C$15, $D$11, 100%, $F$11)</f>
        <v>13.356999999999999</v>
      </c>
      <c r="F490" s="4">
        <f>CHOOSE( CONTROL!$C$32, 14.069, 14.0654) * CHOOSE(CONTROL!$C$15, $D$11, 100%, $F$11)</f>
        <v>14.069000000000001</v>
      </c>
      <c r="G490" s="8">
        <f>CHOOSE( CONTROL!$C$32, 13.1762, 13.1726) * CHOOSE( CONTROL!$C$15, $D$11, 100%, $F$11)</f>
        <v>13.1762</v>
      </c>
      <c r="H490" s="4">
        <f>CHOOSE( CONTROL!$C$32, 14.1509, 14.1473) * CHOOSE(CONTROL!$C$15, $D$11, 100%, $F$11)</f>
        <v>14.1509</v>
      </c>
      <c r="I490" s="8">
        <f>CHOOSE( CONTROL!$C$32, 13.0712, 13.0676) * CHOOSE(CONTROL!$C$15, $D$11, 100%, $F$11)</f>
        <v>13.071199999999999</v>
      </c>
      <c r="J490" s="4">
        <f>CHOOSE( CONTROL!$C$32, 12.9221, 12.9186) * CHOOSE(CONTROL!$C$15, $D$11, 100%, $F$11)</f>
        <v>12.9221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13.8988, 13.8952) * CHOOSE(CONTROL!$C$15, $D$11, 100%, $F$11)</f>
        <v>13.8988</v>
      </c>
      <c r="C491" s="8">
        <f>CHOOSE( CONTROL!$C$32, 13.9068, 13.9032) * CHOOSE(CONTROL!$C$15, $D$11, 100%, $F$11)</f>
        <v>13.9068</v>
      </c>
      <c r="D491" s="8">
        <f>CHOOSE( CONTROL!$C$32, 13.945, 13.9414) * CHOOSE( CONTROL!$C$15, $D$11, 100%, $F$11)</f>
        <v>13.945</v>
      </c>
      <c r="E491" s="12">
        <f>CHOOSE( CONTROL!$C$32, 13.9299, 13.9263) * CHOOSE( CONTROL!$C$15, $D$11, 100%, $F$11)</f>
        <v>13.9299</v>
      </c>
      <c r="F491" s="4">
        <f>CHOOSE( CONTROL!$C$32, 14.6418, 14.6382) * CHOOSE(CONTROL!$C$15, $D$11, 100%, $F$11)</f>
        <v>14.6418</v>
      </c>
      <c r="G491" s="8">
        <f>CHOOSE( CONTROL!$C$32, 13.7426, 13.739) * CHOOSE( CONTROL!$C$15, $D$11, 100%, $F$11)</f>
        <v>13.742599999999999</v>
      </c>
      <c r="H491" s="4">
        <f>CHOOSE( CONTROL!$C$32, 14.717, 14.7134) * CHOOSE(CONTROL!$C$15, $D$11, 100%, $F$11)</f>
        <v>14.717000000000001</v>
      </c>
      <c r="I491" s="8">
        <f>CHOOSE( CONTROL!$C$32, 13.6285, 13.6249) * CHOOSE(CONTROL!$C$15, $D$11, 100%, $F$11)</f>
        <v>13.628500000000001</v>
      </c>
      <c r="J491" s="4">
        <f>CHOOSE( CONTROL!$C$32, 13.478, 13.4745) * CHOOSE(CONTROL!$C$15, $D$11, 100%, $F$11)</f>
        <v>13.478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12.8271, 12.8234) * CHOOSE(CONTROL!$C$15, $D$11, 100%, $F$11)</f>
        <v>12.8271</v>
      </c>
      <c r="C492" s="8">
        <f>CHOOSE( CONTROL!$C$32, 12.8351, 12.8314) * CHOOSE(CONTROL!$C$15, $D$11, 100%, $F$11)</f>
        <v>12.835100000000001</v>
      </c>
      <c r="D492" s="8">
        <f>CHOOSE( CONTROL!$C$32, 12.8733, 12.8697) * CHOOSE( CONTROL!$C$15, $D$11, 100%, $F$11)</f>
        <v>12.8733</v>
      </c>
      <c r="E492" s="12">
        <f>CHOOSE( CONTROL!$C$32, 12.8582, 12.8546) * CHOOSE( CONTROL!$C$15, $D$11, 100%, $F$11)</f>
        <v>12.8582</v>
      </c>
      <c r="F492" s="4">
        <f>CHOOSE( CONTROL!$C$32, 13.5701, 13.5664) * CHOOSE(CONTROL!$C$15, $D$11, 100%, $F$11)</f>
        <v>13.5701</v>
      </c>
      <c r="G492" s="8">
        <f>CHOOSE( CONTROL!$C$32, 12.6835, 12.6799) * CHOOSE( CONTROL!$C$15, $D$11, 100%, $F$11)</f>
        <v>12.6835</v>
      </c>
      <c r="H492" s="4">
        <f>CHOOSE( CONTROL!$C$32, 13.6578, 13.6542) * CHOOSE(CONTROL!$C$15, $D$11, 100%, $F$11)</f>
        <v>13.6578</v>
      </c>
      <c r="I492" s="8">
        <f>CHOOSE( CONTROL!$C$32, 12.5881, 12.5846) * CHOOSE(CONTROL!$C$15, $D$11, 100%, $F$11)</f>
        <v>12.588100000000001</v>
      </c>
      <c r="J492" s="4">
        <f>CHOOSE( CONTROL!$C$32, 12.4379, 12.4343) * CHOOSE(CONTROL!$C$15, $D$11, 100%, $F$11)</f>
        <v>12.437900000000001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12.5587, 12.5551) * CHOOSE(CONTROL!$C$15, $D$11, 100%, $F$11)</f>
        <v>12.5587</v>
      </c>
      <c r="C493" s="8">
        <f>CHOOSE( CONTROL!$C$32, 12.5667, 12.563) * CHOOSE(CONTROL!$C$15, $D$11, 100%, $F$11)</f>
        <v>12.566700000000001</v>
      </c>
      <c r="D493" s="8">
        <f>CHOOSE( CONTROL!$C$32, 12.6049, 12.6012) * CHOOSE( CONTROL!$C$15, $D$11, 100%, $F$11)</f>
        <v>12.604900000000001</v>
      </c>
      <c r="E493" s="12">
        <f>CHOOSE( CONTROL!$C$32, 12.5898, 12.5862) * CHOOSE( CONTROL!$C$15, $D$11, 100%, $F$11)</f>
        <v>12.5898</v>
      </c>
      <c r="F493" s="4">
        <f>CHOOSE( CONTROL!$C$32, 13.3017, 13.2981) * CHOOSE(CONTROL!$C$15, $D$11, 100%, $F$11)</f>
        <v>13.3017</v>
      </c>
      <c r="G493" s="8">
        <f>CHOOSE( CONTROL!$C$32, 12.4182, 12.4146) * CHOOSE( CONTROL!$C$15, $D$11, 100%, $F$11)</f>
        <v>12.418200000000001</v>
      </c>
      <c r="H493" s="4">
        <f>CHOOSE( CONTROL!$C$32, 13.3926, 13.389) * CHOOSE(CONTROL!$C$15, $D$11, 100%, $F$11)</f>
        <v>13.3926</v>
      </c>
      <c r="I493" s="8">
        <f>CHOOSE( CONTROL!$C$32, 12.3271, 12.3236) * CHOOSE(CONTROL!$C$15, $D$11, 100%, $F$11)</f>
        <v>12.3271</v>
      </c>
      <c r="J493" s="4">
        <f>CHOOSE( CONTROL!$C$32, 12.1774, 12.1739) * CHOOSE(CONTROL!$C$15, $D$11, 100%, $F$11)</f>
        <v>12.1774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13.1106 * CHOOSE(CONTROL!$C$15, $D$11, 100%, $F$11)</f>
        <v>13.1106</v>
      </c>
      <c r="C494" s="8">
        <f>13.1159 * CHOOSE(CONTROL!$C$15, $D$11, 100%, $F$11)</f>
        <v>13.1159</v>
      </c>
      <c r="D494" s="8">
        <f>13.1594 * CHOOSE( CONTROL!$C$15, $D$11, 100%, $F$11)</f>
        <v>13.1594</v>
      </c>
      <c r="E494" s="12">
        <f>13.1445 * CHOOSE( CONTROL!$C$15, $D$11, 100%, $F$11)</f>
        <v>13.144500000000001</v>
      </c>
      <c r="F494" s="4">
        <f>13.8553 * CHOOSE(CONTROL!$C$15, $D$11, 100%, $F$11)</f>
        <v>13.8553</v>
      </c>
      <c r="G494" s="8">
        <f>12.9648 * CHOOSE( CONTROL!$C$15, $D$11, 100%, $F$11)</f>
        <v>12.9648</v>
      </c>
      <c r="H494" s="4">
        <f>13.9397 * CHOOSE(CONTROL!$C$15, $D$11, 100%, $F$11)</f>
        <v>13.9397</v>
      </c>
      <c r="I494" s="8">
        <f>12.8654 * CHOOSE(CONTROL!$C$15, $D$11, 100%, $F$11)</f>
        <v>12.865399999999999</v>
      </c>
      <c r="J494" s="4">
        <f>12.7147 * CHOOSE(CONTROL!$C$15, $D$11, 100%, $F$11)</f>
        <v>12.714700000000001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14.1387 * CHOOSE(CONTROL!$C$15, $D$11, 100%, $F$11)</f>
        <v>14.1387</v>
      </c>
      <c r="C495" s="8">
        <f>14.1438 * CHOOSE(CONTROL!$C$15, $D$11, 100%, $F$11)</f>
        <v>14.143800000000001</v>
      </c>
      <c r="D495" s="8">
        <f>14.1275 * CHOOSE( CONTROL!$C$15, $D$11, 100%, $F$11)</f>
        <v>14.1275</v>
      </c>
      <c r="E495" s="12">
        <f>14.1329 * CHOOSE( CONTROL!$C$15, $D$11, 100%, $F$11)</f>
        <v>14.132899999999999</v>
      </c>
      <c r="F495" s="4">
        <f>14.804 * CHOOSE(CONTROL!$C$15, $D$11, 100%, $F$11)</f>
        <v>14.804</v>
      </c>
      <c r="G495" s="8">
        <f>13.9819 * CHOOSE( CONTROL!$C$15, $D$11, 100%, $F$11)</f>
        <v>13.9819</v>
      </c>
      <c r="H495" s="4">
        <f>14.8773 * CHOOSE(CONTROL!$C$15, $D$11, 100%, $F$11)</f>
        <v>14.8773</v>
      </c>
      <c r="I495" s="8">
        <f>13.8642 * CHOOSE(CONTROL!$C$15, $D$11, 100%, $F$11)</f>
        <v>13.8642</v>
      </c>
      <c r="J495" s="4">
        <f>13.7129 * CHOOSE(CONTROL!$C$15, $D$11, 100%, $F$11)</f>
        <v>13.712899999999999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14.113 * CHOOSE(CONTROL!$C$15, $D$11, 100%, $F$11)</f>
        <v>14.113</v>
      </c>
      <c r="C496" s="8">
        <f>14.1181 * CHOOSE(CONTROL!$C$15, $D$11, 100%, $F$11)</f>
        <v>14.1181</v>
      </c>
      <c r="D496" s="8">
        <f>14.1035 * CHOOSE( CONTROL!$C$15, $D$11, 100%, $F$11)</f>
        <v>14.1035</v>
      </c>
      <c r="E496" s="12">
        <f>14.1083 * CHOOSE( CONTROL!$C$15, $D$11, 100%, $F$11)</f>
        <v>14.1083</v>
      </c>
      <c r="F496" s="4">
        <f>14.7783 * CHOOSE(CONTROL!$C$15, $D$11, 100%, $F$11)</f>
        <v>14.7783</v>
      </c>
      <c r="G496" s="8">
        <f>13.9577 * CHOOSE( CONTROL!$C$15, $D$11, 100%, $F$11)</f>
        <v>13.957700000000001</v>
      </c>
      <c r="H496" s="4">
        <f>14.8519 * CHOOSE(CONTROL!$C$15, $D$11, 100%, $F$11)</f>
        <v>14.851900000000001</v>
      </c>
      <c r="I496" s="8">
        <f>13.8447 * CHOOSE(CONTROL!$C$15, $D$11, 100%, $F$11)</f>
        <v>13.8447</v>
      </c>
      <c r="J496" s="4">
        <f>13.688 * CHOOSE(CONTROL!$C$15, $D$11, 100%, $F$11)</f>
        <v>13.688000000000001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14.5291 * CHOOSE(CONTROL!$C$15, $D$11, 100%, $F$11)</f>
        <v>14.5291</v>
      </c>
      <c r="C497" s="8">
        <f>14.5341 * CHOOSE(CONTROL!$C$15, $D$11, 100%, $F$11)</f>
        <v>14.5341</v>
      </c>
      <c r="D497" s="8">
        <f>14.5053 * CHOOSE( CONTROL!$C$15, $D$11, 100%, $F$11)</f>
        <v>14.5053</v>
      </c>
      <c r="E497" s="12">
        <f>14.5153 * CHOOSE( CONTROL!$C$15, $D$11, 100%, $F$11)</f>
        <v>14.5153</v>
      </c>
      <c r="F497" s="4">
        <f>15.1943 * CHOOSE(CONTROL!$C$15, $D$11, 100%, $F$11)</f>
        <v>15.1943</v>
      </c>
      <c r="G497" s="8">
        <f>14.3586 * CHOOSE( CONTROL!$C$15, $D$11, 100%, $F$11)</f>
        <v>14.358599999999999</v>
      </c>
      <c r="H497" s="4">
        <f>15.263 * CHOOSE(CONTROL!$C$15, $D$11, 100%, $F$11)</f>
        <v>15.263</v>
      </c>
      <c r="I497" s="8">
        <f>14.2432 * CHOOSE(CONTROL!$C$15, $D$11, 100%, $F$11)</f>
        <v>14.2432</v>
      </c>
      <c r="J497" s="4">
        <f>14.0917 * CHOOSE(CONTROL!$C$15, $D$11, 100%, $F$11)</f>
        <v>14.091699999999999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13.5904 * CHOOSE(CONTROL!$C$15, $D$11, 100%, $F$11)</f>
        <v>13.590400000000001</v>
      </c>
      <c r="C498" s="8">
        <f>13.5954 * CHOOSE(CONTROL!$C$15, $D$11, 100%, $F$11)</f>
        <v>13.5954</v>
      </c>
      <c r="D498" s="8">
        <f>13.5666 * CHOOSE( CONTROL!$C$15, $D$11, 100%, $F$11)</f>
        <v>13.566599999999999</v>
      </c>
      <c r="E498" s="12">
        <f>13.5766 * CHOOSE( CONTROL!$C$15, $D$11, 100%, $F$11)</f>
        <v>13.576599999999999</v>
      </c>
      <c r="F498" s="4">
        <f>14.2556 * CHOOSE(CONTROL!$C$15, $D$11, 100%, $F$11)</f>
        <v>14.255599999999999</v>
      </c>
      <c r="G498" s="8">
        <f>13.4309 * CHOOSE( CONTROL!$C$15, $D$11, 100%, $F$11)</f>
        <v>13.430899999999999</v>
      </c>
      <c r="H498" s="4">
        <f>14.3353 * CHOOSE(CONTROL!$C$15, $D$11, 100%, $F$11)</f>
        <v>14.3353</v>
      </c>
      <c r="I498" s="8">
        <f>13.3318 * CHOOSE(CONTROL!$C$15, $D$11, 100%, $F$11)</f>
        <v>13.331799999999999</v>
      </c>
      <c r="J498" s="4">
        <f>13.1807 * CHOOSE(CONTROL!$C$15, $D$11, 100%, $F$11)</f>
        <v>13.1807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13.3013 * CHOOSE(CONTROL!$C$15, $D$11, 100%, $F$11)</f>
        <v>13.301299999999999</v>
      </c>
      <c r="C499" s="8">
        <f>13.3063 * CHOOSE(CONTROL!$C$15, $D$11, 100%, $F$11)</f>
        <v>13.3063</v>
      </c>
      <c r="D499" s="8">
        <f>13.277 * CHOOSE( CONTROL!$C$15, $D$11, 100%, $F$11)</f>
        <v>13.276999999999999</v>
      </c>
      <c r="E499" s="12">
        <f>13.2872 * CHOOSE( CONTROL!$C$15, $D$11, 100%, $F$11)</f>
        <v>13.2872</v>
      </c>
      <c r="F499" s="4">
        <f>13.9665 * CHOOSE(CONTROL!$C$15, $D$11, 100%, $F$11)</f>
        <v>13.9665</v>
      </c>
      <c r="G499" s="8">
        <f>13.1449 * CHOOSE( CONTROL!$C$15, $D$11, 100%, $F$11)</f>
        <v>13.1449</v>
      </c>
      <c r="H499" s="4">
        <f>14.0496 * CHOOSE(CONTROL!$C$15, $D$11, 100%, $F$11)</f>
        <v>14.0496</v>
      </c>
      <c r="I499" s="8">
        <f>13.0498 * CHOOSE(CONTROL!$C$15, $D$11, 100%, $F$11)</f>
        <v>13.049799999999999</v>
      </c>
      <c r="J499" s="4">
        <f>12.9001 * CHOOSE(CONTROL!$C$15, $D$11, 100%, $F$11)</f>
        <v>12.9001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13.504 * CHOOSE(CONTROL!$C$15, $D$11, 100%, $F$11)</f>
        <v>13.504</v>
      </c>
      <c r="C500" s="8">
        <f>13.5086 * CHOOSE(CONTROL!$C$15, $D$11, 100%, $F$11)</f>
        <v>13.508599999999999</v>
      </c>
      <c r="D500" s="8">
        <f>13.5519 * CHOOSE( CONTROL!$C$15, $D$11, 100%, $F$11)</f>
        <v>13.5519</v>
      </c>
      <c r="E500" s="12">
        <f>13.5371 * CHOOSE( CONTROL!$C$15, $D$11, 100%, $F$11)</f>
        <v>13.537100000000001</v>
      </c>
      <c r="F500" s="4">
        <f>14.2484 * CHOOSE(CONTROL!$C$15, $D$11, 100%, $F$11)</f>
        <v>14.2484</v>
      </c>
      <c r="G500" s="8">
        <f>13.3524 * CHOOSE( CONTROL!$C$15, $D$11, 100%, $F$11)</f>
        <v>13.352399999999999</v>
      </c>
      <c r="H500" s="4">
        <f>14.3282 * CHOOSE(CONTROL!$C$15, $D$11, 100%, $F$11)</f>
        <v>14.328200000000001</v>
      </c>
      <c r="I500" s="8">
        <f>13.2441 * CHOOSE(CONTROL!$C$15, $D$11, 100%, $F$11)</f>
        <v>13.2441</v>
      </c>
      <c r="J500" s="4">
        <f>13.0962 * CHOOSE(CONTROL!$C$15, $D$11, 100%, $F$11)</f>
        <v>13.0962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13.8686, 13.865) * CHOOSE(CONTROL!$C$15, $D$11, 100%, $F$11)</f>
        <v>13.868600000000001</v>
      </c>
      <c r="C501" s="8">
        <f>CHOOSE( CONTROL!$C$32, 13.8766, 13.8729) * CHOOSE(CONTROL!$C$15, $D$11, 100%, $F$11)</f>
        <v>13.8766</v>
      </c>
      <c r="D501" s="8">
        <f>CHOOSE( CONTROL!$C$32, 13.9143, 13.9107) * CHOOSE( CONTROL!$C$15, $D$11, 100%, $F$11)</f>
        <v>13.914300000000001</v>
      </c>
      <c r="E501" s="12">
        <f>CHOOSE( CONTROL!$C$32, 13.8994, 13.8958) * CHOOSE( CONTROL!$C$15, $D$11, 100%, $F$11)</f>
        <v>13.8994</v>
      </c>
      <c r="F501" s="4">
        <f>CHOOSE( CONTROL!$C$32, 14.6116, 14.608) * CHOOSE(CONTROL!$C$15, $D$11, 100%, $F$11)</f>
        <v>14.611599999999999</v>
      </c>
      <c r="G501" s="8">
        <f>CHOOSE( CONTROL!$C$32, 13.7121, 13.7085) * CHOOSE( CONTROL!$C$15, $D$11, 100%, $F$11)</f>
        <v>13.7121</v>
      </c>
      <c r="H501" s="4">
        <f>CHOOSE( CONTROL!$C$32, 14.6872, 14.6836) * CHOOSE(CONTROL!$C$15, $D$11, 100%, $F$11)</f>
        <v>14.687200000000001</v>
      </c>
      <c r="I501" s="8">
        <f>CHOOSE( CONTROL!$C$32, 13.597, 13.5934) * CHOOSE(CONTROL!$C$15, $D$11, 100%, $F$11)</f>
        <v>13.597</v>
      </c>
      <c r="J501" s="4">
        <f>CHOOSE( CONTROL!$C$32, 13.4487, 13.4451) * CHOOSE(CONTROL!$C$15, $D$11, 100%, $F$11)</f>
        <v>13.448700000000001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13.6459, 13.6422) * CHOOSE(CONTROL!$C$15, $D$11, 100%, $F$11)</f>
        <v>13.645899999999999</v>
      </c>
      <c r="C502" s="8">
        <f>CHOOSE( CONTROL!$C$32, 13.6539, 13.6502) * CHOOSE(CONTROL!$C$15, $D$11, 100%, $F$11)</f>
        <v>13.6539</v>
      </c>
      <c r="D502" s="8">
        <f>CHOOSE( CONTROL!$C$32, 13.6918, 13.6882) * CHOOSE( CONTROL!$C$15, $D$11, 100%, $F$11)</f>
        <v>13.691800000000001</v>
      </c>
      <c r="E502" s="12">
        <f>CHOOSE( CONTROL!$C$32, 13.6768, 13.6732) * CHOOSE( CONTROL!$C$15, $D$11, 100%, $F$11)</f>
        <v>13.6768</v>
      </c>
      <c r="F502" s="4">
        <f>CHOOSE( CONTROL!$C$32, 14.3889, 14.3852) * CHOOSE(CONTROL!$C$15, $D$11, 100%, $F$11)</f>
        <v>14.3889</v>
      </c>
      <c r="G502" s="8">
        <f>CHOOSE( CONTROL!$C$32, 13.4923, 13.4887) * CHOOSE( CONTROL!$C$15, $D$11, 100%, $F$11)</f>
        <v>13.4923</v>
      </c>
      <c r="H502" s="4">
        <f>CHOOSE( CONTROL!$C$32, 14.467, 14.4634) * CHOOSE(CONTROL!$C$15, $D$11, 100%, $F$11)</f>
        <v>14.467000000000001</v>
      </c>
      <c r="I502" s="8">
        <f>CHOOSE( CONTROL!$C$32, 13.3817, 13.3782) * CHOOSE(CONTROL!$C$15, $D$11, 100%, $F$11)</f>
        <v>13.3817</v>
      </c>
      <c r="J502" s="4">
        <f>CHOOSE( CONTROL!$C$32, 13.2325, 13.229) * CHOOSE(CONTROL!$C$15, $D$11, 100%, $F$11)</f>
        <v>13.2325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14.2324, 14.2288) * CHOOSE(CONTROL!$C$15, $D$11, 100%, $F$11)</f>
        <v>14.2324</v>
      </c>
      <c r="C503" s="8">
        <f>CHOOSE( CONTROL!$C$32, 14.2404, 14.2368) * CHOOSE(CONTROL!$C$15, $D$11, 100%, $F$11)</f>
        <v>14.240399999999999</v>
      </c>
      <c r="D503" s="8">
        <f>CHOOSE( CONTROL!$C$32, 14.2786, 14.275) * CHOOSE( CONTROL!$C$15, $D$11, 100%, $F$11)</f>
        <v>14.278600000000001</v>
      </c>
      <c r="E503" s="12">
        <f>CHOOSE( CONTROL!$C$32, 14.2635, 14.2599) * CHOOSE( CONTROL!$C$15, $D$11, 100%, $F$11)</f>
        <v>14.263500000000001</v>
      </c>
      <c r="F503" s="4">
        <f>CHOOSE( CONTROL!$C$32, 14.9754, 14.9718) * CHOOSE(CONTROL!$C$15, $D$11, 100%, $F$11)</f>
        <v>14.9754</v>
      </c>
      <c r="G503" s="8">
        <f>CHOOSE( CONTROL!$C$32, 14.0723, 14.0687) * CHOOSE( CONTROL!$C$15, $D$11, 100%, $F$11)</f>
        <v>14.0723</v>
      </c>
      <c r="H503" s="4">
        <f>CHOOSE( CONTROL!$C$32, 15.0467, 15.0431) * CHOOSE(CONTROL!$C$15, $D$11, 100%, $F$11)</f>
        <v>15.0467</v>
      </c>
      <c r="I503" s="8">
        <f>CHOOSE( CONTROL!$C$32, 13.9524, 13.9488) * CHOOSE(CONTROL!$C$15, $D$11, 100%, $F$11)</f>
        <v>13.952400000000001</v>
      </c>
      <c r="J503" s="4">
        <f>CHOOSE( CONTROL!$C$32, 13.8018, 13.7982) * CHOOSE(CONTROL!$C$15, $D$11, 100%, $F$11)</f>
        <v>13.8018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13.1349, 13.1313) * CHOOSE(CONTROL!$C$15, $D$11, 100%, $F$11)</f>
        <v>13.1349</v>
      </c>
      <c r="C504" s="8">
        <f>CHOOSE( CONTROL!$C$32, 13.1429, 13.1393) * CHOOSE(CONTROL!$C$15, $D$11, 100%, $F$11)</f>
        <v>13.142899999999999</v>
      </c>
      <c r="D504" s="8">
        <f>CHOOSE( CONTROL!$C$32, 13.1812, 13.1775) * CHOOSE( CONTROL!$C$15, $D$11, 100%, $F$11)</f>
        <v>13.1812</v>
      </c>
      <c r="E504" s="12">
        <f>CHOOSE( CONTROL!$C$32, 13.1661, 13.1624) * CHOOSE( CONTROL!$C$15, $D$11, 100%, $F$11)</f>
        <v>13.1661</v>
      </c>
      <c r="F504" s="4">
        <f>CHOOSE( CONTROL!$C$32, 13.8779, 13.8743) * CHOOSE(CONTROL!$C$15, $D$11, 100%, $F$11)</f>
        <v>13.8779</v>
      </c>
      <c r="G504" s="8">
        <f>CHOOSE( CONTROL!$C$32, 12.9878, 12.9842) * CHOOSE( CONTROL!$C$15, $D$11, 100%, $F$11)</f>
        <v>12.9878</v>
      </c>
      <c r="H504" s="4">
        <f>CHOOSE( CONTROL!$C$32, 13.9621, 13.9585) * CHOOSE(CONTROL!$C$15, $D$11, 100%, $F$11)</f>
        <v>13.9621</v>
      </c>
      <c r="I504" s="8">
        <f>CHOOSE( CONTROL!$C$32, 12.887, 12.8835) * CHOOSE(CONTROL!$C$15, $D$11, 100%, $F$11)</f>
        <v>12.887</v>
      </c>
      <c r="J504" s="4">
        <f>CHOOSE( CONTROL!$C$32, 12.7366, 12.7331) * CHOOSE(CONTROL!$C$15, $D$11, 100%, $F$11)</f>
        <v>12.736599999999999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12.8601, 12.8565) * CHOOSE(CONTROL!$C$15, $D$11, 100%, $F$11)</f>
        <v>12.860099999999999</v>
      </c>
      <c r="C505" s="8">
        <f>CHOOSE( CONTROL!$C$32, 12.8681, 12.8644) * CHOOSE(CONTROL!$C$15, $D$11, 100%, $F$11)</f>
        <v>12.8681</v>
      </c>
      <c r="D505" s="8">
        <f>CHOOSE( CONTROL!$C$32, 12.9063, 12.9026) * CHOOSE( CONTROL!$C$15, $D$11, 100%, $F$11)</f>
        <v>12.9063</v>
      </c>
      <c r="E505" s="12">
        <f>CHOOSE( CONTROL!$C$32, 12.8912, 12.8876) * CHOOSE( CONTROL!$C$15, $D$11, 100%, $F$11)</f>
        <v>12.8912</v>
      </c>
      <c r="F505" s="4">
        <f>CHOOSE( CONTROL!$C$32, 13.6031, 13.5995) * CHOOSE(CONTROL!$C$15, $D$11, 100%, $F$11)</f>
        <v>13.6031</v>
      </c>
      <c r="G505" s="8">
        <f>CHOOSE( CONTROL!$C$32, 12.7161, 12.7125) * CHOOSE( CONTROL!$C$15, $D$11, 100%, $F$11)</f>
        <v>12.716100000000001</v>
      </c>
      <c r="H505" s="4">
        <f>CHOOSE( CONTROL!$C$32, 13.6904, 13.6869) * CHOOSE(CONTROL!$C$15, $D$11, 100%, $F$11)</f>
        <v>13.6904</v>
      </c>
      <c r="I505" s="8">
        <f>CHOOSE( CONTROL!$C$32, 12.6198, 12.6162) * CHOOSE(CONTROL!$C$15, $D$11, 100%, $F$11)</f>
        <v>12.6198</v>
      </c>
      <c r="J505" s="4">
        <f>CHOOSE( CONTROL!$C$32, 12.4699, 12.4664) * CHOOSE(CONTROL!$C$15, $D$11, 100%, $F$11)</f>
        <v>12.469900000000001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13.4254 * CHOOSE(CONTROL!$C$15, $D$11, 100%, $F$11)</f>
        <v>13.4254</v>
      </c>
      <c r="C506" s="8">
        <f>13.4307 * CHOOSE(CONTROL!$C$15, $D$11, 100%, $F$11)</f>
        <v>13.4307</v>
      </c>
      <c r="D506" s="8">
        <f>13.4742 * CHOOSE( CONTROL!$C$15, $D$11, 100%, $F$11)</f>
        <v>13.4742</v>
      </c>
      <c r="E506" s="12">
        <f>13.4593 * CHOOSE( CONTROL!$C$15, $D$11, 100%, $F$11)</f>
        <v>13.459300000000001</v>
      </c>
      <c r="F506" s="4">
        <f>14.1701 * CHOOSE(CONTROL!$C$15, $D$11, 100%, $F$11)</f>
        <v>14.1701</v>
      </c>
      <c r="G506" s="8">
        <f>13.2759 * CHOOSE( CONTROL!$C$15, $D$11, 100%, $F$11)</f>
        <v>13.2759</v>
      </c>
      <c r="H506" s="4">
        <f>14.2508 * CHOOSE(CONTROL!$C$15, $D$11, 100%, $F$11)</f>
        <v>14.2508</v>
      </c>
      <c r="I506" s="8">
        <f>13.1711 * CHOOSE(CONTROL!$C$15, $D$11, 100%, $F$11)</f>
        <v>13.171099999999999</v>
      </c>
      <c r="J506" s="4">
        <f>13.0202 * CHOOSE(CONTROL!$C$15, $D$11, 100%, $F$11)</f>
        <v>13.020200000000001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14.4782 * CHOOSE(CONTROL!$C$15, $D$11, 100%, $F$11)</f>
        <v>14.478199999999999</v>
      </c>
      <c r="C507" s="8">
        <f>14.4833 * CHOOSE(CONTROL!$C$15, $D$11, 100%, $F$11)</f>
        <v>14.4833</v>
      </c>
      <c r="D507" s="8">
        <f>14.467 * CHOOSE( CONTROL!$C$15, $D$11, 100%, $F$11)</f>
        <v>14.467000000000001</v>
      </c>
      <c r="E507" s="12">
        <f>14.4724 * CHOOSE( CONTROL!$C$15, $D$11, 100%, $F$11)</f>
        <v>14.4724</v>
      </c>
      <c r="F507" s="4">
        <f>15.1435 * CHOOSE(CONTROL!$C$15, $D$11, 100%, $F$11)</f>
        <v>15.1435</v>
      </c>
      <c r="G507" s="8">
        <f>14.3174 * CHOOSE( CONTROL!$C$15, $D$11, 100%, $F$11)</f>
        <v>14.317399999999999</v>
      </c>
      <c r="H507" s="4">
        <f>15.2128 * CHOOSE(CONTROL!$C$15, $D$11, 100%, $F$11)</f>
        <v>15.2128</v>
      </c>
      <c r="I507" s="8">
        <f>14.1939 * CHOOSE(CONTROL!$C$15, $D$11, 100%, $F$11)</f>
        <v>14.193899999999999</v>
      </c>
      <c r="J507" s="4">
        <f>14.0424 * CHOOSE(CONTROL!$C$15, $D$11, 100%, $F$11)</f>
        <v>14.042400000000001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14.4519 * CHOOSE(CONTROL!$C$15, $D$11, 100%, $F$11)</f>
        <v>14.4519</v>
      </c>
      <c r="C508" s="8">
        <f>14.457 * CHOOSE(CONTROL!$C$15, $D$11, 100%, $F$11)</f>
        <v>14.457000000000001</v>
      </c>
      <c r="D508" s="8">
        <f>14.4424 * CHOOSE( CONTROL!$C$15, $D$11, 100%, $F$11)</f>
        <v>14.442399999999999</v>
      </c>
      <c r="E508" s="12">
        <f>14.4472 * CHOOSE( CONTROL!$C$15, $D$11, 100%, $F$11)</f>
        <v>14.4472</v>
      </c>
      <c r="F508" s="4">
        <f>15.1172 * CHOOSE(CONTROL!$C$15, $D$11, 100%, $F$11)</f>
        <v>15.1172</v>
      </c>
      <c r="G508" s="8">
        <f>14.2927 * CHOOSE( CONTROL!$C$15, $D$11, 100%, $F$11)</f>
        <v>14.2927</v>
      </c>
      <c r="H508" s="4">
        <f>15.1868 * CHOOSE(CONTROL!$C$15, $D$11, 100%, $F$11)</f>
        <v>15.1868</v>
      </c>
      <c r="I508" s="8">
        <f>14.1737 * CHOOSE(CONTROL!$C$15, $D$11, 100%, $F$11)</f>
        <v>14.1737</v>
      </c>
      <c r="J508" s="4">
        <f>14.0168 * CHOOSE(CONTROL!$C$15, $D$11, 100%, $F$11)</f>
        <v>14.0168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14.8779 * CHOOSE(CONTROL!$C$15, $D$11, 100%, $F$11)</f>
        <v>14.8779</v>
      </c>
      <c r="C509" s="8">
        <f>14.883 * CHOOSE(CONTROL!$C$15, $D$11, 100%, $F$11)</f>
        <v>14.882999999999999</v>
      </c>
      <c r="D509" s="8">
        <f>14.8541 * CHOOSE( CONTROL!$C$15, $D$11, 100%, $F$11)</f>
        <v>14.854100000000001</v>
      </c>
      <c r="E509" s="12">
        <f>14.8641 * CHOOSE( CONTROL!$C$15, $D$11, 100%, $F$11)</f>
        <v>14.864100000000001</v>
      </c>
      <c r="F509" s="4">
        <f>15.5432 * CHOOSE(CONTROL!$C$15, $D$11, 100%, $F$11)</f>
        <v>15.543200000000001</v>
      </c>
      <c r="G509" s="8">
        <f>14.7034 * CHOOSE( CONTROL!$C$15, $D$11, 100%, $F$11)</f>
        <v>14.7034</v>
      </c>
      <c r="H509" s="4">
        <f>15.6078 * CHOOSE(CONTROL!$C$15, $D$11, 100%, $F$11)</f>
        <v>15.607799999999999</v>
      </c>
      <c r="I509" s="8">
        <f>14.582 * CHOOSE(CONTROL!$C$15, $D$11, 100%, $F$11)</f>
        <v>14.582000000000001</v>
      </c>
      <c r="J509" s="4">
        <f>14.4303 * CHOOSE(CONTROL!$C$15, $D$11, 100%, $F$11)</f>
        <v>14.430300000000001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13.9167 * CHOOSE(CONTROL!$C$15, $D$11, 100%, $F$11)</f>
        <v>13.916700000000001</v>
      </c>
      <c r="C510" s="8">
        <f>13.9218 * CHOOSE(CONTROL!$C$15, $D$11, 100%, $F$11)</f>
        <v>13.921799999999999</v>
      </c>
      <c r="D510" s="8">
        <f>13.8929 * CHOOSE( CONTROL!$C$15, $D$11, 100%, $F$11)</f>
        <v>13.892899999999999</v>
      </c>
      <c r="E510" s="12">
        <f>13.9029 * CHOOSE( CONTROL!$C$15, $D$11, 100%, $F$11)</f>
        <v>13.902900000000001</v>
      </c>
      <c r="F510" s="4">
        <f>14.582 * CHOOSE(CONTROL!$C$15, $D$11, 100%, $F$11)</f>
        <v>14.582000000000001</v>
      </c>
      <c r="G510" s="8">
        <f>13.7534 * CHOOSE( CONTROL!$C$15, $D$11, 100%, $F$11)</f>
        <v>13.753399999999999</v>
      </c>
      <c r="H510" s="4">
        <f>14.6578 * CHOOSE(CONTROL!$C$15, $D$11, 100%, $F$11)</f>
        <v>14.6578</v>
      </c>
      <c r="I510" s="8">
        <f>13.6486 * CHOOSE(CONTROL!$C$15, $D$11, 100%, $F$11)</f>
        <v>13.6486</v>
      </c>
      <c r="J510" s="4">
        <f>13.4974 * CHOOSE(CONTROL!$C$15, $D$11, 100%, $F$11)</f>
        <v>13.497400000000001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13.6206 * CHOOSE(CONTROL!$C$15, $D$11, 100%, $F$11)</f>
        <v>13.6206</v>
      </c>
      <c r="C511" s="8">
        <f>13.6257 * CHOOSE(CONTROL!$C$15, $D$11, 100%, $F$11)</f>
        <v>13.6257</v>
      </c>
      <c r="D511" s="8">
        <f>13.5964 * CHOOSE( CONTROL!$C$15, $D$11, 100%, $F$11)</f>
        <v>13.596399999999999</v>
      </c>
      <c r="E511" s="12">
        <f>13.6066 * CHOOSE( CONTROL!$C$15, $D$11, 100%, $F$11)</f>
        <v>13.6066</v>
      </c>
      <c r="F511" s="4">
        <f>14.2859 * CHOOSE(CONTROL!$C$15, $D$11, 100%, $F$11)</f>
        <v>14.2859</v>
      </c>
      <c r="G511" s="8">
        <f>13.4605 * CHOOSE( CONTROL!$C$15, $D$11, 100%, $F$11)</f>
        <v>13.4605</v>
      </c>
      <c r="H511" s="4">
        <f>14.3653 * CHOOSE(CONTROL!$C$15, $D$11, 100%, $F$11)</f>
        <v>14.3653</v>
      </c>
      <c r="I511" s="8">
        <f>13.3599 * CHOOSE(CONTROL!$C$15, $D$11, 100%, $F$11)</f>
        <v>13.3599</v>
      </c>
      <c r="J511" s="4">
        <f>13.2101 * CHOOSE(CONTROL!$C$15, $D$11, 100%, $F$11)</f>
        <v>13.210100000000001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13.8283 * CHOOSE(CONTROL!$C$15, $D$11, 100%, $F$11)</f>
        <v>13.8283</v>
      </c>
      <c r="C512" s="8">
        <f>13.8328 * CHOOSE(CONTROL!$C$15, $D$11, 100%, $F$11)</f>
        <v>13.832800000000001</v>
      </c>
      <c r="D512" s="8">
        <f>13.8762 * CHOOSE( CONTROL!$C$15, $D$11, 100%, $F$11)</f>
        <v>13.876200000000001</v>
      </c>
      <c r="E512" s="12">
        <f>13.8614 * CHOOSE( CONTROL!$C$15, $D$11, 100%, $F$11)</f>
        <v>13.8614</v>
      </c>
      <c r="F512" s="4">
        <f>14.5726 * CHOOSE(CONTROL!$C$15, $D$11, 100%, $F$11)</f>
        <v>14.5726</v>
      </c>
      <c r="G512" s="8">
        <f>13.6728 * CHOOSE( CONTROL!$C$15, $D$11, 100%, $F$11)</f>
        <v>13.672800000000001</v>
      </c>
      <c r="H512" s="4">
        <f>14.6486 * CHOOSE(CONTROL!$C$15, $D$11, 100%, $F$11)</f>
        <v>14.6486</v>
      </c>
      <c r="I512" s="8">
        <f>13.559 * CHOOSE(CONTROL!$C$15, $D$11, 100%, $F$11)</f>
        <v>13.558999999999999</v>
      </c>
      <c r="J512" s="4">
        <f>13.4108 * CHOOSE(CONTROL!$C$15, $D$11, 100%, $F$11)</f>
        <v>13.4108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14.2015, 14.1978) * CHOOSE(CONTROL!$C$15, $D$11, 100%, $F$11)</f>
        <v>14.201499999999999</v>
      </c>
      <c r="C513" s="8">
        <f>CHOOSE( CONTROL!$C$32, 14.2095, 14.2058) * CHOOSE(CONTROL!$C$15, $D$11, 100%, $F$11)</f>
        <v>14.2095</v>
      </c>
      <c r="D513" s="8">
        <f>CHOOSE( CONTROL!$C$32, 14.2472, 14.2436) * CHOOSE( CONTROL!$C$15, $D$11, 100%, $F$11)</f>
        <v>14.247199999999999</v>
      </c>
      <c r="E513" s="12">
        <f>CHOOSE( CONTROL!$C$32, 14.2323, 14.2287) * CHOOSE( CONTROL!$C$15, $D$11, 100%, $F$11)</f>
        <v>14.2323</v>
      </c>
      <c r="F513" s="4">
        <f>CHOOSE( CONTROL!$C$32, 14.9445, 14.9409) * CHOOSE(CONTROL!$C$15, $D$11, 100%, $F$11)</f>
        <v>14.9445</v>
      </c>
      <c r="G513" s="8">
        <f>CHOOSE( CONTROL!$C$32, 14.0411, 14.0375) * CHOOSE( CONTROL!$C$15, $D$11, 100%, $F$11)</f>
        <v>14.0411</v>
      </c>
      <c r="H513" s="4">
        <f>CHOOSE( CONTROL!$C$32, 15.0161, 15.0125) * CHOOSE(CONTROL!$C$15, $D$11, 100%, $F$11)</f>
        <v>15.0161</v>
      </c>
      <c r="I513" s="8">
        <f>CHOOSE( CONTROL!$C$32, 13.9202, 13.9166) * CHOOSE(CONTROL!$C$15, $D$11, 100%, $F$11)</f>
        <v>13.920199999999999</v>
      </c>
      <c r="J513" s="4">
        <f>CHOOSE( CONTROL!$C$32, 13.7717, 13.7682) * CHOOSE(CONTROL!$C$15, $D$11, 100%, $F$11)</f>
        <v>13.771699999999999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13.9734, 13.9698) * CHOOSE(CONTROL!$C$15, $D$11, 100%, $F$11)</f>
        <v>13.9734</v>
      </c>
      <c r="C514" s="8">
        <f>CHOOSE( CONTROL!$C$32, 13.9814, 13.9777) * CHOOSE(CONTROL!$C$15, $D$11, 100%, $F$11)</f>
        <v>13.981400000000001</v>
      </c>
      <c r="D514" s="8">
        <f>CHOOSE( CONTROL!$C$32, 14.0193, 14.0157) * CHOOSE( CONTROL!$C$15, $D$11, 100%, $F$11)</f>
        <v>14.019299999999999</v>
      </c>
      <c r="E514" s="12">
        <f>CHOOSE( CONTROL!$C$32, 14.0043, 14.0007) * CHOOSE( CONTROL!$C$15, $D$11, 100%, $F$11)</f>
        <v>14.004300000000001</v>
      </c>
      <c r="F514" s="4">
        <f>CHOOSE( CONTROL!$C$32, 14.7164, 14.7128) * CHOOSE(CONTROL!$C$15, $D$11, 100%, $F$11)</f>
        <v>14.7164</v>
      </c>
      <c r="G514" s="8">
        <f>CHOOSE( CONTROL!$C$32, 13.816, 13.8124) * CHOOSE( CONTROL!$C$15, $D$11, 100%, $F$11)</f>
        <v>13.816000000000001</v>
      </c>
      <c r="H514" s="4">
        <f>CHOOSE( CONTROL!$C$32, 14.7907, 14.7871) * CHOOSE(CONTROL!$C$15, $D$11, 100%, $F$11)</f>
        <v>14.790699999999999</v>
      </c>
      <c r="I514" s="8">
        <f>CHOOSE( CONTROL!$C$32, 13.6997, 13.6962) * CHOOSE(CONTROL!$C$15, $D$11, 100%, $F$11)</f>
        <v>13.6997</v>
      </c>
      <c r="J514" s="4">
        <f>CHOOSE( CONTROL!$C$32, 13.5504, 13.5468) * CHOOSE(CONTROL!$C$15, $D$11, 100%, $F$11)</f>
        <v>13.5504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14.574, 14.5704) * CHOOSE(CONTROL!$C$15, $D$11, 100%, $F$11)</f>
        <v>14.574</v>
      </c>
      <c r="C515" s="8">
        <f>CHOOSE( CONTROL!$C$32, 14.582, 14.5784) * CHOOSE(CONTROL!$C$15, $D$11, 100%, $F$11)</f>
        <v>14.582000000000001</v>
      </c>
      <c r="D515" s="8">
        <f>CHOOSE( CONTROL!$C$32, 14.6202, 14.6166) * CHOOSE( CONTROL!$C$15, $D$11, 100%, $F$11)</f>
        <v>14.620200000000001</v>
      </c>
      <c r="E515" s="12">
        <f>CHOOSE( CONTROL!$C$32, 14.6051, 14.6015) * CHOOSE( CONTROL!$C$15, $D$11, 100%, $F$11)</f>
        <v>14.6051</v>
      </c>
      <c r="F515" s="4">
        <f>CHOOSE( CONTROL!$C$32, 15.317, 15.3134) * CHOOSE(CONTROL!$C$15, $D$11, 100%, $F$11)</f>
        <v>15.317</v>
      </c>
      <c r="G515" s="8">
        <f>CHOOSE( CONTROL!$C$32, 14.41, 14.4064) * CHOOSE( CONTROL!$C$15, $D$11, 100%, $F$11)</f>
        <v>14.41</v>
      </c>
      <c r="H515" s="4">
        <f>CHOOSE( CONTROL!$C$32, 15.3843, 15.3807) * CHOOSE(CONTROL!$C$15, $D$11, 100%, $F$11)</f>
        <v>15.3843</v>
      </c>
      <c r="I515" s="8">
        <f>CHOOSE( CONTROL!$C$32, 14.2841, 14.2805) * CHOOSE(CONTROL!$C$15, $D$11, 100%, $F$11)</f>
        <v>14.2841</v>
      </c>
      <c r="J515" s="4">
        <f>CHOOSE( CONTROL!$C$32, 14.1333, 14.1298) * CHOOSE(CONTROL!$C$15, $D$11, 100%, $F$11)</f>
        <v>14.1333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13.4502, 13.4465) * CHOOSE(CONTROL!$C$15, $D$11, 100%, $F$11)</f>
        <v>13.450200000000001</v>
      </c>
      <c r="C516" s="8">
        <f>CHOOSE( CONTROL!$C$32, 13.4581, 13.4545) * CHOOSE(CONTROL!$C$15, $D$11, 100%, $F$11)</f>
        <v>13.4581</v>
      </c>
      <c r="D516" s="8">
        <f>CHOOSE( CONTROL!$C$32, 13.4964, 13.4928) * CHOOSE( CONTROL!$C$15, $D$11, 100%, $F$11)</f>
        <v>13.4964</v>
      </c>
      <c r="E516" s="12">
        <f>CHOOSE( CONTROL!$C$32, 13.4813, 13.4777) * CHOOSE( CONTROL!$C$15, $D$11, 100%, $F$11)</f>
        <v>13.481299999999999</v>
      </c>
      <c r="F516" s="4">
        <f>CHOOSE( CONTROL!$C$32, 14.1932, 14.1895) * CHOOSE(CONTROL!$C$15, $D$11, 100%, $F$11)</f>
        <v>14.193199999999999</v>
      </c>
      <c r="G516" s="8">
        <f>CHOOSE( CONTROL!$C$32, 13.2993, 13.2957) * CHOOSE( CONTROL!$C$15, $D$11, 100%, $F$11)</f>
        <v>13.299300000000001</v>
      </c>
      <c r="H516" s="4">
        <f>CHOOSE( CONTROL!$C$32, 14.2736, 14.27) * CHOOSE(CONTROL!$C$15, $D$11, 100%, $F$11)</f>
        <v>14.2736</v>
      </c>
      <c r="I516" s="8">
        <f>CHOOSE( CONTROL!$C$32, 13.1931, 13.1896) * CHOOSE(CONTROL!$C$15, $D$11, 100%, $F$11)</f>
        <v>13.193099999999999</v>
      </c>
      <c r="J516" s="4">
        <f>CHOOSE( CONTROL!$C$32, 13.0426, 13.039) * CHOOSE(CONTROL!$C$15, $D$11, 100%, $F$11)</f>
        <v>13.0426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13.1687, 13.1651) * CHOOSE(CONTROL!$C$15, $D$11, 100%, $F$11)</f>
        <v>13.168699999999999</v>
      </c>
      <c r="C517" s="8">
        <f>CHOOSE( CONTROL!$C$32, 13.1767, 13.1731) * CHOOSE(CONTROL!$C$15, $D$11, 100%, $F$11)</f>
        <v>13.1767</v>
      </c>
      <c r="D517" s="8">
        <f>CHOOSE( CONTROL!$C$32, 13.2149, 13.2113) * CHOOSE( CONTROL!$C$15, $D$11, 100%, $F$11)</f>
        <v>13.2149</v>
      </c>
      <c r="E517" s="12">
        <f>CHOOSE( CONTROL!$C$32, 13.1998, 13.1962) * CHOOSE( CONTROL!$C$15, $D$11, 100%, $F$11)</f>
        <v>13.1998</v>
      </c>
      <c r="F517" s="4">
        <f>CHOOSE( CONTROL!$C$32, 13.9118, 13.9081) * CHOOSE(CONTROL!$C$15, $D$11, 100%, $F$11)</f>
        <v>13.911799999999999</v>
      </c>
      <c r="G517" s="8">
        <f>CHOOSE( CONTROL!$C$32, 13.0211, 13.0175) * CHOOSE( CONTROL!$C$15, $D$11, 100%, $F$11)</f>
        <v>13.021100000000001</v>
      </c>
      <c r="H517" s="4">
        <f>CHOOSE( CONTROL!$C$32, 13.9955, 13.9919) * CHOOSE(CONTROL!$C$15, $D$11, 100%, $F$11)</f>
        <v>13.9955</v>
      </c>
      <c r="I517" s="8">
        <f>CHOOSE( CONTROL!$C$32, 12.9195, 12.9159) * CHOOSE(CONTROL!$C$15, $D$11, 100%, $F$11)</f>
        <v>12.919499999999999</v>
      </c>
      <c r="J517" s="4">
        <f>CHOOSE( CONTROL!$C$32, 12.7694, 12.7659) * CHOOSE(CONTROL!$C$15, $D$11, 100%, $F$11)</f>
        <v>12.769399999999999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13.7477 * CHOOSE(CONTROL!$C$15, $D$11, 100%, $F$11)</f>
        <v>13.7477</v>
      </c>
      <c r="C518" s="8">
        <f>13.7531 * CHOOSE(CONTROL!$C$15, $D$11, 100%, $F$11)</f>
        <v>13.7531</v>
      </c>
      <c r="D518" s="8">
        <f>13.7966 * CHOOSE( CONTROL!$C$15, $D$11, 100%, $F$11)</f>
        <v>13.7966</v>
      </c>
      <c r="E518" s="12">
        <f>13.7817 * CHOOSE( CONTROL!$C$15, $D$11, 100%, $F$11)</f>
        <v>13.781700000000001</v>
      </c>
      <c r="F518" s="4">
        <f>14.4925 * CHOOSE(CONTROL!$C$15, $D$11, 100%, $F$11)</f>
        <v>14.4925</v>
      </c>
      <c r="G518" s="8">
        <f>13.5945 * CHOOSE( CONTROL!$C$15, $D$11, 100%, $F$11)</f>
        <v>13.5945</v>
      </c>
      <c r="H518" s="4">
        <f>14.5694 * CHOOSE(CONTROL!$C$15, $D$11, 100%, $F$11)</f>
        <v>14.5694</v>
      </c>
      <c r="I518" s="8">
        <f>13.4841 * CHOOSE(CONTROL!$C$15, $D$11, 100%, $F$11)</f>
        <v>13.4841</v>
      </c>
      <c r="J518" s="4">
        <f>13.333 * CHOOSE(CONTROL!$C$15, $D$11, 100%, $F$11)</f>
        <v>13.333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14.8259 * CHOOSE(CONTROL!$C$15, $D$11, 100%, $F$11)</f>
        <v>14.825900000000001</v>
      </c>
      <c r="C519" s="8">
        <f>14.831 * CHOOSE(CONTROL!$C$15, $D$11, 100%, $F$11)</f>
        <v>14.831</v>
      </c>
      <c r="D519" s="8">
        <f>14.8146 * CHOOSE( CONTROL!$C$15, $D$11, 100%, $F$11)</f>
        <v>14.8146</v>
      </c>
      <c r="E519" s="12">
        <f>14.8201 * CHOOSE( CONTROL!$C$15, $D$11, 100%, $F$11)</f>
        <v>14.8201</v>
      </c>
      <c r="F519" s="4">
        <f>15.4912 * CHOOSE(CONTROL!$C$15, $D$11, 100%, $F$11)</f>
        <v>15.491199999999999</v>
      </c>
      <c r="G519" s="8">
        <f>14.661 * CHOOSE( CONTROL!$C$15, $D$11, 100%, $F$11)</f>
        <v>14.661</v>
      </c>
      <c r="H519" s="4">
        <f>15.5564 * CHOOSE(CONTROL!$C$15, $D$11, 100%, $F$11)</f>
        <v>15.5564</v>
      </c>
      <c r="I519" s="8">
        <f>14.5315 * CHOOSE(CONTROL!$C$15, $D$11, 100%, $F$11)</f>
        <v>14.531499999999999</v>
      </c>
      <c r="J519" s="4">
        <f>14.3798 * CHOOSE(CONTROL!$C$15, $D$11, 100%, $F$11)</f>
        <v>14.379799999999999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14.799 * CHOOSE(CONTROL!$C$15, $D$11, 100%, $F$11)</f>
        <v>14.798999999999999</v>
      </c>
      <c r="C520" s="8">
        <f>14.804 * CHOOSE(CONTROL!$C$15, $D$11, 100%, $F$11)</f>
        <v>14.804</v>
      </c>
      <c r="D520" s="8">
        <f>14.7894 * CHOOSE( CONTROL!$C$15, $D$11, 100%, $F$11)</f>
        <v>14.789400000000001</v>
      </c>
      <c r="E520" s="12">
        <f>14.7942 * CHOOSE( CONTROL!$C$15, $D$11, 100%, $F$11)</f>
        <v>14.7942</v>
      </c>
      <c r="F520" s="4">
        <f>15.4642 * CHOOSE(CONTROL!$C$15, $D$11, 100%, $F$11)</f>
        <v>15.4642</v>
      </c>
      <c r="G520" s="8">
        <f>14.6356 * CHOOSE( CONTROL!$C$15, $D$11, 100%, $F$11)</f>
        <v>14.6356</v>
      </c>
      <c r="H520" s="4">
        <f>15.5298 * CHOOSE(CONTROL!$C$15, $D$11, 100%, $F$11)</f>
        <v>15.5298</v>
      </c>
      <c r="I520" s="8">
        <f>14.5107 * CHOOSE(CONTROL!$C$15, $D$11, 100%, $F$11)</f>
        <v>14.5107</v>
      </c>
      <c r="J520" s="4">
        <f>14.3536 * CHOOSE(CONTROL!$C$15, $D$11, 100%, $F$11)</f>
        <v>14.3536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15.2352 * CHOOSE(CONTROL!$C$15, $D$11, 100%, $F$11)</f>
        <v>15.235200000000001</v>
      </c>
      <c r="C521" s="8">
        <f>15.2403 * CHOOSE(CONTROL!$C$15, $D$11, 100%, $F$11)</f>
        <v>15.2403</v>
      </c>
      <c r="D521" s="8">
        <f>15.2114 * CHOOSE( CONTROL!$C$15, $D$11, 100%, $F$11)</f>
        <v>15.211399999999999</v>
      </c>
      <c r="E521" s="12">
        <f>15.2214 * CHOOSE( CONTROL!$C$15, $D$11, 100%, $F$11)</f>
        <v>15.221399999999999</v>
      </c>
      <c r="F521" s="4">
        <f>15.9005 * CHOOSE(CONTROL!$C$15, $D$11, 100%, $F$11)</f>
        <v>15.900499999999999</v>
      </c>
      <c r="G521" s="8">
        <f>15.0565 * CHOOSE( CONTROL!$C$15, $D$11, 100%, $F$11)</f>
        <v>15.0565</v>
      </c>
      <c r="H521" s="4">
        <f>15.9609 * CHOOSE(CONTROL!$C$15, $D$11, 100%, $F$11)</f>
        <v>15.960900000000001</v>
      </c>
      <c r="I521" s="8">
        <f>14.9289 * CHOOSE(CONTROL!$C$15, $D$11, 100%, $F$11)</f>
        <v>14.928900000000001</v>
      </c>
      <c r="J521" s="4">
        <f>14.777 * CHOOSE(CONTROL!$C$15, $D$11, 100%, $F$11)</f>
        <v>14.776999999999999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14.2509 * CHOOSE(CONTROL!$C$15, $D$11, 100%, $F$11)</f>
        <v>14.2509</v>
      </c>
      <c r="C522" s="8">
        <f>14.2559 * CHOOSE(CONTROL!$C$15, $D$11, 100%, $F$11)</f>
        <v>14.2559</v>
      </c>
      <c r="D522" s="8">
        <f>14.227 * CHOOSE( CONTROL!$C$15, $D$11, 100%, $F$11)</f>
        <v>14.227</v>
      </c>
      <c r="E522" s="12">
        <f>14.237 * CHOOSE( CONTROL!$C$15, $D$11, 100%, $F$11)</f>
        <v>14.237</v>
      </c>
      <c r="F522" s="4">
        <f>14.9161 * CHOOSE(CONTROL!$C$15, $D$11, 100%, $F$11)</f>
        <v>14.9161</v>
      </c>
      <c r="G522" s="8">
        <f>14.0837 * CHOOSE( CONTROL!$C$15, $D$11, 100%, $F$11)</f>
        <v>14.0837</v>
      </c>
      <c r="H522" s="4">
        <f>14.9881 * CHOOSE(CONTROL!$C$15, $D$11, 100%, $F$11)</f>
        <v>14.988099999999999</v>
      </c>
      <c r="I522" s="8">
        <f>13.9731 * CHOOSE(CONTROL!$C$15, $D$11, 100%, $F$11)</f>
        <v>13.973100000000001</v>
      </c>
      <c r="J522" s="4">
        <f>13.8217 * CHOOSE(CONTROL!$C$15, $D$11, 100%, $F$11)</f>
        <v>13.8217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13.9477 * CHOOSE(CONTROL!$C$15, $D$11, 100%, $F$11)</f>
        <v>13.947699999999999</v>
      </c>
      <c r="C523" s="8">
        <f>13.9528 * CHOOSE(CONTROL!$C$15, $D$11, 100%, $F$11)</f>
        <v>13.9528</v>
      </c>
      <c r="D523" s="8">
        <f>13.9235 * CHOOSE( CONTROL!$C$15, $D$11, 100%, $F$11)</f>
        <v>13.923500000000001</v>
      </c>
      <c r="E523" s="12">
        <f>13.9337 * CHOOSE( CONTROL!$C$15, $D$11, 100%, $F$11)</f>
        <v>13.9337</v>
      </c>
      <c r="F523" s="4">
        <f>14.613 * CHOOSE(CONTROL!$C$15, $D$11, 100%, $F$11)</f>
        <v>14.613</v>
      </c>
      <c r="G523" s="8">
        <f>13.7838 * CHOOSE( CONTROL!$C$15, $D$11, 100%, $F$11)</f>
        <v>13.783799999999999</v>
      </c>
      <c r="H523" s="4">
        <f>14.6885 * CHOOSE(CONTROL!$C$15, $D$11, 100%, $F$11)</f>
        <v>14.688499999999999</v>
      </c>
      <c r="I523" s="8">
        <f>13.6775 * CHOOSE(CONTROL!$C$15, $D$11, 100%, $F$11)</f>
        <v>13.6775</v>
      </c>
      <c r="J523" s="4">
        <f>13.5275 * CHOOSE(CONTROL!$C$15, $D$11, 100%, $F$11)</f>
        <v>13.5275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14.1603 * CHOOSE(CONTROL!$C$15, $D$11, 100%, $F$11)</f>
        <v>14.160299999999999</v>
      </c>
      <c r="C524" s="8">
        <f>14.1648 * CHOOSE(CONTROL!$C$15, $D$11, 100%, $F$11)</f>
        <v>14.1648</v>
      </c>
      <c r="D524" s="8">
        <f>14.2082 * CHOOSE( CONTROL!$C$15, $D$11, 100%, $F$11)</f>
        <v>14.2082</v>
      </c>
      <c r="E524" s="12">
        <f>14.1934 * CHOOSE( CONTROL!$C$15, $D$11, 100%, $F$11)</f>
        <v>14.1934</v>
      </c>
      <c r="F524" s="4">
        <f>14.9047 * CHOOSE(CONTROL!$C$15, $D$11, 100%, $F$11)</f>
        <v>14.9047</v>
      </c>
      <c r="G524" s="8">
        <f>14.0009 * CHOOSE( CONTROL!$C$15, $D$11, 100%, $F$11)</f>
        <v>14.0009</v>
      </c>
      <c r="H524" s="4">
        <f>14.9768 * CHOOSE(CONTROL!$C$15, $D$11, 100%, $F$11)</f>
        <v>14.976800000000001</v>
      </c>
      <c r="I524" s="8">
        <f>13.8814 * CHOOSE(CONTROL!$C$15, $D$11, 100%, $F$11)</f>
        <v>13.881399999999999</v>
      </c>
      <c r="J524" s="4">
        <f>13.7331 * CHOOSE(CONTROL!$C$15, $D$11, 100%, $F$11)</f>
        <v>13.7331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14.5424, 14.5387) * CHOOSE(CONTROL!$C$15, $D$11, 100%, $F$11)</f>
        <v>14.542400000000001</v>
      </c>
      <c r="C525" s="8">
        <f>CHOOSE( CONTROL!$C$32, 14.5503, 14.5467) * CHOOSE(CONTROL!$C$15, $D$11, 100%, $F$11)</f>
        <v>14.5503</v>
      </c>
      <c r="D525" s="8">
        <f>CHOOSE( CONTROL!$C$32, 14.5881, 14.5844) * CHOOSE( CONTROL!$C$15, $D$11, 100%, $F$11)</f>
        <v>14.588100000000001</v>
      </c>
      <c r="E525" s="12">
        <f>CHOOSE( CONTROL!$C$32, 14.5732, 14.5695) * CHOOSE( CONTROL!$C$15, $D$11, 100%, $F$11)</f>
        <v>14.5732</v>
      </c>
      <c r="F525" s="4">
        <f>CHOOSE( CONTROL!$C$32, 15.2854, 15.2817) * CHOOSE(CONTROL!$C$15, $D$11, 100%, $F$11)</f>
        <v>15.285399999999999</v>
      </c>
      <c r="G525" s="8">
        <f>CHOOSE( CONTROL!$C$32, 14.378, 14.3744) * CHOOSE( CONTROL!$C$15, $D$11, 100%, $F$11)</f>
        <v>14.378</v>
      </c>
      <c r="H525" s="4">
        <f>CHOOSE( CONTROL!$C$32, 15.353, 15.3494) * CHOOSE(CONTROL!$C$15, $D$11, 100%, $F$11)</f>
        <v>15.353</v>
      </c>
      <c r="I525" s="8">
        <f>CHOOSE( CONTROL!$C$32, 14.2511, 14.2476) * CHOOSE(CONTROL!$C$15, $D$11, 100%, $F$11)</f>
        <v>14.251099999999999</v>
      </c>
      <c r="J525" s="4">
        <f>CHOOSE( CONTROL!$C$32, 14.1025, 14.099) * CHOOSE(CONTROL!$C$15, $D$11, 100%, $F$11)</f>
        <v>14.102499999999999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14.3088, 14.3051) * CHOOSE(CONTROL!$C$15, $D$11, 100%, $F$11)</f>
        <v>14.3088</v>
      </c>
      <c r="C526" s="8">
        <f>CHOOSE( CONTROL!$C$32, 14.3168, 14.3131) * CHOOSE(CONTROL!$C$15, $D$11, 100%, $F$11)</f>
        <v>14.316800000000001</v>
      </c>
      <c r="D526" s="8">
        <f>CHOOSE( CONTROL!$C$32, 14.3547, 14.3511) * CHOOSE( CONTROL!$C$15, $D$11, 100%, $F$11)</f>
        <v>14.354699999999999</v>
      </c>
      <c r="E526" s="12">
        <f>CHOOSE( CONTROL!$C$32, 14.3397, 14.3361) * CHOOSE( CONTROL!$C$15, $D$11, 100%, $F$11)</f>
        <v>14.339700000000001</v>
      </c>
      <c r="F526" s="4">
        <f>CHOOSE( CONTROL!$C$32, 15.0518, 15.0482) * CHOOSE(CONTROL!$C$15, $D$11, 100%, $F$11)</f>
        <v>15.0518</v>
      </c>
      <c r="G526" s="8">
        <f>CHOOSE( CONTROL!$C$32, 14.1474, 14.1438) * CHOOSE( CONTROL!$C$15, $D$11, 100%, $F$11)</f>
        <v>14.147399999999999</v>
      </c>
      <c r="H526" s="4">
        <f>CHOOSE( CONTROL!$C$32, 15.1222, 15.1186) * CHOOSE(CONTROL!$C$15, $D$11, 100%, $F$11)</f>
        <v>15.122199999999999</v>
      </c>
      <c r="I526" s="8">
        <f>CHOOSE( CONTROL!$C$32, 14.0254, 14.0219) * CHOOSE(CONTROL!$C$15, $D$11, 100%, $F$11)</f>
        <v>14.025399999999999</v>
      </c>
      <c r="J526" s="4">
        <f>CHOOSE( CONTROL!$C$32, 13.8759, 13.8723) * CHOOSE(CONTROL!$C$15, $D$11, 100%, $F$11)</f>
        <v>13.8759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14.9239, 14.9202) * CHOOSE(CONTROL!$C$15, $D$11, 100%, $F$11)</f>
        <v>14.9239</v>
      </c>
      <c r="C527" s="8">
        <f>CHOOSE( CONTROL!$C$32, 14.9318, 14.9282) * CHOOSE(CONTROL!$C$15, $D$11, 100%, $F$11)</f>
        <v>14.931800000000001</v>
      </c>
      <c r="D527" s="8">
        <f>CHOOSE( CONTROL!$C$32, 14.97, 14.9664) * CHOOSE( CONTROL!$C$15, $D$11, 100%, $F$11)</f>
        <v>14.97</v>
      </c>
      <c r="E527" s="12">
        <f>CHOOSE( CONTROL!$C$32, 14.955, 14.9513) * CHOOSE( CONTROL!$C$15, $D$11, 100%, $F$11)</f>
        <v>14.955</v>
      </c>
      <c r="F527" s="4">
        <f>CHOOSE( CONTROL!$C$32, 15.6669, 15.6632) * CHOOSE(CONTROL!$C$15, $D$11, 100%, $F$11)</f>
        <v>15.6669</v>
      </c>
      <c r="G527" s="8">
        <f>CHOOSE( CONTROL!$C$32, 14.7557, 14.7521) * CHOOSE( CONTROL!$C$15, $D$11, 100%, $F$11)</f>
        <v>14.755699999999999</v>
      </c>
      <c r="H527" s="4">
        <f>CHOOSE( CONTROL!$C$32, 15.73, 15.7264) * CHOOSE(CONTROL!$C$15, $D$11, 100%, $F$11)</f>
        <v>15.73</v>
      </c>
      <c r="I527" s="8">
        <f>CHOOSE( CONTROL!$C$32, 14.6237, 14.6202) * CHOOSE(CONTROL!$C$15, $D$11, 100%, $F$11)</f>
        <v>14.623699999999999</v>
      </c>
      <c r="J527" s="4">
        <f>CHOOSE( CONTROL!$C$32, 14.4728, 14.4693) * CHOOSE(CONTROL!$C$15, $D$11, 100%, $F$11)</f>
        <v>14.472799999999999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13.773, 13.7694) * CHOOSE(CONTROL!$C$15, $D$11, 100%, $F$11)</f>
        <v>13.773</v>
      </c>
      <c r="C528" s="8">
        <f>CHOOSE( CONTROL!$C$32, 13.781, 13.7773) * CHOOSE(CONTROL!$C$15, $D$11, 100%, $F$11)</f>
        <v>13.781000000000001</v>
      </c>
      <c r="D528" s="8">
        <f>CHOOSE( CONTROL!$C$32, 13.8192, 13.8156) * CHOOSE( CONTROL!$C$15, $D$11, 100%, $F$11)</f>
        <v>13.8192</v>
      </c>
      <c r="E528" s="12">
        <f>CHOOSE( CONTROL!$C$32, 13.8041, 13.8005) * CHOOSE( CONTROL!$C$15, $D$11, 100%, $F$11)</f>
        <v>13.8041</v>
      </c>
      <c r="F528" s="4">
        <f>CHOOSE( CONTROL!$C$32, 14.516, 14.5124) * CHOOSE(CONTROL!$C$15, $D$11, 100%, $F$11)</f>
        <v>14.516</v>
      </c>
      <c r="G528" s="8">
        <f>CHOOSE( CONTROL!$C$32, 13.6184, 13.6148) * CHOOSE( CONTROL!$C$15, $D$11, 100%, $F$11)</f>
        <v>13.618399999999999</v>
      </c>
      <c r="H528" s="4">
        <f>CHOOSE( CONTROL!$C$32, 14.5926, 14.589) * CHOOSE(CONTROL!$C$15, $D$11, 100%, $F$11)</f>
        <v>14.592599999999999</v>
      </c>
      <c r="I528" s="8">
        <f>CHOOSE( CONTROL!$C$32, 13.5066, 13.503) * CHOOSE(CONTROL!$C$15, $D$11, 100%, $F$11)</f>
        <v>13.506600000000001</v>
      </c>
      <c r="J528" s="4">
        <f>CHOOSE( CONTROL!$C$32, 13.3559, 13.3523) * CHOOSE(CONTROL!$C$15, $D$11, 100%, $F$11)</f>
        <v>13.3559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13.4848, 13.4812) * CHOOSE(CONTROL!$C$15, $D$11, 100%, $F$11)</f>
        <v>13.4848</v>
      </c>
      <c r="C529" s="8">
        <f>CHOOSE( CONTROL!$C$32, 13.4928, 13.4891) * CHOOSE(CONTROL!$C$15, $D$11, 100%, $F$11)</f>
        <v>13.492800000000001</v>
      </c>
      <c r="D529" s="8">
        <f>CHOOSE( CONTROL!$C$32, 13.531, 13.5273) * CHOOSE( CONTROL!$C$15, $D$11, 100%, $F$11)</f>
        <v>13.531000000000001</v>
      </c>
      <c r="E529" s="12">
        <f>CHOOSE( CONTROL!$C$32, 13.5159, 13.5123) * CHOOSE( CONTROL!$C$15, $D$11, 100%, $F$11)</f>
        <v>13.5159</v>
      </c>
      <c r="F529" s="4">
        <f>CHOOSE( CONTROL!$C$32, 14.2278, 14.2242) * CHOOSE(CONTROL!$C$15, $D$11, 100%, $F$11)</f>
        <v>14.2278</v>
      </c>
      <c r="G529" s="8">
        <f>CHOOSE( CONTROL!$C$32, 13.3334, 13.3298) * CHOOSE( CONTROL!$C$15, $D$11, 100%, $F$11)</f>
        <v>13.333399999999999</v>
      </c>
      <c r="H529" s="4">
        <f>CHOOSE( CONTROL!$C$32, 14.3078, 14.3042) * CHOOSE(CONTROL!$C$15, $D$11, 100%, $F$11)</f>
        <v>14.3078</v>
      </c>
      <c r="I529" s="8">
        <f>CHOOSE( CONTROL!$C$32, 13.2264, 13.2228) * CHOOSE(CONTROL!$C$15, $D$11, 100%, $F$11)</f>
        <v>13.2264</v>
      </c>
      <c r="J529" s="4">
        <f>CHOOSE( CONTROL!$C$32, 13.0762, 13.0726) * CHOOSE(CONTROL!$C$15, $D$11, 100%, $F$11)</f>
        <v>13.0762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14.0778 * CHOOSE(CONTROL!$C$15, $D$11, 100%, $F$11)</f>
        <v>14.0778</v>
      </c>
      <c r="C530" s="8">
        <f>14.0831 * CHOOSE(CONTROL!$C$15, $D$11, 100%, $F$11)</f>
        <v>14.0831</v>
      </c>
      <c r="D530" s="8">
        <f>14.1267 * CHOOSE( CONTROL!$C$15, $D$11, 100%, $F$11)</f>
        <v>14.1267</v>
      </c>
      <c r="E530" s="12">
        <f>14.1117 * CHOOSE( CONTROL!$C$15, $D$11, 100%, $F$11)</f>
        <v>14.111700000000001</v>
      </c>
      <c r="F530" s="4">
        <f>14.8225 * CHOOSE(CONTROL!$C$15, $D$11, 100%, $F$11)</f>
        <v>14.8225</v>
      </c>
      <c r="G530" s="8">
        <f>13.9207 * CHOOSE( CONTROL!$C$15, $D$11, 100%, $F$11)</f>
        <v>13.9207</v>
      </c>
      <c r="H530" s="4">
        <f>14.8956 * CHOOSE(CONTROL!$C$15, $D$11, 100%, $F$11)</f>
        <v>14.8956</v>
      </c>
      <c r="I530" s="8">
        <f>13.8046 * CHOOSE(CONTROL!$C$15, $D$11, 100%, $F$11)</f>
        <v>13.804600000000001</v>
      </c>
      <c r="J530" s="4">
        <f>13.6534 * CHOOSE(CONTROL!$C$15, $D$11, 100%, $F$11)</f>
        <v>13.6534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15.1819 * CHOOSE(CONTROL!$C$15, $D$11, 100%, $F$11)</f>
        <v>15.181900000000001</v>
      </c>
      <c r="C531" s="8">
        <f>15.187 * CHOOSE(CONTROL!$C$15, $D$11, 100%, $F$11)</f>
        <v>15.186999999999999</v>
      </c>
      <c r="D531" s="8">
        <f>15.1706 * CHOOSE( CONTROL!$C$15, $D$11, 100%, $F$11)</f>
        <v>15.1706</v>
      </c>
      <c r="E531" s="12">
        <f>15.1761 * CHOOSE( CONTROL!$C$15, $D$11, 100%, $F$11)</f>
        <v>15.1761</v>
      </c>
      <c r="F531" s="4">
        <f>15.8472 * CHOOSE(CONTROL!$C$15, $D$11, 100%, $F$11)</f>
        <v>15.847200000000001</v>
      </c>
      <c r="G531" s="8">
        <f>15.0129 * CHOOSE( CONTROL!$C$15, $D$11, 100%, $F$11)</f>
        <v>15.0129</v>
      </c>
      <c r="H531" s="4">
        <f>15.9083 * CHOOSE(CONTROL!$C$15, $D$11, 100%, $F$11)</f>
        <v>15.908300000000001</v>
      </c>
      <c r="I531" s="8">
        <f>14.8771 * CHOOSE(CONTROL!$C$15, $D$11, 100%, $F$11)</f>
        <v>14.8771</v>
      </c>
      <c r="J531" s="4">
        <f>14.7253 * CHOOSE(CONTROL!$C$15, $D$11, 100%, $F$11)</f>
        <v>14.725300000000001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15.1543 * CHOOSE(CONTROL!$C$15, $D$11, 100%, $F$11)</f>
        <v>15.154299999999999</v>
      </c>
      <c r="C532" s="8">
        <f>15.1594 * CHOOSE(CONTROL!$C$15, $D$11, 100%, $F$11)</f>
        <v>15.1594</v>
      </c>
      <c r="D532" s="8">
        <f>15.1448 * CHOOSE( CONTROL!$C$15, $D$11, 100%, $F$11)</f>
        <v>15.1448</v>
      </c>
      <c r="E532" s="12">
        <f>15.1496 * CHOOSE( CONTROL!$C$15, $D$11, 100%, $F$11)</f>
        <v>15.1496</v>
      </c>
      <c r="F532" s="4">
        <f>15.8196 * CHOOSE(CONTROL!$C$15, $D$11, 100%, $F$11)</f>
        <v>15.819599999999999</v>
      </c>
      <c r="G532" s="8">
        <f>14.9868 * CHOOSE( CONTROL!$C$15, $D$11, 100%, $F$11)</f>
        <v>14.986800000000001</v>
      </c>
      <c r="H532" s="4">
        <f>15.881 * CHOOSE(CONTROL!$C$15, $D$11, 100%, $F$11)</f>
        <v>15.881</v>
      </c>
      <c r="I532" s="8">
        <f>14.8557 * CHOOSE(CONTROL!$C$15, $D$11, 100%, $F$11)</f>
        <v>14.855700000000001</v>
      </c>
      <c r="J532" s="4">
        <f>14.6985 * CHOOSE(CONTROL!$C$15, $D$11, 100%, $F$11)</f>
        <v>14.698499999999999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15.6011 * CHOOSE(CONTROL!$C$15, $D$11, 100%, $F$11)</f>
        <v>15.601100000000001</v>
      </c>
      <c r="C533" s="8">
        <f>15.6061 * CHOOSE(CONTROL!$C$15, $D$11, 100%, $F$11)</f>
        <v>15.6061</v>
      </c>
      <c r="D533" s="8">
        <f>15.5772 * CHOOSE( CONTROL!$C$15, $D$11, 100%, $F$11)</f>
        <v>15.577199999999999</v>
      </c>
      <c r="E533" s="12">
        <f>15.5872 * CHOOSE( CONTROL!$C$15, $D$11, 100%, $F$11)</f>
        <v>15.587199999999999</v>
      </c>
      <c r="F533" s="4">
        <f>16.2663 * CHOOSE(CONTROL!$C$15, $D$11, 100%, $F$11)</f>
        <v>16.266300000000001</v>
      </c>
      <c r="G533" s="8">
        <f>15.4181 * CHOOSE( CONTROL!$C$15, $D$11, 100%, $F$11)</f>
        <v>15.418100000000001</v>
      </c>
      <c r="H533" s="4">
        <f>16.3225 * CHOOSE(CONTROL!$C$15, $D$11, 100%, $F$11)</f>
        <v>16.322500000000002</v>
      </c>
      <c r="I533" s="8">
        <f>15.2841 * CHOOSE(CONTROL!$C$15, $D$11, 100%, $F$11)</f>
        <v>15.2841</v>
      </c>
      <c r="J533" s="4">
        <f>15.1321 * CHOOSE(CONTROL!$C$15, $D$11, 100%, $F$11)</f>
        <v>15.132099999999999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14.5931 * CHOOSE(CONTROL!$C$15, $D$11, 100%, $F$11)</f>
        <v>14.5931</v>
      </c>
      <c r="C534" s="8">
        <f>14.5981 * CHOOSE(CONTROL!$C$15, $D$11, 100%, $F$11)</f>
        <v>14.598100000000001</v>
      </c>
      <c r="D534" s="8">
        <f>14.5692 * CHOOSE( CONTROL!$C$15, $D$11, 100%, $F$11)</f>
        <v>14.5692</v>
      </c>
      <c r="E534" s="12">
        <f>14.5792 * CHOOSE( CONTROL!$C$15, $D$11, 100%, $F$11)</f>
        <v>14.5792</v>
      </c>
      <c r="F534" s="4">
        <f>15.2583 * CHOOSE(CONTROL!$C$15, $D$11, 100%, $F$11)</f>
        <v>15.2583</v>
      </c>
      <c r="G534" s="8">
        <f>14.4219 * CHOOSE( CONTROL!$C$15, $D$11, 100%, $F$11)</f>
        <v>14.421900000000001</v>
      </c>
      <c r="H534" s="4">
        <f>15.3263 * CHOOSE(CONTROL!$C$15, $D$11, 100%, $F$11)</f>
        <v>15.3263</v>
      </c>
      <c r="I534" s="8">
        <f>14.3053 * CHOOSE(CONTROL!$C$15, $D$11, 100%, $F$11)</f>
        <v>14.305300000000001</v>
      </c>
      <c r="J534" s="4">
        <f>14.1538 * CHOOSE(CONTROL!$C$15, $D$11, 100%, $F$11)</f>
        <v>14.1538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14.2826 * CHOOSE(CONTROL!$C$15, $D$11, 100%, $F$11)</f>
        <v>14.2826</v>
      </c>
      <c r="C535" s="8">
        <f>14.2877 * CHOOSE(CONTROL!$C$15, $D$11, 100%, $F$11)</f>
        <v>14.287699999999999</v>
      </c>
      <c r="D535" s="8">
        <f>14.2584 * CHOOSE( CONTROL!$C$15, $D$11, 100%, $F$11)</f>
        <v>14.2584</v>
      </c>
      <c r="E535" s="12">
        <f>14.2686 * CHOOSE( CONTROL!$C$15, $D$11, 100%, $F$11)</f>
        <v>14.268599999999999</v>
      </c>
      <c r="F535" s="4">
        <f>14.9479 * CHOOSE(CONTROL!$C$15, $D$11, 100%, $F$11)</f>
        <v>14.947900000000001</v>
      </c>
      <c r="G535" s="8">
        <f>14.1147 * CHOOSE( CONTROL!$C$15, $D$11, 100%, $F$11)</f>
        <v>14.114699999999999</v>
      </c>
      <c r="H535" s="4">
        <f>15.0195 * CHOOSE(CONTROL!$C$15, $D$11, 100%, $F$11)</f>
        <v>15.019500000000001</v>
      </c>
      <c r="I535" s="8">
        <f>14.0027 * CHOOSE(CONTROL!$C$15, $D$11, 100%, $F$11)</f>
        <v>14.002700000000001</v>
      </c>
      <c r="J535" s="4">
        <f>13.8525 * CHOOSE(CONTROL!$C$15, $D$11, 100%, $F$11)</f>
        <v>13.852499999999999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14.5003 * CHOOSE(CONTROL!$C$15, $D$11, 100%, $F$11)</f>
        <v>14.500299999999999</v>
      </c>
      <c r="C536" s="8">
        <f>14.5048 * CHOOSE(CONTROL!$C$15, $D$11, 100%, $F$11)</f>
        <v>14.504799999999999</v>
      </c>
      <c r="D536" s="8">
        <f>14.5482 * CHOOSE( CONTROL!$C$15, $D$11, 100%, $F$11)</f>
        <v>14.5482</v>
      </c>
      <c r="E536" s="12">
        <f>14.5334 * CHOOSE( CONTROL!$C$15, $D$11, 100%, $F$11)</f>
        <v>14.5334</v>
      </c>
      <c r="F536" s="4">
        <f>15.2447 * CHOOSE(CONTROL!$C$15, $D$11, 100%, $F$11)</f>
        <v>15.2447</v>
      </c>
      <c r="G536" s="8">
        <f>14.3369 * CHOOSE( CONTROL!$C$15, $D$11, 100%, $F$11)</f>
        <v>14.3369</v>
      </c>
      <c r="H536" s="4">
        <f>15.3128 * CHOOSE(CONTROL!$C$15, $D$11, 100%, $F$11)</f>
        <v>15.312799999999999</v>
      </c>
      <c r="I536" s="8">
        <f>14.2115 * CHOOSE(CONTROL!$C$15, $D$11, 100%, $F$11)</f>
        <v>14.211499999999999</v>
      </c>
      <c r="J536" s="4">
        <f>14.063 * CHOOSE(CONTROL!$C$15, $D$11, 100%, $F$11)</f>
        <v>14.063000000000001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14.8914, 14.8878) * CHOOSE(CONTROL!$C$15, $D$11, 100%, $F$11)</f>
        <v>14.891400000000001</v>
      </c>
      <c r="C537" s="8">
        <f>CHOOSE( CONTROL!$C$32, 14.8994, 14.8958) * CHOOSE(CONTROL!$C$15, $D$11, 100%, $F$11)</f>
        <v>14.8994</v>
      </c>
      <c r="D537" s="8">
        <f>CHOOSE( CONTROL!$C$32, 14.9371, 14.9335) * CHOOSE( CONTROL!$C$15, $D$11, 100%, $F$11)</f>
        <v>14.937099999999999</v>
      </c>
      <c r="E537" s="12">
        <f>CHOOSE( CONTROL!$C$32, 14.9222, 14.9186) * CHOOSE( CONTROL!$C$15, $D$11, 100%, $F$11)</f>
        <v>14.9222</v>
      </c>
      <c r="F537" s="4">
        <f>CHOOSE( CONTROL!$C$32, 15.6344, 15.6308) * CHOOSE(CONTROL!$C$15, $D$11, 100%, $F$11)</f>
        <v>15.634399999999999</v>
      </c>
      <c r="G537" s="8">
        <f>CHOOSE( CONTROL!$C$32, 14.7229, 14.7193) * CHOOSE( CONTROL!$C$15, $D$11, 100%, $F$11)</f>
        <v>14.722899999999999</v>
      </c>
      <c r="H537" s="4">
        <f>CHOOSE( CONTROL!$C$32, 15.698, 15.6944) * CHOOSE(CONTROL!$C$15, $D$11, 100%, $F$11)</f>
        <v>15.698</v>
      </c>
      <c r="I537" s="8">
        <f>CHOOSE( CONTROL!$C$32, 14.5901, 14.5865) * CHOOSE(CONTROL!$C$15, $D$11, 100%, $F$11)</f>
        <v>14.5901</v>
      </c>
      <c r="J537" s="4">
        <f>CHOOSE( CONTROL!$C$32, 14.4413, 14.4378) * CHOOSE(CONTROL!$C$15, $D$11, 100%, $F$11)</f>
        <v>14.4413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14.6522, 14.6486) * CHOOSE(CONTROL!$C$15, $D$11, 100%, $F$11)</f>
        <v>14.652200000000001</v>
      </c>
      <c r="C538" s="8">
        <f>CHOOSE( CONTROL!$C$32, 14.6602, 14.6566) * CHOOSE(CONTROL!$C$15, $D$11, 100%, $F$11)</f>
        <v>14.6602</v>
      </c>
      <c r="D538" s="8">
        <f>CHOOSE( CONTROL!$C$32, 14.6982, 14.6945) * CHOOSE( CONTROL!$C$15, $D$11, 100%, $F$11)</f>
        <v>14.6982</v>
      </c>
      <c r="E538" s="12">
        <f>CHOOSE( CONTROL!$C$32, 14.6832, 14.6795) * CHOOSE( CONTROL!$C$15, $D$11, 100%, $F$11)</f>
        <v>14.683199999999999</v>
      </c>
      <c r="F538" s="4">
        <f>CHOOSE( CONTROL!$C$32, 15.3952, 15.3916) * CHOOSE(CONTROL!$C$15, $D$11, 100%, $F$11)</f>
        <v>15.395200000000001</v>
      </c>
      <c r="G538" s="8">
        <f>CHOOSE( CONTROL!$C$32, 14.4869, 14.4833) * CHOOSE( CONTROL!$C$15, $D$11, 100%, $F$11)</f>
        <v>14.4869</v>
      </c>
      <c r="H538" s="4">
        <f>CHOOSE( CONTROL!$C$32, 15.4616, 15.458) * CHOOSE(CONTROL!$C$15, $D$11, 100%, $F$11)</f>
        <v>15.461600000000001</v>
      </c>
      <c r="I538" s="8">
        <f>CHOOSE( CONTROL!$C$32, 14.3589, 14.3553) * CHOOSE(CONTROL!$C$15, $D$11, 100%, $F$11)</f>
        <v>14.3589</v>
      </c>
      <c r="J538" s="4">
        <f>CHOOSE( CONTROL!$C$32, 14.2092, 14.2056) * CHOOSE(CONTROL!$C$15, $D$11, 100%, $F$11)</f>
        <v>14.209199999999999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15.2821, 15.2784) * CHOOSE(CONTROL!$C$15, $D$11, 100%, $F$11)</f>
        <v>15.2821</v>
      </c>
      <c r="C539" s="8">
        <f>CHOOSE( CONTROL!$C$32, 15.2901, 15.2864) * CHOOSE(CONTROL!$C$15, $D$11, 100%, $F$11)</f>
        <v>15.290100000000001</v>
      </c>
      <c r="D539" s="8">
        <f>CHOOSE( CONTROL!$C$32, 15.3283, 15.3246) * CHOOSE( CONTROL!$C$15, $D$11, 100%, $F$11)</f>
        <v>15.3283</v>
      </c>
      <c r="E539" s="12">
        <f>CHOOSE( CONTROL!$C$32, 15.3132, 15.3095) * CHOOSE( CONTROL!$C$15, $D$11, 100%, $F$11)</f>
        <v>15.3132</v>
      </c>
      <c r="F539" s="4">
        <f>CHOOSE( CONTROL!$C$32, 16.0251, 16.0215) * CHOOSE(CONTROL!$C$15, $D$11, 100%, $F$11)</f>
        <v>16.025099999999998</v>
      </c>
      <c r="G539" s="8">
        <f>CHOOSE( CONTROL!$C$32, 15.1097, 15.1061) * CHOOSE( CONTROL!$C$15, $D$11, 100%, $F$11)</f>
        <v>15.1097</v>
      </c>
      <c r="H539" s="4">
        <f>CHOOSE( CONTROL!$C$32, 16.0841, 16.0805) * CHOOSE(CONTROL!$C$15, $D$11, 100%, $F$11)</f>
        <v>16.084099999999999</v>
      </c>
      <c r="I539" s="8">
        <f>CHOOSE( CONTROL!$C$32, 14.9716, 14.968) * CHOOSE(CONTROL!$C$15, $D$11, 100%, $F$11)</f>
        <v>14.9716</v>
      </c>
      <c r="J539" s="4">
        <f>CHOOSE( CONTROL!$C$32, 14.8204, 14.8169) * CHOOSE(CONTROL!$C$15, $D$11, 100%, $F$11)</f>
        <v>14.820399999999999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14.1036, 14.0999) * CHOOSE(CONTROL!$C$15, $D$11, 100%, $F$11)</f>
        <v>14.1036</v>
      </c>
      <c r="C540" s="8">
        <f>CHOOSE( CONTROL!$C$32, 14.1115, 14.1079) * CHOOSE(CONTROL!$C$15, $D$11, 100%, $F$11)</f>
        <v>14.111499999999999</v>
      </c>
      <c r="D540" s="8">
        <f>CHOOSE( CONTROL!$C$32, 14.1498, 14.1462) * CHOOSE( CONTROL!$C$15, $D$11, 100%, $F$11)</f>
        <v>14.149800000000001</v>
      </c>
      <c r="E540" s="12">
        <f>CHOOSE( CONTROL!$C$32, 14.1347, 14.1311) * CHOOSE( CONTROL!$C$15, $D$11, 100%, $F$11)</f>
        <v>14.1347</v>
      </c>
      <c r="F540" s="4">
        <f>CHOOSE( CONTROL!$C$32, 14.8466, 14.8429) * CHOOSE(CONTROL!$C$15, $D$11, 100%, $F$11)</f>
        <v>14.8466</v>
      </c>
      <c r="G540" s="8">
        <f>CHOOSE( CONTROL!$C$32, 13.9451, 13.9415) * CHOOSE( CONTROL!$C$15, $D$11, 100%, $F$11)</f>
        <v>13.9451</v>
      </c>
      <c r="H540" s="4">
        <f>CHOOSE( CONTROL!$C$32, 14.9194, 14.9158) * CHOOSE(CONTROL!$C$15, $D$11, 100%, $F$11)</f>
        <v>14.9194</v>
      </c>
      <c r="I540" s="8">
        <f>CHOOSE( CONTROL!$C$32, 13.8275, 13.824) * CHOOSE(CONTROL!$C$15, $D$11, 100%, $F$11)</f>
        <v>13.827500000000001</v>
      </c>
      <c r="J540" s="4">
        <f>CHOOSE( CONTROL!$C$32, 13.6767, 13.6732) * CHOOSE(CONTROL!$C$15, $D$11, 100%, $F$11)</f>
        <v>13.6767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13.8085, 13.8048) * CHOOSE(CONTROL!$C$15, $D$11, 100%, $F$11)</f>
        <v>13.8085</v>
      </c>
      <c r="C541" s="8">
        <f>CHOOSE( CONTROL!$C$32, 13.8164, 13.8128) * CHOOSE(CONTROL!$C$15, $D$11, 100%, $F$11)</f>
        <v>13.8164</v>
      </c>
      <c r="D541" s="8">
        <f>CHOOSE( CONTROL!$C$32, 13.8546, 13.851) * CHOOSE( CONTROL!$C$15, $D$11, 100%, $F$11)</f>
        <v>13.8546</v>
      </c>
      <c r="E541" s="12">
        <f>CHOOSE( CONTROL!$C$32, 13.8396, 13.8359) * CHOOSE( CONTROL!$C$15, $D$11, 100%, $F$11)</f>
        <v>13.839600000000001</v>
      </c>
      <c r="F541" s="4">
        <f>CHOOSE( CONTROL!$C$32, 14.5515, 14.5478) * CHOOSE(CONTROL!$C$15, $D$11, 100%, $F$11)</f>
        <v>14.551500000000001</v>
      </c>
      <c r="G541" s="8">
        <f>CHOOSE( CONTROL!$C$32, 13.6533, 13.6497) * CHOOSE( CONTROL!$C$15, $D$11, 100%, $F$11)</f>
        <v>13.6533</v>
      </c>
      <c r="H541" s="4">
        <f>CHOOSE( CONTROL!$C$32, 14.6277, 14.6241) * CHOOSE(CONTROL!$C$15, $D$11, 100%, $F$11)</f>
        <v>14.627700000000001</v>
      </c>
      <c r="I541" s="8">
        <f>CHOOSE( CONTROL!$C$32, 13.5406, 13.5371) * CHOOSE(CONTROL!$C$15, $D$11, 100%, $F$11)</f>
        <v>13.5406</v>
      </c>
      <c r="J541" s="4">
        <f>CHOOSE( CONTROL!$C$32, 13.3903, 13.3867) * CHOOSE(CONTROL!$C$15, $D$11, 100%, $F$11)</f>
        <v>13.3903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14.4158 * CHOOSE(CONTROL!$C$15, $D$11, 100%, $F$11)</f>
        <v>14.415800000000001</v>
      </c>
      <c r="C542" s="8">
        <f>14.4212 * CHOOSE(CONTROL!$C$15, $D$11, 100%, $F$11)</f>
        <v>14.421200000000001</v>
      </c>
      <c r="D542" s="8">
        <f>14.4647 * CHOOSE( CONTROL!$C$15, $D$11, 100%, $F$11)</f>
        <v>14.464700000000001</v>
      </c>
      <c r="E542" s="12">
        <f>14.4498 * CHOOSE( CONTROL!$C$15, $D$11, 100%, $F$11)</f>
        <v>14.4498</v>
      </c>
      <c r="F542" s="4">
        <f>15.1606 * CHOOSE(CONTROL!$C$15, $D$11, 100%, $F$11)</f>
        <v>15.160600000000001</v>
      </c>
      <c r="G542" s="8">
        <f>14.2548 * CHOOSE( CONTROL!$C$15, $D$11, 100%, $F$11)</f>
        <v>14.254799999999999</v>
      </c>
      <c r="H542" s="4">
        <f>15.2297 * CHOOSE(CONTROL!$C$15, $D$11, 100%, $F$11)</f>
        <v>15.229699999999999</v>
      </c>
      <c r="I542" s="8">
        <f>14.1328 * CHOOSE(CONTROL!$C$15, $D$11, 100%, $F$11)</f>
        <v>14.1328</v>
      </c>
      <c r="J542" s="4">
        <f>13.9814 * CHOOSE(CONTROL!$C$15, $D$11, 100%, $F$11)</f>
        <v>13.981400000000001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15.5465 * CHOOSE(CONTROL!$C$15, $D$11, 100%, $F$11)</f>
        <v>15.5465</v>
      </c>
      <c r="C543" s="8">
        <f>15.5516 * CHOOSE(CONTROL!$C$15, $D$11, 100%, $F$11)</f>
        <v>15.551600000000001</v>
      </c>
      <c r="D543" s="8">
        <f>15.5352 * CHOOSE( CONTROL!$C$15, $D$11, 100%, $F$11)</f>
        <v>15.5352</v>
      </c>
      <c r="E543" s="12">
        <f>15.5407 * CHOOSE( CONTROL!$C$15, $D$11, 100%, $F$11)</f>
        <v>15.540699999999999</v>
      </c>
      <c r="F543" s="4">
        <f>16.2118 * CHOOSE(CONTROL!$C$15, $D$11, 100%, $F$11)</f>
        <v>16.2118</v>
      </c>
      <c r="G543" s="8">
        <f>15.3732 * CHOOSE( CONTROL!$C$15, $D$11, 100%, $F$11)</f>
        <v>15.373200000000001</v>
      </c>
      <c r="H543" s="4">
        <f>16.2685 * CHOOSE(CONTROL!$C$15, $D$11, 100%, $F$11)</f>
        <v>16.2685</v>
      </c>
      <c r="I543" s="8">
        <f>15.2311 * CHOOSE(CONTROL!$C$15, $D$11, 100%, $F$11)</f>
        <v>15.2311</v>
      </c>
      <c r="J543" s="4">
        <f>15.0791 * CHOOSE(CONTROL!$C$15, $D$11, 100%, $F$11)</f>
        <v>15.0791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15.5182 * CHOOSE(CONTROL!$C$15, $D$11, 100%, $F$11)</f>
        <v>15.5182</v>
      </c>
      <c r="C544" s="8">
        <f>15.5233 * CHOOSE(CONTROL!$C$15, $D$11, 100%, $F$11)</f>
        <v>15.523300000000001</v>
      </c>
      <c r="D544" s="8">
        <f>15.5087 * CHOOSE( CONTROL!$C$15, $D$11, 100%, $F$11)</f>
        <v>15.508699999999999</v>
      </c>
      <c r="E544" s="12">
        <f>15.5135 * CHOOSE( CONTROL!$C$15, $D$11, 100%, $F$11)</f>
        <v>15.513500000000001</v>
      </c>
      <c r="F544" s="4">
        <f>16.1835 * CHOOSE(CONTROL!$C$15, $D$11, 100%, $F$11)</f>
        <v>16.183499999999999</v>
      </c>
      <c r="G544" s="8">
        <f>15.3465 * CHOOSE( CONTROL!$C$15, $D$11, 100%, $F$11)</f>
        <v>15.346500000000001</v>
      </c>
      <c r="H544" s="4">
        <f>16.2406 * CHOOSE(CONTROL!$C$15, $D$11, 100%, $F$11)</f>
        <v>16.240600000000001</v>
      </c>
      <c r="I544" s="8">
        <f>15.2091 * CHOOSE(CONTROL!$C$15, $D$11, 100%, $F$11)</f>
        <v>15.209099999999999</v>
      </c>
      <c r="J544" s="4">
        <f>15.0517 * CHOOSE(CONTROL!$C$15, $D$11, 100%, $F$11)</f>
        <v>15.0517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15.9757 * CHOOSE(CONTROL!$C$15, $D$11, 100%, $F$11)</f>
        <v>15.9757</v>
      </c>
      <c r="C545" s="8">
        <f>15.9808 * CHOOSE(CONTROL!$C$15, $D$11, 100%, $F$11)</f>
        <v>15.9808</v>
      </c>
      <c r="D545" s="8">
        <f>15.9519 * CHOOSE( CONTROL!$C$15, $D$11, 100%, $F$11)</f>
        <v>15.9519</v>
      </c>
      <c r="E545" s="12">
        <f>15.9619 * CHOOSE( CONTROL!$C$15, $D$11, 100%, $F$11)</f>
        <v>15.9619</v>
      </c>
      <c r="F545" s="4">
        <f>16.641 * CHOOSE(CONTROL!$C$15, $D$11, 100%, $F$11)</f>
        <v>16.640999999999998</v>
      </c>
      <c r="G545" s="8">
        <f>15.7883 * CHOOSE( CONTROL!$C$15, $D$11, 100%, $F$11)</f>
        <v>15.7883</v>
      </c>
      <c r="H545" s="4">
        <f>16.6927 * CHOOSE(CONTROL!$C$15, $D$11, 100%, $F$11)</f>
        <v>16.692699999999999</v>
      </c>
      <c r="I545" s="8">
        <f>15.6479 * CHOOSE(CONTROL!$C$15, $D$11, 100%, $F$11)</f>
        <v>15.6479</v>
      </c>
      <c r="J545" s="4">
        <f>15.4957 * CHOOSE(CONTROL!$C$15, $D$11, 100%, $F$11)</f>
        <v>15.495699999999999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14.9435 * CHOOSE(CONTROL!$C$15, $D$11, 100%, $F$11)</f>
        <v>14.9435</v>
      </c>
      <c r="C546" s="8">
        <f>14.9485 * CHOOSE(CONTROL!$C$15, $D$11, 100%, $F$11)</f>
        <v>14.948499999999999</v>
      </c>
      <c r="D546" s="8">
        <f>14.9197 * CHOOSE( CONTROL!$C$15, $D$11, 100%, $F$11)</f>
        <v>14.919700000000001</v>
      </c>
      <c r="E546" s="12">
        <f>14.9297 * CHOOSE( CONTROL!$C$15, $D$11, 100%, $F$11)</f>
        <v>14.9297</v>
      </c>
      <c r="F546" s="4">
        <f>15.6088 * CHOOSE(CONTROL!$C$15, $D$11, 100%, $F$11)</f>
        <v>15.6088</v>
      </c>
      <c r="G546" s="8">
        <f>14.7682 * CHOOSE( CONTROL!$C$15, $D$11, 100%, $F$11)</f>
        <v>14.7682</v>
      </c>
      <c r="H546" s="4">
        <f>15.6726 * CHOOSE(CONTROL!$C$15, $D$11, 100%, $F$11)</f>
        <v>15.672599999999999</v>
      </c>
      <c r="I546" s="8">
        <f>14.6456 * CHOOSE(CONTROL!$C$15, $D$11, 100%, $F$11)</f>
        <v>14.6456</v>
      </c>
      <c r="J546" s="4">
        <f>14.4939 * CHOOSE(CONTROL!$C$15, $D$11, 100%, $F$11)</f>
        <v>14.4939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14.6256 * CHOOSE(CONTROL!$C$15, $D$11, 100%, $F$11)</f>
        <v>14.6256</v>
      </c>
      <c r="C547" s="8">
        <f>14.6306 * CHOOSE(CONTROL!$C$15, $D$11, 100%, $F$11)</f>
        <v>14.630599999999999</v>
      </c>
      <c r="D547" s="8">
        <f>14.6013 * CHOOSE( CONTROL!$C$15, $D$11, 100%, $F$11)</f>
        <v>14.6013</v>
      </c>
      <c r="E547" s="12">
        <f>14.6115 * CHOOSE( CONTROL!$C$15, $D$11, 100%, $F$11)</f>
        <v>14.611499999999999</v>
      </c>
      <c r="F547" s="4">
        <f>15.2908 * CHOOSE(CONTROL!$C$15, $D$11, 100%, $F$11)</f>
        <v>15.290800000000001</v>
      </c>
      <c r="G547" s="8">
        <f>14.4537 * CHOOSE( CONTROL!$C$15, $D$11, 100%, $F$11)</f>
        <v>14.4537</v>
      </c>
      <c r="H547" s="4">
        <f>15.3584 * CHOOSE(CONTROL!$C$15, $D$11, 100%, $F$11)</f>
        <v>15.3584</v>
      </c>
      <c r="I547" s="8">
        <f>14.3357 * CHOOSE(CONTROL!$C$15, $D$11, 100%, $F$11)</f>
        <v>14.335699999999999</v>
      </c>
      <c r="J547" s="4">
        <f>14.1853 * CHOOSE(CONTROL!$C$15, $D$11, 100%, $F$11)</f>
        <v>14.1853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14.8485 * CHOOSE(CONTROL!$C$15, $D$11, 100%, $F$11)</f>
        <v>14.8485</v>
      </c>
      <c r="C548" s="8">
        <f>14.853 * CHOOSE(CONTROL!$C$15, $D$11, 100%, $F$11)</f>
        <v>14.853</v>
      </c>
      <c r="D548" s="8">
        <f>14.8964 * CHOOSE( CONTROL!$C$15, $D$11, 100%, $F$11)</f>
        <v>14.8964</v>
      </c>
      <c r="E548" s="12">
        <f>14.8816 * CHOOSE( CONTROL!$C$15, $D$11, 100%, $F$11)</f>
        <v>14.881600000000001</v>
      </c>
      <c r="F548" s="4">
        <f>15.5928 * CHOOSE(CONTROL!$C$15, $D$11, 100%, $F$11)</f>
        <v>15.5928</v>
      </c>
      <c r="G548" s="8">
        <f>14.681 * CHOOSE( CONTROL!$C$15, $D$11, 100%, $F$11)</f>
        <v>14.680999999999999</v>
      </c>
      <c r="H548" s="4">
        <f>15.6569 * CHOOSE(CONTROL!$C$15, $D$11, 100%, $F$11)</f>
        <v>15.6569</v>
      </c>
      <c r="I548" s="8">
        <f>14.5496 * CHOOSE(CONTROL!$C$15, $D$11, 100%, $F$11)</f>
        <v>14.5496</v>
      </c>
      <c r="J548" s="4">
        <f>14.4009 * CHOOSE(CONTROL!$C$15, $D$11, 100%, $F$11)</f>
        <v>14.4009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15.2489, 15.2452) * CHOOSE(CONTROL!$C$15, $D$11, 100%, $F$11)</f>
        <v>15.248900000000001</v>
      </c>
      <c r="C549" s="8">
        <f>CHOOSE( CONTROL!$C$32, 15.2568, 15.2532) * CHOOSE(CONTROL!$C$15, $D$11, 100%, $F$11)</f>
        <v>15.2568</v>
      </c>
      <c r="D549" s="8">
        <f>CHOOSE( CONTROL!$C$32, 15.2946, 15.2909) * CHOOSE( CONTROL!$C$15, $D$11, 100%, $F$11)</f>
        <v>15.294600000000001</v>
      </c>
      <c r="E549" s="12">
        <f>CHOOSE( CONTROL!$C$32, 15.2797, 15.276) * CHOOSE( CONTROL!$C$15, $D$11, 100%, $F$11)</f>
        <v>15.2797</v>
      </c>
      <c r="F549" s="4">
        <f>CHOOSE( CONTROL!$C$32, 15.9919, 15.9882) * CHOOSE(CONTROL!$C$15, $D$11, 100%, $F$11)</f>
        <v>15.991899999999999</v>
      </c>
      <c r="G549" s="8">
        <f>CHOOSE( CONTROL!$C$32, 15.0762, 15.0726) * CHOOSE( CONTROL!$C$15, $D$11, 100%, $F$11)</f>
        <v>15.0762</v>
      </c>
      <c r="H549" s="4">
        <f>CHOOSE( CONTROL!$C$32, 16.0512, 16.0476) * CHOOSE(CONTROL!$C$15, $D$11, 100%, $F$11)</f>
        <v>16.051200000000001</v>
      </c>
      <c r="I549" s="8">
        <f>CHOOSE( CONTROL!$C$32, 14.9372, 14.9336) * CHOOSE(CONTROL!$C$15, $D$11, 100%, $F$11)</f>
        <v>14.937200000000001</v>
      </c>
      <c r="J549" s="4">
        <f>CHOOSE( CONTROL!$C$32, 14.7882, 14.7847) * CHOOSE(CONTROL!$C$15, $D$11, 100%, $F$11)</f>
        <v>14.7882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15.0039, 15.0003) * CHOOSE(CONTROL!$C$15, $D$11, 100%, $F$11)</f>
        <v>15.0039</v>
      </c>
      <c r="C550" s="8">
        <f>CHOOSE( CONTROL!$C$32, 15.0119, 15.0083) * CHOOSE(CONTROL!$C$15, $D$11, 100%, $F$11)</f>
        <v>15.011900000000001</v>
      </c>
      <c r="D550" s="8">
        <f>CHOOSE( CONTROL!$C$32, 15.0499, 15.0462) * CHOOSE( CONTROL!$C$15, $D$11, 100%, $F$11)</f>
        <v>15.049899999999999</v>
      </c>
      <c r="E550" s="12">
        <f>CHOOSE( CONTROL!$C$32, 15.0349, 15.0312) * CHOOSE( CONTROL!$C$15, $D$11, 100%, $F$11)</f>
        <v>15.0349</v>
      </c>
      <c r="F550" s="4">
        <f>CHOOSE( CONTROL!$C$32, 15.7469, 15.7433) * CHOOSE(CONTROL!$C$15, $D$11, 100%, $F$11)</f>
        <v>15.7469</v>
      </c>
      <c r="G550" s="8">
        <f>CHOOSE( CONTROL!$C$32, 14.8345, 14.8309) * CHOOSE( CONTROL!$C$15, $D$11, 100%, $F$11)</f>
        <v>14.8345</v>
      </c>
      <c r="H550" s="4">
        <f>CHOOSE( CONTROL!$C$32, 15.8092, 15.8056) * CHOOSE(CONTROL!$C$15, $D$11, 100%, $F$11)</f>
        <v>15.809200000000001</v>
      </c>
      <c r="I550" s="8">
        <f>CHOOSE( CONTROL!$C$32, 14.7004, 14.6968) * CHOOSE(CONTROL!$C$15, $D$11, 100%, $F$11)</f>
        <v>14.7004</v>
      </c>
      <c r="J550" s="4">
        <f>CHOOSE( CONTROL!$C$32, 14.5505, 14.547) * CHOOSE(CONTROL!$C$15, $D$11, 100%, $F$11)</f>
        <v>14.5505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15.6489, 15.6453) * CHOOSE(CONTROL!$C$15, $D$11, 100%, $F$11)</f>
        <v>15.648899999999999</v>
      </c>
      <c r="C551" s="8">
        <f>CHOOSE( CONTROL!$C$32, 15.6569, 15.6533) * CHOOSE(CONTROL!$C$15, $D$11, 100%, $F$11)</f>
        <v>15.6569</v>
      </c>
      <c r="D551" s="8">
        <f>CHOOSE( CONTROL!$C$32, 15.6951, 15.6915) * CHOOSE( CONTROL!$C$15, $D$11, 100%, $F$11)</f>
        <v>15.6951</v>
      </c>
      <c r="E551" s="12">
        <f>CHOOSE( CONTROL!$C$32, 15.68, 15.6764) * CHOOSE( CONTROL!$C$15, $D$11, 100%, $F$11)</f>
        <v>15.68</v>
      </c>
      <c r="F551" s="4">
        <f>CHOOSE( CONTROL!$C$32, 16.3919, 16.3883) * CHOOSE(CONTROL!$C$15, $D$11, 100%, $F$11)</f>
        <v>16.3919</v>
      </c>
      <c r="G551" s="8">
        <f>CHOOSE( CONTROL!$C$32, 15.4722, 15.4686) * CHOOSE( CONTROL!$C$15, $D$11, 100%, $F$11)</f>
        <v>15.472200000000001</v>
      </c>
      <c r="H551" s="4">
        <f>CHOOSE( CONTROL!$C$32, 16.4466, 16.443) * CHOOSE(CONTROL!$C$15, $D$11, 100%, $F$11)</f>
        <v>16.4466</v>
      </c>
      <c r="I551" s="8">
        <f>CHOOSE( CONTROL!$C$32, 15.3278, 15.3242) * CHOOSE(CONTROL!$C$15, $D$11, 100%, $F$11)</f>
        <v>15.3278</v>
      </c>
      <c r="J551" s="4">
        <f>CHOOSE( CONTROL!$C$32, 15.1765, 15.1729) * CHOOSE(CONTROL!$C$15, $D$11, 100%, $F$11)</f>
        <v>15.176500000000001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14.4421, 14.4384) * CHOOSE(CONTROL!$C$15, $D$11, 100%, $F$11)</f>
        <v>14.4421</v>
      </c>
      <c r="C552" s="8">
        <f>CHOOSE( CONTROL!$C$32, 14.4501, 14.4464) * CHOOSE(CONTROL!$C$15, $D$11, 100%, $F$11)</f>
        <v>14.450100000000001</v>
      </c>
      <c r="D552" s="8">
        <f>CHOOSE( CONTROL!$C$32, 14.4883, 14.4847) * CHOOSE( CONTROL!$C$15, $D$11, 100%, $F$11)</f>
        <v>14.488300000000001</v>
      </c>
      <c r="E552" s="12">
        <f>CHOOSE( CONTROL!$C$32, 14.4732, 14.4696) * CHOOSE( CONTROL!$C$15, $D$11, 100%, $F$11)</f>
        <v>14.4732</v>
      </c>
      <c r="F552" s="4">
        <f>CHOOSE( CONTROL!$C$32, 15.1851, 15.1814) * CHOOSE(CONTROL!$C$15, $D$11, 100%, $F$11)</f>
        <v>15.1851</v>
      </c>
      <c r="G552" s="8">
        <f>CHOOSE( CONTROL!$C$32, 14.2796, 14.276) * CHOOSE( CONTROL!$C$15, $D$11, 100%, $F$11)</f>
        <v>14.2796</v>
      </c>
      <c r="H552" s="4">
        <f>CHOOSE( CONTROL!$C$32, 15.2539, 15.2503) * CHOOSE(CONTROL!$C$15, $D$11, 100%, $F$11)</f>
        <v>15.2539</v>
      </c>
      <c r="I552" s="8">
        <f>CHOOSE( CONTROL!$C$32, 14.1562, 14.1527) * CHOOSE(CONTROL!$C$15, $D$11, 100%, $F$11)</f>
        <v>14.1562</v>
      </c>
      <c r="J552" s="4">
        <f>CHOOSE( CONTROL!$C$32, 14.0052, 14.0017) * CHOOSE(CONTROL!$C$15, $D$11, 100%, $F$11)</f>
        <v>14.0052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14.1399, 14.1362) * CHOOSE(CONTROL!$C$15, $D$11, 100%, $F$11)</f>
        <v>14.139900000000001</v>
      </c>
      <c r="C553" s="8">
        <f>CHOOSE( CONTROL!$C$32, 14.1479, 14.1442) * CHOOSE(CONTROL!$C$15, $D$11, 100%, $F$11)</f>
        <v>14.1479</v>
      </c>
      <c r="D553" s="8">
        <f>CHOOSE( CONTROL!$C$32, 14.186, 14.1824) * CHOOSE( CONTROL!$C$15, $D$11, 100%, $F$11)</f>
        <v>14.186</v>
      </c>
      <c r="E553" s="12">
        <f>CHOOSE( CONTROL!$C$32, 14.171, 14.1673) * CHOOSE( CONTROL!$C$15, $D$11, 100%, $F$11)</f>
        <v>14.170999999999999</v>
      </c>
      <c r="F553" s="4">
        <f>CHOOSE( CONTROL!$C$32, 14.8829, 14.8792) * CHOOSE(CONTROL!$C$15, $D$11, 100%, $F$11)</f>
        <v>14.882899999999999</v>
      </c>
      <c r="G553" s="8">
        <f>CHOOSE( CONTROL!$C$32, 13.9808, 13.9772) * CHOOSE( CONTROL!$C$15, $D$11, 100%, $F$11)</f>
        <v>13.9808</v>
      </c>
      <c r="H553" s="4">
        <f>CHOOSE( CONTROL!$C$32, 14.9552, 14.9516) * CHOOSE(CONTROL!$C$15, $D$11, 100%, $F$11)</f>
        <v>14.9552</v>
      </c>
      <c r="I553" s="8">
        <f>CHOOSE( CONTROL!$C$32, 13.8624, 13.8589) * CHOOSE(CONTROL!$C$15, $D$11, 100%, $F$11)</f>
        <v>13.862399999999999</v>
      </c>
      <c r="J553" s="4">
        <f>CHOOSE( CONTROL!$C$32, 13.7119, 13.7084) * CHOOSE(CONTROL!$C$15, $D$11, 100%, $F$11)</f>
        <v>13.7119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14.762 * CHOOSE(CONTROL!$C$15, $D$11, 100%, $F$11)</f>
        <v>14.762</v>
      </c>
      <c r="C554" s="8">
        <f>14.7673 * CHOOSE(CONTROL!$C$15, $D$11, 100%, $F$11)</f>
        <v>14.767300000000001</v>
      </c>
      <c r="D554" s="8">
        <f>14.8108 * CHOOSE( CONTROL!$C$15, $D$11, 100%, $F$11)</f>
        <v>14.8108</v>
      </c>
      <c r="E554" s="12">
        <f>14.7959 * CHOOSE( CONTROL!$C$15, $D$11, 100%, $F$11)</f>
        <v>14.7959</v>
      </c>
      <c r="F554" s="4">
        <f>15.5067 * CHOOSE(CONTROL!$C$15, $D$11, 100%, $F$11)</f>
        <v>15.5067</v>
      </c>
      <c r="G554" s="8">
        <f>14.5969 * CHOOSE( CONTROL!$C$15, $D$11, 100%, $F$11)</f>
        <v>14.5969</v>
      </c>
      <c r="H554" s="4">
        <f>15.5718 * CHOOSE(CONTROL!$C$15, $D$11, 100%, $F$11)</f>
        <v>15.5718</v>
      </c>
      <c r="I554" s="8">
        <f>14.4689 * CHOOSE(CONTROL!$C$15, $D$11, 100%, $F$11)</f>
        <v>14.4689</v>
      </c>
      <c r="J554" s="4">
        <f>14.3174 * CHOOSE(CONTROL!$C$15, $D$11, 100%, $F$11)</f>
        <v>14.317399999999999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15.9198 * CHOOSE(CONTROL!$C$15, $D$11, 100%, $F$11)</f>
        <v>15.9198</v>
      </c>
      <c r="C555" s="8">
        <f>15.9249 * CHOOSE(CONTROL!$C$15, $D$11, 100%, $F$11)</f>
        <v>15.924899999999999</v>
      </c>
      <c r="D555" s="8">
        <f>15.9085 * CHOOSE( CONTROL!$C$15, $D$11, 100%, $F$11)</f>
        <v>15.9085</v>
      </c>
      <c r="E555" s="12">
        <f>15.914 * CHOOSE( CONTROL!$C$15, $D$11, 100%, $F$11)</f>
        <v>15.914</v>
      </c>
      <c r="F555" s="4">
        <f>16.5851 * CHOOSE(CONTROL!$C$15, $D$11, 100%, $F$11)</f>
        <v>16.585100000000001</v>
      </c>
      <c r="G555" s="8">
        <f>15.7421 * CHOOSE( CONTROL!$C$15, $D$11, 100%, $F$11)</f>
        <v>15.742100000000001</v>
      </c>
      <c r="H555" s="4">
        <f>16.6375 * CHOOSE(CONTROL!$C$15, $D$11, 100%, $F$11)</f>
        <v>16.637499999999999</v>
      </c>
      <c r="I555" s="8">
        <f>15.5936 * CHOOSE(CONTROL!$C$15, $D$11, 100%, $F$11)</f>
        <v>15.5936</v>
      </c>
      <c r="J555" s="4">
        <f>15.4414 * CHOOSE(CONTROL!$C$15, $D$11, 100%, $F$11)</f>
        <v>15.4414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15.8909 * CHOOSE(CONTROL!$C$15, $D$11, 100%, $F$11)</f>
        <v>15.8909</v>
      </c>
      <c r="C556" s="8">
        <f>15.8959 * CHOOSE(CONTROL!$C$15, $D$11, 100%, $F$11)</f>
        <v>15.895899999999999</v>
      </c>
      <c r="D556" s="8">
        <f>15.8813 * CHOOSE( CONTROL!$C$15, $D$11, 100%, $F$11)</f>
        <v>15.8813</v>
      </c>
      <c r="E556" s="12">
        <f>15.8861 * CHOOSE( CONTROL!$C$15, $D$11, 100%, $F$11)</f>
        <v>15.886100000000001</v>
      </c>
      <c r="F556" s="4">
        <f>16.5561 * CHOOSE(CONTROL!$C$15, $D$11, 100%, $F$11)</f>
        <v>16.556100000000001</v>
      </c>
      <c r="G556" s="8">
        <f>15.7148 * CHOOSE( CONTROL!$C$15, $D$11, 100%, $F$11)</f>
        <v>15.7148</v>
      </c>
      <c r="H556" s="4">
        <f>16.6089 * CHOOSE(CONTROL!$C$15, $D$11, 100%, $F$11)</f>
        <v>16.608899999999998</v>
      </c>
      <c r="I556" s="8">
        <f>15.5709 * CHOOSE(CONTROL!$C$15, $D$11, 100%, $F$11)</f>
        <v>15.5709</v>
      </c>
      <c r="J556" s="4">
        <f>15.4133 * CHOOSE(CONTROL!$C$15, $D$11, 100%, $F$11)</f>
        <v>15.4133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16.3593 * CHOOSE(CONTROL!$C$15, $D$11, 100%, $F$11)</f>
        <v>16.359300000000001</v>
      </c>
      <c r="C557" s="8">
        <f>16.3644 * CHOOSE(CONTROL!$C$15, $D$11, 100%, $F$11)</f>
        <v>16.3644</v>
      </c>
      <c r="D557" s="8">
        <f>16.3355 * CHOOSE( CONTROL!$C$15, $D$11, 100%, $F$11)</f>
        <v>16.3355</v>
      </c>
      <c r="E557" s="12">
        <f>16.3455 * CHOOSE( CONTROL!$C$15, $D$11, 100%, $F$11)</f>
        <v>16.345500000000001</v>
      </c>
      <c r="F557" s="4">
        <f>17.0246 * CHOOSE(CONTROL!$C$15, $D$11, 100%, $F$11)</f>
        <v>17.0246</v>
      </c>
      <c r="G557" s="8">
        <f>16.1675 * CHOOSE( CONTROL!$C$15, $D$11, 100%, $F$11)</f>
        <v>16.1675</v>
      </c>
      <c r="H557" s="4">
        <f>17.0719 * CHOOSE(CONTROL!$C$15, $D$11, 100%, $F$11)</f>
        <v>17.071899999999999</v>
      </c>
      <c r="I557" s="8">
        <f>16.0204 * CHOOSE(CONTROL!$C$15, $D$11, 100%, $F$11)</f>
        <v>16.020399999999999</v>
      </c>
      <c r="J557" s="4">
        <f>15.868 * CHOOSE(CONTROL!$C$15, $D$11, 100%, $F$11)</f>
        <v>15.868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15.3023 * CHOOSE(CONTROL!$C$15, $D$11, 100%, $F$11)</f>
        <v>15.302300000000001</v>
      </c>
      <c r="C558" s="8">
        <f>15.3074 * CHOOSE(CONTROL!$C$15, $D$11, 100%, $F$11)</f>
        <v>15.307399999999999</v>
      </c>
      <c r="D558" s="8">
        <f>15.2785 * CHOOSE( CONTROL!$C$15, $D$11, 100%, $F$11)</f>
        <v>15.278499999999999</v>
      </c>
      <c r="E558" s="12">
        <f>15.2885 * CHOOSE( CONTROL!$C$15, $D$11, 100%, $F$11)</f>
        <v>15.288500000000001</v>
      </c>
      <c r="F558" s="4">
        <f>15.9676 * CHOOSE(CONTROL!$C$15, $D$11, 100%, $F$11)</f>
        <v>15.967599999999999</v>
      </c>
      <c r="G558" s="8">
        <f>15.1228 * CHOOSE( CONTROL!$C$15, $D$11, 100%, $F$11)</f>
        <v>15.1228</v>
      </c>
      <c r="H558" s="4">
        <f>16.0272 * CHOOSE(CONTROL!$C$15, $D$11, 100%, $F$11)</f>
        <v>16.027200000000001</v>
      </c>
      <c r="I558" s="8">
        <f>14.994 * CHOOSE(CONTROL!$C$15, $D$11, 100%, $F$11)</f>
        <v>14.994</v>
      </c>
      <c r="J558" s="4">
        <f>14.8421 * CHOOSE(CONTROL!$C$15, $D$11, 100%, $F$11)</f>
        <v>14.8421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14.9767 * CHOOSE(CONTROL!$C$15, $D$11, 100%, $F$11)</f>
        <v>14.976699999999999</v>
      </c>
      <c r="C559" s="8">
        <f>14.9818 * CHOOSE(CONTROL!$C$15, $D$11, 100%, $F$11)</f>
        <v>14.9818</v>
      </c>
      <c r="D559" s="8">
        <f>14.9525 * CHOOSE( CONTROL!$C$15, $D$11, 100%, $F$11)</f>
        <v>14.952500000000001</v>
      </c>
      <c r="E559" s="12">
        <f>14.9627 * CHOOSE( CONTROL!$C$15, $D$11, 100%, $F$11)</f>
        <v>14.9627</v>
      </c>
      <c r="F559" s="4">
        <f>15.642 * CHOOSE(CONTROL!$C$15, $D$11, 100%, $F$11)</f>
        <v>15.641999999999999</v>
      </c>
      <c r="G559" s="8">
        <f>14.8008 * CHOOSE( CONTROL!$C$15, $D$11, 100%, $F$11)</f>
        <v>14.800800000000001</v>
      </c>
      <c r="H559" s="4">
        <f>15.7055 * CHOOSE(CONTROL!$C$15, $D$11, 100%, $F$11)</f>
        <v>15.705500000000001</v>
      </c>
      <c r="I559" s="8">
        <f>14.6767 * CHOOSE(CONTROL!$C$15, $D$11, 100%, $F$11)</f>
        <v>14.6767</v>
      </c>
      <c r="J559" s="4">
        <f>14.5262 * CHOOSE(CONTROL!$C$15, $D$11, 100%, $F$11)</f>
        <v>14.526199999999999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15.205 * CHOOSE(CONTROL!$C$15, $D$11, 100%, $F$11)</f>
        <v>15.205</v>
      </c>
      <c r="C560" s="8">
        <f>15.2095 * CHOOSE(CONTROL!$C$15, $D$11, 100%, $F$11)</f>
        <v>15.2095</v>
      </c>
      <c r="D560" s="8">
        <f>15.2529 * CHOOSE( CONTROL!$C$15, $D$11, 100%, $F$11)</f>
        <v>15.2529</v>
      </c>
      <c r="E560" s="12">
        <f>15.2381 * CHOOSE( CONTROL!$C$15, $D$11, 100%, $F$11)</f>
        <v>15.238099999999999</v>
      </c>
      <c r="F560" s="4">
        <f>15.9494 * CHOOSE(CONTROL!$C$15, $D$11, 100%, $F$11)</f>
        <v>15.949400000000001</v>
      </c>
      <c r="G560" s="8">
        <f>15.0334 * CHOOSE( CONTROL!$C$15, $D$11, 100%, $F$11)</f>
        <v>15.0334</v>
      </c>
      <c r="H560" s="4">
        <f>16.0092 * CHOOSE(CONTROL!$C$15, $D$11, 100%, $F$11)</f>
        <v>16.0092</v>
      </c>
      <c r="I560" s="8">
        <f>14.8958 * CHOOSE(CONTROL!$C$15, $D$11, 100%, $F$11)</f>
        <v>14.895799999999999</v>
      </c>
      <c r="J560" s="4">
        <f>14.747 * CHOOSE(CONTROL!$C$15, $D$11, 100%, $F$11)</f>
        <v>14.747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15.6149, 15.6113) * CHOOSE(CONTROL!$C$15, $D$11, 100%, $F$11)</f>
        <v>15.6149</v>
      </c>
      <c r="C561" s="8">
        <f>CHOOSE( CONTROL!$C$32, 15.6229, 15.6192) * CHOOSE(CONTROL!$C$15, $D$11, 100%, $F$11)</f>
        <v>15.6229</v>
      </c>
      <c r="D561" s="8">
        <f>CHOOSE( CONTROL!$C$32, 15.6606, 15.657) * CHOOSE( CONTROL!$C$15, $D$11, 100%, $F$11)</f>
        <v>15.660600000000001</v>
      </c>
      <c r="E561" s="12">
        <f>CHOOSE( CONTROL!$C$32, 15.6457, 15.6421) * CHOOSE( CONTROL!$C$15, $D$11, 100%, $F$11)</f>
        <v>15.6457</v>
      </c>
      <c r="F561" s="4">
        <f>CHOOSE( CONTROL!$C$32, 16.3579, 16.3543) * CHOOSE(CONTROL!$C$15, $D$11, 100%, $F$11)</f>
        <v>16.357900000000001</v>
      </c>
      <c r="G561" s="8">
        <f>CHOOSE( CONTROL!$C$32, 15.4379, 15.4343) * CHOOSE( CONTROL!$C$15, $D$11, 100%, $F$11)</f>
        <v>15.437900000000001</v>
      </c>
      <c r="H561" s="4">
        <f>CHOOSE( CONTROL!$C$32, 16.413, 16.4094) * CHOOSE(CONTROL!$C$15, $D$11, 100%, $F$11)</f>
        <v>16.413</v>
      </c>
      <c r="I561" s="8">
        <f>CHOOSE( CONTROL!$C$32, 15.2926, 15.289) * CHOOSE(CONTROL!$C$15, $D$11, 100%, $F$11)</f>
        <v>15.2926</v>
      </c>
      <c r="J561" s="4">
        <f>CHOOSE( CONTROL!$C$32, 15.1434, 15.1399) * CHOOSE(CONTROL!$C$15, $D$11, 100%, $F$11)</f>
        <v>15.1434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15.3641, 15.3604) * CHOOSE(CONTROL!$C$15, $D$11, 100%, $F$11)</f>
        <v>15.364100000000001</v>
      </c>
      <c r="C562" s="8">
        <f>CHOOSE( CONTROL!$C$32, 15.3721, 15.3684) * CHOOSE(CONTROL!$C$15, $D$11, 100%, $F$11)</f>
        <v>15.3721</v>
      </c>
      <c r="D562" s="8">
        <f>CHOOSE( CONTROL!$C$32, 15.41, 15.4064) * CHOOSE( CONTROL!$C$15, $D$11, 100%, $F$11)</f>
        <v>15.41</v>
      </c>
      <c r="E562" s="12">
        <f>CHOOSE( CONTROL!$C$32, 15.395, 15.3914) * CHOOSE( CONTROL!$C$15, $D$11, 100%, $F$11)</f>
        <v>15.395</v>
      </c>
      <c r="F562" s="4">
        <f>CHOOSE( CONTROL!$C$32, 16.1071, 16.1035) * CHOOSE(CONTROL!$C$15, $D$11, 100%, $F$11)</f>
        <v>16.107099999999999</v>
      </c>
      <c r="G562" s="8">
        <f>CHOOSE( CONTROL!$C$32, 15.1904, 15.1868) * CHOOSE( CONTROL!$C$15, $D$11, 100%, $F$11)</f>
        <v>15.1904</v>
      </c>
      <c r="H562" s="4">
        <f>CHOOSE( CONTROL!$C$32, 16.1651, 16.1615) * CHOOSE(CONTROL!$C$15, $D$11, 100%, $F$11)</f>
        <v>16.165099999999999</v>
      </c>
      <c r="I562" s="8">
        <f>CHOOSE( CONTROL!$C$32, 15.0501, 15.0465) * CHOOSE(CONTROL!$C$15, $D$11, 100%, $F$11)</f>
        <v>15.0501</v>
      </c>
      <c r="J562" s="4">
        <f>CHOOSE( CONTROL!$C$32, 14.9, 14.8965) * CHOOSE(CONTROL!$C$15, $D$11, 100%, $F$11)</f>
        <v>14.9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16.0246, 16.0209) * CHOOSE(CONTROL!$C$15, $D$11, 100%, $F$11)</f>
        <v>16.0246</v>
      </c>
      <c r="C563" s="8">
        <f>CHOOSE( CONTROL!$C$32, 16.0325, 16.0289) * CHOOSE(CONTROL!$C$15, $D$11, 100%, $F$11)</f>
        <v>16.032499999999999</v>
      </c>
      <c r="D563" s="8">
        <f>CHOOSE( CONTROL!$C$32, 16.0707, 16.0671) * CHOOSE( CONTROL!$C$15, $D$11, 100%, $F$11)</f>
        <v>16.070699999999999</v>
      </c>
      <c r="E563" s="12">
        <f>CHOOSE( CONTROL!$C$32, 16.0557, 16.052) * CHOOSE( CONTROL!$C$15, $D$11, 100%, $F$11)</f>
        <v>16.055700000000002</v>
      </c>
      <c r="F563" s="4">
        <f>CHOOSE( CONTROL!$C$32, 16.7676, 16.7639) * CHOOSE(CONTROL!$C$15, $D$11, 100%, $F$11)</f>
        <v>16.767600000000002</v>
      </c>
      <c r="G563" s="8">
        <f>CHOOSE( CONTROL!$C$32, 15.8435, 15.8399) * CHOOSE( CONTROL!$C$15, $D$11, 100%, $F$11)</f>
        <v>15.843500000000001</v>
      </c>
      <c r="H563" s="4">
        <f>CHOOSE( CONTROL!$C$32, 16.8179, 16.8143) * CHOOSE(CONTROL!$C$15, $D$11, 100%, $F$11)</f>
        <v>16.817900000000002</v>
      </c>
      <c r="I563" s="8">
        <f>CHOOSE( CONTROL!$C$32, 15.6925, 15.689) * CHOOSE(CONTROL!$C$15, $D$11, 100%, $F$11)</f>
        <v>15.692500000000001</v>
      </c>
      <c r="J563" s="4">
        <f>CHOOSE( CONTROL!$C$32, 15.541, 15.5375) * CHOOSE(CONTROL!$C$15, $D$11, 100%, $F$11)</f>
        <v>15.541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14.7887, 14.7851) * CHOOSE(CONTROL!$C$15, $D$11, 100%, $F$11)</f>
        <v>14.7887</v>
      </c>
      <c r="C564" s="8">
        <f>CHOOSE( CONTROL!$C$32, 14.7967, 14.7931) * CHOOSE(CONTROL!$C$15, $D$11, 100%, $F$11)</f>
        <v>14.7967</v>
      </c>
      <c r="D564" s="8">
        <f>CHOOSE( CONTROL!$C$32, 14.835, 14.8313) * CHOOSE( CONTROL!$C$15, $D$11, 100%, $F$11)</f>
        <v>14.835000000000001</v>
      </c>
      <c r="E564" s="12">
        <f>CHOOSE( CONTROL!$C$32, 14.8199, 14.8162) * CHOOSE( CONTROL!$C$15, $D$11, 100%, $F$11)</f>
        <v>14.819900000000001</v>
      </c>
      <c r="F564" s="4">
        <f>CHOOSE( CONTROL!$C$32, 15.5317, 15.5281) * CHOOSE(CONTROL!$C$15, $D$11, 100%, $F$11)</f>
        <v>15.531700000000001</v>
      </c>
      <c r="G564" s="8">
        <f>CHOOSE( CONTROL!$C$32, 14.6222, 14.6186) * CHOOSE( CONTROL!$C$15, $D$11, 100%, $F$11)</f>
        <v>14.622199999999999</v>
      </c>
      <c r="H564" s="4">
        <f>CHOOSE( CONTROL!$C$32, 15.5965, 15.5929) * CHOOSE(CONTROL!$C$15, $D$11, 100%, $F$11)</f>
        <v>15.596500000000001</v>
      </c>
      <c r="I564" s="8">
        <f>CHOOSE( CONTROL!$C$32, 14.4928, 14.4893) * CHOOSE(CONTROL!$C$15, $D$11, 100%, $F$11)</f>
        <v>14.492800000000001</v>
      </c>
      <c r="J564" s="4">
        <f>CHOOSE( CONTROL!$C$32, 14.3416, 14.3381) * CHOOSE(CONTROL!$C$15, $D$11, 100%, $F$11)</f>
        <v>14.3416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14.4793, 14.4756) * CHOOSE(CONTROL!$C$15, $D$11, 100%, $F$11)</f>
        <v>14.4793</v>
      </c>
      <c r="C565" s="8">
        <f>CHOOSE( CONTROL!$C$32, 14.4872, 14.4836) * CHOOSE(CONTROL!$C$15, $D$11, 100%, $F$11)</f>
        <v>14.4872</v>
      </c>
      <c r="D565" s="8">
        <f>CHOOSE( CONTROL!$C$32, 14.5254, 14.5218) * CHOOSE( CONTROL!$C$15, $D$11, 100%, $F$11)</f>
        <v>14.525399999999999</v>
      </c>
      <c r="E565" s="12">
        <f>CHOOSE( CONTROL!$C$32, 14.5104, 14.5067) * CHOOSE( CONTROL!$C$15, $D$11, 100%, $F$11)</f>
        <v>14.510400000000001</v>
      </c>
      <c r="F565" s="4">
        <f>CHOOSE( CONTROL!$C$32, 15.2223, 15.2186) * CHOOSE(CONTROL!$C$15, $D$11, 100%, $F$11)</f>
        <v>15.222300000000001</v>
      </c>
      <c r="G565" s="8">
        <f>CHOOSE( CONTROL!$C$32, 14.3163, 14.3127) * CHOOSE( CONTROL!$C$15, $D$11, 100%, $F$11)</f>
        <v>14.3163</v>
      </c>
      <c r="H565" s="4">
        <f>CHOOSE( CONTROL!$C$32, 15.2907, 15.2871) * CHOOSE(CONTROL!$C$15, $D$11, 100%, $F$11)</f>
        <v>15.290699999999999</v>
      </c>
      <c r="I565" s="8">
        <f>CHOOSE( CONTROL!$C$32, 14.192, 14.1884) * CHOOSE(CONTROL!$C$15, $D$11, 100%, $F$11)</f>
        <v>14.192</v>
      </c>
      <c r="J565" s="4">
        <f>CHOOSE( CONTROL!$C$32, 14.0413, 14.0378) * CHOOSE(CONTROL!$C$15, $D$11, 100%, $F$11)</f>
        <v>14.0413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15.1165 * CHOOSE(CONTROL!$C$15, $D$11, 100%, $F$11)</f>
        <v>15.1165</v>
      </c>
      <c r="C566" s="8">
        <f>15.1218 * CHOOSE(CONTROL!$C$15, $D$11, 100%, $F$11)</f>
        <v>15.1218</v>
      </c>
      <c r="D566" s="8">
        <f>15.1653 * CHOOSE( CONTROL!$C$15, $D$11, 100%, $F$11)</f>
        <v>15.1653</v>
      </c>
      <c r="E566" s="12">
        <f>15.1504 * CHOOSE( CONTROL!$C$15, $D$11, 100%, $F$11)</f>
        <v>15.150399999999999</v>
      </c>
      <c r="F566" s="4">
        <f>15.8612 * CHOOSE(CONTROL!$C$15, $D$11, 100%, $F$11)</f>
        <v>15.8612</v>
      </c>
      <c r="G566" s="8">
        <f>14.9472 * CHOOSE( CONTROL!$C$15, $D$11, 100%, $F$11)</f>
        <v>14.9472</v>
      </c>
      <c r="H566" s="4">
        <f>15.9221 * CHOOSE(CONTROL!$C$15, $D$11, 100%, $F$11)</f>
        <v>15.9221</v>
      </c>
      <c r="I566" s="8">
        <f>14.8131 * CHOOSE(CONTROL!$C$15, $D$11, 100%, $F$11)</f>
        <v>14.8131</v>
      </c>
      <c r="J566" s="4">
        <f>14.6614 * CHOOSE(CONTROL!$C$15, $D$11, 100%, $F$11)</f>
        <v>14.6614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16.3021 * CHOOSE(CONTROL!$C$15, $D$11, 100%, $F$11)</f>
        <v>16.302099999999999</v>
      </c>
      <c r="C567" s="8">
        <f>16.3072 * CHOOSE(CONTROL!$C$15, $D$11, 100%, $F$11)</f>
        <v>16.307200000000002</v>
      </c>
      <c r="D567" s="8">
        <f>16.2908 * CHOOSE( CONTROL!$C$15, $D$11, 100%, $F$11)</f>
        <v>16.290800000000001</v>
      </c>
      <c r="E567" s="12">
        <f>16.2963 * CHOOSE( CONTROL!$C$15, $D$11, 100%, $F$11)</f>
        <v>16.296299999999999</v>
      </c>
      <c r="F567" s="4">
        <f>16.9674 * CHOOSE(CONTROL!$C$15, $D$11, 100%, $F$11)</f>
        <v>16.967400000000001</v>
      </c>
      <c r="G567" s="8">
        <f>16.1199 * CHOOSE( CONTROL!$C$15, $D$11, 100%, $F$11)</f>
        <v>16.119900000000001</v>
      </c>
      <c r="H567" s="4">
        <f>17.0153 * CHOOSE(CONTROL!$C$15, $D$11, 100%, $F$11)</f>
        <v>17.0153</v>
      </c>
      <c r="I567" s="8">
        <f>15.9648 * CHOOSE(CONTROL!$C$15, $D$11, 100%, $F$11)</f>
        <v>15.9648</v>
      </c>
      <c r="J567" s="4">
        <f>15.8124 * CHOOSE(CONTROL!$C$15, $D$11, 100%, $F$11)</f>
        <v>15.8124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16.2725 * CHOOSE(CONTROL!$C$15, $D$11, 100%, $F$11)</f>
        <v>16.272500000000001</v>
      </c>
      <c r="C568" s="8">
        <f>16.2775 * CHOOSE(CONTROL!$C$15, $D$11, 100%, $F$11)</f>
        <v>16.2775</v>
      </c>
      <c r="D568" s="8">
        <f>16.2629 * CHOOSE( CONTROL!$C$15, $D$11, 100%, $F$11)</f>
        <v>16.262899999999998</v>
      </c>
      <c r="E568" s="12">
        <f>16.2677 * CHOOSE( CONTROL!$C$15, $D$11, 100%, $F$11)</f>
        <v>16.267700000000001</v>
      </c>
      <c r="F568" s="4">
        <f>16.9377 * CHOOSE(CONTROL!$C$15, $D$11, 100%, $F$11)</f>
        <v>16.9377</v>
      </c>
      <c r="G568" s="8">
        <f>16.0919 * CHOOSE( CONTROL!$C$15, $D$11, 100%, $F$11)</f>
        <v>16.091899999999999</v>
      </c>
      <c r="H568" s="4">
        <f>16.986 * CHOOSE(CONTROL!$C$15, $D$11, 100%, $F$11)</f>
        <v>16.986000000000001</v>
      </c>
      <c r="I568" s="8">
        <f>15.9414 * CHOOSE(CONTROL!$C$15, $D$11, 100%, $F$11)</f>
        <v>15.9414</v>
      </c>
      <c r="J568" s="4">
        <f>15.7837 * CHOOSE(CONTROL!$C$15, $D$11, 100%, $F$11)</f>
        <v>15.7837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16.7522 * CHOOSE(CONTROL!$C$15, $D$11, 100%, $F$11)</f>
        <v>16.752199999999998</v>
      </c>
      <c r="C569" s="8">
        <f>16.7573 * CHOOSE(CONTROL!$C$15, $D$11, 100%, $F$11)</f>
        <v>16.757300000000001</v>
      </c>
      <c r="D569" s="8">
        <f>16.7284 * CHOOSE( CONTROL!$C$15, $D$11, 100%, $F$11)</f>
        <v>16.728400000000001</v>
      </c>
      <c r="E569" s="12">
        <f>16.7384 * CHOOSE( CONTROL!$C$15, $D$11, 100%, $F$11)</f>
        <v>16.738399999999999</v>
      </c>
      <c r="F569" s="4">
        <f>17.4175 * CHOOSE(CONTROL!$C$15, $D$11, 100%, $F$11)</f>
        <v>17.4175</v>
      </c>
      <c r="G569" s="8">
        <f>16.5557 * CHOOSE( CONTROL!$C$15, $D$11, 100%, $F$11)</f>
        <v>16.555700000000002</v>
      </c>
      <c r="H569" s="4">
        <f>17.4601 * CHOOSE(CONTROL!$C$15, $D$11, 100%, $F$11)</f>
        <v>17.460100000000001</v>
      </c>
      <c r="I569" s="8">
        <f>16.4019 * CHOOSE(CONTROL!$C$15, $D$11, 100%, $F$11)</f>
        <v>16.401900000000001</v>
      </c>
      <c r="J569" s="4">
        <f>16.2492 * CHOOSE(CONTROL!$C$15, $D$11, 100%, $F$11)</f>
        <v>16.249199999999998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15.6698 * CHOOSE(CONTROL!$C$15, $D$11, 100%, $F$11)</f>
        <v>15.6698</v>
      </c>
      <c r="C570" s="8">
        <f>15.6748 * CHOOSE(CONTROL!$C$15, $D$11, 100%, $F$11)</f>
        <v>15.674799999999999</v>
      </c>
      <c r="D570" s="8">
        <f>15.646 * CHOOSE( CONTROL!$C$15, $D$11, 100%, $F$11)</f>
        <v>15.646000000000001</v>
      </c>
      <c r="E570" s="12">
        <f>15.656 * CHOOSE( CONTROL!$C$15, $D$11, 100%, $F$11)</f>
        <v>15.656000000000001</v>
      </c>
      <c r="F570" s="4">
        <f>16.335 * CHOOSE(CONTROL!$C$15, $D$11, 100%, $F$11)</f>
        <v>16.335000000000001</v>
      </c>
      <c r="G570" s="8">
        <f>15.486 * CHOOSE( CONTROL!$C$15, $D$11, 100%, $F$11)</f>
        <v>15.486000000000001</v>
      </c>
      <c r="H570" s="4">
        <f>16.3904 * CHOOSE(CONTROL!$C$15, $D$11, 100%, $F$11)</f>
        <v>16.3904</v>
      </c>
      <c r="I570" s="8">
        <f>15.3508 * CHOOSE(CONTROL!$C$15, $D$11, 100%, $F$11)</f>
        <v>15.3508</v>
      </c>
      <c r="J570" s="4">
        <f>15.1988 * CHOOSE(CONTROL!$C$15, $D$11, 100%, $F$11)</f>
        <v>15.1988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15.3364 * CHOOSE(CONTROL!$C$15, $D$11, 100%, $F$11)</f>
        <v>15.336399999999999</v>
      </c>
      <c r="C571" s="8">
        <f>15.3415 * CHOOSE(CONTROL!$C$15, $D$11, 100%, $F$11)</f>
        <v>15.3415</v>
      </c>
      <c r="D571" s="8">
        <f>15.3122 * CHOOSE( CONTROL!$C$15, $D$11, 100%, $F$11)</f>
        <v>15.312200000000001</v>
      </c>
      <c r="E571" s="12">
        <f>15.3224 * CHOOSE( CONTROL!$C$15, $D$11, 100%, $F$11)</f>
        <v>15.3224</v>
      </c>
      <c r="F571" s="4">
        <f>16.0017 * CHOOSE(CONTROL!$C$15, $D$11, 100%, $F$11)</f>
        <v>16.0017</v>
      </c>
      <c r="G571" s="8">
        <f>15.1562 * CHOOSE( CONTROL!$C$15, $D$11, 100%, $F$11)</f>
        <v>15.1562</v>
      </c>
      <c r="H571" s="4">
        <f>16.0609 * CHOOSE(CONTROL!$C$15, $D$11, 100%, $F$11)</f>
        <v>16.0609</v>
      </c>
      <c r="I571" s="8">
        <f>15.0259 * CHOOSE(CONTROL!$C$15, $D$11, 100%, $F$11)</f>
        <v>15.0259</v>
      </c>
      <c r="J571" s="4">
        <f>14.8752 * CHOOSE(CONTROL!$C$15, $D$11, 100%, $F$11)</f>
        <v>14.8752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15.5701 * CHOOSE(CONTROL!$C$15, $D$11, 100%, $F$11)</f>
        <v>15.5701</v>
      </c>
      <c r="C572" s="8">
        <f>15.5746 * CHOOSE(CONTROL!$C$15, $D$11, 100%, $F$11)</f>
        <v>15.5746</v>
      </c>
      <c r="D572" s="8">
        <f>15.618 * CHOOSE( CONTROL!$C$15, $D$11, 100%, $F$11)</f>
        <v>15.618</v>
      </c>
      <c r="E572" s="12">
        <f>15.6032 * CHOOSE( CONTROL!$C$15, $D$11, 100%, $F$11)</f>
        <v>15.603199999999999</v>
      </c>
      <c r="F572" s="4">
        <f>16.3145 * CHOOSE(CONTROL!$C$15, $D$11, 100%, $F$11)</f>
        <v>16.314499999999999</v>
      </c>
      <c r="G572" s="8">
        <f>15.3942 * CHOOSE( CONTROL!$C$15, $D$11, 100%, $F$11)</f>
        <v>15.3942</v>
      </c>
      <c r="H572" s="4">
        <f>16.3701 * CHOOSE(CONTROL!$C$15, $D$11, 100%, $F$11)</f>
        <v>16.370100000000001</v>
      </c>
      <c r="I572" s="8">
        <f>15.2503 * CHOOSE(CONTROL!$C$15, $D$11, 100%, $F$11)</f>
        <v>15.250299999999999</v>
      </c>
      <c r="J572" s="4">
        <f>15.1013 * CHOOSE(CONTROL!$C$15, $D$11, 100%, $F$11)</f>
        <v>15.1013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15.9897, 15.9861) * CHOOSE(CONTROL!$C$15, $D$11, 100%, $F$11)</f>
        <v>15.989699999999999</v>
      </c>
      <c r="C573" s="8">
        <f>CHOOSE( CONTROL!$C$32, 15.9977, 15.9941) * CHOOSE(CONTROL!$C$15, $D$11, 100%, $F$11)</f>
        <v>15.9977</v>
      </c>
      <c r="D573" s="8">
        <f>CHOOSE( CONTROL!$C$32, 16.0354, 16.0318) * CHOOSE( CONTROL!$C$15, $D$11, 100%, $F$11)</f>
        <v>16.035399999999999</v>
      </c>
      <c r="E573" s="12">
        <f>CHOOSE( CONTROL!$C$32, 16.0205, 16.0169) * CHOOSE( CONTROL!$C$15, $D$11, 100%, $F$11)</f>
        <v>16.020499999999998</v>
      </c>
      <c r="F573" s="4">
        <f>CHOOSE( CONTROL!$C$32, 16.7327, 16.7291) * CHOOSE(CONTROL!$C$15, $D$11, 100%, $F$11)</f>
        <v>16.732700000000001</v>
      </c>
      <c r="G573" s="8">
        <f>CHOOSE( CONTROL!$C$32, 15.8084, 15.8048) * CHOOSE( CONTROL!$C$15, $D$11, 100%, $F$11)</f>
        <v>15.808400000000001</v>
      </c>
      <c r="H573" s="4">
        <f>CHOOSE( CONTROL!$C$32, 16.7834, 16.7798) * CHOOSE(CONTROL!$C$15, $D$11, 100%, $F$11)</f>
        <v>16.7834</v>
      </c>
      <c r="I573" s="8">
        <f>CHOOSE( CONTROL!$C$32, 15.6565, 15.653) * CHOOSE(CONTROL!$C$15, $D$11, 100%, $F$11)</f>
        <v>15.656499999999999</v>
      </c>
      <c r="J573" s="4">
        <f>CHOOSE( CONTROL!$C$32, 15.5072, 15.5037) * CHOOSE(CONTROL!$C$15, $D$11, 100%, $F$11)</f>
        <v>15.507199999999999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15.7329, 15.7293) * CHOOSE(CONTROL!$C$15, $D$11, 100%, $F$11)</f>
        <v>15.732900000000001</v>
      </c>
      <c r="C574" s="8">
        <f>CHOOSE( CONTROL!$C$32, 15.7409, 15.7372) * CHOOSE(CONTROL!$C$15, $D$11, 100%, $F$11)</f>
        <v>15.7409</v>
      </c>
      <c r="D574" s="8">
        <f>CHOOSE( CONTROL!$C$32, 15.7788, 15.7752) * CHOOSE( CONTROL!$C$15, $D$11, 100%, $F$11)</f>
        <v>15.7788</v>
      </c>
      <c r="E574" s="12">
        <f>CHOOSE( CONTROL!$C$32, 15.7638, 15.7602) * CHOOSE( CONTROL!$C$15, $D$11, 100%, $F$11)</f>
        <v>15.7638</v>
      </c>
      <c r="F574" s="4">
        <f>CHOOSE( CONTROL!$C$32, 16.4759, 16.4723) * CHOOSE(CONTROL!$C$15, $D$11, 100%, $F$11)</f>
        <v>16.475899999999999</v>
      </c>
      <c r="G574" s="8">
        <f>CHOOSE( CONTROL!$C$32, 15.5549, 15.5513) * CHOOSE( CONTROL!$C$15, $D$11, 100%, $F$11)</f>
        <v>15.5549</v>
      </c>
      <c r="H574" s="4">
        <f>CHOOSE( CONTROL!$C$32, 16.5296, 16.526) * CHOOSE(CONTROL!$C$15, $D$11, 100%, $F$11)</f>
        <v>16.529599999999999</v>
      </c>
      <c r="I574" s="8">
        <f>CHOOSE( CONTROL!$C$32, 15.4082, 15.4046) * CHOOSE(CONTROL!$C$15, $D$11, 100%, $F$11)</f>
        <v>15.408200000000001</v>
      </c>
      <c r="J574" s="4">
        <f>CHOOSE( CONTROL!$C$32, 15.258, 15.2544) * CHOOSE(CONTROL!$C$15, $D$11, 100%, $F$11)</f>
        <v>15.257999999999999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16.4092, 16.4056) * CHOOSE(CONTROL!$C$15, $D$11, 100%, $F$11)</f>
        <v>16.409199999999998</v>
      </c>
      <c r="C575" s="8">
        <f>CHOOSE( CONTROL!$C$32, 16.4172, 16.4136) * CHOOSE(CONTROL!$C$15, $D$11, 100%, $F$11)</f>
        <v>16.417200000000001</v>
      </c>
      <c r="D575" s="8">
        <f>CHOOSE( CONTROL!$C$32, 16.4554, 16.4518) * CHOOSE( CONTROL!$C$15, $D$11, 100%, $F$11)</f>
        <v>16.455400000000001</v>
      </c>
      <c r="E575" s="12">
        <f>CHOOSE( CONTROL!$C$32, 16.4403, 16.4367) * CHOOSE( CONTROL!$C$15, $D$11, 100%, $F$11)</f>
        <v>16.440300000000001</v>
      </c>
      <c r="F575" s="4">
        <f>CHOOSE( CONTROL!$C$32, 17.1523, 17.1486) * CHOOSE(CONTROL!$C$15, $D$11, 100%, $F$11)</f>
        <v>17.1523</v>
      </c>
      <c r="G575" s="8">
        <f>CHOOSE( CONTROL!$C$32, 16.2237, 16.2201) * CHOOSE( CONTROL!$C$15, $D$11, 100%, $F$11)</f>
        <v>16.223700000000001</v>
      </c>
      <c r="H575" s="4">
        <f>CHOOSE( CONTROL!$C$32, 17.198, 17.1944) * CHOOSE(CONTROL!$C$15, $D$11, 100%, $F$11)</f>
        <v>17.198</v>
      </c>
      <c r="I575" s="8">
        <f>CHOOSE( CONTROL!$C$32, 16.066, 16.0625) * CHOOSE(CONTROL!$C$15, $D$11, 100%, $F$11)</f>
        <v>16.065999999999999</v>
      </c>
      <c r="J575" s="4">
        <f>CHOOSE( CONTROL!$C$32, 15.9144, 15.9108) * CHOOSE(CONTROL!$C$15, $D$11, 100%, $F$11)</f>
        <v>15.914400000000001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15.1437, 15.1401) * CHOOSE(CONTROL!$C$15, $D$11, 100%, $F$11)</f>
        <v>15.143700000000001</v>
      </c>
      <c r="C576" s="8">
        <f>CHOOSE( CONTROL!$C$32, 15.1517, 15.148) * CHOOSE(CONTROL!$C$15, $D$11, 100%, $F$11)</f>
        <v>15.1517</v>
      </c>
      <c r="D576" s="8">
        <f>CHOOSE( CONTROL!$C$32, 15.19, 15.1863) * CHOOSE( CONTROL!$C$15, $D$11, 100%, $F$11)</f>
        <v>15.19</v>
      </c>
      <c r="E576" s="12">
        <f>CHOOSE( CONTROL!$C$32, 15.1749, 15.1712) * CHOOSE( CONTROL!$C$15, $D$11, 100%, $F$11)</f>
        <v>15.174899999999999</v>
      </c>
      <c r="F576" s="4">
        <f>CHOOSE( CONTROL!$C$32, 15.8867, 15.8831) * CHOOSE(CONTROL!$C$15, $D$11, 100%, $F$11)</f>
        <v>15.886699999999999</v>
      </c>
      <c r="G576" s="8">
        <f>CHOOSE( CONTROL!$C$32, 14.973, 14.9694) * CHOOSE( CONTROL!$C$15, $D$11, 100%, $F$11)</f>
        <v>14.973000000000001</v>
      </c>
      <c r="H576" s="4">
        <f>CHOOSE( CONTROL!$C$32, 15.9473, 15.9437) * CHOOSE(CONTROL!$C$15, $D$11, 100%, $F$11)</f>
        <v>15.9473</v>
      </c>
      <c r="I576" s="8">
        <f>CHOOSE( CONTROL!$C$32, 14.8375, 14.834) * CHOOSE(CONTROL!$C$15, $D$11, 100%, $F$11)</f>
        <v>14.8375</v>
      </c>
      <c r="J576" s="4">
        <f>CHOOSE( CONTROL!$C$32, 14.6862, 14.6826) * CHOOSE(CONTROL!$C$15, $D$11, 100%, $F$11)</f>
        <v>14.686199999999999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14.8268, 14.8232) * CHOOSE(CONTROL!$C$15, $D$11, 100%, $F$11)</f>
        <v>14.8268</v>
      </c>
      <c r="C577" s="8">
        <f>CHOOSE( CONTROL!$C$32, 14.8348, 14.8311) * CHOOSE(CONTROL!$C$15, $D$11, 100%, $F$11)</f>
        <v>14.8348</v>
      </c>
      <c r="D577" s="8">
        <f>CHOOSE( CONTROL!$C$32, 14.873, 14.8693) * CHOOSE( CONTROL!$C$15, $D$11, 100%, $F$11)</f>
        <v>14.872999999999999</v>
      </c>
      <c r="E577" s="12">
        <f>CHOOSE( CONTROL!$C$32, 14.8579, 14.8543) * CHOOSE( CONTROL!$C$15, $D$11, 100%, $F$11)</f>
        <v>14.857900000000001</v>
      </c>
      <c r="F577" s="4">
        <f>CHOOSE( CONTROL!$C$32, 15.5698, 15.5662) * CHOOSE(CONTROL!$C$15, $D$11, 100%, $F$11)</f>
        <v>15.569800000000001</v>
      </c>
      <c r="G577" s="8">
        <f>CHOOSE( CONTROL!$C$32, 14.6597, 14.6561) * CHOOSE( CONTROL!$C$15, $D$11, 100%, $F$11)</f>
        <v>14.659700000000001</v>
      </c>
      <c r="H577" s="4">
        <f>CHOOSE( CONTROL!$C$32, 15.6341, 15.6305) * CHOOSE(CONTROL!$C$15, $D$11, 100%, $F$11)</f>
        <v>15.6341</v>
      </c>
      <c r="I577" s="8">
        <f>CHOOSE( CONTROL!$C$32, 14.5294, 14.5259) * CHOOSE(CONTROL!$C$15, $D$11, 100%, $F$11)</f>
        <v>14.529400000000001</v>
      </c>
      <c r="J577" s="4">
        <f>CHOOSE( CONTROL!$C$32, 14.3786, 14.3751) * CHOOSE(CONTROL!$C$15, $D$11, 100%, $F$11)</f>
        <v>14.3786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15.4794 * CHOOSE(CONTROL!$C$15, $D$11, 100%, $F$11)</f>
        <v>15.4794</v>
      </c>
      <c r="C578" s="8">
        <f>15.4848 * CHOOSE(CONTROL!$C$15, $D$11, 100%, $F$11)</f>
        <v>15.4848</v>
      </c>
      <c r="D578" s="8">
        <f>15.5283 * CHOOSE( CONTROL!$C$15, $D$11, 100%, $F$11)</f>
        <v>15.5283</v>
      </c>
      <c r="E578" s="12">
        <f>15.5134 * CHOOSE( CONTROL!$C$15, $D$11, 100%, $F$11)</f>
        <v>15.513400000000001</v>
      </c>
      <c r="F578" s="4">
        <f>16.2242 * CHOOSE(CONTROL!$C$15, $D$11, 100%, $F$11)</f>
        <v>16.2242</v>
      </c>
      <c r="G578" s="8">
        <f>15.3059 * CHOOSE( CONTROL!$C$15, $D$11, 100%, $F$11)</f>
        <v>15.305899999999999</v>
      </c>
      <c r="H578" s="4">
        <f>16.2808 * CHOOSE(CONTROL!$C$15, $D$11, 100%, $F$11)</f>
        <v>16.280799999999999</v>
      </c>
      <c r="I578" s="8">
        <f>15.1655 * CHOOSE(CONTROL!$C$15, $D$11, 100%, $F$11)</f>
        <v>15.1655</v>
      </c>
      <c r="J578" s="4">
        <f>15.0137 * CHOOSE(CONTROL!$C$15, $D$11, 100%, $F$11)</f>
        <v>15.0137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16.6936 * CHOOSE(CONTROL!$C$15, $D$11, 100%, $F$11)</f>
        <v>16.6936</v>
      </c>
      <c r="C579" s="8">
        <f>16.6987 * CHOOSE(CONTROL!$C$15, $D$11, 100%, $F$11)</f>
        <v>16.698699999999999</v>
      </c>
      <c r="D579" s="8">
        <f>16.6823 * CHOOSE( CONTROL!$C$15, $D$11, 100%, $F$11)</f>
        <v>16.682300000000001</v>
      </c>
      <c r="E579" s="12">
        <f>16.6878 * CHOOSE( CONTROL!$C$15, $D$11, 100%, $F$11)</f>
        <v>16.687799999999999</v>
      </c>
      <c r="F579" s="4">
        <f>17.3589 * CHOOSE(CONTROL!$C$15, $D$11, 100%, $F$11)</f>
        <v>17.358899999999998</v>
      </c>
      <c r="G579" s="8">
        <f>16.5068 * CHOOSE( CONTROL!$C$15, $D$11, 100%, $F$11)</f>
        <v>16.506799999999998</v>
      </c>
      <c r="H579" s="4">
        <f>17.4022 * CHOOSE(CONTROL!$C$15, $D$11, 100%, $F$11)</f>
        <v>17.402200000000001</v>
      </c>
      <c r="I579" s="8">
        <f>16.345 * CHOOSE(CONTROL!$C$15, $D$11, 100%, $F$11)</f>
        <v>16.344999999999999</v>
      </c>
      <c r="J579" s="4">
        <f>16.1924 * CHOOSE(CONTROL!$C$15, $D$11, 100%, $F$11)</f>
        <v>16.192399999999999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16.6632 * CHOOSE(CONTROL!$C$15, $D$11, 100%, $F$11)</f>
        <v>16.6632</v>
      </c>
      <c r="C580" s="8">
        <f>16.6683 * CHOOSE(CONTROL!$C$15, $D$11, 100%, $F$11)</f>
        <v>16.668299999999999</v>
      </c>
      <c r="D580" s="8">
        <f>16.6537 * CHOOSE( CONTROL!$C$15, $D$11, 100%, $F$11)</f>
        <v>16.653700000000001</v>
      </c>
      <c r="E580" s="12">
        <f>16.6585 * CHOOSE( CONTROL!$C$15, $D$11, 100%, $F$11)</f>
        <v>16.6585</v>
      </c>
      <c r="F580" s="4">
        <f>17.3285 * CHOOSE(CONTROL!$C$15, $D$11, 100%, $F$11)</f>
        <v>17.328499999999998</v>
      </c>
      <c r="G580" s="8">
        <f>16.4781 * CHOOSE( CONTROL!$C$15, $D$11, 100%, $F$11)</f>
        <v>16.478100000000001</v>
      </c>
      <c r="H580" s="4">
        <f>17.3722 * CHOOSE(CONTROL!$C$15, $D$11, 100%, $F$11)</f>
        <v>17.372199999999999</v>
      </c>
      <c r="I580" s="8">
        <f>16.3209 * CHOOSE(CONTROL!$C$15, $D$11, 100%, $F$11)</f>
        <v>16.320900000000002</v>
      </c>
      <c r="J580" s="4">
        <f>16.1629 * CHOOSE(CONTROL!$C$15, $D$11, 100%, $F$11)</f>
        <v>16.1629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17.1545 * CHOOSE(CONTROL!$C$15, $D$11, 100%, $F$11)</f>
        <v>17.154499999999999</v>
      </c>
      <c r="C581" s="8">
        <f>17.1596 * CHOOSE(CONTROL!$C$15, $D$11, 100%, $F$11)</f>
        <v>17.159600000000001</v>
      </c>
      <c r="D581" s="8">
        <f>17.1307 * CHOOSE( CONTROL!$C$15, $D$11, 100%, $F$11)</f>
        <v>17.130700000000001</v>
      </c>
      <c r="E581" s="12">
        <f>17.1407 * CHOOSE( CONTROL!$C$15, $D$11, 100%, $F$11)</f>
        <v>17.140699999999999</v>
      </c>
      <c r="F581" s="4">
        <f>17.8198 * CHOOSE(CONTROL!$C$15, $D$11, 100%, $F$11)</f>
        <v>17.819800000000001</v>
      </c>
      <c r="G581" s="8">
        <f>16.9533 * CHOOSE( CONTROL!$C$15, $D$11, 100%, $F$11)</f>
        <v>16.953299999999999</v>
      </c>
      <c r="H581" s="4">
        <f>17.8577 * CHOOSE(CONTROL!$C$15, $D$11, 100%, $F$11)</f>
        <v>17.857700000000001</v>
      </c>
      <c r="I581" s="8">
        <f>16.7925 * CHOOSE(CONTROL!$C$15, $D$11, 100%, $F$11)</f>
        <v>16.7925</v>
      </c>
      <c r="J581" s="4">
        <f>16.6397 * CHOOSE(CONTROL!$C$15, $D$11, 100%, $F$11)</f>
        <v>16.639700000000001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16.0461 * CHOOSE(CONTROL!$C$15, $D$11, 100%, $F$11)</f>
        <v>16.046099999999999</v>
      </c>
      <c r="C582" s="8">
        <f>16.0511 * CHOOSE(CONTROL!$C$15, $D$11, 100%, $F$11)</f>
        <v>16.051100000000002</v>
      </c>
      <c r="D582" s="8">
        <f>16.0222 * CHOOSE( CONTROL!$C$15, $D$11, 100%, $F$11)</f>
        <v>16.022200000000002</v>
      </c>
      <c r="E582" s="12">
        <f>16.0322 * CHOOSE( CONTROL!$C$15, $D$11, 100%, $F$11)</f>
        <v>16.0322</v>
      </c>
      <c r="F582" s="4">
        <f>16.7113 * CHOOSE(CONTROL!$C$15, $D$11, 100%, $F$11)</f>
        <v>16.711300000000001</v>
      </c>
      <c r="G582" s="8">
        <f>15.8578 * CHOOSE( CONTROL!$C$15, $D$11, 100%, $F$11)</f>
        <v>15.857799999999999</v>
      </c>
      <c r="H582" s="4">
        <f>16.7623 * CHOOSE(CONTROL!$C$15, $D$11, 100%, $F$11)</f>
        <v>16.7623</v>
      </c>
      <c r="I582" s="8">
        <f>15.7162 * CHOOSE(CONTROL!$C$15, $D$11, 100%, $F$11)</f>
        <v>15.716200000000001</v>
      </c>
      <c r="J582" s="4">
        <f>15.5639 * CHOOSE(CONTROL!$C$15, $D$11, 100%, $F$11)</f>
        <v>15.5639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15.7047 * CHOOSE(CONTROL!$C$15, $D$11, 100%, $F$11)</f>
        <v>15.704700000000001</v>
      </c>
      <c r="C583" s="8">
        <f>15.7097 * CHOOSE(CONTROL!$C$15, $D$11, 100%, $F$11)</f>
        <v>15.7097</v>
      </c>
      <c r="D583" s="8">
        <f>15.6805 * CHOOSE( CONTROL!$C$15, $D$11, 100%, $F$11)</f>
        <v>15.6805</v>
      </c>
      <c r="E583" s="12">
        <f>15.6906 * CHOOSE( CONTROL!$C$15, $D$11, 100%, $F$11)</f>
        <v>15.6906</v>
      </c>
      <c r="F583" s="4">
        <f>16.3699 * CHOOSE(CONTROL!$C$15, $D$11, 100%, $F$11)</f>
        <v>16.369900000000001</v>
      </c>
      <c r="G583" s="8">
        <f>15.5202 * CHOOSE( CONTROL!$C$15, $D$11, 100%, $F$11)</f>
        <v>15.520200000000001</v>
      </c>
      <c r="H583" s="4">
        <f>16.4249 * CHOOSE(CONTROL!$C$15, $D$11, 100%, $F$11)</f>
        <v>16.424900000000001</v>
      </c>
      <c r="I583" s="8">
        <f>15.3835 * CHOOSE(CONTROL!$C$15, $D$11, 100%, $F$11)</f>
        <v>15.3835</v>
      </c>
      <c r="J583" s="4">
        <f>15.2326 * CHOOSE(CONTROL!$C$15, $D$11, 100%, $F$11)</f>
        <v>15.2326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15.944 * CHOOSE(CONTROL!$C$15, $D$11, 100%, $F$11)</f>
        <v>15.944000000000001</v>
      </c>
      <c r="C584" s="8">
        <f>15.9485 * CHOOSE(CONTROL!$C$15, $D$11, 100%, $F$11)</f>
        <v>15.948499999999999</v>
      </c>
      <c r="D584" s="8">
        <f>15.9919 * CHOOSE( CONTROL!$C$15, $D$11, 100%, $F$11)</f>
        <v>15.991899999999999</v>
      </c>
      <c r="E584" s="12">
        <f>15.9771 * CHOOSE( CONTROL!$C$15, $D$11, 100%, $F$11)</f>
        <v>15.9771</v>
      </c>
      <c r="F584" s="4">
        <f>16.6884 * CHOOSE(CONTROL!$C$15, $D$11, 100%, $F$11)</f>
        <v>16.688400000000001</v>
      </c>
      <c r="G584" s="8">
        <f>15.7637 * CHOOSE( CONTROL!$C$15, $D$11, 100%, $F$11)</f>
        <v>15.7637</v>
      </c>
      <c r="H584" s="4">
        <f>16.7396 * CHOOSE(CONTROL!$C$15, $D$11, 100%, $F$11)</f>
        <v>16.739599999999999</v>
      </c>
      <c r="I584" s="8">
        <f>15.6133 * CHOOSE(CONTROL!$C$15, $D$11, 100%, $F$11)</f>
        <v>15.613300000000001</v>
      </c>
      <c r="J584" s="4">
        <f>15.4641 * CHOOSE(CONTROL!$C$15, $D$11, 100%, $F$11)</f>
        <v>15.4641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16.3736, 16.3699) * CHOOSE(CONTROL!$C$15, $D$11, 100%, $F$11)</f>
        <v>16.3736</v>
      </c>
      <c r="C585" s="8">
        <f>CHOOSE( CONTROL!$C$32, 16.3815, 16.3779) * CHOOSE(CONTROL!$C$15, $D$11, 100%, $F$11)</f>
        <v>16.381499999999999</v>
      </c>
      <c r="D585" s="8">
        <f>CHOOSE( CONTROL!$C$32, 16.4193, 16.4156) * CHOOSE( CONTROL!$C$15, $D$11, 100%, $F$11)</f>
        <v>16.4193</v>
      </c>
      <c r="E585" s="12">
        <f>CHOOSE( CONTROL!$C$32, 16.4044, 16.4007) * CHOOSE( CONTROL!$C$15, $D$11, 100%, $F$11)</f>
        <v>16.404399999999999</v>
      </c>
      <c r="F585" s="4">
        <f>CHOOSE( CONTROL!$C$32, 17.1166, 17.1129) * CHOOSE(CONTROL!$C$15, $D$11, 100%, $F$11)</f>
        <v>17.116599999999998</v>
      </c>
      <c r="G585" s="8">
        <f>CHOOSE( CONTROL!$C$32, 16.1877, 16.1841) * CHOOSE( CONTROL!$C$15, $D$11, 100%, $F$11)</f>
        <v>16.1877</v>
      </c>
      <c r="H585" s="4">
        <f>CHOOSE( CONTROL!$C$32, 17.1628, 17.1592) * CHOOSE(CONTROL!$C$15, $D$11, 100%, $F$11)</f>
        <v>17.162800000000001</v>
      </c>
      <c r="I585" s="8">
        <f>CHOOSE( CONTROL!$C$32, 16.0292, 16.0257) * CHOOSE(CONTROL!$C$15, $D$11, 100%, $F$11)</f>
        <v>16.029199999999999</v>
      </c>
      <c r="J585" s="4">
        <f>CHOOSE( CONTROL!$C$32, 15.8797, 15.8762) * CHOOSE(CONTROL!$C$15, $D$11, 100%, $F$11)</f>
        <v>15.8797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16.1106, 16.1069) * CHOOSE(CONTROL!$C$15, $D$11, 100%, $F$11)</f>
        <v>16.110600000000002</v>
      </c>
      <c r="C586" s="8">
        <f>CHOOSE( CONTROL!$C$32, 16.1185, 16.1149) * CHOOSE(CONTROL!$C$15, $D$11, 100%, $F$11)</f>
        <v>16.118500000000001</v>
      </c>
      <c r="D586" s="8">
        <f>CHOOSE( CONTROL!$C$32, 16.1565, 16.1529) * CHOOSE( CONTROL!$C$15, $D$11, 100%, $F$11)</f>
        <v>16.156500000000001</v>
      </c>
      <c r="E586" s="12">
        <f>CHOOSE( CONTROL!$C$32, 16.1415, 16.1379) * CHOOSE( CONTROL!$C$15, $D$11, 100%, $F$11)</f>
        <v>16.141500000000001</v>
      </c>
      <c r="F586" s="4">
        <f>CHOOSE( CONTROL!$C$32, 16.8536, 16.8499) * CHOOSE(CONTROL!$C$15, $D$11, 100%, $F$11)</f>
        <v>16.8536</v>
      </c>
      <c r="G586" s="8">
        <f>CHOOSE( CONTROL!$C$32, 15.9281, 15.9245) * CHOOSE( CONTROL!$C$15, $D$11, 100%, $F$11)</f>
        <v>15.928100000000001</v>
      </c>
      <c r="H586" s="4">
        <f>CHOOSE( CONTROL!$C$32, 16.9028, 16.8992) * CHOOSE(CONTROL!$C$15, $D$11, 100%, $F$11)</f>
        <v>16.902799999999999</v>
      </c>
      <c r="I586" s="8">
        <f>CHOOSE( CONTROL!$C$32, 15.7749, 15.7714) * CHOOSE(CONTROL!$C$15, $D$11, 100%, $F$11)</f>
        <v>15.774900000000001</v>
      </c>
      <c r="J586" s="4">
        <f>CHOOSE( CONTROL!$C$32, 15.6245, 15.6209) * CHOOSE(CONTROL!$C$15, $D$11, 100%, $F$11)</f>
        <v>15.624499999999999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16.8032, 16.7995) * CHOOSE(CONTROL!$C$15, $D$11, 100%, $F$11)</f>
        <v>16.8032</v>
      </c>
      <c r="C587" s="8">
        <f>CHOOSE( CONTROL!$C$32, 16.8111, 16.8075) * CHOOSE(CONTROL!$C$15, $D$11, 100%, $F$11)</f>
        <v>16.8111</v>
      </c>
      <c r="D587" s="8">
        <f>CHOOSE( CONTROL!$C$32, 16.8493, 16.8457) * CHOOSE( CONTROL!$C$15, $D$11, 100%, $F$11)</f>
        <v>16.849299999999999</v>
      </c>
      <c r="E587" s="12">
        <f>CHOOSE( CONTROL!$C$32, 16.8343, 16.8306) * CHOOSE( CONTROL!$C$15, $D$11, 100%, $F$11)</f>
        <v>16.834299999999999</v>
      </c>
      <c r="F587" s="4">
        <f>CHOOSE( CONTROL!$C$32, 17.5462, 17.5425) * CHOOSE(CONTROL!$C$15, $D$11, 100%, $F$11)</f>
        <v>17.546199999999999</v>
      </c>
      <c r="G587" s="8">
        <f>CHOOSE( CONTROL!$C$32, 16.613, 16.6094) * CHOOSE( CONTROL!$C$15, $D$11, 100%, $F$11)</f>
        <v>16.613</v>
      </c>
      <c r="H587" s="4">
        <f>CHOOSE( CONTROL!$C$32, 17.5873, 17.5837) * CHOOSE(CONTROL!$C$15, $D$11, 100%, $F$11)</f>
        <v>17.587299999999999</v>
      </c>
      <c r="I587" s="8">
        <f>CHOOSE( CONTROL!$C$32, 16.4485, 16.445) * CHOOSE(CONTROL!$C$15, $D$11, 100%, $F$11)</f>
        <v>16.448499999999999</v>
      </c>
      <c r="J587" s="4">
        <f>CHOOSE( CONTROL!$C$32, 16.2967, 16.2931) * CHOOSE(CONTROL!$C$15, $D$11, 100%, $F$11)</f>
        <v>16.296700000000001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15.5072, 15.5036) * CHOOSE(CONTROL!$C$15, $D$11, 100%, $F$11)</f>
        <v>15.507199999999999</v>
      </c>
      <c r="C588" s="8">
        <f>CHOOSE( CONTROL!$C$32, 15.5152, 15.5116) * CHOOSE(CONTROL!$C$15, $D$11, 100%, $F$11)</f>
        <v>15.5152</v>
      </c>
      <c r="D588" s="8">
        <f>CHOOSE( CONTROL!$C$32, 15.5535, 15.5498) * CHOOSE( CONTROL!$C$15, $D$11, 100%, $F$11)</f>
        <v>15.5535</v>
      </c>
      <c r="E588" s="12">
        <f>CHOOSE( CONTROL!$C$32, 15.5384, 15.5347) * CHOOSE( CONTROL!$C$15, $D$11, 100%, $F$11)</f>
        <v>15.538399999999999</v>
      </c>
      <c r="F588" s="4">
        <f>CHOOSE( CONTROL!$C$32, 16.2502, 16.2466) * CHOOSE(CONTROL!$C$15, $D$11, 100%, $F$11)</f>
        <v>16.2502</v>
      </c>
      <c r="G588" s="8">
        <f>CHOOSE( CONTROL!$C$32, 15.3323, 15.3287) * CHOOSE( CONTROL!$C$15, $D$11, 100%, $F$11)</f>
        <v>15.3323</v>
      </c>
      <c r="H588" s="4">
        <f>CHOOSE( CONTROL!$C$32, 16.3066, 16.303) * CHOOSE(CONTROL!$C$15, $D$11, 100%, $F$11)</f>
        <v>16.3066</v>
      </c>
      <c r="I588" s="8">
        <f>CHOOSE( CONTROL!$C$32, 15.1905, 15.1869) * CHOOSE(CONTROL!$C$15, $D$11, 100%, $F$11)</f>
        <v>15.1905</v>
      </c>
      <c r="J588" s="4">
        <f>CHOOSE( CONTROL!$C$32, 15.0389, 15.0354) * CHOOSE(CONTROL!$C$15, $D$11, 100%, $F$11)</f>
        <v>15.0389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15.1827, 15.1791) * CHOOSE(CONTROL!$C$15, $D$11, 100%, $F$11)</f>
        <v>15.182700000000001</v>
      </c>
      <c r="C589" s="8">
        <f>CHOOSE( CONTROL!$C$32, 15.1907, 15.187) * CHOOSE(CONTROL!$C$15, $D$11, 100%, $F$11)</f>
        <v>15.1907</v>
      </c>
      <c r="D589" s="8">
        <f>CHOOSE( CONTROL!$C$32, 15.2289, 15.2252) * CHOOSE( CONTROL!$C$15, $D$11, 100%, $F$11)</f>
        <v>15.228899999999999</v>
      </c>
      <c r="E589" s="12">
        <f>CHOOSE( CONTROL!$C$32, 15.2138, 15.2102) * CHOOSE( CONTROL!$C$15, $D$11, 100%, $F$11)</f>
        <v>15.213800000000001</v>
      </c>
      <c r="F589" s="4">
        <f>CHOOSE( CONTROL!$C$32, 15.9257, 15.9221) * CHOOSE(CONTROL!$C$15, $D$11, 100%, $F$11)</f>
        <v>15.925700000000001</v>
      </c>
      <c r="G589" s="8">
        <f>CHOOSE( CONTROL!$C$32, 15.0115, 15.0079) * CHOOSE( CONTROL!$C$15, $D$11, 100%, $F$11)</f>
        <v>15.0115</v>
      </c>
      <c r="H589" s="4">
        <f>CHOOSE( CONTROL!$C$32, 15.9859, 15.9823) * CHOOSE(CONTROL!$C$15, $D$11, 100%, $F$11)</f>
        <v>15.985900000000001</v>
      </c>
      <c r="I589" s="8">
        <f>CHOOSE( CONTROL!$C$32, 14.875, 14.8715) * CHOOSE(CONTROL!$C$15, $D$11, 100%, $F$11)</f>
        <v>14.875</v>
      </c>
      <c r="J589" s="4">
        <f>CHOOSE( CONTROL!$C$32, 14.724, 14.7205) * CHOOSE(CONTROL!$C$15, $D$11, 100%, $F$11)</f>
        <v>14.724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15.8512 * CHOOSE(CONTROL!$C$15, $D$11, 100%, $F$11)</f>
        <v>15.8512</v>
      </c>
      <c r="C590" s="8">
        <f>15.8565 * CHOOSE(CONTROL!$C$15, $D$11, 100%, $F$11)</f>
        <v>15.8565</v>
      </c>
      <c r="D590" s="8">
        <f>15.9 * CHOOSE( CONTROL!$C$15, $D$11, 100%, $F$11)</f>
        <v>15.9</v>
      </c>
      <c r="E590" s="12">
        <f>15.8851 * CHOOSE( CONTROL!$C$15, $D$11, 100%, $F$11)</f>
        <v>15.8851</v>
      </c>
      <c r="F590" s="4">
        <f>16.5959 * CHOOSE(CONTROL!$C$15, $D$11, 100%, $F$11)</f>
        <v>16.5959</v>
      </c>
      <c r="G590" s="8">
        <f>15.6733 * CHOOSE( CONTROL!$C$15, $D$11, 100%, $F$11)</f>
        <v>15.673299999999999</v>
      </c>
      <c r="H590" s="4">
        <f>16.6482 * CHOOSE(CONTROL!$C$15, $D$11, 100%, $F$11)</f>
        <v>16.648199999999999</v>
      </c>
      <c r="I590" s="8">
        <f>15.5265 * CHOOSE(CONTROL!$C$15, $D$11, 100%, $F$11)</f>
        <v>15.5265</v>
      </c>
      <c r="J590" s="4">
        <f>15.3744 * CHOOSE(CONTROL!$C$15, $D$11, 100%, $F$11)</f>
        <v>15.3744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17.0945 * CHOOSE(CONTROL!$C$15, $D$11, 100%, $F$11)</f>
        <v>17.0945</v>
      </c>
      <c r="C591" s="8">
        <f>17.0995 * CHOOSE(CONTROL!$C$15, $D$11, 100%, $F$11)</f>
        <v>17.099499999999999</v>
      </c>
      <c r="D591" s="8">
        <f>17.0832 * CHOOSE( CONTROL!$C$15, $D$11, 100%, $F$11)</f>
        <v>17.083200000000001</v>
      </c>
      <c r="E591" s="12">
        <f>17.0886 * CHOOSE( CONTROL!$C$15, $D$11, 100%, $F$11)</f>
        <v>17.0886</v>
      </c>
      <c r="F591" s="4">
        <f>17.7597 * CHOOSE(CONTROL!$C$15, $D$11, 100%, $F$11)</f>
        <v>17.759699999999999</v>
      </c>
      <c r="G591" s="8">
        <f>16.903 * CHOOSE( CONTROL!$C$15, $D$11, 100%, $F$11)</f>
        <v>16.902999999999999</v>
      </c>
      <c r="H591" s="4">
        <f>17.7984 * CHOOSE(CONTROL!$C$15, $D$11, 100%, $F$11)</f>
        <v>17.798400000000001</v>
      </c>
      <c r="I591" s="8">
        <f>16.7342 * CHOOSE(CONTROL!$C$15, $D$11, 100%, $F$11)</f>
        <v>16.734200000000001</v>
      </c>
      <c r="J591" s="4">
        <f>16.5814 * CHOOSE(CONTROL!$C$15, $D$11, 100%, $F$11)</f>
        <v>16.581399999999999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17.0634 * CHOOSE(CONTROL!$C$15, $D$11, 100%, $F$11)</f>
        <v>17.063400000000001</v>
      </c>
      <c r="C592" s="8">
        <f>17.0685 * CHOOSE(CONTROL!$C$15, $D$11, 100%, $F$11)</f>
        <v>17.0685</v>
      </c>
      <c r="D592" s="8">
        <f>17.0538 * CHOOSE( CONTROL!$C$15, $D$11, 100%, $F$11)</f>
        <v>17.053799999999999</v>
      </c>
      <c r="E592" s="12">
        <f>17.0586 * CHOOSE( CONTROL!$C$15, $D$11, 100%, $F$11)</f>
        <v>17.058599999999998</v>
      </c>
      <c r="F592" s="4">
        <f>17.7287 * CHOOSE(CONTROL!$C$15, $D$11, 100%, $F$11)</f>
        <v>17.7287</v>
      </c>
      <c r="G592" s="8">
        <f>16.8735 * CHOOSE( CONTROL!$C$15, $D$11, 100%, $F$11)</f>
        <v>16.8735</v>
      </c>
      <c r="H592" s="4">
        <f>17.7677 * CHOOSE(CONTROL!$C$15, $D$11, 100%, $F$11)</f>
        <v>17.767700000000001</v>
      </c>
      <c r="I592" s="8">
        <f>16.7094 * CHOOSE(CONTROL!$C$15, $D$11, 100%, $F$11)</f>
        <v>16.709399999999999</v>
      </c>
      <c r="J592" s="4">
        <f>16.5513 * CHOOSE(CONTROL!$C$15, $D$11, 100%, $F$11)</f>
        <v>16.551300000000001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17.5664 * CHOOSE(CONTROL!$C$15, $D$11, 100%, $F$11)</f>
        <v>17.566400000000002</v>
      </c>
      <c r="C593" s="8">
        <f>17.5715 * CHOOSE(CONTROL!$C$15, $D$11, 100%, $F$11)</f>
        <v>17.5715</v>
      </c>
      <c r="D593" s="8">
        <f>17.5426 * CHOOSE( CONTROL!$C$15, $D$11, 100%, $F$11)</f>
        <v>17.5426</v>
      </c>
      <c r="E593" s="12">
        <f>17.5526 * CHOOSE( CONTROL!$C$15, $D$11, 100%, $F$11)</f>
        <v>17.552600000000002</v>
      </c>
      <c r="F593" s="4">
        <f>18.2317 * CHOOSE(CONTROL!$C$15, $D$11, 100%, $F$11)</f>
        <v>18.2317</v>
      </c>
      <c r="G593" s="8">
        <f>17.3604 * CHOOSE( CONTROL!$C$15, $D$11, 100%, $F$11)</f>
        <v>17.360399999999998</v>
      </c>
      <c r="H593" s="4">
        <f>18.2649 * CHOOSE(CONTROL!$C$15, $D$11, 100%, $F$11)</f>
        <v>18.264900000000001</v>
      </c>
      <c r="I593" s="8">
        <f>17.1925 * CHOOSE(CONTROL!$C$15, $D$11, 100%, $F$11)</f>
        <v>17.192499999999999</v>
      </c>
      <c r="J593" s="4">
        <f>17.0395 * CHOOSE(CONTROL!$C$15, $D$11, 100%, $F$11)</f>
        <v>17.0395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16.4314 * CHOOSE(CONTROL!$C$15, $D$11, 100%, $F$11)</f>
        <v>16.4314</v>
      </c>
      <c r="C594" s="8">
        <f>16.4365 * CHOOSE(CONTROL!$C$15, $D$11, 100%, $F$11)</f>
        <v>16.436499999999999</v>
      </c>
      <c r="D594" s="8">
        <f>16.4076 * CHOOSE( CONTROL!$C$15, $D$11, 100%, $F$11)</f>
        <v>16.407599999999999</v>
      </c>
      <c r="E594" s="12">
        <f>16.4176 * CHOOSE( CONTROL!$C$15, $D$11, 100%, $F$11)</f>
        <v>16.4176</v>
      </c>
      <c r="F594" s="4">
        <f>17.0967 * CHOOSE(CONTROL!$C$15, $D$11, 100%, $F$11)</f>
        <v>17.096699999999998</v>
      </c>
      <c r="G594" s="8">
        <f>16.2387 * CHOOSE( CONTROL!$C$15, $D$11, 100%, $F$11)</f>
        <v>16.238700000000001</v>
      </c>
      <c r="H594" s="4">
        <f>17.1431 * CHOOSE(CONTROL!$C$15, $D$11, 100%, $F$11)</f>
        <v>17.1431</v>
      </c>
      <c r="I594" s="8">
        <f>16.0903 * CHOOSE(CONTROL!$C$15, $D$11, 100%, $F$11)</f>
        <v>16.090299999999999</v>
      </c>
      <c r="J594" s="4">
        <f>15.9379 * CHOOSE(CONTROL!$C$15, $D$11, 100%, $F$11)</f>
        <v>15.937900000000001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16.0818 * CHOOSE(CONTROL!$C$15, $D$11, 100%, $F$11)</f>
        <v>16.081800000000001</v>
      </c>
      <c r="C595" s="8">
        <f>16.0869 * CHOOSE(CONTROL!$C$15, $D$11, 100%, $F$11)</f>
        <v>16.0869</v>
      </c>
      <c r="D595" s="8">
        <f>16.0576 * CHOOSE( CONTROL!$C$15, $D$11, 100%, $F$11)</f>
        <v>16.057600000000001</v>
      </c>
      <c r="E595" s="12">
        <f>16.0678 * CHOOSE( CONTROL!$C$15, $D$11, 100%, $F$11)</f>
        <v>16.067799999999998</v>
      </c>
      <c r="F595" s="4">
        <f>16.7471 * CHOOSE(CONTROL!$C$15, $D$11, 100%, $F$11)</f>
        <v>16.7471</v>
      </c>
      <c r="G595" s="8">
        <f>15.8929 * CHOOSE( CONTROL!$C$15, $D$11, 100%, $F$11)</f>
        <v>15.892899999999999</v>
      </c>
      <c r="H595" s="4">
        <f>16.7976 * CHOOSE(CONTROL!$C$15, $D$11, 100%, $F$11)</f>
        <v>16.797599999999999</v>
      </c>
      <c r="I595" s="8">
        <f>15.7496 * CHOOSE(CONTROL!$C$15, $D$11, 100%, $F$11)</f>
        <v>15.749599999999999</v>
      </c>
      <c r="J595" s="4">
        <f>15.5986 * CHOOSE(CONTROL!$C$15, $D$11, 100%, $F$11)</f>
        <v>15.598599999999999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16.3268 * CHOOSE(CONTROL!$C$15, $D$11, 100%, $F$11)</f>
        <v>16.326799999999999</v>
      </c>
      <c r="C596" s="8">
        <f>16.3314 * CHOOSE(CONTROL!$C$15, $D$11, 100%, $F$11)</f>
        <v>16.331399999999999</v>
      </c>
      <c r="D596" s="8">
        <f>16.3747 * CHOOSE( CONTROL!$C$15, $D$11, 100%, $F$11)</f>
        <v>16.374700000000001</v>
      </c>
      <c r="E596" s="12">
        <f>16.3599 * CHOOSE( CONTROL!$C$15, $D$11, 100%, $F$11)</f>
        <v>16.3599</v>
      </c>
      <c r="F596" s="4">
        <f>17.0712 * CHOOSE(CONTROL!$C$15, $D$11, 100%, $F$11)</f>
        <v>17.071200000000001</v>
      </c>
      <c r="G596" s="8">
        <f>16.1421 * CHOOSE( CONTROL!$C$15, $D$11, 100%, $F$11)</f>
        <v>16.142099999999999</v>
      </c>
      <c r="H596" s="4">
        <f>17.1179 * CHOOSE(CONTROL!$C$15, $D$11, 100%, $F$11)</f>
        <v>17.117899999999999</v>
      </c>
      <c r="I596" s="8">
        <f>15.985 * CHOOSE(CONTROL!$C$15, $D$11, 100%, $F$11)</f>
        <v>15.984999999999999</v>
      </c>
      <c r="J596" s="4">
        <f>15.8357 * CHOOSE(CONTROL!$C$15, $D$11, 100%, $F$11)</f>
        <v>15.835699999999999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16.7666, 16.763) * CHOOSE(CONTROL!$C$15, $D$11, 100%, $F$11)</f>
        <v>16.7666</v>
      </c>
      <c r="C597" s="8">
        <f>CHOOSE( CONTROL!$C$32, 16.7746, 16.771) * CHOOSE(CONTROL!$C$15, $D$11, 100%, $F$11)</f>
        <v>16.7746</v>
      </c>
      <c r="D597" s="8">
        <f>CHOOSE( CONTROL!$C$32, 16.8123, 16.8087) * CHOOSE( CONTROL!$C$15, $D$11, 100%, $F$11)</f>
        <v>16.8123</v>
      </c>
      <c r="E597" s="12">
        <f>CHOOSE( CONTROL!$C$32, 16.7974, 16.7938) * CHOOSE( CONTROL!$C$15, $D$11, 100%, $F$11)</f>
        <v>16.7974</v>
      </c>
      <c r="F597" s="4">
        <f>CHOOSE( CONTROL!$C$32, 17.5096, 17.506) * CHOOSE(CONTROL!$C$15, $D$11, 100%, $F$11)</f>
        <v>17.509599999999999</v>
      </c>
      <c r="G597" s="8">
        <f>CHOOSE( CONTROL!$C$32, 16.5762, 16.5726) * CHOOSE( CONTROL!$C$15, $D$11, 100%, $F$11)</f>
        <v>16.5762</v>
      </c>
      <c r="H597" s="4">
        <f>CHOOSE( CONTROL!$C$32, 17.5512, 17.5476) * CHOOSE(CONTROL!$C$15, $D$11, 100%, $F$11)</f>
        <v>17.551200000000001</v>
      </c>
      <c r="I597" s="8">
        <f>CHOOSE( CONTROL!$C$32, 16.4109, 16.4073) * CHOOSE(CONTROL!$C$15, $D$11, 100%, $F$11)</f>
        <v>16.410900000000002</v>
      </c>
      <c r="J597" s="4">
        <f>CHOOSE( CONTROL!$C$32, 16.2612, 16.2577) * CHOOSE(CONTROL!$C$15, $D$11, 100%, $F$11)</f>
        <v>16.261199999999999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16.4973, 16.4937) * CHOOSE(CONTROL!$C$15, $D$11, 100%, $F$11)</f>
        <v>16.497299999999999</v>
      </c>
      <c r="C598" s="8">
        <f>CHOOSE( CONTROL!$C$32, 16.5053, 16.5016) * CHOOSE(CONTROL!$C$15, $D$11, 100%, $F$11)</f>
        <v>16.505299999999998</v>
      </c>
      <c r="D598" s="8">
        <f>CHOOSE( CONTROL!$C$32, 16.5432, 16.5396) * CHOOSE( CONTROL!$C$15, $D$11, 100%, $F$11)</f>
        <v>16.543199999999999</v>
      </c>
      <c r="E598" s="12">
        <f>CHOOSE( CONTROL!$C$32, 16.5282, 16.5246) * CHOOSE( CONTROL!$C$15, $D$11, 100%, $F$11)</f>
        <v>16.528199999999998</v>
      </c>
      <c r="F598" s="4">
        <f>CHOOSE( CONTROL!$C$32, 17.2403, 17.2367) * CHOOSE(CONTROL!$C$15, $D$11, 100%, $F$11)</f>
        <v>17.240300000000001</v>
      </c>
      <c r="G598" s="8">
        <f>CHOOSE( CONTROL!$C$32, 16.3103, 16.3067) * CHOOSE( CONTROL!$C$15, $D$11, 100%, $F$11)</f>
        <v>16.310300000000002</v>
      </c>
      <c r="H598" s="4">
        <f>CHOOSE( CONTROL!$C$32, 17.2851, 17.2815) * CHOOSE(CONTROL!$C$15, $D$11, 100%, $F$11)</f>
        <v>17.2851</v>
      </c>
      <c r="I598" s="8">
        <f>CHOOSE( CONTROL!$C$32, 16.1504, 16.1469) * CHOOSE(CONTROL!$C$15, $D$11, 100%, $F$11)</f>
        <v>16.150400000000001</v>
      </c>
      <c r="J598" s="4">
        <f>CHOOSE( CONTROL!$C$32, 15.9998, 15.9963) * CHOOSE(CONTROL!$C$15, $D$11, 100%, $F$11)</f>
        <v>15.9998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17.2065, 17.2029) * CHOOSE(CONTROL!$C$15, $D$11, 100%, $F$11)</f>
        <v>17.206499999999998</v>
      </c>
      <c r="C599" s="8">
        <f>CHOOSE( CONTROL!$C$32, 17.2145, 17.2109) * CHOOSE(CONTROL!$C$15, $D$11, 100%, $F$11)</f>
        <v>17.214500000000001</v>
      </c>
      <c r="D599" s="8">
        <f>CHOOSE( CONTROL!$C$32, 17.2527, 17.2491) * CHOOSE( CONTROL!$C$15, $D$11, 100%, $F$11)</f>
        <v>17.252700000000001</v>
      </c>
      <c r="E599" s="12">
        <f>CHOOSE( CONTROL!$C$32, 17.2376, 17.234) * CHOOSE( CONTROL!$C$15, $D$11, 100%, $F$11)</f>
        <v>17.2376</v>
      </c>
      <c r="F599" s="4">
        <f>CHOOSE( CONTROL!$C$32, 17.9496, 17.9459) * CHOOSE(CONTROL!$C$15, $D$11, 100%, $F$11)</f>
        <v>17.9496</v>
      </c>
      <c r="G599" s="8">
        <f>CHOOSE( CONTROL!$C$32, 17.0116, 17.008) * CHOOSE( CONTROL!$C$15, $D$11, 100%, $F$11)</f>
        <v>17.011600000000001</v>
      </c>
      <c r="H599" s="4">
        <f>CHOOSE( CONTROL!$C$32, 17.986, 17.9824) * CHOOSE(CONTROL!$C$15, $D$11, 100%, $F$11)</f>
        <v>17.986000000000001</v>
      </c>
      <c r="I599" s="8">
        <f>CHOOSE( CONTROL!$C$32, 16.8402, 16.8367) * CHOOSE(CONTROL!$C$15, $D$11, 100%, $F$11)</f>
        <v>16.840199999999999</v>
      </c>
      <c r="J599" s="4">
        <f>CHOOSE( CONTROL!$C$32, 16.6881, 16.6846) * CHOOSE(CONTROL!$C$15, $D$11, 100%, $F$11)</f>
        <v>16.688099999999999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15.8795, 15.8758) * CHOOSE(CONTROL!$C$15, $D$11, 100%, $F$11)</f>
        <v>15.8795</v>
      </c>
      <c r="C600" s="8">
        <f>CHOOSE( CONTROL!$C$32, 15.8874, 15.8838) * CHOOSE(CONTROL!$C$15, $D$11, 100%, $F$11)</f>
        <v>15.8874</v>
      </c>
      <c r="D600" s="8">
        <f>CHOOSE( CONTROL!$C$32, 15.9257, 15.9221) * CHOOSE( CONTROL!$C$15, $D$11, 100%, $F$11)</f>
        <v>15.925700000000001</v>
      </c>
      <c r="E600" s="12">
        <f>CHOOSE( CONTROL!$C$32, 15.9106, 15.907) * CHOOSE( CONTROL!$C$15, $D$11, 100%, $F$11)</f>
        <v>15.910600000000001</v>
      </c>
      <c r="F600" s="4">
        <f>CHOOSE( CONTROL!$C$32, 16.6225, 16.6188) * CHOOSE(CONTROL!$C$15, $D$11, 100%, $F$11)</f>
        <v>16.622499999999999</v>
      </c>
      <c r="G600" s="8">
        <f>CHOOSE( CONTROL!$C$32, 15.7002, 15.6966) * CHOOSE( CONTROL!$C$15, $D$11, 100%, $F$11)</f>
        <v>15.700200000000001</v>
      </c>
      <c r="H600" s="4">
        <f>CHOOSE( CONTROL!$C$32, 16.6745, 16.6709) * CHOOSE(CONTROL!$C$15, $D$11, 100%, $F$11)</f>
        <v>16.674499999999998</v>
      </c>
      <c r="I600" s="8">
        <f>CHOOSE( CONTROL!$C$32, 15.5519, 15.5484) * CHOOSE(CONTROL!$C$15, $D$11, 100%, $F$11)</f>
        <v>15.5519</v>
      </c>
      <c r="J600" s="4">
        <f>CHOOSE( CONTROL!$C$32, 15.4002, 15.3967) * CHOOSE(CONTROL!$C$15, $D$11, 100%, $F$11)</f>
        <v>15.4002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15.5472, 15.5435) * CHOOSE(CONTROL!$C$15, $D$11, 100%, $F$11)</f>
        <v>15.5472</v>
      </c>
      <c r="C601" s="8">
        <f>CHOOSE( CONTROL!$C$32, 15.5551, 15.5515) * CHOOSE(CONTROL!$C$15, $D$11, 100%, $F$11)</f>
        <v>15.555099999999999</v>
      </c>
      <c r="D601" s="8">
        <f>CHOOSE( CONTROL!$C$32, 15.5933, 15.5897) * CHOOSE( CONTROL!$C$15, $D$11, 100%, $F$11)</f>
        <v>15.593299999999999</v>
      </c>
      <c r="E601" s="12">
        <f>CHOOSE( CONTROL!$C$32, 15.5783, 15.5746) * CHOOSE( CONTROL!$C$15, $D$11, 100%, $F$11)</f>
        <v>15.5783</v>
      </c>
      <c r="F601" s="4">
        <f>CHOOSE( CONTROL!$C$32, 16.2902, 16.2865) * CHOOSE(CONTROL!$C$15, $D$11, 100%, $F$11)</f>
        <v>16.290199999999999</v>
      </c>
      <c r="G601" s="8">
        <f>CHOOSE( CONTROL!$C$32, 15.3716, 15.368) * CHOOSE( CONTROL!$C$15, $D$11, 100%, $F$11)</f>
        <v>15.371600000000001</v>
      </c>
      <c r="H601" s="4">
        <f>CHOOSE( CONTROL!$C$32, 16.346, 16.3424) * CHOOSE(CONTROL!$C$15, $D$11, 100%, $F$11)</f>
        <v>16.346</v>
      </c>
      <c r="I601" s="8">
        <f>CHOOSE( CONTROL!$C$32, 15.2289, 15.2253) * CHOOSE(CONTROL!$C$15, $D$11, 100%, $F$11)</f>
        <v>15.228899999999999</v>
      </c>
      <c r="J601" s="4">
        <f>CHOOSE( CONTROL!$C$32, 15.0777, 15.0742) * CHOOSE(CONTROL!$C$15, $D$11, 100%, $F$11)</f>
        <v>15.0777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16.2318 * CHOOSE(CONTROL!$C$15, $D$11, 100%, $F$11)</f>
        <v>16.2318</v>
      </c>
      <c r="C602" s="8">
        <f>16.2371 * CHOOSE(CONTROL!$C$15, $D$11, 100%, $F$11)</f>
        <v>16.237100000000002</v>
      </c>
      <c r="D602" s="8">
        <f>16.2806 * CHOOSE( CONTROL!$C$15, $D$11, 100%, $F$11)</f>
        <v>16.2806</v>
      </c>
      <c r="E602" s="12">
        <f>16.2657 * CHOOSE( CONTROL!$C$15, $D$11, 100%, $F$11)</f>
        <v>16.265699999999999</v>
      </c>
      <c r="F602" s="4">
        <f>16.9765 * CHOOSE(CONTROL!$C$15, $D$11, 100%, $F$11)</f>
        <v>16.976500000000001</v>
      </c>
      <c r="G602" s="8">
        <f>16.0495 * CHOOSE( CONTROL!$C$15, $D$11, 100%, $F$11)</f>
        <v>16.049499999999998</v>
      </c>
      <c r="H602" s="4">
        <f>17.0244 * CHOOSE(CONTROL!$C$15, $D$11, 100%, $F$11)</f>
        <v>17.0244</v>
      </c>
      <c r="I602" s="8">
        <f>15.8961 * CHOOSE(CONTROL!$C$15, $D$11, 100%, $F$11)</f>
        <v>15.896100000000001</v>
      </c>
      <c r="J602" s="4">
        <f>15.7438 * CHOOSE(CONTROL!$C$15, $D$11, 100%, $F$11)</f>
        <v>15.7438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17.505 * CHOOSE(CONTROL!$C$15, $D$11, 100%, $F$11)</f>
        <v>17.504999999999999</v>
      </c>
      <c r="C603" s="8">
        <f>17.5101 * CHOOSE(CONTROL!$C$15, $D$11, 100%, $F$11)</f>
        <v>17.510100000000001</v>
      </c>
      <c r="D603" s="8">
        <f>17.4937 * CHOOSE( CONTROL!$C$15, $D$11, 100%, $F$11)</f>
        <v>17.4937</v>
      </c>
      <c r="E603" s="12">
        <f>17.4992 * CHOOSE( CONTROL!$C$15, $D$11, 100%, $F$11)</f>
        <v>17.499199999999998</v>
      </c>
      <c r="F603" s="4">
        <f>18.1703 * CHOOSE(CONTROL!$C$15, $D$11, 100%, $F$11)</f>
        <v>18.170300000000001</v>
      </c>
      <c r="G603" s="8">
        <f>17.3087 * CHOOSE( CONTROL!$C$15, $D$11, 100%, $F$11)</f>
        <v>17.308700000000002</v>
      </c>
      <c r="H603" s="4">
        <f>18.2041 * CHOOSE(CONTROL!$C$15, $D$11, 100%, $F$11)</f>
        <v>18.2041</v>
      </c>
      <c r="I603" s="8">
        <f>17.1328 * CHOOSE(CONTROL!$C$15, $D$11, 100%, $F$11)</f>
        <v>17.1328</v>
      </c>
      <c r="J603" s="4">
        <f>16.9798 * CHOOSE(CONTROL!$C$15, $D$11, 100%, $F$11)</f>
        <v>16.979800000000001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17.4732 * CHOOSE(CONTROL!$C$15, $D$11, 100%, $F$11)</f>
        <v>17.473199999999999</v>
      </c>
      <c r="C604" s="8">
        <f>17.4782 * CHOOSE(CONTROL!$C$15, $D$11, 100%, $F$11)</f>
        <v>17.478200000000001</v>
      </c>
      <c r="D604" s="8">
        <f>17.4636 * CHOOSE( CONTROL!$C$15, $D$11, 100%, $F$11)</f>
        <v>17.4636</v>
      </c>
      <c r="E604" s="12">
        <f>17.4684 * CHOOSE( CONTROL!$C$15, $D$11, 100%, $F$11)</f>
        <v>17.468399999999999</v>
      </c>
      <c r="F604" s="4">
        <f>18.1384 * CHOOSE(CONTROL!$C$15, $D$11, 100%, $F$11)</f>
        <v>18.138400000000001</v>
      </c>
      <c r="G604" s="8">
        <f>17.2785 * CHOOSE( CONTROL!$C$15, $D$11, 100%, $F$11)</f>
        <v>17.278500000000001</v>
      </c>
      <c r="H604" s="4">
        <f>18.1727 * CHOOSE(CONTROL!$C$15, $D$11, 100%, $F$11)</f>
        <v>18.172699999999999</v>
      </c>
      <c r="I604" s="8">
        <f>17.1073 * CHOOSE(CONTROL!$C$15, $D$11, 100%, $F$11)</f>
        <v>17.107299999999999</v>
      </c>
      <c r="J604" s="4">
        <f>16.949 * CHOOSE(CONTROL!$C$15, $D$11, 100%, $F$11)</f>
        <v>16.949000000000002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17.9883 * CHOOSE(CONTROL!$C$15, $D$11, 100%, $F$11)</f>
        <v>17.988299999999999</v>
      </c>
      <c r="C605" s="8">
        <f>17.9934 * CHOOSE(CONTROL!$C$15, $D$11, 100%, $F$11)</f>
        <v>17.993400000000001</v>
      </c>
      <c r="D605" s="8">
        <f>17.9645 * CHOOSE( CONTROL!$C$15, $D$11, 100%, $F$11)</f>
        <v>17.964500000000001</v>
      </c>
      <c r="E605" s="12">
        <f>17.9745 * CHOOSE( CONTROL!$C$15, $D$11, 100%, $F$11)</f>
        <v>17.974499999999999</v>
      </c>
      <c r="F605" s="4">
        <f>18.6536 * CHOOSE(CONTROL!$C$15, $D$11, 100%, $F$11)</f>
        <v>18.653600000000001</v>
      </c>
      <c r="G605" s="8">
        <f>17.7774 * CHOOSE( CONTROL!$C$15, $D$11, 100%, $F$11)</f>
        <v>17.7774</v>
      </c>
      <c r="H605" s="4">
        <f>18.6818 * CHOOSE(CONTROL!$C$15, $D$11, 100%, $F$11)</f>
        <v>18.681799999999999</v>
      </c>
      <c r="I605" s="8">
        <f>17.6021 * CHOOSE(CONTROL!$C$15, $D$11, 100%, $F$11)</f>
        <v>17.6021</v>
      </c>
      <c r="J605" s="4">
        <f>17.4489 * CHOOSE(CONTROL!$C$15, $D$11, 100%, $F$11)</f>
        <v>17.448899999999998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16.826 * CHOOSE(CONTROL!$C$15, $D$11, 100%, $F$11)</f>
        <v>16.826000000000001</v>
      </c>
      <c r="C606" s="8">
        <f>16.831 * CHOOSE(CONTROL!$C$15, $D$11, 100%, $F$11)</f>
        <v>16.831</v>
      </c>
      <c r="D606" s="8">
        <f>16.8022 * CHOOSE( CONTROL!$C$15, $D$11, 100%, $F$11)</f>
        <v>16.802199999999999</v>
      </c>
      <c r="E606" s="12">
        <f>16.8122 * CHOOSE( CONTROL!$C$15, $D$11, 100%, $F$11)</f>
        <v>16.812200000000001</v>
      </c>
      <c r="F606" s="4">
        <f>17.4913 * CHOOSE(CONTROL!$C$15, $D$11, 100%, $F$11)</f>
        <v>17.491299999999999</v>
      </c>
      <c r="G606" s="8">
        <f>16.6286 * CHOOSE( CONTROL!$C$15, $D$11, 100%, $F$11)</f>
        <v>16.628599999999999</v>
      </c>
      <c r="H606" s="4">
        <f>17.5331 * CHOOSE(CONTROL!$C$15, $D$11, 100%, $F$11)</f>
        <v>17.533100000000001</v>
      </c>
      <c r="I606" s="8">
        <f>16.4735 * CHOOSE(CONTROL!$C$15, $D$11, 100%, $F$11)</f>
        <v>16.473500000000001</v>
      </c>
      <c r="J606" s="4">
        <f>16.3209 * CHOOSE(CONTROL!$C$15, $D$11, 100%, $F$11)</f>
        <v>16.320900000000002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16.468 * CHOOSE(CONTROL!$C$15, $D$11, 100%, $F$11)</f>
        <v>16.468</v>
      </c>
      <c r="C607" s="8">
        <f>16.4731 * CHOOSE(CONTROL!$C$15, $D$11, 100%, $F$11)</f>
        <v>16.473099999999999</v>
      </c>
      <c r="D607" s="8">
        <f>16.4438 * CHOOSE( CONTROL!$C$15, $D$11, 100%, $F$11)</f>
        <v>16.4438</v>
      </c>
      <c r="E607" s="12">
        <f>16.454 * CHOOSE( CONTROL!$C$15, $D$11, 100%, $F$11)</f>
        <v>16.454000000000001</v>
      </c>
      <c r="F607" s="4">
        <f>17.1333 * CHOOSE(CONTROL!$C$15, $D$11, 100%, $F$11)</f>
        <v>17.133299999999998</v>
      </c>
      <c r="G607" s="8">
        <f>16.2745 * CHOOSE( CONTROL!$C$15, $D$11, 100%, $F$11)</f>
        <v>16.2745</v>
      </c>
      <c r="H607" s="4">
        <f>17.1793 * CHOOSE(CONTROL!$C$15, $D$11, 100%, $F$11)</f>
        <v>17.179300000000001</v>
      </c>
      <c r="I607" s="8">
        <f>16.1246 * CHOOSE(CONTROL!$C$15, $D$11, 100%, $F$11)</f>
        <v>16.124600000000001</v>
      </c>
      <c r="J607" s="4">
        <f>15.9734 * CHOOSE(CONTROL!$C$15, $D$11, 100%, $F$11)</f>
        <v>15.9734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16.7189 * CHOOSE(CONTROL!$C$15, $D$11, 100%, $F$11)</f>
        <v>16.718900000000001</v>
      </c>
      <c r="C608" s="8">
        <f>16.7234 * CHOOSE(CONTROL!$C$15, $D$11, 100%, $F$11)</f>
        <v>16.723400000000002</v>
      </c>
      <c r="D608" s="8">
        <f>16.7668 * CHOOSE( CONTROL!$C$15, $D$11, 100%, $F$11)</f>
        <v>16.7668</v>
      </c>
      <c r="E608" s="12">
        <f>16.752 * CHOOSE( CONTROL!$C$15, $D$11, 100%, $F$11)</f>
        <v>16.751999999999999</v>
      </c>
      <c r="F608" s="4">
        <f>17.4633 * CHOOSE(CONTROL!$C$15, $D$11, 100%, $F$11)</f>
        <v>17.4633</v>
      </c>
      <c r="G608" s="8">
        <f>16.5296 * CHOOSE( CONTROL!$C$15, $D$11, 100%, $F$11)</f>
        <v>16.529599999999999</v>
      </c>
      <c r="H608" s="4">
        <f>17.5054 * CHOOSE(CONTROL!$C$15, $D$11, 100%, $F$11)</f>
        <v>17.505400000000002</v>
      </c>
      <c r="I608" s="8">
        <f>16.3657 * CHOOSE(CONTROL!$C$15, $D$11, 100%, $F$11)</f>
        <v>16.3657</v>
      </c>
      <c r="J608" s="4">
        <f>16.2162 * CHOOSE(CONTROL!$C$15, $D$11, 100%, $F$11)</f>
        <v>16.216200000000001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17.1691, 17.1655) * CHOOSE(CONTROL!$C$15, $D$11, 100%, $F$11)</f>
        <v>17.1691</v>
      </c>
      <c r="C609" s="8">
        <f>CHOOSE( CONTROL!$C$32, 17.1771, 17.1735) * CHOOSE(CONTROL!$C$15, $D$11, 100%, $F$11)</f>
        <v>17.177099999999999</v>
      </c>
      <c r="D609" s="8">
        <f>CHOOSE( CONTROL!$C$32, 17.2148, 17.2112) * CHOOSE( CONTROL!$C$15, $D$11, 100%, $F$11)</f>
        <v>17.2148</v>
      </c>
      <c r="E609" s="12">
        <f>CHOOSE( CONTROL!$C$32, 17.1999, 17.1963) * CHOOSE( CONTROL!$C$15, $D$11, 100%, $F$11)</f>
        <v>17.1999</v>
      </c>
      <c r="F609" s="4">
        <f>CHOOSE( CONTROL!$C$32, 17.9121, 17.9085) * CHOOSE(CONTROL!$C$15, $D$11, 100%, $F$11)</f>
        <v>17.912099999999999</v>
      </c>
      <c r="G609" s="8">
        <f>CHOOSE( CONTROL!$C$32, 16.974, 16.9704) * CHOOSE( CONTROL!$C$15, $D$11, 100%, $F$11)</f>
        <v>16.974</v>
      </c>
      <c r="H609" s="4">
        <f>CHOOSE( CONTROL!$C$32, 17.949, 17.9454) * CHOOSE(CONTROL!$C$15, $D$11, 100%, $F$11)</f>
        <v>17.949000000000002</v>
      </c>
      <c r="I609" s="8">
        <f>CHOOSE( CONTROL!$C$32, 16.8017, 16.7982) * CHOOSE(CONTROL!$C$15, $D$11, 100%, $F$11)</f>
        <v>16.8017</v>
      </c>
      <c r="J609" s="4">
        <f>CHOOSE( CONTROL!$C$32, 16.6518, 16.6483) * CHOOSE(CONTROL!$C$15, $D$11, 100%, $F$11)</f>
        <v>16.651800000000001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16.8933, 16.8897) * CHOOSE(CONTROL!$C$15, $D$11, 100%, $F$11)</f>
        <v>16.8933</v>
      </c>
      <c r="C610" s="8">
        <f>CHOOSE( CONTROL!$C$32, 16.9013, 16.8977) * CHOOSE(CONTROL!$C$15, $D$11, 100%, $F$11)</f>
        <v>16.901299999999999</v>
      </c>
      <c r="D610" s="8">
        <f>CHOOSE( CONTROL!$C$32, 16.9393, 16.9356) * CHOOSE( CONTROL!$C$15, $D$11, 100%, $F$11)</f>
        <v>16.939299999999999</v>
      </c>
      <c r="E610" s="12">
        <f>CHOOSE( CONTROL!$C$32, 16.9243, 16.9206) * CHOOSE( CONTROL!$C$15, $D$11, 100%, $F$11)</f>
        <v>16.924299999999999</v>
      </c>
      <c r="F610" s="4">
        <f>CHOOSE( CONTROL!$C$32, 17.6363, 17.6327) * CHOOSE(CONTROL!$C$15, $D$11, 100%, $F$11)</f>
        <v>17.636299999999999</v>
      </c>
      <c r="G610" s="8">
        <f>CHOOSE( CONTROL!$C$32, 16.7017, 16.6981) * CHOOSE( CONTROL!$C$15, $D$11, 100%, $F$11)</f>
        <v>16.701699999999999</v>
      </c>
      <c r="H610" s="4">
        <f>CHOOSE( CONTROL!$C$32, 17.6764, 17.6728) * CHOOSE(CONTROL!$C$15, $D$11, 100%, $F$11)</f>
        <v>17.676400000000001</v>
      </c>
      <c r="I610" s="8">
        <f>CHOOSE( CONTROL!$C$32, 16.5349, 16.5314) * CHOOSE(CONTROL!$C$15, $D$11, 100%, $F$11)</f>
        <v>16.5349</v>
      </c>
      <c r="J610" s="4">
        <f>CHOOSE( CONTROL!$C$32, 16.3842, 16.3806) * CHOOSE(CONTROL!$C$15, $D$11, 100%, $F$11)</f>
        <v>16.3842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17.6196, 17.616) * CHOOSE(CONTROL!$C$15, $D$11, 100%, $F$11)</f>
        <v>17.619599999999998</v>
      </c>
      <c r="C611" s="8">
        <f>CHOOSE( CONTROL!$C$32, 17.6276, 17.624) * CHOOSE(CONTROL!$C$15, $D$11, 100%, $F$11)</f>
        <v>17.627600000000001</v>
      </c>
      <c r="D611" s="8">
        <f>CHOOSE( CONTROL!$C$32, 17.6658, 17.6622) * CHOOSE( CONTROL!$C$15, $D$11, 100%, $F$11)</f>
        <v>17.665800000000001</v>
      </c>
      <c r="E611" s="12">
        <f>CHOOSE( CONTROL!$C$32, 17.6507, 17.6471) * CHOOSE( CONTROL!$C$15, $D$11, 100%, $F$11)</f>
        <v>17.650700000000001</v>
      </c>
      <c r="F611" s="4">
        <f>CHOOSE( CONTROL!$C$32, 18.3626, 18.359) * CHOOSE(CONTROL!$C$15, $D$11, 100%, $F$11)</f>
        <v>18.3626</v>
      </c>
      <c r="G611" s="8">
        <f>CHOOSE( CONTROL!$C$32, 17.4199, 17.4163) * CHOOSE( CONTROL!$C$15, $D$11, 100%, $F$11)</f>
        <v>17.419899999999998</v>
      </c>
      <c r="H611" s="4">
        <f>CHOOSE( CONTROL!$C$32, 18.3942, 18.3906) * CHOOSE(CONTROL!$C$15, $D$11, 100%, $F$11)</f>
        <v>18.394200000000001</v>
      </c>
      <c r="I611" s="8">
        <f>CHOOSE( CONTROL!$C$32, 17.2413, 17.2378) * CHOOSE(CONTROL!$C$15, $D$11, 100%, $F$11)</f>
        <v>17.241299999999999</v>
      </c>
      <c r="J611" s="4">
        <f>CHOOSE( CONTROL!$C$32, 17.089, 17.0855) * CHOOSE(CONTROL!$C$15, $D$11, 100%, $F$11)</f>
        <v>17.088999999999999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16.2607, 16.257) * CHOOSE(CONTROL!$C$15, $D$11, 100%, $F$11)</f>
        <v>16.2607</v>
      </c>
      <c r="C612" s="8">
        <f>CHOOSE( CONTROL!$C$32, 16.2686, 16.265) * CHOOSE(CONTROL!$C$15, $D$11, 100%, $F$11)</f>
        <v>16.268599999999999</v>
      </c>
      <c r="D612" s="8">
        <f>CHOOSE( CONTROL!$C$32, 16.3069, 16.3032) * CHOOSE( CONTROL!$C$15, $D$11, 100%, $F$11)</f>
        <v>16.306899999999999</v>
      </c>
      <c r="E612" s="12">
        <f>CHOOSE( CONTROL!$C$32, 16.2918, 16.2881) * CHOOSE( CONTROL!$C$15, $D$11, 100%, $F$11)</f>
        <v>16.291799999999999</v>
      </c>
      <c r="F612" s="4">
        <f>CHOOSE( CONTROL!$C$32, 17.0037, 17) * CHOOSE(CONTROL!$C$15, $D$11, 100%, $F$11)</f>
        <v>17.003699999999998</v>
      </c>
      <c r="G612" s="8">
        <f>CHOOSE( CONTROL!$C$32, 16.0769, 16.0733) * CHOOSE( CONTROL!$C$15, $D$11, 100%, $F$11)</f>
        <v>16.076899999999998</v>
      </c>
      <c r="H612" s="4">
        <f>CHOOSE( CONTROL!$C$32, 17.0512, 17.0476) * CHOOSE(CONTROL!$C$15, $D$11, 100%, $F$11)</f>
        <v>17.051200000000001</v>
      </c>
      <c r="I612" s="8">
        <f>CHOOSE( CONTROL!$C$32, 15.922, 15.9185) * CHOOSE(CONTROL!$C$15, $D$11, 100%, $F$11)</f>
        <v>15.922000000000001</v>
      </c>
      <c r="J612" s="4">
        <f>CHOOSE( CONTROL!$C$32, 15.7701, 15.7666) * CHOOSE(CONTROL!$C$15, $D$11, 100%, $F$11)</f>
        <v>15.770099999999999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15.9204, 15.9167) * CHOOSE(CONTROL!$C$15, $D$11, 100%, $F$11)</f>
        <v>15.920400000000001</v>
      </c>
      <c r="C613" s="8">
        <f>CHOOSE( CONTROL!$C$32, 15.9283, 15.9247) * CHOOSE(CONTROL!$C$15, $D$11, 100%, $F$11)</f>
        <v>15.9283</v>
      </c>
      <c r="D613" s="8">
        <f>CHOOSE( CONTROL!$C$32, 15.9665, 15.9629) * CHOOSE( CONTROL!$C$15, $D$11, 100%, $F$11)</f>
        <v>15.9665</v>
      </c>
      <c r="E613" s="12">
        <f>CHOOSE( CONTROL!$C$32, 15.9515, 15.9478) * CHOOSE( CONTROL!$C$15, $D$11, 100%, $F$11)</f>
        <v>15.951499999999999</v>
      </c>
      <c r="F613" s="4">
        <f>CHOOSE( CONTROL!$C$32, 16.6634, 16.6597) * CHOOSE(CONTROL!$C$15, $D$11, 100%, $F$11)</f>
        <v>16.663399999999999</v>
      </c>
      <c r="G613" s="8">
        <f>CHOOSE( CONTROL!$C$32, 15.7405, 15.7369) * CHOOSE( CONTROL!$C$15, $D$11, 100%, $F$11)</f>
        <v>15.740500000000001</v>
      </c>
      <c r="H613" s="4">
        <f>CHOOSE( CONTROL!$C$32, 16.7149, 16.7113) * CHOOSE(CONTROL!$C$15, $D$11, 100%, $F$11)</f>
        <v>16.7149</v>
      </c>
      <c r="I613" s="8">
        <f>CHOOSE( CONTROL!$C$32, 15.5912, 15.5877) * CHOOSE(CONTROL!$C$15, $D$11, 100%, $F$11)</f>
        <v>15.591200000000001</v>
      </c>
      <c r="J613" s="4">
        <f>CHOOSE( CONTROL!$C$32, 15.4399, 15.4364) * CHOOSE(CONTROL!$C$15, $D$11, 100%, $F$11)</f>
        <v>15.4399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16.6216 * CHOOSE(CONTROL!$C$15, $D$11, 100%, $F$11)</f>
        <v>16.621600000000001</v>
      </c>
      <c r="C614" s="8">
        <f>16.6269 * CHOOSE(CONTROL!$C$15, $D$11, 100%, $F$11)</f>
        <v>16.626899999999999</v>
      </c>
      <c r="D614" s="8">
        <f>16.6704 * CHOOSE( CONTROL!$C$15, $D$11, 100%, $F$11)</f>
        <v>16.670400000000001</v>
      </c>
      <c r="E614" s="12">
        <f>16.6555 * CHOOSE( CONTROL!$C$15, $D$11, 100%, $F$11)</f>
        <v>16.6555</v>
      </c>
      <c r="F614" s="4">
        <f>17.3663 * CHOOSE(CONTROL!$C$15, $D$11, 100%, $F$11)</f>
        <v>17.366299999999999</v>
      </c>
      <c r="G614" s="8">
        <f>16.4347 * CHOOSE( CONTROL!$C$15, $D$11, 100%, $F$11)</f>
        <v>16.434699999999999</v>
      </c>
      <c r="H614" s="4">
        <f>17.4096 * CHOOSE(CONTROL!$C$15, $D$11, 100%, $F$11)</f>
        <v>17.409600000000001</v>
      </c>
      <c r="I614" s="8">
        <f>16.2745 * CHOOSE(CONTROL!$C$15, $D$11, 100%, $F$11)</f>
        <v>16.2745</v>
      </c>
      <c r="J614" s="4">
        <f>16.1221 * CHOOSE(CONTROL!$C$15, $D$11, 100%, $F$11)</f>
        <v>16.1221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17.9254 * CHOOSE(CONTROL!$C$15, $D$11, 100%, $F$11)</f>
        <v>17.9254</v>
      </c>
      <c r="C615" s="8">
        <f>17.9304 * CHOOSE(CONTROL!$C$15, $D$11, 100%, $F$11)</f>
        <v>17.930399999999999</v>
      </c>
      <c r="D615" s="8">
        <f>17.9141 * CHOOSE( CONTROL!$C$15, $D$11, 100%, $F$11)</f>
        <v>17.914100000000001</v>
      </c>
      <c r="E615" s="12">
        <f>17.9195 * CHOOSE( CONTROL!$C$15, $D$11, 100%, $F$11)</f>
        <v>17.919499999999999</v>
      </c>
      <c r="F615" s="4">
        <f>18.5907 * CHOOSE(CONTROL!$C$15, $D$11, 100%, $F$11)</f>
        <v>18.590699999999998</v>
      </c>
      <c r="G615" s="8">
        <f>17.7242 * CHOOSE( CONTROL!$C$15, $D$11, 100%, $F$11)</f>
        <v>17.7242</v>
      </c>
      <c r="H615" s="4">
        <f>18.6196 * CHOOSE(CONTROL!$C$15, $D$11, 100%, $F$11)</f>
        <v>18.619599999999998</v>
      </c>
      <c r="I615" s="8">
        <f>17.541 * CHOOSE(CONTROL!$C$15, $D$11, 100%, $F$11)</f>
        <v>17.541</v>
      </c>
      <c r="J615" s="4">
        <f>17.3878 * CHOOSE(CONTROL!$C$15, $D$11, 100%, $F$11)</f>
        <v>17.387799999999999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17.8928 * CHOOSE(CONTROL!$C$15, $D$11, 100%, $F$11)</f>
        <v>17.892800000000001</v>
      </c>
      <c r="C616" s="8">
        <f>17.8979 * CHOOSE(CONTROL!$C$15, $D$11, 100%, $F$11)</f>
        <v>17.8979</v>
      </c>
      <c r="D616" s="8">
        <f>17.8832 * CHOOSE( CONTROL!$C$15, $D$11, 100%, $F$11)</f>
        <v>17.883199999999999</v>
      </c>
      <c r="E616" s="12">
        <f>17.888 * CHOOSE( CONTROL!$C$15, $D$11, 100%, $F$11)</f>
        <v>17.888000000000002</v>
      </c>
      <c r="F616" s="4">
        <f>18.5581 * CHOOSE(CONTROL!$C$15, $D$11, 100%, $F$11)</f>
        <v>18.5581</v>
      </c>
      <c r="G616" s="8">
        <f>17.6932 * CHOOSE( CONTROL!$C$15, $D$11, 100%, $F$11)</f>
        <v>17.693200000000001</v>
      </c>
      <c r="H616" s="4">
        <f>18.5874 * CHOOSE(CONTROL!$C$15, $D$11, 100%, $F$11)</f>
        <v>18.587399999999999</v>
      </c>
      <c r="I616" s="8">
        <f>17.5148 * CHOOSE(CONTROL!$C$15, $D$11, 100%, $F$11)</f>
        <v>17.514800000000001</v>
      </c>
      <c r="J616" s="4">
        <f>17.3562 * CHOOSE(CONTROL!$C$15, $D$11, 100%, $F$11)</f>
        <v>17.356200000000001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18.4203 * CHOOSE(CONTROL!$C$15, $D$11, 100%, $F$11)</f>
        <v>18.420300000000001</v>
      </c>
      <c r="C617" s="8">
        <f>18.4254 * CHOOSE(CONTROL!$C$15, $D$11, 100%, $F$11)</f>
        <v>18.4254</v>
      </c>
      <c r="D617" s="8">
        <f>18.3965 * CHOOSE( CONTROL!$C$15, $D$11, 100%, $F$11)</f>
        <v>18.3965</v>
      </c>
      <c r="E617" s="12">
        <f>18.4065 * CHOOSE( CONTROL!$C$15, $D$11, 100%, $F$11)</f>
        <v>18.406500000000001</v>
      </c>
      <c r="F617" s="4">
        <f>19.0856 * CHOOSE(CONTROL!$C$15, $D$11, 100%, $F$11)</f>
        <v>19.085599999999999</v>
      </c>
      <c r="G617" s="8">
        <f>18.2043 * CHOOSE( CONTROL!$C$15, $D$11, 100%, $F$11)</f>
        <v>18.2043</v>
      </c>
      <c r="H617" s="4">
        <f>19.1087 * CHOOSE(CONTROL!$C$15, $D$11, 100%, $F$11)</f>
        <v>19.108699999999999</v>
      </c>
      <c r="I617" s="8">
        <f>18.0216 * CHOOSE(CONTROL!$C$15, $D$11, 100%, $F$11)</f>
        <v>18.021599999999999</v>
      </c>
      <c r="J617" s="4">
        <f>17.8681 * CHOOSE(CONTROL!$C$15, $D$11, 100%, $F$11)</f>
        <v>17.868099999999998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17.23 * CHOOSE(CONTROL!$C$15, $D$11, 100%, $F$11)</f>
        <v>17.23</v>
      </c>
      <c r="C618" s="8">
        <f>17.2351 * CHOOSE(CONTROL!$C$15, $D$11, 100%, $F$11)</f>
        <v>17.235099999999999</v>
      </c>
      <c r="D618" s="8">
        <f>17.2062 * CHOOSE( CONTROL!$C$15, $D$11, 100%, $F$11)</f>
        <v>17.206199999999999</v>
      </c>
      <c r="E618" s="12">
        <f>17.2162 * CHOOSE( CONTROL!$C$15, $D$11, 100%, $F$11)</f>
        <v>17.216200000000001</v>
      </c>
      <c r="F618" s="4">
        <f>17.8953 * CHOOSE(CONTROL!$C$15, $D$11, 100%, $F$11)</f>
        <v>17.895299999999999</v>
      </c>
      <c r="G618" s="8">
        <f>17.028 * CHOOSE( CONTROL!$C$15, $D$11, 100%, $F$11)</f>
        <v>17.027999999999999</v>
      </c>
      <c r="H618" s="4">
        <f>17.9324 * CHOOSE(CONTROL!$C$15, $D$11, 100%, $F$11)</f>
        <v>17.932400000000001</v>
      </c>
      <c r="I618" s="8">
        <f>16.8658 * CHOOSE(CONTROL!$C$15, $D$11, 100%, $F$11)</f>
        <v>16.8658</v>
      </c>
      <c r="J618" s="4">
        <f>16.713 * CHOOSE(CONTROL!$C$15, $D$11, 100%, $F$11)</f>
        <v>16.713000000000001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16.8634 * CHOOSE(CONTROL!$C$15, $D$11, 100%, $F$11)</f>
        <v>16.863399999999999</v>
      </c>
      <c r="C619" s="8">
        <f>16.8685 * CHOOSE(CONTROL!$C$15, $D$11, 100%, $F$11)</f>
        <v>16.868500000000001</v>
      </c>
      <c r="D619" s="8">
        <f>16.8392 * CHOOSE( CONTROL!$C$15, $D$11, 100%, $F$11)</f>
        <v>16.839200000000002</v>
      </c>
      <c r="E619" s="12">
        <f>16.8494 * CHOOSE( CONTROL!$C$15, $D$11, 100%, $F$11)</f>
        <v>16.849399999999999</v>
      </c>
      <c r="F619" s="4">
        <f>17.5287 * CHOOSE(CONTROL!$C$15, $D$11, 100%, $F$11)</f>
        <v>17.528700000000001</v>
      </c>
      <c r="G619" s="8">
        <f>16.6654 * CHOOSE( CONTROL!$C$15, $D$11, 100%, $F$11)</f>
        <v>16.665400000000002</v>
      </c>
      <c r="H619" s="4">
        <f>17.5701 * CHOOSE(CONTROL!$C$15, $D$11, 100%, $F$11)</f>
        <v>17.5701</v>
      </c>
      <c r="I619" s="8">
        <f>16.5086 * CHOOSE(CONTROL!$C$15, $D$11, 100%, $F$11)</f>
        <v>16.508600000000001</v>
      </c>
      <c r="J619" s="4">
        <f>16.3572 * CHOOSE(CONTROL!$C$15, $D$11, 100%, $F$11)</f>
        <v>16.357199999999999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17.1204 * CHOOSE(CONTROL!$C$15, $D$11, 100%, $F$11)</f>
        <v>17.1204</v>
      </c>
      <c r="C620" s="8">
        <f>17.1249 * CHOOSE(CONTROL!$C$15, $D$11, 100%, $F$11)</f>
        <v>17.1249</v>
      </c>
      <c r="D620" s="8">
        <f>17.1683 * CHOOSE( CONTROL!$C$15, $D$11, 100%, $F$11)</f>
        <v>17.168299999999999</v>
      </c>
      <c r="E620" s="12">
        <f>17.1535 * CHOOSE( CONTROL!$C$15, $D$11, 100%, $F$11)</f>
        <v>17.153500000000001</v>
      </c>
      <c r="F620" s="4">
        <f>17.8648 * CHOOSE(CONTROL!$C$15, $D$11, 100%, $F$11)</f>
        <v>17.864799999999999</v>
      </c>
      <c r="G620" s="8">
        <f>16.9263 * CHOOSE( CONTROL!$C$15, $D$11, 100%, $F$11)</f>
        <v>16.926300000000001</v>
      </c>
      <c r="H620" s="4">
        <f>17.9022 * CHOOSE(CONTROL!$C$15, $D$11, 100%, $F$11)</f>
        <v>17.902200000000001</v>
      </c>
      <c r="I620" s="8">
        <f>16.7556 * CHOOSE(CONTROL!$C$15, $D$11, 100%, $F$11)</f>
        <v>16.755600000000001</v>
      </c>
      <c r="J620" s="4">
        <f>16.6058 * CHOOSE(CONTROL!$C$15, $D$11, 100%, $F$11)</f>
        <v>16.605799999999999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17.5813, 17.5777) * CHOOSE(CONTROL!$C$15, $D$11, 100%, $F$11)</f>
        <v>17.581299999999999</v>
      </c>
      <c r="C621" s="8">
        <f>CHOOSE( CONTROL!$C$32, 17.5893, 17.5856) * CHOOSE(CONTROL!$C$15, $D$11, 100%, $F$11)</f>
        <v>17.589300000000001</v>
      </c>
      <c r="D621" s="8">
        <f>CHOOSE( CONTROL!$C$32, 17.627, 17.6234) * CHOOSE( CONTROL!$C$15, $D$11, 100%, $F$11)</f>
        <v>17.626999999999999</v>
      </c>
      <c r="E621" s="12">
        <f>CHOOSE( CONTROL!$C$32, 17.6121, 17.6085) * CHOOSE( CONTROL!$C$15, $D$11, 100%, $F$11)</f>
        <v>17.612100000000002</v>
      </c>
      <c r="F621" s="4">
        <f>CHOOSE( CONTROL!$C$32, 18.3243, 18.3207) * CHOOSE(CONTROL!$C$15, $D$11, 100%, $F$11)</f>
        <v>18.324300000000001</v>
      </c>
      <c r="G621" s="8">
        <f>CHOOSE( CONTROL!$C$32, 17.3813, 17.3777) * CHOOSE( CONTROL!$C$15, $D$11, 100%, $F$11)</f>
        <v>17.3813</v>
      </c>
      <c r="H621" s="4">
        <f>CHOOSE( CONTROL!$C$32, 18.3564, 18.3528) * CHOOSE(CONTROL!$C$15, $D$11, 100%, $F$11)</f>
        <v>18.356400000000001</v>
      </c>
      <c r="I621" s="8">
        <f>CHOOSE( CONTROL!$C$32, 17.2019, 17.1984) * CHOOSE(CONTROL!$C$15, $D$11, 100%, $F$11)</f>
        <v>17.201899999999998</v>
      </c>
      <c r="J621" s="4">
        <f>CHOOSE( CONTROL!$C$32, 17.0518, 17.0483) * CHOOSE(CONTROL!$C$15, $D$11, 100%, $F$11)</f>
        <v>17.0518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17.2989, 17.2952) * CHOOSE(CONTROL!$C$15, $D$11, 100%, $F$11)</f>
        <v>17.2989</v>
      </c>
      <c r="C622" s="8">
        <f>CHOOSE( CONTROL!$C$32, 17.3069, 17.3032) * CHOOSE(CONTROL!$C$15, $D$11, 100%, $F$11)</f>
        <v>17.306899999999999</v>
      </c>
      <c r="D622" s="8">
        <f>CHOOSE( CONTROL!$C$32, 17.3448, 17.3412) * CHOOSE( CONTROL!$C$15, $D$11, 100%, $F$11)</f>
        <v>17.344799999999999</v>
      </c>
      <c r="E622" s="12">
        <f>CHOOSE( CONTROL!$C$32, 17.3298, 17.3262) * CHOOSE( CONTROL!$C$15, $D$11, 100%, $F$11)</f>
        <v>17.329799999999999</v>
      </c>
      <c r="F622" s="4">
        <f>CHOOSE( CONTROL!$C$32, 18.0419, 18.0382) * CHOOSE(CONTROL!$C$15, $D$11, 100%, $F$11)</f>
        <v>18.041899999999998</v>
      </c>
      <c r="G622" s="8">
        <f>CHOOSE( CONTROL!$C$32, 17.1025, 17.0989) * CHOOSE( CONTROL!$C$15, $D$11, 100%, $F$11)</f>
        <v>17.102499999999999</v>
      </c>
      <c r="H622" s="4">
        <f>CHOOSE( CONTROL!$C$32, 18.0772, 18.0736) * CHOOSE(CONTROL!$C$15, $D$11, 100%, $F$11)</f>
        <v>18.077200000000001</v>
      </c>
      <c r="I622" s="8">
        <f>CHOOSE( CONTROL!$C$32, 16.9287, 16.9252) * CHOOSE(CONTROL!$C$15, $D$11, 100%, $F$11)</f>
        <v>16.928699999999999</v>
      </c>
      <c r="J622" s="4">
        <f>CHOOSE( CONTROL!$C$32, 16.7777, 16.7742) * CHOOSE(CONTROL!$C$15, $D$11, 100%, $F$11)</f>
        <v>16.777699999999999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18.0426, 18.039) * CHOOSE(CONTROL!$C$15, $D$11, 100%, $F$11)</f>
        <v>18.0426</v>
      </c>
      <c r="C623" s="8">
        <f>CHOOSE( CONTROL!$C$32, 18.0506, 18.047) * CHOOSE(CONTROL!$C$15, $D$11, 100%, $F$11)</f>
        <v>18.050599999999999</v>
      </c>
      <c r="D623" s="8">
        <f>CHOOSE( CONTROL!$C$32, 18.0888, 18.0852) * CHOOSE( CONTROL!$C$15, $D$11, 100%, $F$11)</f>
        <v>18.088799999999999</v>
      </c>
      <c r="E623" s="12">
        <f>CHOOSE( CONTROL!$C$32, 18.0737, 18.0701) * CHOOSE( CONTROL!$C$15, $D$11, 100%, $F$11)</f>
        <v>18.073699999999999</v>
      </c>
      <c r="F623" s="4">
        <f>CHOOSE( CONTROL!$C$32, 18.7856, 18.782) * CHOOSE(CONTROL!$C$15, $D$11, 100%, $F$11)</f>
        <v>18.785599999999999</v>
      </c>
      <c r="G623" s="8">
        <f>CHOOSE( CONTROL!$C$32, 17.8379, 17.8343) * CHOOSE( CONTROL!$C$15, $D$11, 100%, $F$11)</f>
        <v>17.837900000000001</v>
      </c>
      <c r="H623" s="4">
        <f>CHOOSE( CONTROL!$C$32, 18.8123, 18.8087) * CHOOSE(CONTROL!$C$15, $D$11, 100%, $F$11)</f>
        <v>18.8123</v>
      </c>
      <c r="I623" s="8">
        <f>CHOOSE( CONTROL!$C$32, 17.652, 17.6485) * CHOOSE(CONTROL!$C$15, $D$11, 100%, $F$11)</f>
        <v>17.652000000000001</v>
      </c>
      <c r="J623" s="4">
        <f>CHOOSE( CONTROL!$C$32, 17.4995, 17.496) * CHOOSE(CONTROL!$C$15, $D$11, 100%, $F$11)</f>
        <v>17.499500000000001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16.651, 16.6474) * CHOOSE(CONTROL!$C$15, $D$11, 100%, $F$11)</f>
        <v>16.651</v>
      </c>
      <c r="C624" s="8">
        <f>CHOOSE( CONTROL!$C$32, 16.659, 16.6553) * CHOOSE(CONTROL!$C$15, $D$11, 100%, $F$11)</f>
        <v>16.658999999999999</v>
      </c>
      <c r="D624" s="8">
        <f>CHOOSE( CONTROL!$C$32, 16.6972, 16.6936) * CHOOSE( CONTROL!$C$15, $D$11, 100%, $F$11)</f>
        <v>16.697199999999999</v>
      </c>
      <c r="E624" s="12">
        <f>CHOOSE( CONTROL!$C$32, 16.6821, 16.6785) * CHOOSE( CONTROL!$C$15, $D$11, 100%, $F$11)</f>
        <v>16.682099999999998</v>
      </c>
      <c r="F624" s="4">
        <f>CHOOSE( CONTROL!$C$32, 17.394, 17.3904) * CHOOSE(CONTROL!$C$15, $D$11, 100%, $F$11)</f>
        <v>17.393999999999998</v>
      </c>
      <c r="G624" s="8">
        <f>CHOOSE( CONTROL!$C$32, 16.4627, 16.4591) * CHOOSE( CONTROL!$C$15, $D$11, 100%, $F$11)</f>
        <v>16.462700000000002</v>
      </c>
      <c r="H624" s="4">
        <f>CHOOSE( CONTROL!$C$32, 17.437, 17.4334) * CHOOSE(CONTROL!$C$15, $D$11, 100%, $F$11)</f>
        <v>17.437000000000001</v>
      </c>
      <c r="I624" s="8">
        <f>CHOOSE( CONTROL!$C$32, 16.3011, 16.2975) * CHOOSE(CONTROL!$C$15, $D$11, 100%, $F$11)</f>
        <v>16.301100000000002</v>
      </c>
      <c r="J624" s="4">
        <f>CHOOSE( CONTROL!$C$32, 16.149, 16.1454) * CHOOSE(CONTROL!$C$15, $D$11, 100%, $F$11)</f>
        <v>16.149000000000001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16.3025, 16.2989) * CHOOSE(CONTROL!$C$15, $D$11, 100%, $F$11)</f>
        <v>16.302499999999998</v>
      </c>
      <c r="C625" s="8">
        <f>CHOOSE( CONTROL!$C$32, 16.3105, 16.3069) * CHOOSE(CONTROL!$C$15, $D$11, 100%, $F$11)</f>
        <v>16.310500000000001</v>
      </c>
      <c r="D625" s="8">
        <f>CHOOSE( CONTROL!$C$32, 16.3487, 16.345) * CHOOSE( CONTROL!$C$15, $D$11, 100%, $F$11)</f>
        <v>16.348700000000001</v>
      </c>
      <c r="E625" s="12">
        <f>CHOOSE( CONTROL!$C$32, 16.3336, 16.33) * CHOOSE( CONTROL!$C$15, $D$11, 100%, $F$11)</f>
        <v>16.333600000000001</v>
      </c>
      <c r="F625" s="4">
        <f>CHOOSE( CONTROL!$C$32, 17.0455, 17.0419) * CHOOSE(CONTROL!$C$15, $D$11, 100%, $F$11)</f>
        <v>17.045500000000001</v>
      </c>
      <c r="G625" s="8">
        <f>CHOOSE( CONTROL!$C$32, 16.1182, 16.1146) * CHOOSE( CONTROL!$C$15, $D$11, 100%, $F$11)</f>
        <v>16.118200000000002</v>
      </c>
      <c r="H625" s="4">
        <f>CHOOSE( CONTROL!$C$32, 17.0926, 17.089) * CHOOSE(CONTROL!$C$15, $D$11, 100%, $F$11)</f>
        <v>17.092600000000001</v>
      </c>
      <c r="I625" s="8">
        <f>CHOOSE( CONTROL!$C$32, 15.9623, 15.9588) * CHOOSE(CONTROL!$C$15, $D$11, 100%, $F$11)</f>
        <v>15.962300000000001</v>
      </c>
      <c r="J625" s="4">
        <f>CHOOSE( CONTROL!$C$32, 15.8108, 15.8072) * CHOOSE(CONTROL!$C$15, $D$11, 100%, $F$11)</f>
        <v>15.8108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17.0207 * CHOOSE(CONTROL!$C$15, $D$11, 100%, $F$11)</f>
        <v>17.020700000000001</v>
      </c>
      <c r="C626" s="8">
        <f>17.026 * CHOOSE(CONTROL!$C$15, $D$11, 100%, $F$11)</f>
        <v>17.026</v>
      </c>
      <c r="D626" s="8">
        <f>17.0696 * CHOOSE( CONTROL!$C$15, $D$11, 100%, $F$11)</f>
        <v>17.069600000000001</v>
      </c>
      <c r="E626" s="12">
        <f>17.0546 * CHOOSE( CONTROL!$C$15, $D$11, 100%, $F$11)</f>
        <v>17.054600000000001</v>
      </c>
      <c r="F626" s="4">
        <f>17.7654 * CHOOSE(CONTROL!$C$15, $D$11, 100%, $F$11)</f>
        <v>17.7654</v>
      </c>
      <c r="G626" s="8">
        <f>16.8291 * CHOOSE( CONTROL!$C$15, $D$11, 100%, $F$11)</f>
        <v>16.8291</v>
      </c>
      <c r="H626" s="4">
        <f>17.804 * CHOOSE(CONTROL!$C$15, $D$11, 100%, $F$11)</f>
        <v>17.803999999999998</v>
      </c>
      <c r="I626" s="8">
        <f>16.6621 * CHOOSE(CONTROL!$C$15, $D$11, 100%, $F$11)</f>
        <v>16.662099999999999</v>
      </c>
      <c r="J626" s="4">
        <f>16.5095 * CHOOSE(CONTROL!$C$15, $D$11, 100%, $F$11)</f>
        <v>16.509499999999999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18.3559 * CHOOSE(CONTROL!$C$15, $D$11, 100%, $F$11)</f>
        <v>18.355899999999998</v>
      </c>
      <c r="C627" s="8">
        <f>18.3609 * CHOOSE(CONTROL!$C$15, $D$11, 100%, $F$11)</f>
        <v>18.360900000000001</v>
      </c>
      <c r="D627" s="8">
        <f>18.3446 * CHOOSE( CONTROL!$C$15, $D$11, 100%, $F$11)</f>
        <v>18.3446</v>
      </c>
      <c r="E627" s="12">
        <f>18.35 * CHOOSE( CONTROL!$C$15, $D$11, 100%, $F$11)</f>
        <v>18.350000000000001</v>
      </c>
      <c r="F627" s="4">
        <f>19.0211 * CHOOSE(CONTROL!$C$15, $D$11, 100%, $F$11)</f>
        <v>19.021100000000001</v>
      </c>
      <c r="G627" s="8">
        <f>18.1496 * CHOOSE( CONTROL!$C$15, $D$11, 100%, $F$11)</f>
        <v>18.1496</v>
      </c>
      <c r="H627" s="4">
        <f>19.045 * CHOOSE(CONTROL!$C$15, $D$11, 100%, $F$11)</f>
        <v>19.045000000000002</v>
      </c>
      <c r="I627" s="8">
        <f>17.959 * CHOOSE(CONTROL!$C$15, $D$11, 100%, $F$11)</f>
        <v>17.959</v>
      </c>
      <c r="J627" s="4">
        <f>17.8056 * CHOOSE(CONTROL!$C$15, $D$11, 100%, $F$11)</f>
        <v>17.805599999999998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18.3225 * CHOOSE(CONTROL!$C$15, $D$11, 100%, $F$11)</f>
        <v>18.322500000000002</v>
      </c>
      <c r="C628" s="8">
        <f>18.3276 * CHOOSE(CONTROL!$C$15, $D$11, 100%, $F$11)</f>
        <v>18.3276</v>
      </c>
      <c r="D628" s="8">
        <f>18.3129 * CHOOSE( CONTROL!$C$15, $D$11, 100%, $F$11)</f>
        <v>18.312899999999999</v>
      </c>
      <c r="E628" s="12">
        <f>18.3177 * CHOOSE( CONTROL!$C$15, $D$11, 100%, $F$11)</f>
        <v>18.317699999999999</v>
      </c>
      <c r="F628" s="4">
        <f>18.9878 * CHOOSE(CONTROL!$C$15, $D$11, 100%, $F$11)</f>
        <v>18.9878</v>
      </c>
      <c r="G628" s="8">
        <f>18.1179 * CHOOSE( CONTROL!$C$15, $D$11, 100%, $F$11)</f>
        <v>18.117899999999999</v>
      </c>
      <c r="H628" s="4">
        <f>19.012 * CHOOSE(CONTROL!$C$15, $D$11, 100%, $F$11)</f>
        <v>19.012</v>
      </c>
      <c r="I628" s="8">
        <f>17.932 * CHOOSE(CONTROL!$C$15, $D$11, 100%, $F$11)</f>
        <v>17.931999999999999</v>
      </c>
      <c r="J628" s="4">
        <f>17.7732 * CHOOSE(CONTROL!$C$15, $D$11, 100%, $F$11)</f>
        <v>17.773199999999999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18.8627 * CHOOSE(CONTROL!$C$15, $D$11, 100%, $F$11)</f>
        <v>18.8627</v>
      </c>
      <c r="C629" s="8">
        <f>18.8678 * CHOOSE(CONTROL!$C$15, $D$11, 100%, $F$11)</f>
        <v>18.867799999999999</v>
      </c>
      <c r="D629" s="8">
        <f>18.8389 * CHOOSE( CONTROL!$C$15, $D$11, 100%, $F$11)</f>
        <v>18.838899999999999</v>
      </c>
      <c r="E629" s="12">
        <f>18.8489 * CHOOSE( CONTROL!$C$15, $D$11, 100%, $F$11)</f>
        <v>18.8489</v>
      </c>
      <c r="F629" s="4">
        <f>19.528 * CHOOSE(CONTROL!$C$15, $D$11, 100%, $F$11)</f>
        <v>19.527999999999999</v>
      </c>
      <c r="G629" s="8">
        <f>18.6415 * CHOOSE( CONTROL!$C$15, $D$11, 100%, $F$11)</f>
        <v>18.641500000000001</v>
      </c>
      <c r="H629" s="4">
        <f>19.5459 * CHOOSE(CONTROL!$C$15, $D$11, 100%, $F$11)</f>
        <v>19.5459</v>
      </c>
      <c r="I629" s="8">
        <f>18.4511 * CHOOSE(CONTROL!$C$15, $D$11, 100%, $F$11)</f>
        <v>18.4511</v>
      </c>
      <c r="J629" s="4">
        <f>18.2975 * CHOOSE(CONTROL!$C$15, $D$11, 100%, $F$11)</f>
        <v>18.297499999999999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17.6438 * CHOOSE(CONTROL!$C$15, $D$11, 100%, $F$11)</f>
        <v>17.643799999999999</v>
      </c>
      <c r="C630" s="8">
        <f>17.6489 * CHOOSE(CONTROL!$C$15, $D$11, 100%, $F$11)</f>
        <v>17.648900000000001</v>
      </c>
      <c r="D630" s="8">
        <f>17.62 * CHOOSE( CONTROL!$C$15, $D$11, 100%, $F$11)</f>
        <v>17.62</v>
      </c>
      <c r="E630" s="12">
        <f>17.63 * CHOOSE( CONTROL!$C$15, $D$11, 100%, $F$11)</f>
        <v>17.63</v>
      </c>
      <c r="F630" s="4">
        <f>18.3091 * CHOOSE(CONTROL!$C$15, $D$11, 100%, $F$11)</f>
        <v>18.309100000000001</v>
      </c>
      <c r="G630" s="8">
        <f>17.4369 * CHOOSE( CONTROL!$C$15, $D$11, 100%, $F$11)</f>
        <v>17.436900000000001</v>
      </c>
      <c r="H630" s="4">
        <f>18.3413 * CHOOSE(CONTROL!$C$15, $D$11, 100%, $F$11)</f>
        <v>18.3413</v>
      </c>
      <c r="I630" s="8">
        <f>17.2676 * CHOOSE(CONTROL!$C$15, $D$11, 100%, $F$11)</f>
        <v>17.267600000000002</v>
      </c>
      <c r="J630" s="4">
        <f>17.1146 * CHOOSE(CONTROL!$C$15, $D$11, 100%, $F$11)</f>
        <v>17.114599999999999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17.2684 * CHOOSE(CONTROL!$C$15, $D$11, 100%, $F$11)</f>
        <v>17.2684</v>
      </c>
      <c r="C631" s="8">
        <f>17.2735 * CHOOSE(CONTROL!$C$15, $D$11, 100%, $F$11)</f>
        <v>17.273499999999999</v>
      </c>
      <c r="D631" s="8">
        <f>17.2442 * CHOOSE( CONTROL!$C$15, $D$11, 100%, $F$11)</f>
        <v>17.244199999999999</v>
      </c>
      <c r="E631" s="12">
        <f>17.2544 * CHOOSE( CONTROL!$C$15, $D$11, 100%, $F$11)</f>
        <v>17.2544</v>
      </c>
      <c r="F631" s="4">
        <f>17.9337 * CHOOSE(CONTROL!$C$15, $D$11, 100%, $F$11)</f>
        <v>17.933700000000002</v>
      </c>
      <c r="G631" s="8">
        <f>17.0656 * CHOOSE( CONTROL!$C$15, $D$11, 100%, $F$11)</f>
        <v>17.0656</v>
      </c>
      <c r="H631" s="4">
        <f>17.9703 * CHOOSE(CONTROL!$C$15, $D$11, 100%, $F$11)</f>
        <v>17.970300000000002</v>
      </c>
      <c r="I631" s="8">
        <f>16.9018 * CHOOSE(CONTROL!$C$15, $D$11, 100%, $F$11)</f>
        <v>16.901800000000001</v>
      </c>
      <c r="J631" s="4">
        <f>16.7502 * CHOOSE(CONTROL!$C$15, $D$11, 100%, $F$11)</f>
        <v>16.7502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17.5315 * CHOOSE(CONTROL!$C$15, $D$11, 100%, $F$11)</f>
        <v>17.531500000000001</v>
      </c>
      <c r="C632" s="8">
        <f>17.536 * CHOOSE(CONTROL!$C$15, $D$11, 100%, $F$11)</f>
        <v>17.536000000000001</v>
      </c>
      <c r="D632" s="8">
        <f>17.5794 * CHOOSE( CONTROL!$C$15, $D$11, 100%, $F$11)</f>
        <v>17.5794</v>
      </c>
      <c r="E632" s="12">
        <f>17.5646 * CHOOSE( CONTROL!$C$15, $D$11, 100%, $F$11)</f>
        <v>17.564599999999999</v>
      </c>
      <c r="F632" s="4">
        <f>18.2759 * CHOOSE(CONTROL!$C$15, $D$11, 100%, $F$11)</f>
        <v>18.2759</v>
      </c>
      <c r="G632" s="8">
        <f>17.3326 * CHOOSE( CONTROL!$C$15, $D$11, 100%, $F$11)</f>
        <v>17.332599999999999</v>
      </c>
      <c r="H632" s="4">
        <f>18.3085 * CHOOSE(CONTROL!$C$15, $D$11, 100%, $F$11)</f>
        <v>18.308499999999999</v>
      </c>
      <c r="I632" s="8">
        <f>17.1547 * CHOOSE(CONTROL!$C$15, $D$11, 100%, $F$11)</f>
        <v>17.154699999999998</v>
      </c>
      <c r="J632" s="4">
        <f>17.0048 * CHOOSE(CONTROL!$C$15, $D$11, 100%, $F$11)</f>
        <v>17.004799999999999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18.0034, 17.9997) * CHOOSE(CONTROL!$C$15, $D$11, 100%, $F$11)</f>
        <v>18.003399999999999</v>
      </c>
      <c r="C633" s="8">
        <f>CHOOSE( CONTROL!$C$32, 18.0114, 18.0077) * CHOOSE(CONTROL!$C$15, $D$11, 100%, $F$11)</f>
        <v>18.011399999999998</v>
      </c>
      <c r="D633" s="8">
        <f>CHOOSE( CONTROL!$C$32, 18.0491, 18.0455) * CHOOSE( CONTROL!$C$15, $D$11, 100%, $F$11)</f>
        <v>18.049099999999999</v>
      </c>
      <c r="E633" s="12">
        <f>CHOOSE( CONTROL!$C$32, 18.0342, 18.0306) * CHOOSE( CONTROL!$C$15, $D$11, 100%, $F$11)</f>
        <v>18.034199999999998</v>
      </c>
      <c r="F633" s="4">
        <f>CHOOSE( CONTROL!$C$32, 18.7464, 18.7428) * CHOOSE(CONTROL!$C$15, $D$11, 100%, $F$11)</f>
        <v>18.746400000000001</v>
      </c>
      <c r="G633" s="8">
        <f>CHOOSE( CONTROL!$C$32, 17.7985, 17.7949) * CHOOSE( CONTROL!$C$15, $D$11, 100%, $F$11)</f>
        <v>17.798500000000001</v>
      </c>
      <c r="H633" s="4">
        <f>CHOOSE( CONTROL!$C$32, 18.7735, 18.7699) * CHOOSE(CONTROL!$C$15, $D$11, 100%, $F$11)</f>
        <v>18.773499999999999</v>
      </c>
      <c r="I633" s="8">
        <f>CHOOSE( CONTROL!$C$32, 17.6118, 17.6082) * CHOOSE(CONTROL!$C$15, $D$11, 100%, $F$11)</f>
        <v>17.611799999999999</v>
      </c>
      <c r="J633" s="4">
        <f>CHOOSE( CONTROL!$C$32, 17.4615, 17.4579) * CHOOSE(CONTROL!$C$15, $D$11, 100%, $F$11)</f>
        <v>17.461500000000001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17.7142, 17.7105) * CHOOSE(CONTROL!$C$15, $D$11, 100%, $F$11)</f>
        <v>17.714200000000002</v>
      </c>
      <c r="C634" s="8">
        <f>CHOOSE( CONTROL!$C$32, 17.7221, 17.7185) * CHOOSE(CONTROL!$C$15, $D$11, 100%, $F$11)</f>
        <v>17.722100000000001</v>
      </c>
      <c r="D634" s="8">
        <f>CHOOSE( CONTROL!$C$32, 17.7601, 17.7565) * CHOOSE( CONTROL!$C$15, $D$11, 100%, $F$11)</f>
        <v>17.760100000000001</v>
      </c>
      <c r="E634" s="12">
        <f>CHOOSE( CONTROL!$C$32, 17.7451, 17.7415) * CHOOSE( CONTROL!$C$15, $D$11, 100%, $F$11)</f>
        <v>17.745100000000001</v>
      </c>
      <c r="F634" s="4">
        <f>CHOOSE( CONTROL!$C$32, 18.4572, 18.4535) * CHOOSE(CONTROL!$C$15, $D$11, 100%, $F$11)</f>
        <v>18.4572</v>
      </c>
      <c r="G634" s="8">
        <f>CHOOSE( CONTROL!$C$32, 17.513, 17.5094) * CHOOSE( CONTROL!$C$15, $D$11, 100%, $F$11)</f>
        <v>17.513000000000002</v>
      </c>
      <c r="H634" s="4">
        <f>CHOOSE( CONTROL!$C$32, 18.4877, 18.4841) * CHOOSE(CONTROL!$C$15, $D$11, 100%, $F$11)</f>
        <v>18.4877</v>
      </c>
      <c r="I634" s="8">
        <f>CHOOSE( CONTROL!$C$32, 17.332, 17.3284) * CHOOSE(CONTROL!$C$15, $D$11, 100%, $F$11)</f>
        <v>17.332000000000001</v>
      </c>
      <c r="J634" s="4">
        <f>CHOOSE( CONTROL!$C$32, 17.1808, 17.1772) * CHOOSE(CONTROL!$C$15, $D$11, 100%, $F$11)</f>
        <v>17.180800000000001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18.4758, 18.4721) * CHOOSE(CONTROL!$C$15, $D$11, 100%, $F$11)</f>
        <v>18.4758</v>
      </c>
      <c r="C635" s="8">
        <f>CHOOSE( CONTROL!$C$32, 18.4838, 18.4801) * CHOOSE(CONTROL!$C$15, $D$11, 100%, $F$11)</f>
        <v>18.483799999999999</v>
      </c>
      <c r="D635" s="8">
        <f>CHOOSE( CONTROL!$C$32, 18.522, 18.5183) * CHOOSE( CONTROL!$C$15, $D$11, 100%, $F$11)</f>
        <v>18.521999999999998</v>
      </c>
      <c r="E635" s="12">
        <f>CHOOSE( CONTROL!$C$32, 18.5069, 18.5032) * CHOOSE( CONTROL!$C$15, $D$11, 100%, $F$11)</f>
        <v>18.506900000000002</v>
      </c>
      <c r="F635" s="4">
        <f>CHOOSE( CONTROL!$C$32, 19.2188, 19.2151) * CHOOSE(CONTROL!$C$15, $D$11, 100%, $F$11)</f>
        <v>19.218800000000002</v>
      </c>
      <c r="G635" s="8">
        <f>CHOOSE( CONTROL!$C$32, 18.266, 18.2624) * CHOOSE( CONTROL!$C$15, $D$11, 100%, $F$11)</f>
        <v>18.265999999999998</v>
      </c>
      <c r="H635" s="4">
        <f>CHOOSE( CONTROL!$C$32, 19.2404, 19.2368) * CHOOSE(CONTROL!$C$15, $D$11, 100%, $F$11)</f>
        <v>19.240400000000001</v>
      </c>
      <c r="I635" s="8">
        <f>CHOOSE( CONTROL!$C$32, 18.0726, 18.0691) * CHOOSE(CONTROL!$C$15, $D$11, 100%, $F$11)</f>
        <v>18.072600000000001</v>
      </c>
      <c r="J635" s="4">
        <f>CHOOSE( CONTROL!$C$32, 17.9199, 17.9164) * CHOOSE(CONTROL!$C$15, $D$11, 100%, $F$11)</f>
        <v>17.919899999999998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17.0507, 17.0471) * CHOOSE(CONTROL!$C$15, $D$11, 100%, $F$11)</f>
        <v>17.050699999999999</v>
      </c>
      <c r="C636" s="8">
        <f>CHOOSE( CONTROL!$C$32, 17.0587, 17.0551) * CHOOSE(CONTROL!$C$15, $D$11, 100%, $F$11)</f>
        <v>17.058700000000002</v>
      </c>
      <c r="D636" s="8">
        <f>CHOOSE( CONTROL!$C$32, 17.097, 17.0933) * CHOOSE( CONTROL!$C$15, $D$11, 100%, $F$11)</f>
        <v>17.097000000000001</v>
      </c>
      <c r="E636" s="12">
        <f>CHOOSE( CONTROL!$C$32, 17.0819, 17.0782) * CHOOSE( CONTROL!$C$15, $D$11, 100%, $F$11)</f>
        <v>17.081900000000001</v>
      </c>
      <c r="F636" s="4">
        <f>CHOOSE( CONTROL!$C$32, 17.7937, 17.7901) * CHOOSE(CONTROL!$C$15, $D$11, 100%, $F$11)</f>
        <v>17.793700000000001</v>
      </c>
      <c r="G636" s="8">
        <f>CHOOSE( CONTROL!$C$32, 16.8577, 16.8541) * CHOOSE( CONTROL!$C$15, $D$11, 100%, $F$11)</f>
        <v>16.857700000000001</v>
      </c>
      <c r="H636" s="4">
        <f>CHOOSE( CONTROL!$C$32, 17.832, 17.8284) * CHOOSE(CONTROL!$C$15, $D$11, 100%, $F$11)</f>
        <v>17.832000000000001</v>
      </c>
      <c r="I636" s="8">
        <f>CHOOSE( CONTROL!$C$32, 16.6892, 16.6857) * CHOOSE(CONTROL!$C$15, $D$11, 100%, $F$11)</f>
        <v>16.6892</v>
      </c>
      <c r="J636" s="4">
        <f>CHOOSE( CONTROL!$C$32, 16.5369, 16.5334) * CHOOSE(CONTROL!$C$15, $D$11, 100%, $F$11)</f>
        <v>16.536899999999999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16.6939, 16.6902) * CHOOSE(CONTROL!$C$15, $D$11, 100%, $F$11)</f>
        <v>16.693899999999999</v>
      </c>
      <c r="C637" s="8">
        <f>CHOOSE( CONTROL!$C$32, 16.7019, 16.6982) * CHOOSE(CONTROL!$C$15, $D$11, 100%, $F$11)</f>
        <v>16.701899999999998</v>
      </c>
      <c r="D637" s="8">
        <f>CHOOSE( CONTROL!$C$32, 16.74, 16.7364) * CHOOSE( CONTROL!$C$15, $D$11, 100%, $F$11)</f>
        <v>16.739999999999998</v>
      </c>
      <c r="E637" s="12">
        <f>CHOOSE( CONTROL!$C$32, 16.725, 16.7213) * CHOOSE( CONTROL!$C$15, $D$11, 100%, $F$11)</f>
        <v>16.725000000000001</v>
      </c>
      <c r="F637" s="4">
        <f>CHOOSE( CONTROL!$C$32, 17.4369, 17.4332) * CHOOSE(CONTROL!$C$15, $D$11, 100%, $F$11)</f>
        <v>17.436900000000001</v>
      </c>
      <c r="G637" s="8">
        <f>CHOOSE( CONTROL!$C$32, 16.5049, 16.5013) * CHOOSE( CONTROL!$C$15, $D$11, 100%, $F$11)</f>
        <v>16.504899999999999</v>
      </c>
      <c r="H637" s="4">
        <f>CHOOSE( CONTROL!$C$32, 17.4793, 17.4757) * CHOOSE(CONTROL!$C$15, $D$11, 100%, $F$11)</f>
        <v>17.479299999999999</v>
      </c>
      <c r="I637" s="8">
        <f>CHOOSE( CONTROL!$C$32, 16.3423, 16.3388) * CHOOSE(CONTROL!$C$15, $D$11, 100%, $F$11)</f>
        <v>16.342300000000002</v>
      </c>
      <c r="J637" s="4">
        <f>CHOOSE( CONTROL!$C$32, 16.1906, 16.1871) * CHOOSE(CONTROL!$C$15, $D$11, 100%, $F$11)</f>
        <v>16.1906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17.4295 * CHOOSE(CONTROL!$C$15, $D$11, 100%, $F$11)</f>
        <v>17.429500000000001</v>
      </c>
      <c r="C638" s="8">
        <f>17.4348 * CHOOSE(CONTROL!$C$15, $D$11, 100%, $F$11)</f>
        <v>17.434799999999999</v>
      </c>
      <c r="D638" s="8">
        <f>17.4783 * CHOOSE( CONTROL!$C$15, $D$11, 100%, $F$11)</f>
        <v>17.478300000000001</v>
      </c>
      <c r="E638" s="12">
        <f>17.4634 * CHOOSE( CONTROL!$C$15, $D$11, 100%, $F$11)</f>
        <v>17.4634</v>
      </c>
      <c r="F638" s="4">
        <f>18.1742 * CHOOSE(CONTROL!$C$15, $D$11, 100%, $F$11)</f>
        <v>18.174199999999999</v>
      </c>
      <c r="G638" s="8">
        <f>17.2331 * CHOOSE( CONTROL!$C$15, $D$11, 100%, $F$11)</f>
        <v>17.2331</v>
      </c>
      <c r="H638" s="4">
        <f>18.208 * CHOOSE(CONTROL!$C$15, $D$11, 100%, $F$11)</f>
        <v>18.207999999999998</v>
      </c>
      <c r="I638" s="8">
        <f>17.059 * CHOOSE(CONTROL!$C$15, $D$11, 100%, $F$11)</f>
        <v>17.059000000000001</v>
      </c>
      <c r="J638" s="4">
        <f>16.9061 * CHOOSE(CONTROL!$C$15, $D$11, 100%, $F$11)</f>
        <v>16.906099999999999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18.7967 * CHOOSE(CONTROL!$C$15, $D$11, 100%, $F$11)</f>
        <v>18.796700000000001</v>
      </c>
      <c r="C639" s="8">
        <f>18.8018 * CHOOSE(CONTROL!$C$15, $D$11, 100%, $F$11)</f>
        <v>18.8018</v>
      </c>
      <c r="D639" s="8">
        <f>18.7854 * CHOOSE( CONTROL!$C$15, $D$11, 100%, $F$11)</f>
        <v>18.785399999999999</v>
      </c>
      <c r="E639" s="12">
        <f>18.7909 * CHOOSE( CONTROL!$C$15, $D$11, 100%, $F$11)</f>
        <v>18.790900000000001</v>
      </c>
      <c r="F639" s="4">
        <f>19.462 * CHOOSE(CONTROL!$C$15, $D$11, 100%, $F$11)</f>
        <v>19.462</v>
      </c>
      <c r="G639" s="8">
        <f>18.5853 * CHOOSE( CONTROL!$C$15, $D$11, 100%, $F$11)</f>
        <v>18.5853</v>
      </c>
      <c r="H639" s="4">
        <f>19.4807 * CHOOSE(CONTROL!$C$15, $D$11, 100%, $F$11)</f>
        <v>19.480699999999999</v>
      </c>
      <c r="I639" s="8">
        <f>18.387 * CHOOSE(CONTROL!$C$15, $D$11, 100%, $F$11)</f>
        <v>18.387</v>
      </c>
      <c r="J639" s="4">
        <f>18.2334 * CHOOSE(CONTROL!$C$15, $D$11, 100%, $F$11)</f>
        <v>18.2334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18.7625 * CHOOSE(CONTROL!$C$15, $D$11, 100%, $F$11)</f>
        <v>18.762499999999999</v>
      </c>
      <c r="C640" s="8">
        <f>18.7676 * CHOOSE(CONTROL!$C$15, $D$11, 100%, $F$11)</f>
        <v>18.767600000000002</v>
      </c>
      <c r="D640" s="8">
        <f>18.753 * CHOOSE( CONTROL!$C$15, $D$11, 100%, $F$11)</f>
        <v>18.753</v>
      </c>
      <c r="E640" s="12">
        <f>18.7578 * CHOOSE( CONTROL!$C$15, $D$11, 100%, $F$11)</f>
        <v>18.7578</v>
      </c>
      <c r="F640" s="4">
        <f>19.4278 * CHOOSE(CONTROL!$C$15, $D$11, 100%, $F$11)</f>
        <v>19.427800000000001</v>
      </c>
      <c r="G640" s="8">
        <f>18.5528 * CHOOSE( CONTROL!$C$15, $D$11, 100%, $F$11)</f>
        <v>18.552800000000001</v>
      </c>
      <c r="H640" s="4">
        <f>19.4469 * CHOOSE(CONTROL!$C$15, $D$11, 100%, $F$11)</f>
        <v>19.446899999999999</v>
      </c>
      <c r="I640" s="8">
        <f>18.3592 * CHOOSE(CONTROL!$C$15, $D$11, 100%, $F$11)</f>
        <v>18.359200000000001</v>
      </c>
      <c r="J640" s="4">
        <f>18.2003 * CHOOSE(CONTROL!$C$15, $D$11, 100%, $F$11)</f>
        <v>18.200299999999999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19.3157 * CHOOSE(CONTROL!$C$15, $D$11, 100%, $F$11)</f>
        <v>19.3157</v>
      </c>
      <c r="C641" s="8">
        <f>19.3208 * CHOOSE(CONTROL!$C$15, $D$11, 100%, $F$11)</f>
        <v>19.320799999999998</v>
      </c>
      <c r="D641" s="8">
        <f>19.2919 * CHOOSE( CONTROL!$C$15, $D$11, 100%, $F$11)</f>
        <v>19.291899999999998</v>
      </c>
      <c r="E641" s="12">
        <f>19.3019 * CHOOSE( CONTROL!$C$15, $D$11, 100%, $F$11)</f>
        <v>19.3019</v>
      </c>
      <c r="F641" s="4">
        <f>19.981 * CHOOSE(CONTROL!$C$15, $D$11, 100%, $F$11)</f>
        <v>19.981000000000002</v>
      </c>
      <c r="G641" s="8">
        <f>19.0892 * CHOOSE( CONTROL!$C$15, $D$11, 100%, $F$11)</f>
        <v>19.089200000000002</v>
      </c>
      <c r="H641" s="4">
        <f>19.9936 * CHOOSE(CONTROL!$C$15, $D$11, 100%, $F$11)</f>
        <v>19.993600000000001</v>
      </c>
      <c r="I641" s="8">
        <f>18.891 * CHOOSE(CONTROL!$C$15, $D$11, 100%, $F$11)</f>
        <v>18.890999999999998</v>
      </c>
      <c r="J641" s="4">
        <f>18.7371 * CHOOSE(CONTROL!$C$15, $D$11, 100%, $F$11)</f>
        <v>18.737100000000002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18.0675 * CHOOSE(CONTROL!$C$15, $D$11, 100%, $F$11)</f>
        <v>18.067499999999999</v>
      </c>
      <c r="C642" s="8">
        <f>18.0726 * CHOOSE(CONTROL!$C$15, $D$11, 100%, $F$11)</f>
        <v>18.072600000000001</v>
      </c>
      <c r="D642" s="8">
        <f>18.0437 * CHOOSE( CONTROL!$C$15, $D$11, 100%, $F$11)</f>
        <v>18.043700000000001</v>
      </c>
      <c r="E642" s="12">
        <f>18.0537 * CHOOSE( CONTROL!$C$15, $D$11, 100%, $F$11)</f>
        <v>18.053699999999999</v>
      </c>
      <c r="F642" s="4">
        <f>18.7328 * CHOOSE(CONTROL!$C$15, $D$11, 100%, $F$11)</f>
        <v>18.732800000000001</v>
      </c>
      <c r="G642" s="8">
        <f>17.8557 * CHOOSE( CONTROL!$C$15, $D$11, 100%, $F$11)</f>
        <v>17.855699999999999</v>
      </c>
      <c r="H642" s="4">
        <f>18.7601 * CHOOSE(CONTROL!$C$15, $D$11, 100%, $F$11)</f>
        <v>18.760100000000001</v>
      </c>
      <c r="I642" s="8">
        <f>17.679 * CHOOSE(CONTROL!$C$15, $D$11, 100%, $F$11)</f>
        <v>17.678999999999998</v>
      </c>
      <c r="J642" s="4">
        <f>17.5258 * CHOOSE(CONTROL!$C$15, $D$11, 100%, $F$11)</f>
        <v>17.5258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17.6831 * CHOOSE(CONTROL!$C$15, $D$11, 100%, $F$11)</f>
        <v>17.6831</v>
      </c>
      <c r="C643" s="8">
        <f>17.6882 * CHOOSE(CONTROL!$C$15, $D$11, 100%, $F$11)</f>
        <v>17.688199999999998</v>
      </c>
      <c r="D643" s="8">
        <f>17.6589 * CHOOSE( CONTROL!$C$15, $D$11, 100%, $F$11)</f>
        <v>17.658899999999999</v>
      </c>
      <c r="E643" s="12">
        <f>17.6691 * CHOOSE( CONTROL!$C$15, $D$11, 100%, $F$11)</f>
        <v>17.6691</v>
      </c>
      <c r="F643" s="4">
        <f>18.3484 * CHOOSE(CONTROL!$C$15, $D$11, 100%, $F$11)</f>
        <v>18.348400000000002</v>
      </c>
      <c r="G643" s="8">
        <f>17.4754 * CHOOSE( CONTROL!$C$15, $D$11, 100%, $F$11)</f>
        <v>17.4754</v>
      </c>
      <c r="H643" s="4">
        <f>18.3802 * CHOOSE(CONTROL!$C$15, $D$11, 100%, $F$11)</f>
        <v>18.380199999999999</v>
      </c>
      <c r="I643" s="8">
        <f>17.3045 * CHOOSE(CONTROL!$C$15, $D$11, 100%, $F$11)</f>
        <v>17.304500000000001</v>
      </c>
      <c r="J643" s="4">
        <f>17.1527 * CHOOSE(CONTROL!$C$15, $D$11, 100%, $F$11)</f>
        <v>17.152699999999999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17.9525 * CHOOSE(CONTROL!$C$15, $D$11, 100%, $F$11)</f>
        <v>17.952500000000001</v>
      </c>
      <c r="C644" s="8">
        <f>17.957 * CHOOSE(CONTROL!$C$15, $D$11, 100%, $F$11)</f>
        <v>17.957000000000001</v>
      </c>
      <c r="D644" s="8">
        <f>18.0004 * CHOOSE( CONTROL!$C$15, $D$11, 100%, $F$11)</f>
        <v>18.000399999999999</v>
      </c>
      <c r="E644" s="12">
        <f>17.9856 * CHOOSE( CONTROL!$C$15, $D$11, 100%, $F$11)</f>
        <v>17.985600000000002</v>
      </c>
      <c r="F644" s="4">
        <f>18.6969 * CHOOSE(CONTROL!$C$15, $D$11, 100%, $F$11)</f>
        <v>18.696899999999999</v>
      </c>
      <c r="G644" s="8">
        <f>17.7487 * CHOOSE( CONTROL!$C$15, $D$11, 100%, $F$11)</f>
        <v>17.748699999999999</v>
      </c>
      <c r="H644" s="4">
        <f>18.7246 * CHOOSE(CONTROL!$C$15, $D$11, 100%, $F$11)</f>
        <v>18.724599999999999</v>
      </c>
      <c r="I644" s="8">
        <f>17.5635 * CHOOSE(CONTROL!$C$15, $D$11, 100%, $F$11)</f>
        <v>17.563500000000001</v>
      </c>
      <c r="J644" s="4">
        <f>17.4134 * CHOOSE(CONTROL!$C$15, $D$11, 100%, $F$11)</f>
        <v>17.413399999999999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18.4356, 18.432) * CHOOSE(CONTROL!$C$15, $D$11, 100%, $F$11)</f>
        <v>18.435600000000001</v>
      </c>
      <c r="C645" s="8">
        <f>CHOOSE( CONTROL!$C$32, 18.4436, 18.4399) * CHOOSE(CONTROL!$C$15, $D$11, 100%, $F$11)</f>
        <v>18.4436</v>
      </c>
      <c r="D645" s="8">
        <f>CHOOSE( CONTROL!$C$32, 18.4813, 18.4777) * CHOOSE( CONTROL!$C$15, $D$11, 100%, $F$11)</f>
        <v>18.481300000000001</v>
      </c>
      <c r="E645" s="12">
        <f>CHOOSE( CONTROL!$C$32, 18.4664, 18.4628) * CHOOSE( CONTROL!$C$15, $D$11, 100%, $F$11)</f>
        <v>18.4664</v>
      </c>
      <c r="F645" s="4">
        <f>CHOOSE( CONTROL!$C$32, 19.1786, 19.175) * CHOOSE(CONTROL!$C$15, $D$11, 100%, $F$11)</f>
        <v>19.178599999999999</v>
      </c>
      <c r="G645" s="8">
        <f>CHOOSE( CONTROL!$C$32, 18.2256, 18.222) * CHOOSE( CONTROL!$C$15, $D$11, 100%, $F$11)</f>
        <v>18.2256</v>
      </c>
      <c r="H645" s="4">
        <f>CHOOSE( CONTROL!$C$32, 19.2007, 19.1971) * CHOOSE(CONTROL!$C$15, $D$11, 100%, $F$11)</f>
        <v>19.200700000000001</v>
      </c>
      <c r="I645" s="8">
        <f>CHOOSE( CONTROL!$C$32, 18.0314, 18.0279) * CHOOSE(CONTROL!$C$15, $D$11, 100%, $F$11)</f>
        <v>18.031400000000001</v>
      </c>
      <c r="J645" s="4">
        <f>CHOOSE( CONTROL!$C$32, 17.8809, 17.8774) * CHOOSE(CONTROL!$C$15, $D$11, 100%, $F$11)</f>
        <v>17.8809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18.1394, 18.1358) * CHOOSE(CONTROL!$C$15, $D$11, 100%, $F$11)</f>
        <v>18.139399999999998</v>
      </c>
      <c r="C646" s="8">
        <f>CHOOSE( CONTROL!$C$32, 18.1474, 18.1438) * CHOOSE(CONTROL!$C$15, $D$11, 100%, $F$11)</f>
        <v>18.147400000000001</v>
      </c>
      <c r="D646" s="8">
        <f>CHOOSE( CONTROL!$C$32, 18.1854, 18.1817) * CHOOSE( CONTROL!$C$15, $D$11, 100%, $F$11)</f>
        <v>18.185400000000001</v>
      </c>
      <c r="E646" s="12">
        <f>CHOOSE( CONTROL!$C$32, 18.1704, 18.1667) * CHOOSE( CONTROL!$C$15, $D$11, 100%, $F$11)</f>
        <v>18.170400000000001</v>
      </c>
      <c r="F646" s="4">
        <f>CHOOSE( CONTROL!$C$32, 18.8825, 18.8788) * CHOOSE(CONTROL!$C$15, $D$11, 100%, $F$11)</f>
        <v>18.8825</v>
      </c>
      <c r="G646" s="8">
        <f>CHOOSE( CONTROL!$C$32, 17.9332, 17.9296) * CHOOSE( CONTROL!$C$15, $D$11, 100%, $F$11)</f>
        <v>17.933199999999999</v>
      </c>
      <c r="H646" s="4">
        <f>CHOOSE( CONTROL!$C$32, 18.908, 18.9044) * CHOOSE(CONTROL!$C$15, $D$11, 100%, $F$11)</f>
        <v>18.908000000000001</v>
      </c>
      <c r="I646" s="8">
        <f>CHOOSE( CONTROL!$C$32, 17.7449, 17.7414) * CHOOSE(CONTROL!$C$15, $D$11, 100%, $F$11)</f>
        <v>17.744900000000001</v>
      </c>
      <c r="J646" s="4">
        <f>CHOOSE( CONTROL!$C$32, 17.5935, 17.59) * CHOOSE(CONTROL!$C$15, $D$11, 100%, $F$11)</f>
        <v>17.593499999999999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18.9194, 18.9157) * CHOOSE(CONTROL!$C$15, $D$11, 100%, $F$11)</f>
        <v>18.9194</v>
      </c>
      <c r="C647" s="8">
        <f>CHOOSE( CONTROL!$C$32, 18.9273, 18.9237) * CHOOSE(CONTROL!$C$15, $D$11, 100%, $F$11)</f>
        <v>18.927299999999999</v>
      </c>
      <c r="D647" s="8">
        <f>CHOOSE( CONTROL!$C$32, 18.9655, 18.9619) * CHOOSE( CONTROL!$C$15, $D$11, 100%, $F$11)</f>
        <v>18.965499999999999</v>
      </c>
      <c r="E647" s="12">
        <f>CHOOSE( CONTROL!$C$32, 18.9505, 18.9468) * CHOOSE( CONTROL!$C$15, $D$11, 100%, $F$11)</f>
        <v>18.950500000000002</v>
      </c>
      <c r="F647" s="4">
        <f>CHOOSE( CONTROL!$C$32, 19.6624, 19.6587) * CHOOSE(CONTROL!$C$15, $D$11, 100%, $F$11)</f>
        <v>19.662400000000002</v>
      </c>
      <c r="G647" s="8">
        <f>CHOOSE( CONTROL!$C$32, 18.7044, 18.7008) * CHOOSE( CONTROL!$C$15, $D$11, 100%, $F$11)</f>
        <v>18.7044</v>
      </c>
      <c r="H647" s="4">
        <f>CHOOSE( CONTROL!$C$32, 19.6787, 19.6751) * CHOOSE(CONTROL!$C$15, $D$11, 100%, $F$11)</f>
        <v>19.678699999999999</v>
      </c>
      <c r="I647" s="8">
        <f>CHOOSE( CONTROL!$C$32, 18.5033, 18.4998) * CHOOSE(CONTROL!$C$15, $D$11, 100%, $F$11)</f>
        <v>18.503299999999999</v>
      </c>
      <c r="J647" s="4">
        <f>CHOOSE( CONTROL!$C$32, 18.3504, 18.3469) * CHOOSE(CONTROL!$C$15, $D$11, 100%, $F$11)</f>
        <v>18.3504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17.4601, 17.4564) * CHOOSE(CONTROL!$C$15, $D$11, 100%, $F$11)</f>
        <v>17.460100000000001</v>
      </c>
      <c r="C648" s="8">
        <f>CHOOSE( CONTROL!$C$32, 17.468, 17.4644) * CHOOSE(CONTROL!$C$15, $D$11, 100%, $F$11)</f>
        <v>17.468</v>
      </c>
      <c r="D648" s="8">
        <f>CHOOSE( CONTROL!$C$32, 17.5063, 17.5027) * CHOOSE( CONTROL!$C$15, $D$11, 100%, $F$11)</f>
        <v>17.5063</v>
      </c>
      <c r="E648" s="12">
        <f>CHOOSE( CONTROL!$C$32, 17.4912, 17.4876) * CHOOSE( CONTROL!$C$15, $D$11, 100%, $F$11)</f>
        <v>17.491199999999999</v>
      </c>
      <c r="F648" s="4">
        <f>CHOOSE( CONTROL!$C$32, 18.2031, 18.1994) * CHOOSE(CONTROL!$C$15, $D$11, 100%, $F$11)</f>
        <v>18.203099999999999</v>
      </c>
      <c r="G648" s="8">
        <f>CHOOSE( CONTROL!$C$32, 17.2623, 17.2587) * CHOOSE( CONTROL!$C$15, $D$11, 100%, $F$11)</f>
        <v>17.2623</v>
      </c>
      <c r="H648" s="4">
        <f>CHOOSE( CONTROL!$C$32, 18.2365, 18.2329) * CHOOSE(CONTROL!$C$15, $D$11, 100%, $F$11)</f>
        <v>18.236499999999999</v>
      </c>
      <c r="I648" s="8">
        <f>CHOOSE( CONTROL!$C$32, 17.0866, 17.0831) * CHOOSE(CONTROL!$C$15, $D$11, 100%, $F$11)</f>
        <v>17.086600000000001</v>
      </c>
      <c r="J648" s="4">
        <f>CHOOSE( CONTROL!$C$32, 16.9342, 16.9306) * CHOOSE(CONTROL!$C$15, $D$11, 100%, $F$11)</f>
        <v>16.934200000000001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17.0946, 17.091) * CHOOSE(CONTROL!$C$15, $D$11, 100%, $F$11)</f>
        <v>17.0946</v>
      </c>
      <c r="C649" s="8">
        <f>CHOOSE( CONTROL!$C$32, 17.1026, 17.099) * CHOOSE(CONTROL!$C$15, $D$11, 100%, $F$11)</f>
        <v>17.102599999999999</v>
      </c>
      <c r="D649" s="8">
        <f>CHOOSE( CONTROL!$C$32, 17.1408, 17.1371) * CHOOSE( CONTROL!$C$15, $D$11, 100%, $F$11)</f>
        <v>17.140799999999999</v>
      </c>
      <c r="E649" s="12">
        <f>CHOOSE( CONTROL!$C$32, 17.1257, 17.1221) * CHOOSE( CONTROL!$C$15, $D$11, 100%, $F$11)</f>
        <v>17.125699999999998</v>
      </c>
      <c r="F649" s="4">
        <f>CHOOSE( CONTROL!$C$32, 17.8376, 17.834) * CHOOSE(CONTROL!$C$15, $D$11, 100%, $F$11)</f>
        <v>17.837599999999998</v>
      </c>
      <c r="G649" s="8">
        <f>CHOOSE( CONTROL!$C$32, 16.901, 16.8974) * CHOOSE( CONTROL!$C$15, $D$11, 100%, $F$11)</f>
        <v>16.901</v>
      </c>
      <c r="H649" s="4">
        <f>CHOOSE( CONTROL!$C$32, 17.8754, 17.8718) * CHOOSE(CONTROL!$C$15, $D$11, 100%, $F$11)</f>
        <v>17.875399999999999</v>
      </c>
      <c r="I649" s="8">
        <f>CHOOSE( CONTROL!$C$32, 16.7314, 16.7279) * CHOOSE(CONTROL!$C$15, $D$11, 100%, $F$11)</f>
        <v>16.731400000000001</v>
      </c>
      <c r="J649" s="4">
        <f>CHOOSE( CONTROL!$C$32, 16.5795, 16.576) * CHOOSE(CONTROL!$C$15, $D$11, 100%, $F$11)</f>
        <v>16.579499999999999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17.848 * CHOOSE(CONTROL!$C$15, $D$11, 100%, $F$11)</f>
        <v>17.847999999999999</v>
      </c>
      <c r="C650" s="8">
        <f>17.8533 * CHOOSE(CONTROL!$C$15, $D$11, 100%, $F$11)</f>
        <v>17.853300000000001</v>
      </c>
      <c r="D650" s="8">
        <f>17.8969 * CHOOSE( CONTROL!$C$15, $D$11, 100%, $F$11)</f>
        <v>17.896899999999999</v>
      </c>
      <c r="E650" s="12">
        <f>17.8819 * CHOOSE( CONTROL!$C$15, $D$11, 100%, $F$11)</f>
        <v>17.881900000000002</v>
      </c>
      <c r="F650" s="4">
        <f>18.5927 * CHOOSE(CONTROL!$C$15, $D$11, 100%, $F$11)</f>
        <v>18.592700000000001</v>
      </c>
      <c r="G650" s="8">
        <f>17.6467 * CHOOSE( CONTROL!$C$15, $D$11, 100%, $F$11)</f>
        <v>17.646699999999999</v>
      </c>
      <c r="H650" s="4">
        <f>18.6217 * CHOOSE(CONTROL!$C$15, $D$11, 100%, $F$11)</f>
        <v>18.621700000000001</v>
      </c>
      <c r="I650" s="8">
        <f>17.4654 * CHOOSE(CONTROL!$C$15, $D$11, 100%, $F$11)</f>
        <v>17.465399999999999</v>
      </c>
      <c r="J650" s="4">
        <f>17.3124 * CHOOSE(CONTROL!$C$15, $D$11, 100%, $F$11)</f>
        <v>17.3124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19.2481 * CHOOSE(CONTROL!$C$15, $D$11, 100%, $F$11)</f>
        <v>19.248100000000001</v>
      </c>
      <c r="C651" s="8">
        <f>19.2532 * CHOOSE(CONTROL!$C$15, $D$11, 100%, $F$11)</f>
        <v>19.2532</v>
      </c>
      <c r="D651" s="8">
        <f>19.2368 * CHOOSE( CONTROL!$C$15, $D$11, 100%, $F$11)</f>
        <v>19.236799999999999</v>
      </c>
      <c r="E651" s="12">
        <f>19.2423 * CHOOSE( CONTROL!$C$15, $D$11, 100%, $F$11)</f>
        <v>19.2423</v>
      </c>
      <c r="F651" s="4">
        <f>19.9134 * CHOOSE(CONTROL!$C$15, $D$11, 100%, $F$11)</f>
        <v>19.913399999999999</v>
      </c>
      <c r="G651" s="8">
        <f>19.0314 * CHOOSE( CONTROL!$C$15, $D$11, 100%, $F$11)</f>
        <v>19.031400000000001</v>
      </c>
      <c r="H651" s="4">
        <f>19.9268 * CHOOSE(CONTROL!$C$15, $D$11, 100%, $F$11)</f>
        <v>19.9268</v>
      </c>
      <c r="I651" s="8">
        <f>18.8254 * CHOOSE(CONTROL!$C$15, $D$11, 100%, $F$11)</f>
        <v>18.825399999999998</v>
      </c>
      <c r="J651" s="4">
        <f>18.6715 * CHOOSE(CONTROL!$C$15, $D$11, 100%, $F$11)</f>
        <v>18.671500000000002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19.2131 * CHOOSE(CONTROL!$C$15, $D$11, 100%, $F$11)</f>
        <v>19.213100000000001</v>
      </c>
      <c r="C652" s="8">
        <f>19.2182 * CHOOSE(CONTROL!$C$15, $D$11, 100%, $F$11)</f>
        <v>19.2182</v>
      </c>
      <c r="D652" s="8">
        <f>19.2036 * CHOOSE( CONTROL!$C$15, $D$11, 100%, $F$11)</f>
        <v>19.203600000000002</v>
      </c>
      <c r="E652" s="12">
        <f>19.2084 * CHOOSE( CONTROL!$C$15, $D$11, 100%, $F$11)</f>
        <v>19.208400000000001</v>
      </c>
      <c r="F652" s="4">
        <f>19.8784 * CHOOSE(CONTROL!$C$15, $D$11, 100%, $F$11)</f>
        <v>19.878399999999999</v>
      </c>
      <c r="G652" s="8">
        <f>18.9981 * CHOOSE( CONTROL!$C$15, $D$11, 100%, $F$11)</f>
        <v>18.998100000000001</v>
      </c>
      <c r="H652" s="4">
        <f>19.8922 * CHOOSE(CONTROL!$C$15, $D$11, 100%, $F$11)</f>
        <v>19.892199999999999</v>
      </c>
      <c r="I652" s="8">
        <f>18.7968 * CHOOSE(CONTROL!$C$15, $D$11, 100%, $F$11)</f>
        <v>18.796800000000001</v>
      </c>
      <c r="J652" s="4">
        <f>18.6376 * CHOOSE(CONTROL!$C$15, $D$11, 100%, $F$11)</f>
        <v>18.637599999999999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19.7796 * CHOOSE(CONTROL!$C$15, $D$11, 100%, $F$11)</f>
        <v>19.779599999999999</v>
      </c>
      <c r="C653" s="8">
        <f>19.7846 * CHOOSE(CONTROL!$C$15, $D$11, 100%, $F$11)</f>
        <v>19.784600000000001</v>
      </c>
      <c r="D653" s="8">
        <f>19.7558 * CHOOSE( CONTROL!$C$15, $D$11, 100%, $F$11)</f>
        <v>19.755800000000001</v>
      </c>
      <c r="E653" s="12">
        <f>19.7658 * CHOOSE( CONTROL!$C$15, $D$11, 100%, $F$11)</f>
        <v>19.765799999999999</v>
      </c>
      <c r="F653" s="4">
        <f>20.4449 * CHOOSE(CONTROL!$C$15, $D$11, 100%, $F$11)</f>
        <v>20.444900000000001</v>
      </c>
      <c r="G653" s="8">
        <f>19.5476 * CHOOSE( CONTROL!$C$15, $D$11, 100%, $F$11)</f>
        <v>19.547599999999999</v>
      </c>
      <c r="H653" s="4">
        <f>20.4521 * CHOOSE(CONTROL!$C$15, $D$11, 100%, $F$11)</f>
        <v>20.452100000000002</v>
      </c>
      <c r="I653" s="8">
        <f>19.3414 * CHOOSE(CONTROL!$C$15, $D$11, 100%, $F$11)</f>
        <v>19.3414</v>
      </c>
      <c r="J653" s="4">
        <f>19.1873 * CHOOSE(CONTROL!$C$15, $D$11, 100%, $F$11)</f>
        <v>19.1873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18.5014 * CHOOSE(CONTROL!$C$15, $D$11, 100%, $F$11)</f>
        <v>18.5014</v>
      </c>
      <c r="C654" s="8">
        <f>18.5065 * CHOOSE(CONTROL!$C$15, $D$11, 100%, $F$11)</f>
        <v>18.506499999999999</v>
      </c>
      <c r="D654" s="8">
        <f>18.4776 * CHOOSE( CONTROL!$C$15, $D$11, 100%, $F$11)</f>
        <v>18.477599999999999</v>
      </c>
      <c r="E654" s="12">
        <f>18.4876 * CHOOSE( CONTROL!$C$15, $D$11, 100%, $F$11)</f>
        <v>18.4876</v>
      </c>
      <c r="F654" s="4">
        <f>19.1667 * CHOOSE(CONTROL!$C$15, $D$11, 100%, $F$11)</f>
        <v>19.166699999999999</v>
      </c>
      <c r="G654" s="8">
        <f>18.2845 * CHOOSE( CONTROL!$C$15, $D$11, 100%, $F$11)</f>
        <v>18.284500000000001</v>
      </c>
      <c r="H654" s="4">
        <f>19.1889 * CHOOSE(CONTROL!$C$15, $D$11, 100%, $F$11)</f>
        <v>19.1889</v>
      </c>
      <c r="I654" s="8">
        <f>18.1003 * CHOOSE(CONTROL!$C$15, $D$11, 100%, $F$11)</f>
        <v>18.100300000000001</v>
      </c>
      <c r="J654" s="4">
        <f>17.9469 * CHOOSE(CONTROL!$C$15, $D$11, 100%, $F$11)</f>
        <v>17.946899999999999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18.1078 * CHOOSE(CONTROL!$C$15, $D$11, 100%, $F$11)</f>
        <v>18.107800000000001</v>
      </c>
      <c r="C655" s="8">
        <f>18.1129 * CHOOSE(CONTROL!$C$15, $D$11, 100%, $F$11)</f>
        <v>18.1129</v>
      </c>
      <c r="D655" s="8">
        <f>18.0836 * CHOOSE( CONTROL!$C$15, $D$11, 100%, $F$11)</f>
        <v>18.083600000000001</v>
      </c>
      <c r="E655" s="12">
        <f>18.0938 * CHOOSE( CONTROL!$C$15, $D$11, 100%, $F$11)</f>
        <v>18.093800000000002</v>
      </c>
      <c r="F655" s="4">
        <f>18.7731 * CHOOSE(CONTROL!$C$15, $D$11, 100%, $F$11)</f>
        <v>18.773099999999999</v>
      </c>
      <c r="G655" s="8">
        <f>17.8951 * CHOOSE( CONTROL!$C$15, $D$11, 100%, $F$11)</f>
        <v>17.895099999999999</v>
      </c>
      <c r="H655" s="4">
        <f>18.7999 * CHOOSE(CONTROL!$C$15, $D$11, 100%, $F$11)</f>
        <v>18.799900000000001</v>
      </c>
      <c r="I655" s="8">
        <f>17.7169 * CHOOSE(CONTROL!$C$15, $D$11, 100%, $F$11)</f>
        <v>17.716899999999999</v>
      </c>
      <c r="J655" s="4">
        <f>17.5648 * CHOOSE(CONTROL!$C$15, $D$11, 100%, $F$11)</f>
        <v>17.564800000000002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18.3836 * CHOOSE(CONTROL!$C$15, $D$11, 100%, $F$11)</f>
        <v>18.383600000000001</v>
      </c>
      <c r="C656" s="8">
        <f>18.3881 * CHOOSE(CONTROL!$C$15, $D$11, 100%, $F$11)</f>
        <v>18.388100000000001</v>
      </c>
      <c r="D656" s="8">
        <f>18.4315 * CHOOSE( CONTROL!$C$15, $D$11, 100%, $F$11)</f>
        <v>18.4315</v>
      </c>
      <c r="E656" s="12">
        <f>18.4167 * CHOOSE( CONTROL!$C$15, $D$11, 100%, $F$11)</f>
        <v>18.416699999999999</v>
      </c>
      <c r="F656" s="4">
        <f>19.128 * CHOOSE(CONTROL!$C$15, $D$11, 100%, $F$11)</f>
        <v>19.128</v>
      </c>
      <c r="G656" s="8">
        <f>18.1748 * CHOOSE( CONTROL!$C$15, $D$11, 100%, $F$11)</f>
        <v>18.174800000000001</v>
      </c>
      <c r="H656" s="4">
        <f>19.1506 * CHOOSE(CONTROL!$C$15, $D$11, 100%, $F$11)</f>
        <v>19.150600000000001</v>
      </c>
      <c r="I656" s="8">
        <f>17.9821 * CHOOSE(CONTROL!$C$15, $D$11, 100%, $F$11)</f>
        <v>17.982099999999999</v>
      </c>
      <c r="J656" s="4">
        <f>17.8318 * CHOOSE(CONTROL!$C$15, $D$11, 100%, $F$11)</f>
        <v>17.831800000000001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18.8782, 18.8746) * CHOOSE(CONTROL!$C$15, $D$11, 100%, $F$11)</f>
        <v>18.8782</v>
      </c>
      <c r="C657" s="8">
        <f>CHOOSE( CONTROL!$C$32, 18.8862, 18.8825) * CHOOSE(CONTROL!$C$15, $D$11, 100%, $F$11)</f>
        <v>18.886199999999999</v>
      </c>
      <c r="D657" s="8">
        <f>CHOOSE( CONTROL!$C$32, 18.9239, 18.9203) * CHOOSE( CONTROL!$C$15, $D$11, 100%, $F$11)</f>
        <v>18.9239</v>
      </c>
      <c r="E657" s="12">
        <f>CHOOSE( CONTROL!$C$32, 18.909, 18.9054) * CHOOSE( CONTROL!$C$15, $D$11, 100%, $F$11)</f>
        <v>18.908999999999999</v>
      </c>
      <c r="F657" s="4">
        <f>CHOOSE( CONTROL!$C$32, 19.6212, 19.6176) * CHOOSE(CONTROL!$C$15, $D$11, 100%, $F$11)</f>
        <v>19.621200000000002</v>
      </c>
      <c r="G657" s="8">
        <f>CHOOSE( CONTROL!$C$32, 18.663, 18.6594) * CHOOSE( CONTROL!$C$15, $D$11, 100%, $F$11)</f>
        <v>18.663</v>
      </c>
      <c r="H657" s="4">
        <f>CHOOSE( CONTROL!$C$32, 19.6381, 19.6345) * CHOOSE(CONTROL!$C$15, $D$11, 100%, $F$11)</f>
        <v>19.638100000000001</v>
      </c>
      <c r="I657" s="8">
        <f>CHOOSE( CONTROL!$C$32, 18.4612, 18.4577) * CHOOSE(CONTROL!$C$15, $D$11, 100%, $F$11)</f>
        <v>18.461200000000002</v>
      </c>
      <c r="J657" s="4">
        <f>CHOOSE( CONTROL!$C$32, 18.3105, 18.307) * CHOOSE(CONTROL!$C$15, $D$11, 100%, $F$11)</f>
        <v>18.310500000000001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18.5749, 18.5713) * CHOOSE(CONTROL!$C$15, $D$11, 100%, $F$11)</f>
        <v>18.5749</v>
      </c>
      <c r="C658" s="8">
        <f>CHOOSE( CONTROL!$C$32, 18.5829, 18.5793) * CHOOSE(CONTROL!$C$15, $D$11, 100%, $F$11)</f>
        <v>18.582899999999999</v>
      </c>
      <c r="D658" s="8">
        <f>CHOOSE( CONTROL!$C$32, 18.6209, 18.6172) * CHOOSE( CONTROL!$C$15, $D$11, 100%, $F$11)</f>
        <v>18.620899999999999</v>
      </c>
      <c r="E658" s="12">
        <f>CHOOSE( CONTROL!$C$32, 18.6059, 18.6022) * CHOOSE( CONTROL!$C$15, $D$11, 100%, $F$11)</f>
        <v>18.605899999999998</v>
      </c>
      <c r="F658" s="4">
        <f>CHOOSE( CONTROL!$C$32, 19.3179, 19.3143) * CHOOSE(CONTROL!$C$15, $D$11, 100%, $F$11)</f>
        <v>19.317900000000002</v>
      </c>
      <c r="G658" s="8">
        <f>CHOOSE( CONTROL!$C$32, 18.3636, 18.36) * CHOOSE( CONTROL!$C$15, $D$11, 100%, $F$11)</f>
        <v>18.363600000000002</v>
      </c>
      <c r="H658" s="4">
        <f>CHOOSE( CONTROL!$C$32, 19.3384, 19.3348) * CHOOSE(CONTROL!$C$15, $D$11, 100%, $F$11)</f>
        <v>19.3384</v>
      </c>
      <c r="I658" s="8">
        <f>CHOOSE( CONTROL!$C$32, 18.1678, 18.1642) * CHOOSE(CONTROL!$C$15, $D$11, 100%, $F$11)</f>
        <v>18.1678</v>
      </c>
      <c r="J658" s="4">
        <f>CHOOSE( CONTROL!$C$32, 18.0162, 18.0126) * CHOOSE(CONTROL!$C$15, $D$11, 100%, $F$11)</f>
        <v>18.016200000000001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19.3736, 19.3699) * CHOOSE(CONTROL!$C$15, $D$11, 100%, $F$11)</f>
        <v>19.3736</v>
      </c>
      <c r="C659" s="8">
        <f>CHOOSE( CONTROL!$C$32, 19.3816, 19.3779) * CHOOSE(CONTROL!$C$15, $D$11, 100%, $F$11)</f>
        <v>19.381599999999999</v>
      </c>
      <c r="D659" s="8">
        <f>CHOOSE( CONTROL!$C$32, 19.4198, 19.4161) * CHOOSE( CONTROL!$C$15, $D$11, 100%, $F$11)</f>
        <v>19.419799999999999</v>
      </c>
      <c r="E659" s="12">
        <f>CHOOSE( CONTROL!$C$32, 19.4047, 19.401) * CHOOSE( CONTROL!$C$15, $D$11, 100%, $F$11)</f>
        <v>19.404699999999998</v>
      </c>
      <c r="F659" s="4">
        <f>CHOOSE( CONTROL!$C$32, 20.1166, 20.1129) * CHOOSE(CONTROL!$C$15, $D$11, 100%, $F$11)</f>
        <v>20.116599999999998</v>
      </c>
      <c r="G659" s="8">
        <f>CHOOSE( CONTROL!$C$32, 19.1533, 19.1497) * CHOOSE( CONTROL!$C$15, $D$11, 100%, $F$11)</f>
        <v>19.153300000000002</v>
      </c>
      <c r="H659" s="4">
        <f>CHOOSE( CONTROL!$C$32, 20.1276, 20.124) * CHOOSE(CONTROL!$C$15, $D$11, 100%, $F$11)</f>
        <v>20.127600000000001</v>
      </c>
      <c r="I659" s="8">
        <f>CHOOSE( CONTROL!$C$32, 18.9444, 18.9408) * CHOOSE(CONTROL!$C$15, $D$11, 100%, $F$11)</f>
        <v>18.944400000000002</v>
      </c>
      <c r="J659" s="4">
        <f>CHOOSE( CONTROL!$C$32, 18.7912, 18.7877) * CHOOSE(CONTROL!$C$15, $D$11, 100%, $F$11)</f>
        <v>18.7912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17.8792, 17.8756) * CHOOSE(CONTROL!$C$15, $D$11, 100%, $F$11)</f>
        <v>17.879200000000001</v>
      </c>
      <c r="C660" s="8">
        <f>CHOOSE( CONTROL!$C$32, 17.8872, 17.8836) * CHOOSE(CONTROL!$C$15, $D$11, 100%, $F$11)</f>
        <v>17.8872</v>
      </c>
      <c r="D660" s="8">
        <f>CHOOSE( CONTROL!$C$32, 17.9255, 17.9218) * CHOOSE( CONTROL!$C$15, $D$11, 100%, $F$11)</f>
        <v>17.9255</v>
      </c>
      <c r="E660" s="12">
        <f>CHOOSE( CONTROL!$C$32, 17.9104, 17.9067) * CHOOSE( CONTROL!$C$15, $D$11, 100%, $F$11)</f>
        <v>17.910399999999999</v>
      </c>
      <c r="F660" s="4">
        <f>CHOOSE( CONTROL!$C$32, 18.6222, 18.6186) * CHOOSE(CONTROL!$C$15, $D$11, 100%, $F$11)</f>
        <v>18.622199999999999</v>
      </c>
      <c r="G660" s="8">
        <f>CHOOSE( CONTROL!$C$32, 17.6765, 17.6729) * CHOOSE( CONTROL!$C$15, $D$11, 100%, $F$11)</f>
        <v>17.676500000000001</v>
      </c>
      <c r="H660" s="4">
        <f>CHOOSE( CONTROL!$C$32, 18.6508, 18.6472) * CHOOSE(CONTROL!$C$15, $D$11, 100%, $F$11)</f>
        <v>18.6508</v>
      </c>
      <c r="I660" s="8">
        <f>CHOOSE( CONTROL!$C$32, 17.4936, 17.4901) * CHOOSE(CONTROL!$C$15, $D$11, 100%, $F$11)</f>
        <v>17.493600000000001</v>
      </c>
      <c r="J660" s="4">
        <f>CHOOSE( CONTROL!$C$32, 17.341, 17.3374) * CHOOSE(CONTROL!$C$15, $D$11, 100%, $F$11)</f>
        <v>17.341000000000001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17.505, 17.5014) * CHOOSE(CONTROL!$C$15, $D$11, 100%, $F$11)</f>
        <v>17.504999999999999</v>
      </c>
      <c r="C661" s="8">
        <f>CHOOSE( CONTROL!$C$32, 17.513, 17.5094) * CHOOSE(CONTROL!$C$15, $D$11, 100%, $F$11)</f>
        <v>17.513000000000002</v>
      </c>
      <c r="D661" s="8">
        <f>CHOOSE( CONTROL!$C$32, 17.5512, 17.5475) * CHOOSE( CONTROL!$C$15, $D$11, 100%, $F$11)</f>
        <v>17.551200000000001</v>
      </c>
      <c r="E661" s="12">
        <f>CHOOSE( CONTROL!$C$32, 17.5361, 17.5325) * CHOOSE( CONTROL!$C$15, $D$11, 100%, $F$11)</f>
        <v>17.536100000000001</v>
      </c>
      <c r="F661" s="4">
        <f>CHOOSE( CONTROL!$C$32, 18.248, 18.2444) * CHOOSE(CONTROL!$C$15, $D$11, 100%, $F$11)</f>
        <v>18.248000000000001</v>
      </c>
      <c r="G661" s="8">
        <f>CHOOSE( CONTROL!$C$32, 17.3066, 17.303) * CHOOSE( CONTROL!$C$15, $D$11, 100%, $F$11)</f>
        <v>17.3066</v>
      </c>
      <c r="H661" s="4">
        <f>CHOOSE( CONTROL!$C$32, 18.281, 18.2774) * CHOOSE(CONTROL!$C$15, $D$11, 100%, $F$11)</f>
        <v>18.280999999999999</v>
      </c>
      <c r="I661" s="8">
        <f>CHOOSE( CONTROL!$C$32, 17.1299, 17.1264) * CHOOSE(CONTROL!$C$15, $D$11, 100%, $F$11)</f>
        <v>17.129899999999999</v>
      </c>
      <c r="J661" s="4">
        <f>CHOOSE( CONTROL!$C$32, 16.9778, 16.9743) * CHOOSE(CONTROL!$C$15, $D$11, 100%, $F$11)</f>
        <v>16.977799999999998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18.2766 * CHOOSE(CONTROL!$C$15, $D$11, 100%, $F$11)</f>
        <v>18.276599999999998</v>
      </c>
      <c r="C662" s="8">
        <f>18.282 * CHOOSE(CONTROL!$C$15, $D$11, 100%, $F$11)</f>
        <v>18.282</v>
      </c>
      <c r="D662" s="8">
        <f>18.3255 * CHOOSE( CONTROL!$C$15, $D$11, 100%, $F$11)</f>
        <v>18.325500000000002</v>
      </c>
      <c r="E662" s="12">
        <f>18.3106 * CHOOSE( CONTROL!$C$15, $D$11, 100%, $F$11)</f>
        <v>18.310600000000001</v>
      </c>
      <c r="F662" s="4">
        <f>19.0214 * CHOOSE(CONTROL!$C$15, $D$11, 100%, $F$11)</f>
        <v>19.0214</v>
      </c>
      <c r="G662" s="8">
        <f>18.0703 * CHOOSE( CONTROL!$C$15, $D$11, 100%, $F$11)</f>
        <v>18.0703</v>
      </c>
      <c r="H662" s="4">
        <f>19.0452 * CHOOSE(CONTROL!$C$15, $D$11, 100%, $F$11)</f>
        <v>19.045200000000001</v>
      </c>
      <c r="I662" s="8">
        <f>17.8816 * CHOOSE(CONTROL!$C$15, $D$11, 100%, $F$11)</f>
        <v>17.881599999999999</v>
      </c>
      <c r="J662" s="4">
        <f>17.7283 * CHOOSE(CONTROL!$C$15, $D$11, 100%, $F$11)</f>
        <v>17.728300000000001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19.7104 * CHOOSE(CONTROL!$C$15, $D$11, 100%, $F$11)</f>
        <v>19.7104</v>
      </c>
      <c r="C663" s="8">
        <f>19.7154 * CHOOSE(CONTROL!$C$15, $D$11, 100%, $F$11)</f>
        <v>19.715399999999999</v>
      </c>
      <c r="D663" s="8">
        <f>19.6991 * CHOOSE( CONTROL!$C$15, $D$11, 100%, $F$11)</f>
        <v>19.699100000000001</v>
      </c>
      <c r="E663" s="12">
        <f>19.7045 * CHOOSE( CONTROL!$C$15, $D$11, 100%, $F$11)</f>
        <v>19.704499999999999</v>
      </c>
      <c r="F663" s="4">
        <f>20.3756 * CHOOSE(CONTROL!$C$15, $D$11, 100%, $F$11)</f>
        <v>20.375599999999999</v>
      </c>
      <c r="G663" s="8">
        <f>19.4883 * CHOOSE( CONTROL!$C$15, $D$11, 100%, $F$11)</f>
        <v>19.488299999999999</v>
      </c>
      <c r="H663" s="4">
        <f>20.3837 * CHOOSE(CONTROL!$C$15, $D$11, 100%, $F$11)</f>
        <v>20.383700000000001</v>
      </c>
      <c r="I663" s="8">
        <f>19.2742 * CHOOSE(CONTROL!$C$15, $D$11, 100%, $F$11)</f>
        <v>19.2742</v>
      </c>
      <c r="J663" s="4">
        <f>19.1202 * CHOOSE(CONTROL!$C$15, $D$11, 100%, $F$11)</f>
        <v>19.120200000000001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19.6745 * CHOOSE(CONTROL!$C$15, $D$11, 100%, $F$11)</f>
        <v>19.674499999999998</v>
      </c>
      <c r="C664" s="8">
        <f>19.6796 * CHOOSE(CONTROL!$C$15, $D$11, 100%, $F$11)</f>
        <v>19.679600000000001</v>
      </c>
      <c r="D664" s="8">
        <f>19.665 * CHOOSE( CONTROL!$C$15, $D$11, 100%, $F$11)</f>
        <v>19.664999999999999</v>
      </c>
      <c r="E664" s="12">
        <f>19.6698 * CHOOSE( CONTROL!$C$15, $D$11, 100%, $F$11)</f>
        <v>19.669799999999999</v>
      </c>
      <c r="F664" s="4">
        <f>20.3398 * CHOOSE(CONTROL!$C$15, $D$11, 100%, $F$11)</f>
        <v>20.3398</v>
      </c>
      <c r="G664" s="8">
        <f>19.4541 * CHOOSE( CONTROL!$C$15, $D$11, 100%, $F$11)</f>
        <v>19.4541</v>
      </c>
      <c r="H664" s="4">
        <f>20.3483 * CHOOSE(CONTROL!$C$15, $D$11, 100%, $F$11)</f>
        <v>20.348299999999998</v>
      </c>
      <c r="I664" s="8">
        <f>19.2448 * CHOOSE(CONTROL!$C$15, $D$11, 100%, $F$11)</f>
        <v>19.244800000000001</v>
      </c>
      <c r="J664" s="4">
        <f>19.0854 * CHOOSE(CONTROL!$C$15, $D$11, 100%, $F$11)</f>
        <v>19.0854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20.2546 * CHOOSE(CONTROL!$C$15, $D$11, 100%, $F$11)</f>
        <v>20.2546</v>
      </c>
      <c r="C665" s="8">
        <f>20.2597 * CHOOSE(CONTROL!$C$15, $D$11, 100%, $F$11)</f>
        <v>20.259699999999999</v>
      </c>
      <c r="D665" s="8">
        <f>20.2308 * CHOOSE( CONTROL!$C$15, $D$11, 100%, $F$11)</f>
        <v>20.230799999999999</v>
      </c>
      <c r="E665" s="12">
        <f>20.2408 * CHOOSE( CONTROL!$C$15, $D$11, 100%, $F$11)</f>
        <v>20.2408</v>
      </c>
      <c r="F665" s="4">
        <f>20.9199 * CHOOSE(CONTROL!$C$15, $D$11, 100%, $F$11)</f>
        <v>20.919899999999998</v>
      </c>
      <c r="G665" s="8">
        <f>20.0171 * CHOOSE( CONTROL!$C$15, $D$11, 100%, $F$11)</f>
        <v>20.017099999999999</v>
      </c>
      <c r="H665" s="4">
        <f>20.9215 * CHOOSE(CONTROL!$C$15, $D$11, 100%, $F$11)</f>
        <v>20.921500000000002</v>
      </c>
      <c r="I665" s="8">
        <f>19.8027 * CHOOSE(CONTROL!$C$15, $D$11, 100%, $F$11)</f>
        <v>19.802700000000002</v>
      </c>
      <c r="J665" s="4">
        <f>19.6483 * CHOOSE(CONTROL!$C$15, $D$11, 100%, $F$11)</f>
        <v>19.648299999999999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18.9458 * CHOOSE(CONTROL!$C$15, $D$11, 100%, $F$11)</f>
        <v>18.945799999999998</v>
      </c>
      <c r="C666" s="8">
        <f>18.9508 * CHOOSE(CONTROL!$C$15, $D$11, 100%, $F$11)</f>
        <v>18.950800000000001</v>
      </c>
      <c r="D666" s="8">
        <f>18.9219 * CHOOSE( CONTROL!$C$15, $D$11, 100%, $F$11)</f>
        <v>18.921900000000001</v>
      </c>
      <c r="E666" s="12">
        <f>18.9319 * CHOOSE( CONTROL!$C$15, $D$11, 100%, $F$11)</f>
        <v>18.931899999999999</v>
      </c>
      <c r="F666" s="4">
        <f>19.611 * CHOOSE(CONTROL!$C$15, $D$11, 100%, $F$11)</f>
        <v>19.611000000000001</v>
      </c>
      <c r="G666" s="8">
        <f>18.7236 * CHOOSE( CONTROL!$C$15, $D$11, 100%, $F$11)</f>
        <v>18.723600000000001</v>
      </c>
      <c r="H666" s="4">
        <f>19.628 * CHOOSE(CONTROL!$C$15, $D$11, 100%, $F$11)</f>
        <v>19.628</v>
      </c>
      <c r="I666" s="8">
        <f>18.5318 * CHOOSE(CONTROL!$C$15, $D$11, 100%, $F$11)</f>
        <v>18.5318</v>
      </c>
      <c r="J666" s="4">
        <f>18.3781 * CHOOSE(CONTROL!$C$15, $D$11, 100%, $F$11)</f>
        <v>18.3781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18.5426 * CHOOSE(CONTROL!$C$15, $D$11, 100%, $F$11)</f>
        <v>18.5426</v>
      </c>
      <c r="C667" s="8">
        <f>18.5477 * CHOOSE(CONTROL!$C$15, $D$11, 100%, $F$11)</f>
        <v>18.547699999999999</v>
      </c>
      <c r="D667" s="8">
        <f>18.5184 * CHOOSE( CONTROL!$C$15, $D$11, 100%, $F$11)</f>
        <v>18.5184</v>
      </c>
      <c r="E667" s="12">
        <f>18.5286 * CHOOSE( CONTROL!$C$15, $D$11, 100%, $F$11)</f>
        <v>18.528600000000001</v>
      </c>
      <c r="F667" s="4">
        <f>19.2079 * CHOOSE(CONTROL!$C$15, $D$11, 100%, $F$11)</f>
        <v>19.207899999999999</v>
      </c>
      <c r="G667" s="8">
        <f>18.3249 * CHOOSE( CONTROL!$C$15, $D$11, 100%, $F$11)</f>
        <v>18.3249</v>
      </c>
      <c r="H667" s="4">
        <f>19.2296 * CHOOSE(CONTROL!$C$15, $D$11, 100%, $F$11)</f>
        <v>19.229600000000001</v>
      </c>
      <c r="I667" s="8">
        <f>18.1391 * CHOOSE(CONTROL!$C$15, $D$11, 100%, $F$11)</f>
        <v>18.139099999999999</v>
      </c>
      <c r="J667" s="4">
        <f>17.9869 * CHOOSE(CONTROL!$C$15, $D$11, 100%, $F$11)</f>
        <v>17.986899999999999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18.8251 * CHOOSE(CONTROL!$C$15, $D$11, 100%, $F$11)</f>
        <v>18.825099999999999</v>
      </c>
      <c r="C668" s="8">
        <f>18.8296 * CHOOSE(CONTROL!$C$15, $D$11, 100%, $F$11)</f>
        <v>18.829599999999999</v>
      </c>
      <c r="D668" s="8">
        <f>18.873 * CHOOSE( CONTROL!$C$15, $D$11, 100%, $F$11)</f>
        <v>18.873000000000001</v>
      </c>
      <c r="E668" s="12">
        <f>18.8582 * CHOOSE( CONTROL!$C$15, $D$11, 100%, $F$11)</f>
        <v>18.8582</v>
      </c>
      <c r="F668" s="4">
        <f>19.5695 * CHOOSE(CONTROL!$C$15, $D$11, 100%, $F$11)</f>
        <v>19.569500000000001</v>
      </c>
      <c r="G668" s="8">
        <f>18.6111 * CHOOSE( CONTROL!$C$15, $D$11, 100%, $F$11)</f>
        <v>18.6111</v>
      </c>
      <c r="H668" s="4">
        <f>19.5869 * CHOOSE(CONTROL!$C$15, $D$11, 100%, $F$11)</f>
        <v>19.5869</v>
      </c>
      <c r="I668" s="8">
        <f>18.4108 * CHOOSE(CONTROL!$C$15, $D$11, 100%, $F$11)</f>
        <v>18.410799999999998</v>
      </c>
      <c r="J668" s="4">
        <f>18.2603 * CHOOSE(CONTROL!$C$15, $D$11, 100%, $F$11)</f>
        <v>18.260300000000001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19.3315, 19.3278) * CHOOSE(CONTROL!$C$15, $D$11, 100%, $F$11)</f>
        <v>19.331499999999998</v>
      </c>
      <c r="C669" s="8">
        <f>CHOOSE( CONTROL!$C$32, 19.3394, 19.3358) * CHOOSE(CONTROL!$C$15, $D$11, 100%, $F$11)</f>
        <v>19.339400000000001</v>
      </c>
      <c r="D669" s="8">
        <f>CHOOSE( CONTROL!$C$32, 19.3772, 19.3735) * CHOOSE( CONTROL!$C$15, $D$11, 100%, $F$11)</f>
        <v>19.377199999999998</v>
      </c>
      <c r="E669" s="12">
        <f>CHOOSE( CONTROL!$C$32, 19.3623, 19.3586) * CHOOSE( CONTROL!$C$15, $D$11, 100%, $F$11)</f>
        <v>19.362300000000001</v>
      </c>
      <c r="F669" s="4">
        <f>CHOOSE( CONTROL!$C$32, 20.0745, 20.0708) * CHOOSE(CONTROL!$C$15, $D$11, 100%, $F$11)</f>
        <v>20.0745</v>
      </c>
      <c r="G669" s="8">
        <f>CHOOSE( CONTROL!$C$32, 19.111, 19.1074) * CHOOSE( CONTROL!$C$15, $D$11, 100%, $F$11)</f>
        <v>19.111000000000001</v>
      </c>
      <c r="H669" s="4">
        <f>CHOOSE( CONTROL!$C$32, 20.086, 20.0824) * CHOOSE(CONTROL!$C$15, $D$11, 100%, $F$11)</f>
        <v>20.085999999999999</v>
      </c>
      <c r="I669" s="8">
        <f>CHOOSE( CONTROL!$C$32, 18.9013, 18.8978) * CHOOSE(CONTROL!$C$15, $D$11, 100%, $F$11)</f>
        <v>18.901299999999999</v>
      </c>
      <c r="J669" s="4">
        <f>CHOOSE( CONTROL!$C$32, 18.7504, 18.7468) * CHOOSE(CONTROL!$C$15, $D$11, 100%, $F$11)</f>
        <v>18.750399999999999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19.0209, 19.0172) * CHOOSE(CONTROL!$C$15, $D$11, 100%, $F$11)</f>
        <v>19.020900000000001</v>
      </c>
      <c r="C670" s="8">
        <f>CHOOSE( CONTROL!$C$32, 19.0289, 19.0252) * CHOOSE(CONTROL!$C$15, $D$11, 100%, $F$11)</f>
        <v>19.0289</v>
      </c>
      <c r="D670" s="8">
        <f>CHOOSE( CONTROL!$C$32, 19.0668, 19.0632) * CHOOSE( CONTROL!$C$15, $D$11, 100%, $F$11)</f>
        <v>19.066800000000001</v>
      </c>
      <c r="E670" s="12">
        <f>CHOOSE( CONTROL!$C$32, 19.0518, 19.0482) * CHOOSE( CONTROL!$C$15, $D$11, 100%, $F$11)</f>
        <v>19.0518</v>
      </c>
      <c r="F670" s="4">
        <f>CHOOSE( CONTROL!$C$32, 19.7639, 19.7603) * CHOOSE(CONTROL!$C$15, $D$11, 100%, $F$11)</f>
        <v>19.7639</v>
      </c>
      <c r="G670" s="8">
        <f>CHOOSE( CONTROL!$C$32, 18.8044, 18.8008) * CHOOSE( CONTROL!$C$15, $D$11, 100%, $F$11)</f>
        <v>18.804400000000001</v>
      </c>
      <c r="H670" s="4">
        <f>CHOOSE( CONTROL!$C$32, 19.7791, 19.7755) * CHOOSE(CONTROL!$C$15, $D$11, 100%, $F$11)</f>
        <v>19.7791</v>
      </c>
      <c r="I670" s="8">
        <f>CHOOSE( CONTROL!$C$32, 18.6008, 18.5972) * CHOOSE(CONTROL!$C$15, $D$11, 100%, $F$11)</f>
        <v>18.6008</v>
      </c>
      <c r="J670" s="4">
        <f>CHOOSE( CONTROL!$C$32, 18.449, 18.4454) * CHOOSE(CONTROL!$C$15, $D$11, 100%, $F$11)</f>
        <v>18.449000000000002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19.8387, 19.8351) * CHOOSE(CONTROL!$C$15, $D$11, 100%, $F$11)</f>
        <v>19.838699999999999</v>
      </c>
      <c r="C671" s="8">
        <f>CHOOSE( CONTROL!$C$32, 19.8467, 19.8431) * CHOOSE(CONTROL!$C$15, $D$11, 100%, $F$11)</f>
        <v>19.846699999999998</v>
      </c>
      <c r="D671" s="8">
        <f>CHOOSE( CONTROL!$C$32, 19.8849, 19.8813) * CHOOSE( CONTROL!$C$15, $D$11, 100%, $F$11)</f>
        <v>19.884899999999998</v>
      </c>
      <c r="E671" s="12">
        <f>CHOOSE( CONTROL!$C$32, 19.8698, 19.8662) * CHOOSE( CONTROL!$C$15, $D$11, 100%, $F$11)</f>
        <v>19.869800000000001</v>
      </c>
      <c r="F671" s="4">
        <f>CHOOSE( CONTROL!$C$32, 20.5817, 20.5781) * CHOOSE(CONTROL!$C$15, $D$11, 100%, $F$11)</f>
        <v>20.581700000000001</v>
      </c>
      <c r="G671" s="8">
        <f>CHOOSE( CONTROL!$C$32, 19.613, 19.6094) * CHOOSE( CONTROL!$C$15, $D$11, 100%, $F$11)</f>
        <v>19.613</v>
      </c>
      <c r="H671" s="4">
        <f>CHOOSE( CONTROL!$C$32, 20.5873, 20.5837) * CHOOSE(CONTROL!$C$15, $D$11, 100%, $F$11)</f>
        <v>20.587299999999999</v>
      </c>
      <c r="I671" s="8">
        <f>CHOOSE( CONTROL!$C$32, 19.396, 19.3925) * CHOOSE(CONTROL!$C$15, $D$11, 100%, $F$11)</f>
        <v>19.396000000000001</v>
      </c>
      <c r="J671" s="4">
        <f>CHOOSE( CONTROL!$C$32, 19.2427, 19.2391) * CHOOSE(CONTROL!$C$15, $D$11, 100%, $F$11)</f>
        <v>19.242699999999999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18.3085, 18.3048) * CHOOSE(CONTROL!$C$15, $D$11, 100%, $F$11)</f>
        <v>18.308499999999999</v>
      </c>
      <c r="C672" s="8">
        <f>CHOOSE( CONTROL!$C$32, 18.3164, 18.3128) * CHOOSE(CONTROL!$C$15, $D$11, 100%, $F$11)</f>
        <v>18.316400000000002</v>
      </c>
      <c r="D672" s="8">
        <f>CHOOSE( CONTROL!$C$32, 18.3547, 18.3511) * CHOOSE( CONTROL!$C$15, $D$11, 100%, $F$11)</f>
        <v>18.354700000000001</v>
      </c>
      <c r="E672" s="12">
        <f>CHOOSE( CONTROL!$C$32, 18.3396, 18.336) * CHOOSE( CONTROL!$C$15, $D$11, 100%, $F$11)</f>
        <v>18.339600000000001</v>
      </c>
      <c r="F672" s="4">
        <f>CHOOSE( CONTROL!$C$32, 19.0515, 19.0478) * CHOOSE(CONTROL!$C$15, $D$11, 100%, $F$11)</f>
        <v>19.051500000000001</v>
      </c>
      <c r="G672" s="8">
        <f>CHOOSE( CONTROL!$C$32, 18.1007, 18.0971) * CHOOSE( CONTROL!$C$15, $D$11, 100%, $F$11)</f>
        <v>18.1007</v>
      </c>
      <c r="H672" s="4">
        <f>CHOOSE( CONTROL!$C$32, 19.075, 19.0714) * CHOOSE(CONTROL!$C$15, $D$11, 100%, $F$11)</f>
        <v>19.074999999999999</v>
      </c>
      <c r="I672" s="8">
        <f>CHOOSE( CONTROL!$C$32, 17.9104, 17.9069) * CHOOSE(CONTROL!$C$15, $D$11, 100%, $F$11)</f>
        <v>17.910399999999999</v>
      </c>
      <c r="J672" s="4">
        <f>CHOOSE( CONTROL!$C$32, 17.7575, 17.754) * CHOOSE(CONTROL!$C$15, $D$11, 100%, $F$11)</f>
        <v>17.7575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17.9253, 17.9216) * CHOOSE(CONTROL!$C$15, $D$11, 100%, $F$11)</f>
        <v>17.9253</v>
      </c>
      <c r="C673" s="8">
        <f>CHOOSE( CONTROL!$C$32, 17.9332, 17.9296) * CHOOSE(CONTROL!$C$15, $D$11, 100%, $F$11)</f>
        <v>17.933199999999999</v>
      </c>
      <c r="D673" s="8">
        <f>CHOOSE( CONTROL!$C$32, 17.9714, 17.9678) * CHOOSE( CONTROL!$C$15, $D$11, 100%, $F$11)</f>
        <v>17.971399999999999</v>
      </c>
      <c r="E673" s="12">
        <f>CHOOSE( CONTROL!$C$32, 17.9564, 17.9527) * CHOOSE( CONTROL!$C$15, $D$11, 100%, $F$11)</f>
        <v>17.956399999999999</v>
      </c>
      <c r="F673" s="4">
        <f>CHOOSE( CONTROL!$C$32, 18.6683, 18.6646) * CHOOSE(CONTROL!$C$15, $D$11, 100%, $F$11)</f>
        <v>18.668299999999999</v>
      </c>
      <c r="G673" s="8">
        <f>CHOOSE( CONTROL!$C$32, 17.7219, 17.7183) * CHOOSE( CONTROL!$C$15, $D$11, 100%, $F$11)</f>
        <v>17.721900000000002</v>
      </c>
      <c r="H673" s="4">
        <f>CHOOSE( CONTROL!$C$32, 18.6963, 18.6927) * CHOOSE(CONTROL!$C$15, $D$11, 100%, $F$11)</f>
        <v>18.696300000000001</v>
      </c>
      <c r="I673" s="8">
        <f>CHOOSE( CONTROL!$C$32, 17.538, 17.5344) * CHOOSE(CONTROL!$C$15, $D$11, 100%, $F$11)</f>
        <v>17.538</v>
      </c>
      <c r="J673" s="4">
        <f>CHOOSE( CONTROL!$C$32, 17.3857, 17.3821) * CHOOSE(CONTROL!$C$15, $D$11, 100%, $F$11)</f>
        <v>17.3857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18.7155 * CHOOSE(CONTROL!$C$15, $D$11, 100%, $F$11)</f>
        <v>18.715499999999999</v>
      </c>
      <c r="C674" s="8">
        <f>18.7209 * CHOOSE(CONTROL!$C$15, $D$11, 100%, $F$11)</f>
        <v>18.7209</v>
      </c>
      <c r="D674" s="8">
        <f>18.7644 * CHOOSE( CONTROL!$C$15, $D$11, 100%, $F$11)</f>
        <v>18.764399999999998</v>
      </c>
      <c r="E674" s="12">
        <f>18.7495 * CHOOSE( CONTROL!$C$15, $D$11, 100%, $F$11)</f>
        <v>18.749500000000001</v>
      </c>
      <c r="F674" s="4">
        <f>19.4603 * CHOOSE(CONTROL!$C$15, $D$11, 100%, $F$11)</f>
        <v>19.4603</v>
      </c>
      <c r="G674" s="8">
        <f>18.5041 * CHOOSE( CONTROL!$C$15, $D$11, 100%, $F$11)</f>
        <v>18.504100000000001</v>
      </c>
      <c r="H674" s="4">
        <f>19.479 * CHOOSE(CONTROL!$C$15, $D$11, 100%, $F$11)</f>
        <v>19.478999999999999</v>
      </c>
      <c r="I674" s="8">
        <f>18.3078 * CHOOSE(CONTROL!$C$15, $D$11, 100%, $F$11)</f>
        <v>18.3078</v>
      </c>
      <c r="J674" s="4">
        <f>18.1543 * CHOOSE(CONTROL!$C$15, $D$11, 100%, $F$11)</f>
        <v>18.154299999999999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20.1837 * CHOOSE(CONTROL!$C$15, $D$11, 100%, $F$11)</f>
        <v>20.183700000000002</v>
      </c>
      <c r="C675" s="8">
        <f>20.1888 * CHOOSE(CONTROL!$C$15, $D$11, 100%, $F$11)</f>
        <v>20.188800000000001</v>
      </c>
      <c r="D675" s="8">
        <f>20.1725 * CHOOSE( CONTROL!$C$15, $D$11, 100%, $F$11)</f>
        <v>20.172499999999999</v>
      </c>
      <c r="E675" s="12">
        <f>20.1779 * CHOOSE( CONTROL!$C$15, $D$11, 100%, $F$11)</f>
        <v>20.177900000000001</v>
      </c>
      <c r="F675" s="4">
        <f>20.849 * CHOOSE(CONTROL!$C$15, $D$11, 100%, $F$11)</f>
        <v>20.849</v>
      </c>
      <c r="G675" s="8">
        <f>19.9561 * CHOOSE( CONTROL!$C$15, $D$11, 100%, $F$11)</f>
        <v>19.956099999999999</v>
      </c>
      <c r="H675" s="4">
        <f>20.8515 * CHOOSE(CONTROL!$C$15, $D$11, 100%, $F$11)</f>
        <v>20.851500000000001</v>
      </c>
      <c r="I675" s="8">
        <f>19.7339 * CHOOSE(CONTROL!$C$15, $D$11, 100%, $F$11)</f>
        <v>19.733899999999998</v>
      </c>
      <c r="J675" s="4">
        <f>19.5796 * CHOOSE(CONTROL!$C$15, $D$11, 100%, $F$11)</f>
        <v>19.579599999999999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20.147 * CHOOSE(CONTROL!$C$15, $D$11, 100%, $F$11)</f>
        <v>20.146999999999998</v>
      </c>
      <c r="C676" s="8">
        <f>20.1521 * CHOOSE(CONTROL!$C$15, $D$11, 100%, $F$11)</f>
        <v>20.152100000000001</v>
      </c>
      <c r="D676" s="8">
        <f>20.1375 * CHOOSE( CONTROL!$C$15, $D$11, 100%, $F$11)</f>
        <v>20.137499999999999</v>
      </c>
      <c r="E676" s="12">
        <f>20.1423 * CHOOSE( CONTROL!$C$15, $D$11, 100%, $F$11)</f>
        <v>20.142299999999999</v>
      </c>
      <c r="F676" s="4">
        <f>20.8123 * CHOOSE(CONTROL!$C$15, $D$11, 100%, $F$11)</f>
        <v>20.8123</v>
      </c>
      <c r="G676" s="8">
        <f>19.9211 * CHOOSE( CONTROL!$C$15, $D$11, 100%, $F$11)</f>
        <v>19.921099999999999</v>
      </c>
      <c r="H676" s="4">
        <f>20.8152 * CHOOSE(CONTROL!$C$15, $D$11, 100%, $F$11)</f>
        <v>20.815200000000001</v>
      </c>
      <c r="I676" s="8">
        <f>19.7036 * CHOOSE(CONTROL!$C$15, $D$11, 100%, $F$11)</f>
        <v>19.703600000000002</v>
      </c>
      <c r="J676" s="4">
        <f>19.544 * CHOOSE(CONTROL!$C$15, $D$11, 100%, $F$11)</f>
        <v>19.544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20.7411 * CHOOSE(CONTROL!$C$15, $D$11, 100%, $F$11)</f>
        <v>20.741099999999999</v>
      </c>
      <c r="C677" s="8">
        <f>20.7461 * CHOOSE(CONTROL!$C$15, $D$11, 100%, $F$11)</f>
        <v>20.746099999999998</v>
      </c>
      <c r="D677" s="8">
        <f>20.7173 * CHOOSE( CONTROL!$C$15, $D$11, 100%, $F$11)</f>
        <v>20.717300000000002</v>
      </c>
      <c r="E677" s="12">
        <f>20.7273 * CHOOSE( CONTROL!$C$15, $D$11, 100%, $F$11)</f>
        <v>20.7273</v>
      </c>
      <c r="F677" s="4">
        <f>21.4063 * CHOOSE(CONTROL!$C$15, $D$11, 100%, $F$11)</f>
        <v>21.406300000000002</v>
      </c>
      <c r="G677" s="8">
        <f>20.4979 * CHOOSE( CONTROL!$C$15, $D$11, 100%, $F$11)</f>
        <v>20.497900000000001</v>
      </c>
      <c r="H677" s="4">
        <f>21.4023 * CHOOSE(CONTROL!$C$15, $D$11, 100%, $F$11)</f>
        <v>21.4023</v>
      </c>
      <c r="I677" s="8">
        <f>20.275 * CHOOSE(CONTROL!$C$15, $D$11, 100%, $F$11)</f>
        <v>20.274999999999999</v>
      </c>
      <c r="J677" s="4">
        <f>20.1204 * CHOOSE(CONTROL!$C$15, $D$11, 100%, $F$11)</f>
        <v>20.1204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19.4008 * CHOOSE(CONTROL!$C$15, $D$11, 100%, $F$11)</f>
        <v>19.4008</v>
      </c>
      <c r="C678" s="8">
        <f>19.4058 * CHOOSE(CONTROL!$C$15, $D$11, 100%, $F$11)</f>
        <v>19.405799999999999</v>
      </c>
      <c r="D678" s="8">
        <f>19.3769 * CHOOSE( CONTROL!$C$15, $D$11, 100%, $F$11)</f>
        <v>19.376899999999999</v>
      </c>
      <c r="E678" s="12">
        <f>19.3869 * CHOOSE( CONTROL!$C$15, $D$11, 100%, $F$11)</f>
        <v>19.386900000000001</v>
      </c>
      <c r="F678" s="4">
        <f>20.066 * CHOOSE(CONTROL!$C$15, $D$11, 100%, $F$11)</f>
        <v>20.065999999999999</v>
      </c>
      <c r="G678" s="8">
        <f>19.1733 * CHOOSE( CONTROL!$C$15, $D$11, 100%, $F$11)</f>
        <v>19.173300000000001</v>
      </c>
      <c r="H678" s="4">
        <f>20.0777 * CHOOSE(CONTROL!$C$15, $D$11, 100%, $F$11)</f>
        <v>20.0777</v>
      </c>
      <c r="I678" s="8">
        <f>18.9736 * CHOOSE(CONTROL!$C$15, $D$11, 100%, $F$11)</f>
        <v>18.973600000000001</v>
      </c>
      <c r="J678" s="4">
        <f>18.8197 * CHOOSE(CONTROL!$C$15, $D$11, 100%, $F$11)</f>
        <v>18.819700000000001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18.988 * CHOOSE(CONTROL!$C$15, $D$11, 100%, $F$11)</f>
        <v>18.988</v>
      </c>
      <c r="C679" s="8">
        <f>18.993 * CHOOSE(CONTROL!$C$15, $D$11, 100%, $F$11)</f>
        <v>18.992999999999999</v>
      </c>
      <c r="D679" s="8">
        <f>18.9637 * CHOOSE( CONTROL!$C$15, $D$11, 100%, $F$11)</f>
        <v>18.963699999999999</v>
      </c>
      <c r="E679" s="12">
        <f>18.9739 * CHOOSE( CONTROL!$C$15, $D$11, 100%, $F$11)</f>
        <v>18.9739</v>
      </c>
      <c r="F679" s="4">
        <f>19.6532 * CHOOSE(CONTROL!$C$15, $D$11, 100%, $F$11)</f>
        <v>19.653199999999998</v>
      </c>
      <c r="G679" s="8">
        <f>18.765 * CHOOSE( CONTROL!$C$15, $D$11, 100%, $F$11)</f>
        <v>18.765000000000001</v>
      </c>
      <c r="H679" s="4">
        <f>19.6697 * CHOOSE(CONTROL!$C$15, $D$11, 100%, $F$11)</f>
        <v>19.669699999999999</v>
      </c>
      <c r="I679" s="8">
        <f>18.5715 * CHOOSE(CONTROL!$C$15, $D$11, 100%, $F$11)</f>
        <v>18.5715</v>
      </c>
      <c r="J679" s="4">
        <f>18.4191 * CHOOSE(CONTROL!$C$15, $D$11, 100%, $F$11)</f>
        <v>18.4191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19.2772 * CHOOSE(CONTROL!$C$15, $D$11, 100%, $F$11)</f>
        <v>19.277200000000001</v>
      </c>
      <c r="C680" s="8">
        <f>19.2817 * CHOOSE(CONTROL!$C$15, $D$11, 100%, $F$11)</f>
        <v>19.281700000000001</v>
      </c>
      <c r="D680" s="8">
        <f>19.3251 * CHOOSE( CONTROL!$C$15, $D$11, 100%, $F$11)</f>
        <v>19.325099999999999</v>
      </c>
      <c r="E680" s="12">
        <f>19.3103 * CHOOSE( CONTROL!$C$15, $D$11, 100%, $F$11)</f>
        <v>19.310300000000002</v>
      </c>
      <c r="F680" s="4">
        <f>20.0216 * CHOOSE(CONTROL!$C$15, $D$11, 100%, $F$11)</f>
        <v>20.021599999999999</v>
      </c>
      <c r="G680" s="8">
        <f>19.0579 * CHOOSE( CONTROL!$C$15, $D$11, 100%, $F$11)</f>
        <v>19.0579</v>
      </c>
      <c r="H680" s="4">
        <f>20.0337 * CHOOSE(CONTROL!$C$15, $D$11, 100%, $F$11)</f>
        <v>20.0337</v>
      </c>
      <c r="I680" s="8">
        <f>18.8498 * CHOOSE(CONTROL!$C$15, $D$11, 100%, $F$11)</f>
        <v>18.849799999999998</v>
      </c>
      <c r="J680" s="4">
        <f>18.699 * CHOOSE(CONTROL!$C$15, $D$11, 100%, $F$11)</f>
        <v>18.699000000000002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19.7956, 19.7919) * CHOOSE(CONTROL!$C$15, $D$11, 100%, $F$11)</f>
        <v>19.7956</v>
      </c>
      <c r="C681" s="8">
        <f>CHOOSE( CONTROL!$C$32, 19.8036, 19.7999) * CHOOSE(CONTROL!$C$15, $D$11, 100%, $F$11)</f>
        <v>19.803599999999999</v>
      </c>
      <c r="D681" s="8">
        <f>CHOOSE( CONTROL!$C$32, 19.8413, 19.8377) * CHOOSE( CONTROL!$C$15, $D$11, 100%, $F$11)</f>
        <v>19.8413</v>
      </c>
      <c r="E681" s="12">
        <f>CHOOSE( CONTROL!$C$32, 19.8264, 19.8228) * CHOOSE( CONTROL!$C$15, $D$11, 100%, $F$11)</f>
        <v>19.8264</v>
      </c>
      <c r="F681" s="4">
        <f>CHOOSE( CONTROL!$C$32, 20.5386, 20.5349) * CHOOSE(CONTROL!$C$15, $D$11, 100%, $F$11)</f>
        <v>20.538599999999999</v>
      </c>
      <c r="G681" s="8">
        <f>CHOOSE( CONTROL!$C$32, 19.5697, 19.5661) * CHOOSE( CONTROL!$C$15, $D$11, 100%, $F$11)</f>
        <v>19.569700000000001</v>
      </c>
      <c r="H681" s="4">
        <f>CHOOSE( CONTROL!$C$32, 20.5447, 20.5411) * CHOOSE(CONTROL!$C$15, $D$11, 100%, $F$11)</f>
        <v>20.544699999999999</v>
      </c>
      <c r="I681" s="8">
        <f>CHOOSE( CONTROL!$C$32, 19.352, 19.3484) * CHOOSE(CONTROL!$C$15, $D$11, 100%, $F$11)</f>
        <v>19.352</v>
      </c>
      <c r="J681" s="4">
        <f>CHOOSE( CONTROL!$C$32, 19.2008, 19.1973) * CHOOSE(CONTROL!$C$15, $D$11, 100%, $F$11)</f>
        <v>19.200800000000001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19.4776, 19.4739) * CHOOSE(CONTROL!$C$15, $D$11, 100%, $F$11)</f>
        <v>19.477599999999999</v>
      </c>
      <c r="C682" s="8">
        <f>CHOOSE( CONTROL!$C$32, 19.4855, 19.4819) * CHOOSE(CONTROL!$C$15, $D$11, 100%, $F$11)</f>
        <v>19.485499999999998</v>
      </c>
      <c r="D682" s="8">
        <f>CHOOSE( CONTROL!$C$32, 19.5235, 19.5198) * CHOOSE( CONTROL!$C$15, $D$11, 100%, $F$11)</f>
        <v>19.523499999999999</v>
      </c>
      <c r="E682" s="12">
        <f>CHOOSE( CONTROL!$C$32, 19.5085, 19.5048) * CHOOSE( CONTROL!$C$15, $D$11, 100%, $F$11)</f>
        <v>19.508500000000002</v>
      </c>
      <c r="F682" s="4">
        <f>CHOOSE( CONTROL!$C$32, 20.2206, 20.2169) * CHOOSE(CONTROL!$C$15, $D$11, 100%, $F$11)</f>
        <v>20.220600000000001</v>
      </c>
      <c r="G682" s="8">
        <f>CHOOSE( CONTROL!$C$32, 19.2557, 19.2521) * CHOOSE( CONTROL!$C$15, $D$11, 100%, $F$11)</f>
        <v>19.255700000000001</v>
      </c>
      <c r="H682" s="4">
        <f>CHOOSE( CONTROL!$C$32, 20.2304, 20.2268) * CHOOSE(CONTROL!$C$15, $D$11, 100%, $F$11)</f>
        <v>20.230399999999999</v>
      </c>
      <c r="I682" s="8">
        <f>CHOOSE( CONTROL!$C$32, 19.0442, 19.0407) * CHOOSE(CONTROL!$C$15, $D$11, 100%, $F$11)</f>
        <v>19.0442</v>
      </c>
      <c r="J682" s="4">
        <f>CHOOSE( CONTROL!$C$32, 18.8921, 18.8886) * CHOOSE(CONTROL!$C$15, $D$11, 100%, $F$11)</f>
        <v>18.892099999999999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20.315, 20.3114) * CHOOSE(CONTROL!$C$15, $D$11, 100%, $F$11)</f>
        <v>20.315000000000001</v>
      </c>
      <c r="C683" s="8">
        <f>CHOOSE( CONTROL!$C$32, 20.323, 20.3194) * CHOOSE(CONTROL!$C$15, $D$11, 100%, $F$11)</f>
        <v>20.323</v>
      </c>
      <c r="D683" s="8">
        <f>CHOOSE( CONTROL!$C$32, 20.3612, 20.3576) * CHOOSE( CONTROL!$C$15, $D$11, 100%, $F$11)</f>
        <v>20.3612</v>
      </c>
      <c r="E683" s="12">
        <f>CHOOSE( CONTROL!$C$32, 20.3461, 20.3425) * CHOOSE( CONTROL!$C$15, $D$11, 100%, $F$11)</f>
        <v>20.3461</v>
      </c>
      <c r="F683" s="4">
        <f>CHOOSE( CONTROL!$C$32, 21.058, 21.0544) * CHOOSE(CONTROL!$C$15, $D$11, 100%, $F$11)</f>
        <v>21.058</v>
      </c>
      <c r="G683" s="8">
        <f>CHOOSE( CONTROL!$C$32, 20.0837, 20.0801) * CHOOSE( CONTROL!$C$15, $D$11, 100%, $F$11)</f>
        <v>20.0837</v>
      </c>
      <c r="H683" s="4">
        <f>CHOOSE( CONTROL!$C$32, 21.0581, 21.0545) * CHOOSE(CONTROL!$C$15, $D$11, 100%, $F$11)</f>
        <v>21.0581</v>
      </c>
      <c r="I683" s="8">
        <f>CHOOSE( CONTROL!$C$32, 19.8585, 19.855) * CHOOSE(CONTROL!$C$15, $D$11, 100%, $F$11)</f>
        <v>19.858499999999999</v>
      </c>
      <c r="J683" s="4">
        <f>CHOOSE( CONTROL!$C$32, 19.7049, 19.7014) * CHOOSE(CONTROL!$C$15, $D$11, 100%, $F$11)</f>
        <v>19.704899999999999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18.748, 18.7444) * CHOOSE(CONTROL!$C$15, $D$11, 100%, $F$11)</f>
        <v>18.748000000000001</v>
      </c>
      <c r="C684" s="8">
        <f>CHOOSE( CONTROL!$C$32, 18.756, 18.7523) * CHOOSE(CONTROL!$C$15, $D$11, 100%, $F$11)</f>
        <v>18.756</v>
      </c>
      <c r="D684" s="8">
        <f>CHOOSE( CONTROL!$C$32, 18.7942, 18.7906) * CHOOSE( CONTROL!$C$15, $D$11, 100%, $F$11)</f>
        <v>18.7942</v>
      </c>
      <c r="E684" s="12">
        <f>CHOOSE( CONTROL!$C$32, 18.7791, 18.7755) * CHOOSE( CONTROL!$C$15, $D$11, 100%, $F$11)</f>
        <v>18.7791</v>
      </c>
      <c r="F684" s="4">
        <f>CHOOSE( CONTROL!$C$32, 19.491, 19.4874) * CHOOSE(CONTROL!$C$15, $D$11, 100%, $F$11)</f>
        <v>19.491</v>
      </c>
      <c r="G684" s="8">
        <f>CHOOSE( CONTROL!$C$32, 18.5351, 18.5315) * CHOOSE( CONTROL!$C$15, $D$11, 100%, $F$11)</f>
        <v>18.5351</v>
      </c>
      <c r="H684" s="4">
        <f>CHOOSE( CONTROL!$C$32, 19.5094, 19.5058) * CHOOSE(CONTROL!$C$15, $D$11, 100%, $F$11)</f>
        <v>19.509399999999999</v>
      </c>
      <c r="I684" s="8">
        <f>CHOOSE( CONTROL!$C$32, 18.3372, 18.3337) * CHOOSE(CONTROL!$C$15, $D$11, 100%, $F$11)</f>
        <v>18.337199999999999</v>
      </c>
      <c r="J684" s="4">
        <f>CHOOSE( CONTROL!$C$32, 18.1841, 18.1806) * CHOOSE(CONTROL!$C$15, $D$11, 100%, $F$11)</f>
        <v>18.184100000000001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18.3556, 18.352) * CHOOSE(CONTROL!$C$15, $D$11, 100%, $F$11)</f>
        <v>18.355599999999999</v>
      </c>
      <c r="C685" s="8">
        <f>CHOOSE( CONTROL!$C$32, 18.3636, 18.3599) * CHOOSE(CONTROL!$C$15, $D$11, 100%, $F$11)</f>
        <v>18.363600000000002</v>
      </c>
      <c r="D685" s="8">
        <f>CHOOSE( CONTROL!$C$32, 18.4018, 18.3981) * CHOOSE( CONTROL!$C$15, $D$11, 100%, $F$11)</f>
        <v>18.401800000000001</v>
      </c>
      <c r="E685" s="12">
        <f>CHOOSE( CONTROL!$C$32, 18.3867, 18.3831) * CHOOSE( CONTROL!$C$15, $D$11, 100%, $F$11)</f>
        <v>18.386700000000001</v>
      </c>
      <c r="F685" s="4">
        <f>CHOOSE( CONTROL!$C$32, 19.0986, 19.095) * CHOOSE(CONTROL!$C$15, $D$11, 100%, $F$11)</f>
        <v>19.098600000000001</v>
      </c>
      <c r="G685" s="8">
        <f>CHOOSE( CONTROL!$C$32, 18.1472, 18.1436) * CHOOSE( CONTROL!$C$15, $D$11, 100%, $F$11)</f>
        <v>18.147200000000002</v>
      </c>
      <c r="H685" s="4">
        <f>CHOOSE( CONTROL!$C$32, 19.1216, 19.118) * CHOOSE(CONTROL!$C$15, $D$11, 100%, $F$11)</f>
        <v>19.121600000000001</v>
      </c>
      <c r="I685" s="8">
        <f>CHOOSE( CONTROL!$C$32, 17.9558, 17.9523) * CHOOSE(CONTROL!$C$15, $D$11, 100%, $F$11)</f>
        <v>17.9558</v>
      </c>
      <c r="J685" s="4">
        <f>CHOOSE( CONTROL!$C$32, 17.8033, 17.7998) * CHOOSE(CONTROL!$C$15, $D$11, 100%, $F$11)</f>
        <v>17.8033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19.165 * CHOOSE(CONTROL!$C$15, $D$11, 100%, $F$11)</f>
        <v>19.164999999999999</v>
      </c>
      <c r="C686" s="8">
        <f>19.1703 * CHOOSE(CONTROL!$C$15, $D$11, 100%, $F$11)</f>
        <v>19.170300000000001</v>
      </c>
      <c r="D686" s="8">
        <f>19.2139 * CHOOSE( CONTROL!$C$15, $D$11, 100%, $F$11)</f>
        <v>19.213899999999999</v>
      </c>
      <c r="E686" s="12">
        <f>19.1989 * CHOOSE( CONTROL!$C$15, $D$11, 100%, $F$11)</f>
        <v>19.198899999999998</v>
      </c>
      <c r="F686" s="4">
        <f>19.9097 * CHOOSE(CONTROL!$C$15, $D$11, 100%, $F$11)</f>
        <v>19.909700000000001</v>
      </c>
      <c r="G686" s="8">
        <f>18.9483 * CHOOSE( CONTROL!$C$15, $D$11, 100%, $F$11)</f>
        <v>18.9483</v>
      </c>
      <c r="H686" s="4">
        <f>19.9232 * CHOOSE(CONTROL!$C$15, $D$11, 100%, $F$11)</f>
        <v>19.923200000000001</v>
      </c>
      <c r="I686" s="8">
        <f>18.7442 * CHOOSE(CONTROL!$C$15, $D$11, 100%, $F$11)</f>
        <v>18.744199999999999</v>
      </c>
      <c r="J686" s="4">
        <f>18.5905 * CHOOSE(CONTROL!$C$15, $D$11, 100%, $F$11)</f>
        <v>18.590499999999999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20.6685 * CHOOSE(CONTROL!$C$15, $D$11, 100%, $F$11)</f>
        <v>20.668500000000002</v>
      </c>
      <c r="C687" s="8">
        <f>20.6736 * CHOOSE(CONTROL!$C$15, $D$11, 100%, $F$11)</f>
        <v>20.6736</v>
      </c>
      <c r="D687" s="8">
        <f>20.6572 * CHOOSE( CONTROL!$C$15, $D$11, 100%, $F$11)</f>
        <v>20.6572</v>
      </c>
      <c r="E687" s="12">
        <f>20.6627 * CHOOSE( CONTROL!$C$15, $D$11, 100%, $F$11)</f>
        <v>20.662700000000001</v>
      </c>
      <c r="F687" s="4">
        <f>21.3338 * CHOOSE(CONTROL!$C$15, $D$11, 100%, $F$11)</f>
        <v>21.3338</v>
      </c>
      <c r="G687" s="8">
        <f>20.4352 * CHOOSE( CONTROL!$C$15, $D$11, 100%, $F$11)</f>
        <v>20.435199999999998</v>
      </c>
      <c r="H687" s="4">
        <f>21.3306 * CHOOSE(CONTROL!$C$15, $D$11, 100%, $F$11)</f>
        <v>21.3306</v>
      </c>
      <c r="I687" s="8">
        <f>20.2045 * CHOOSE(CONTROL!$C$15, $D$11, 100%, $F$11)</f>
        <v>20.204499999999999</v>
      </c>
      <c r="J687" s="4">
        <f>20.05 * CHOOSE(CONTROL!$C$15, $D$11, 100%, $F$11)</f>
        <v>20.05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20.6309 * CHOOSE(CONTROL!$C$15, $D$11, 100%, $F$11)</f>
        <v>20.6309</v>
      </c>
      <c r="C688" s="8">
        <f>20.636 * CHOOSE(CONTROL!$C$15, $D$11, 100%, $F$11)</f>
        <v>20.635999999999999</v>
      </c>
      <c r="D688" s="8">
        <f>20.6214 * CHOOSE( CONTROL!$C$15, $D$11, 100%, $F$11)</f>
        <v>20.621400000000001</v>
      </c>
      <c r="E688" s="12">
        <f>20.6262 * CHOOSE( CONTROL!$C$15, $D$11, 100%, $F$11)</f>
        <v>20.626200000000001</v>
      </c>
      <c r="F688" s="4">
        <f>21.2962 * CHOOSE(CONTROL!$C$15, $D$11, 100%, $F$11)</f>
        <v>21.296199999999999</v>
      </c>
      <c r="G688" s="8">
        <f>20.3993 * CHOOSE( CONTROL!$C$15, $D$11, 100%, $F$11)</f>
        <v>20.3993</v>
      </c>
      <c r="H688" s="4">
        <f>21.2934 * CHOOSE(CONTROL!$C$15, $D$11, 100%, $F$11)</f>
        <v>21.293399999999998</v>
      </c>
      <c r="I688" s="8">
        <f>20.1734 * CHOOSE(CONTROL!$C$15, $D$11, 100%, $F$11)</f>
        <v>20.173400000000001</v>
      </c>
      <c r="J688" s="4">
        <f>20.0135 * CHOOSE(CONTROL!$C$15, $D$11, 100%, $F$11)</f>
        <v>20.013500000000001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21.2392 * CHOOSE(CONTROL!$C$15, $D$11, 100%, $F$11)</f>
        <v>21.2392</v>
      </c>
      <c r="C689" s="8">
        <f>21.2443 * CHOOSE(CONTROL!$C$15, $D$11, 100%, $F$11)</f>
        <v>21.244299999999999</v>
      </c>
      <c r="D689" s="8">
        <f>21.2154 * CHOOSE( CONTROL!$C$15, $D$11, 100%, $F$11)</f>
        <v>21.215399999999999</v>
      </c>
      <c r="E689" s="12">
        <f>21.2254 * CHOOSE( CONTROL!$C$15, $D$11, 100%, $F$11)</f>
        <v>21.2254</v>
      </c>
      <c r="F689" s="4">
        <f>21.9045 * CHOOSE(CONTROL!$C$15, $D$11, 100%, $F$11)</f>
        <v>21.904499999999999</v>
      </c>
      <c r="G689" s="8">
        <f>20.9902 * CHOOSE( CONTROL!$C$15, $D$11, 100%, $F$11)</f>
        <v>20.990200000000002</v>
      </c>
      <c r="H689" s="4">
        <f>21.8946 * CHOOSE(CONTROL!$C$15, $D$11, 100%, $F$11)</f>
        <v>21.894600000000001</v>
      </c>
      <c r="I689" s="8">
        <f>20.7587 * CHOOSE(CONTROL!$C$15, $D$11, 100%, $F$11)</f>
        <v>20.758700000000001</v>
      </c>
      <c r="J689" s="4">
        <f>20.6039 * CHOOSE(CONTROL!$C$15, $D$11, 100%, $F$11)</f>
        <v>20.603899999999999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19.8667 * CHOOSE(CONTROL!$C$15, $D$11, 100%, $F$11)</f>
        <v>19.866700000000002</v>
      </c>
      <c r="C690" s="8">
        <f>19.8718 * CHOOSE(CONTROL!$C$15, $D$11, 100%, $F$11)</f>
        <v>19.8718</v>
      </c>
      <c r="D690" s="8">
        <f>19.8429 * CHOOSE( CONTROL!$C$15, $D$11, 100%, $F$11)</f>
        <v>19.8429</v>
      </c>
      <c r="E690" s="12">
        <f>19.8529 * CHOOSE( CONTROL!$C$15, $D$11, 100%, $F$11)</f>
        <v>19.852900000000002</v>
      </c>
      <c r="F690" s="4">
        <f>20.532 * CHOOSE(CONTROL!$C$15, $D$11, 100%, $F$11)</f>
        <v>20.532</v>
      </c>
      <c r="G690" s="8">
        <f>19.6337 * CHOOSE( CONTROL!$C$15, $D$11, 100%, $F$11)</f>
        <v>19.633700000000001</v>
      </c>
      <c r="H690" s="4">
        <f>20.5382 * CHOOSE(CONTROL!$C$15, $D$11, 100%, $F$11)</f>
        <v>20.5382</v>
      </c>
      <c r="I690" s="8">
        <f>19.426 * CHOOSE(CONTROL!$C$15, $D$11, 100%, $F$11)</f>
        <v>19.425999999999998</v>
      </c>
      <c r="J690" s="4">
        <f>19.2719 * CHOOSE(CONTROL!$C$15, $D$11, 100%, $F$11)</f>
        <v>19.271899999999999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19.444 * CHOOSE(CONTROL!$C$15, $D$11, 100%, $F$11)</f>
        <v>19.443999999999999</v>
      </c>
      <c r="C691" s="8">
        <f>19.4491 * CHOOSE(CONTROL!$C$15, $D$11, 100%, $F$11)</f>
        <v>19.449100000000001</v>
      </c>
      <c r="D691" s="8">
        <f>19.4198 * CHOOSE( CONTROL!$C$15, $D$11, 100%, $F$11)</f>
        <v>19.419799999999999</v>
      </c>
      <c r="E691" s="12">
        <f>19.43 * CHOOSE( CONTROL!$C$15, $D$11, 100%, $F$11)</f>
        <v>19.43</v>
      </c>
      <c r="F691" s="4">
        <f>20.1093 * CHOOSE(CONTROL!$C$15, $D$11, 100%, $F$11)</f>
        <v>20.109300000000001</v>
      </c>
      <c r="G691" s="8">
        <f>19.2157 * CHOOSE( CONTROL!$C$15, $D$11, 100%, $F$11)</f>
        <v>19.215699999999998</v>
      </c>
      <c r="H691" s="4">
        <f>20.1204 * CHOOSE(CONTROL!$C$15, $D$11, 100%, $F$11)</f>
        <v>20.1204</v>
      </c>
      <c r="I691" s="8">
        <f>19.0143 * CHOOSE(CONTROL!$C$15, $D$11, 100%, $F$11)</f>
        <v>19.014299999999999</v>
      </c>
      <c r="J691" s="4">
        <f>18.8616 * CHOOSE(CONTROL!$C$15, $D$11, 100%, $F$11)</f>
        <v>18.861599999999999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19.7401 * CHOOSE(CONTROL!$C$15, $D$11, 100%, $F$11)</f>
        <v>19.740100000000002</v>
      </c>
      <c r="C692" s="8">
        <f>19.7446 * CHOOSE(CONTROL!$C$15, $D$11, 100%, $F$11)</f>
        <v>19.744599999999998</v>
      </c>
      <c r="D692" s="8">
        <f>19.788 * CHOOSE( CONTROL!$C$15, $D$11, 100%, $F$11)</f>
        <v>19.788</v>
      </c>
      <c r="E692" s="12">
        <f>19.7732 * CHOOSE( CONTROL!$C$15, $D$11, 100%, $F$11)</f>
        <v>19.773199999999999</v>
      </c>
      <c r="F692" s="4">
        <f>20.4845 * CHOOSE(CONTROL!$C$15, $D$11, 100%, $F$11)</f>
        <v>20.484500000000001</v>
      </c>
      <c r="G692" s="8">
        <f>19.5154 * CHOOSE( CONTROL!$C$15, $D$11, 100%, $F$11)</f>
        <v>19.5154</v>
      </c>
      <c r="H692" s="4">
        <f>20.4913 * CHOOSE(CONTROL!$C$15, $D$11, 100%, $F$11)</f>
        <v>20.491299999999999</v>
      </c>
      <c r="I692" s="8">
        <f>19.2993 * CHOOSE(CONTROL!$C$15, $D$11, 100%, $F$11)</f>
        <v>19.299299999999999</v>
      </c>
      <c r="J692" s="4">
        <f>19.1483 * CHOOSE(CONTROL!$C$15, $D$11, 100%, $F$11)</f>
        <v>19.148299999999999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20.2709, 20.2672) * CHOOSE(CONTROL!$C$15, $D$11, 100%, $F$11)</f>
        <v>20.270900000000001</v>
      </c>
      <c r="C693" s="8">
        <f>CHOOSE( CONTROL!$C$32, 20.2788, 20.2752) * CHOOSE(CONTROL!$C$15, $D$11, 100%, $F$11)</f>
        <v>20.2788</v>
      </c>
      <c r="D693" s="8">
        <f>CHOOSE( CONTROL!$C$32, 20.3166, 20.3129) * CHOOSE( CONTROL!$C$15, $D$11, 100%, $F$11)</f>
        <v>20.316600000000001</v>
      </c>
      <c r="E693" s="12">
        <f>CHOOSE( CONTROL!$C$32, 20.3017, 20.298) * CHOOSE( CONTROL!$C$15, $D$11, 100%, $F$11)</f>
        <v>20.3017</v>
      </c>
      <c r="F693" s="4">
        <f>CHOOSE( CONTROL!$C$32, 21.0139, 21.0102) * CHOOSE(CONTROL!$C$15, $D$11, 100%, $F$11)</f>
        <v>21.0139</v>
      </c>
      <c r="G693" s="8">
        <f>CHOOSE( CONTROL!$C$32, 20.0394, 20.0358) * CHOOSE( CONTROL!$C$15, $D$11, 100%, $F$11)</f>
        <v>20.039400000000001</v>
      </c>
      <c r="H693" s="4">
        <f>CHOOSE( CONTROL!$C$32, 21.0144, 21.0108) * CHOOSE(CONTROL!$C$15, $D$11, 100%, $F$11)</f>
        <v>21.014399999999998</v>
      </c>
      <c r="I693" s="8">
        <f>CHOOSE( CONTROL!$C$32, 19.8134, 19.8099) * CHOOSE(CONTROL!$C$15, $D$11, 100%, $F$11)</f>
        <v>19.813400000000001</v>
      </c>
      <c r="J693" s="4">
        <f>CHOOSE( CONTROL!$C$32, 19.6621, 19.6585) * CHOOSE(CONTROL!$C$15, $D$11, 100%, $F$11)</f>
        <v>19.662099999999999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19.9452, 19.9416) * CHOOSE(CONTROL!$C$15, $D$11, 100%, $F$11)</f>
        <v>19.9452</v>
      </c>
      <c r="C694" s="8">
        <f>CHOOSE( CONTROL!$C$32, 19.9532, 19.9495) * CHOOSE(CONTROL!$C$15, $D$11, 100%, $F$11)</f>
        <v>19.953199999999999</v>
      </c>
      <c r="D694" s="8">
        <f>CHOOSE( CONTROL!$C$32, 19.9911, 19.9875) * CHOOSE( CONTROL!$C$15, $D$11, 100%, $F$11)</f>
        <v>19.991099999999999</v>
      </c>
      <c r="E694" s="12">
        <f>CHOOSE( CONTROL!$C$32, 19.9761, 19.9725) * CHOOSE( CONTROL!$C$15, $D$11, 100%, $F$11)</f>
        <v>19.976099999999999</v>
      </c>
      <c r="F694" s="4">
        <f>CHOOSE( CONTROL!$C$32, 20.6882, 20.6846) * CHOOSE(CONTROL!$C$15, $D$11, 100%, $F$11)</f>
        <v>20.688199999999998</v>
      </c>
      <c r="G694" s="8">
        <f>CHOOSE( CONTROL!$C$32, 19.7178, 19.7142) * CHOOSE( CONTROL!$C$15, $D$11, 100%, $F$11)</f>
        <v>19.7178</v>
      </c>
      <c r="H694" s="4">
        <f>CHOOSE( CONTROL!$C$32, 20.6926, 20.689) * CHOOSE(CONTROL!$C$15, $D$11, 100%, $F$11)</f>
        <v>20.692599999999999</v>
      </c>
      <c r="I694" s="8">
        <f>CHOOSE( CONTROL!$C$32, 19.4983, 19.4947) * CHOOSE(CONTROL!$C$15, $D$11, 100%, $F$11)</f>
        <v>19.4983</v>
      </c>
      <c r="J694" s="4">
        <f>CHOOSE( CONTROL!$C$32, 19.346, 19.3425) * CHOOSE(CONTROL!$C$15, $D$11, 100%, $F$11)</f>
        <v>19.346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20.8028, 20.7992) * CHOOSE(CONTROL!$C$15, $D$11, 100%, $F$11)</f>
        <v>20.802800000000001</v>
      </c>
      <c r="C695" s="8">
        <f>CHOOSE( CONTROL!$C$32, 20.8108, 20.8071) * CHOOSE(CONTROL!$C$15, $D$11, 100%, $F$11)</f>
        <v>20.8108</v>
      </c>
      <c r="D695" s="8">
        <f>CHOOSE( CONTROL!$C$32, 20.849, 20.8453) * CHOOSE( CONTROL!$C$15, $D$11, 100%, $F$11)</f>
        <v>20.849</v>
      </c>
      <c r="E695" s="12">
        <f>CHOOSE( CONTROL!$C$32, 20.8339, 20.8303) * CHOOSE( CONTROL!$C$15, $D$11, 100%, $F$11)</f>
        <v>20.8339</v>
      </c>
      <c r="F695" s="4">
        <f>CHOOSE( CONTROL!$C$32, 21.5458, 21.5422) * CHOOSE(CONTROL!$C$15, $D$11, 100%, $F$11)</f>
        <v>21.5458</v>
      </c>
      <c r="G695" s="8">
        <f>CHOOSE( CONTROL!$C$32, 20.5658, 20.5622) * CHOOSE( CONTROL!$C$15, $D$11, 100%, $F$11)</f>
        <v>20.565799999999999</v>
      </c>
      <c r="H695" s="4">
        <f>CHOOSE( CONTROL!$C$32, 21.5401, 21.5365) * CHOOSE(CONTROL!$C$15, $D$11, 100%, $F$11)</f>
        <v>21.540099999999999</v>
      </c>
      <c r="I695" s="8">
        <f>CHOOSE( CONTROL!$C$32, 20.3321, 20.3286) * CHOOSE(CONTROL!$C$15, $D$11, 100%, $F$11)</f>
        <v>20.332100000000001</v>
      </c>
      <c r="J695" s="4">
        <f>CHOOSE( CONTROL!$C$32, 20.1783, 20.1748) * CHOOSE(CONTROL!$C$15, $D$11, 100%, $F$11)</f>
        <v>20.1783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19.1981, 19.1945) * CHOOSE(CONTROL!$C$15, $D$11, 100%, $F$11)</f>
        <v>19.1981</v>
      </c>
      <c r="C696" s="8">
        <f>CHOOSE( CONTROL!$C$32, 19.2061, 19.2025) * CHOOSE(CONTROL!$C$15, $D$11, 100%, $F$11)</f>
        <v>19.206099999999999</v>
      </c>
      <c r="D696" s="8">
        <f>CHOOSE( CONTROL!$C$32, 19.2444, 19.2407) * CHOOSE( CONTROL!$C$15, $D$11, 100%, $F$11)</f>
        <v>19.244399999999999</v>
      </c>
      <c r="E696" s="12">
        <f>CHOOSE( CONTROL!$C$32, 19.2293, 19.2256) * CHOOSE( CONTROL!$C$15, $D$11, 100%, $F$11)</f>
        <v>19.229299999999999</v>
      </c>
      <c r="F696" s="4">
        <f>CHOOSE( CONTROL!$C$32, 19.9411, 19.9375) * CHOOSE(CONTROL!$C$15, $D$11, 100%, $F$11)</f>
        <v>19.941099999999999</v>
      </c>
      <c r="G696" s="8">
        <f>CHOOSE( CONTROL!$C$32, 18.98, 18.9764) * CHOOSE( CONTROL!$C$15, $D$11, 100%, $F$11)</f>
        <v>18.98</v>
      </c>
      <c r="H696" s="4">
        <f>CHOOSE( CONTROL!$C$32, 19.9542, 19.9506) * CHOOSE(CONTROL!$C$15, $D$11, 100%, $F$11)</f>
        <v>19.9542</v>
      </c>
      <c r="I696" s="8">
        <f>CHOOSE( CONTROL!$C$32, 18.7743, 18.7707) * CHOOSE(CONTROL!$C$15, $D$11, 100%, $F$11)</f>
        <v>18.7743</v>
      </c>
      <c r="J696" s="4">
        <f>CHOOSE( CONTROL!$C$32, 18.621, 18.6174) * CHOOSE(CONTROL!$C$15, $D$11, 100%, $F$11)</f>
        <v>18.620999999999999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18.7963, 18.7927) * CHOOSE(CONTROL!$C$15, $D$11, 100%, $F$11)</f>
        <v>18.796299999999999</v>
      </c>
      <c r="C697" s="8">
        <f>CHOOSE( CONTROL!$C$32, 18.8043, 18.8006) * CHOOSE(CONTROL!$C$15, $D$11, 100%, $F$11)</f>
        <v>18.804300000000001</v>
      </c>
      <c r="D697" s="8">
        <f>CHOOSE( CONTROL!$C$32, 18.8424, 18.8388) * CHOOSE( CONTROL!$C$15, $D$11, 100%, $F$11)</f>
        <v>18.842400000000001</v>
      </c>
      <c r="E697" s="12">
        <f>CHOOSE( CONTROL!$C$32, 18.8274, 18.8238) * CHOOSE( CONTROL!$C$15, $D$11, 100%, $F$11)</f>
        <v>18.827400000000001</v>
      </c>
      <c r="F697" s="4">
        <f>CHOOSE( CONTROL!$C$32, 19.5393, 19.5357) * CHOOSE(CONTROL!$C$15, $D$11, 100%, $F$11)</f>
        <v>19.539300000000001</v>
      </c>
      <c r="G697" s="8">
        <f>CHOOSE( CONTROL!$C$32, 18.5827, 18.5791) * CHOOSE( CONTROL!$C$15, $D$11, 100%, $F$11)</f>
        <v>18.582699999999999</v>
      </c>
      <c r="H697" s="4">
        <f>CHOOSE( CONTROL!$C$32, 19.5571, 19.5535) * CHOOSE(CONTROL!$C$15, $D$11, 100%, $F$11)</f>
        <v>19.557099999999998</v>
      </c>
      <c r="I697" s="8">
        <f>CHOOSE( CONTROL!$C$32, 18.3837, 18.3802) * CHOOSE(CONTROL!$C$15, $D$11, 100%, $F$11)</f>
        <v>18.383700000000001</v>
      </c>
      <c r="J697" s="4">
        <f>CHOOSE( CONTROL!$C$32, 18.231, 18.2274) * CHOOSE(CONTROL!$C$15, $D$11, 100%, $F$11)</f>
        <v>18.231000000000002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19.6253 * CHOOSE(CONTROL!$C$15, $D$11, 100%, $F$11)</f>
        <v>19.625299999999999</v>
      </c>
      <c r="C698" s="8">
        <f>19.6306 * CHOOSE(CONTROL!$C$15, $D$11, 100%, $F$11)</f>
        <v>19.630600000000001</v>
      </c>
      <c r="D698" s="8">
        <f>19.6741 * CHOOSE( CONTROL!$C$15, $D$11, 100%, $F$11)</f>
        <v>19.674099999999999</v>
      </c>
      <c r="E698" s="12">
        <f>19.6592 * CHOOSE( CONTROL!$C$15, $D$11, 100%, $F$11)</f>
        <v>19.659199999999998</v>
      </c>
      <c r="F698" s="4">
        <f>20.37 * CHOOSE(CONTROL!$C$15, $D$11, 100%, $F$11)</f>
        <v>20.37</v>
      </c>
      <c r="G698" s="8">
        <f>19.4032 * CHOOSE( CONTROL!$C$15, $D$11, 100%, $F$11)</f>
        <v>19.403199999999998</v>
      </c>
      <c r="H698" s="4">
        <f>20.3781 * CHOOSE(CONTROL!$C$15, $D$11, 100%, $F$11)</f>
        <v>20.3781</v>
      </c>
      <c r="I698" s="8">
        <f>19.1911 * CHOOSE(CONTROL!$C$15, $D$11, 100%, $F$11)</f>
        <v>19.191099999999999</v>
      </c>
      <c r="J698" s="4">
        <f>19.0372 * CHOOSE(CONTROL!$C$15, $D$11, 100%, $F$11)</f>
        <v>19.037199999999999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21.1649 * CHOOSE(CONTROL!$C$15, $D$11, 100%, $F$11)</f>
        <v>21.164899999999999</v>
      </c>
      <c r="C699" s="8">
        <f>21.17 * CHOOSE(CONTROL!$C$15, $D$11, 100%, $F$11)</f>
        <v>21.17</v>
      </c>
      <c r="D699" s="8">
        <f>21.1536 * CHOOSE( CONTROL!$C$15, $D$11, 100%, $F$11)</f>
        <v>21.153600000000001</v>
      </c>
      <c r="E699" s="12">
        <f>21.1591 * CHOOSE( CONTROL!$C$15, $D$11, 100%, $F$11)</f>
        <v>21.159099999999999</v>
      </c>
      <c r="F699" s="4">
        <f>21.8302 * CHOOSE(CONTROL!$C$15, $D$11, 100%, $F$11)</f>
        <v>21.830200000000001</v>
      </c>
      <c r="G699" s="8">
        <f>20.9258 * CHOOSE( CONTROL!$C$15, $D$11, 100%, $F$11)</f>
        <v>20.925799999999999</v>
      </c>
      <c r="H699" s="4">
        <f>21.8212 * CHOOSE(CONTROL!$C$15, $D$11, 100%, $F$11)</f>
        <v>21.821200000000001</v>
      </c>
      <c r="I699" s="8">
        <f>20.6865 * CHOOSE(CONTROL!$C$15, $D$11, 100%, $F$11)</f>
        <v>20.686499999999999</v>
      </c>
      <c r="J699" s="4">
        <f>20.5318 * CHOOSE(CONTROL!$C$15, $D$11, 100%, $F$11)</f>
        <v>20.5318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21.1264 * CHOOSE(CONTROL!$C$15, $D$11, 100%, $F$11)</f>
        <v>21.1264</v>
      </c>
      <c r="C700" s="8">
        <f>21.1315 * CHOOSE(CONTROL!$C$15, $D$11, 100%, $F$11)</f>
        <v>21.131499999999999</v>
      </c>
      <c r="D700" s="8">
        <f>21.1169 * CHOOSE( CONTROL!$C$15, $D$11, 100%, $F$11)</f>
        <v>21.116900000000001</v>
      </c>
      <c r="E700" s="12">
        <f>21.1217 * CHOOSE( CONTROL!$C$15, $D$11, 100%, $F$11)</f>
        <v>21.121700000000001</v>
      </c>
      <c r="F700" s="4">
        <f>21.7917 * CHOOSE(CONTROL!$C$15, $D$11, 100%, $F$11)</f>
        <v>21.791699999999999</v>
      </c>
      <c r="G700" s="8">
        <f>20.889 * CHOOSE( CONTROL!$C$15, $D$11, 100%, $F$11)</f>
        <v>20.888999999999999</v>
      </c>
      <c r="H700" s="4">
        <f>21.7831 * CHOOSE(CONTROL!$C$15, $D$11, 100%, $F$11)</f>
        <v>21.783100000000001</v>
      </c>
      <c r="I700" s="8">
        <f>20.6546 * CHOOSE(CONTROL!$C$15, $D$11, 100%, $F$11)</f>
        <v>20.654599999999999</v>
      </c>
      <c r="J700" s="4">
        <f>20.4944 * CHOOSE(CONTROL!$C$15, $D$11, 100%, $F$11)</f>
        <v>20.494399999999999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21.7493 * CHOOSE(CONTROL!$C$15, $D$11, 100%, $F$11)</f>
        <v>21.749300000000002</v>
      </c>
      <c r="C701" s="8">
        <f>21.7544 * CHOOSE(CONTROL!$C$15, $D$11, 100%, $F$11)</f>
        <v>21.7544</v>
      </c>
      <c r="D701" s="8">
        <f>21.7255 * CHOOSE( CONTROL!$C$15, $D$11, 100%, $F$11)</f>
        <v>21.7255</v>
      </c>
      <c r="E701" s="12">
        <f>21.7355 * CHOOSE( CONTROL!$C$15, $D$11, 100%, $F$11)</f>
        <v>21.735499999999998</v>
      </c>
      <c r="F701" s="4">
        <f>22.4146 * CHOOSE(CONTROL!$C$15, $D$11, 100%, $F$11)</f>
        <v>22.4146</v>
      </c>
      <c r="G701" s="8">
        <f>21.4943 * CHOOSE( CONTROL!$C$15, $D$11, 100%, $F$11)</f>
        <v>21.494299999999999</v>
      </c>
      <c r="H701" s="4">
        <f>22.3987 * CHOOSE(CONTROL!$C$15, $D$11, 100%, $F$11)</f>
        <v>22.398700000000002</v>
      </c>
      <c r="I701" s="8">
        <f>21.254 * CHOOSE(CONTROL!$C$15, $D$11, 100%, $F$11)</f>
        <v>21.254000000000001</v>
      </c>
      <c r="J701" s="4">
        <f>21.0989 * CHOOSE(CONTROL!$C$15, $D$11, 100%, $F$11)</f>
        <v>21.0989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20.3438 * CHOOSE(CONTROL!$C$15, $D$11, 100%, $F$11)</f>
        <v>20.343800000000002</v>
      </c>
      <c r="C702" s="8">
        <f>20.3489 * CHOOSE(CONTROL!$C$15, $D$11, 100%, $F$11)</f>
        <v>20.3489</v>
      </c>
      <c r="D702" s="8">
        <f>20.32 * CHOOSE( CONTROL!$C$15, $D$11, 100%, $F$11)</f>
        <v>20.32</v>
      </c>
      <c r="E702" s="12">
        <f>20.33 * CHOOSE( CONTROL!$C$15, $D$11, 100%, $F$11)</f>
        <v>20.329999999999998</v>
      </c>
      <c r="F702" s="4">
        <f>21.0091 * CHOOSE(CONTROL!$C$15, $D$11, 100%, $F$11)</f>
        <v>21.0091</v>
      </c>
      <c r="G702" s="8">
        <f>20.1053 * CHOOSE( CONTROL!$C$15, $D$11, 100%, $F$11)</f>
        <v>20.1053</v>
      </c>
      <c r="H702" s="4">
        <f>21.0097 * CHOOSE(CONTROL!$C$15, $D$11, 100%, $F$11)</f>
        <v>21.009699999999999</v>
      </c>
      <c r="I702" s="8">
        <f>19.8893 * CHOOSE(CONTROL!$C$15, $D$11, 100%, $F$11)</f>
        <v>19.889299999999999</v>
      </c>
      <c r="J702" s="4">
        <f>19.7349 * CHOOSE(CONTROL!$C$15, $D$11, 100%, $F$11)</f>
        <v>19.7349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19.9109 * CHOOSE(CONTROL!$C$15, $D$11, 100%, $F$11)</f>
        <v>19.910900000000002</v>
      </c>
      <c r="C703" s="8">
        <f>19.916 * CHOOSE(CONTROL!$C$15, $D$11, 100%, $F$11)</f>
        <v>19.916</v>
      </c>
      <c r="D703" s="8">
        <f>19.8867 * CHOOSE( CONTROL!$C$15, $D$11, 100%, $F$11)</f>
        <v>19.886700000000001</v>
      </c>
      <c r="E703" s="12">
        <f>19.8969 * CHOOSE( CONTROL!$C$15, $D$11, 100%, $F$11)</f>
        <v>19.896899999999999</v>
      </c>
      <c r="F703" s="4">
        <f>20.5762 * CHOOSE(CONTROL!$C$15, $D$11, 100%, $F$11)</f>
        <v>20.5762</v>
      </c>
      <c r="G703" s="8">
        <f>19.6772 * CHOOSE( CONTROL!$C$15, $D$11, 100%, $F$11)</f>
        <v>19.677199999999999</v>
      </c>
      <c r="H703" s="4">
        <f>20.5819 * CHOOSE(CONTROL!$C$15, $D$11, 100%, $F$11)</f>
        <v>20.581900000000001</v>
      </c>
      <c r="I703" s="8">
        <f>19.4677 * CHOOSE(CONTROL!$C$15, $D$11, 100%, $F$11)</f>
        <v>19.467700000000001</v>
      </c>
      <c r="J703" s="4">
        <f>19.3148 * CHOOSE(CONTROL!$C$15, $D$11, 100%, $F$11)</f>
        <v>19.314800000000002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20.2142 * CHOOSE(CONTROL!$C$15, $D$11, 100%, $F$11)</f>
        <v>20.214200000000002</v>
      </c>
      <c r="C704" s="8">
        <f>20.2187 * CHOOSE(CONTROL!$C$15, $D$11, 100%, $F$11)</f>
        <v>20.218699999999998</v>
      </c>
      <c r="D704" s="8">
        <f>20.2621 * CHOOSE( CONTROL!$C$15, $D$11, 100%, $F$11)</f>
        <v>20.2621</v>
      </c>
      <c r="E704" s="12">
        <f>20.2473 * CHOOSE( CONTROL!$C$15, $D$11, 100%, $F$11)</f>
        <v>20.247299999999999</v>
      </c>
      <c r="F704" s="4">
        <f>20.9586 * CHOOSE(CONTROL!$C$15, $D$11, 100%, $F$11)</f>
        <v>20.958600000000001</v>
      </c>
      <c r="G704" s="8">
        <f>19.9839 * CHOOSE( CONTROL!$C$15, $D$11, 100%, $F$11)</f>
        <v>19.983899999999998</v>
      </c>
      <c r="H704" s="4">
        <f>20.9598 * CHOOSE(CONTROL!$C$15, $D$11, 100%, $F$11)</f>
        <v>20.959800000000001</v>
      </c>
      <c r="I704" s="8">
        <f>19.7596 * CHOOSE(CONTROL!$C$15, $D$11, 100%, $F$11)</f>
        <v>19.759599999999999</v>
      </c>
      <c r="J704" s="4">
        <f>19.6084 * CHOOSE(CONTROL!$C$15, $D$11, 100%, $F$11)</f>
        <v>19.6084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20.7576, 20.7539) * CHOOSE(CONTROL!$C$15, $D$11, 100%, $F$11)</f>
        <v>20.7576</v>
      </c>
      <c r="C705" s="8">
        <f>CHOOSE( CONTROL!$C$32, 20.7655, 20.7619) * CHOOSE(CONTROL!$C$15, $D$11, 100%, $F$11)</f>
        <v>20.765499999999999</v>
      </c>
      <c r="D705" s="8">
        <f>CHOOSE( CONTROL!$C$32, 20.8033, 20.7996) * CHOOSE( CONTROL!$C$15, $D$11, 100%, $F$11)</f>
        <v>20.8033</v>
      </c>
      <c r="E705" s="12">
        <f>CHOOSE( CONTROL!$C$32, 20.7884, 20.7847) * CHOOSE( CONTROL!$C$15, $D$11, 100%, $F$11)</f>
        <v>20.788399999999999</v>
      </c>
      <c r="F705" s="4">
        <f>CHOOSE( CONTROL!$C$32, 21.5006, 21.4969) * CHOOSE(CONTROL!$C$15, $D$11, 100%, $F$11)</f>
        <v>21.500599999999999</v>
      </c>
      <c r="G705" s="8">
        <f>CHOOSE( CONTROL!$C$32, 20.5204, 20.5168) * CHOOSE( CONTROL!$C$15, $D$11, 100%, $F$11)</f>
        <v>20.520399999999999</v>
      </c>
      <c r="H705" s="4">
        <f>CHOOSE( CONTROL!$C$32, 21.4954, 21.4918) * CHOOSE(CONTROL!$C$15, $D$11, 100%, $F$11)</f>
        <v>21.4954</v>
      </c>
      <c r="I705" s="8">
        <f>CHOOSE( CONTROL!$C$32, 20.286, 20.2825) * CHOOSE(CONTROL!$C$15, $D$11, 100%, $F$11)</f>
        <v>20.286000000000001</v>
      </c>
      <c r="J705" s="4">
        <f>CHOOSE( CONTROL!$C$32, 20.1344, 20.1309) * CHOOSE(CONTROL!$C$15, $D$11, 100%, $F$11)</f>
        <v>20.134399999999999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20.4241, 20.4204) * CHOOSE(CONTROL!$C$15, $D$11, 100%, $F$11)</f>
        <v>20.424099999999999</v>
      </c>
      <c r="C706" s="8">
        <f>CHOOSE( CONTROL!$C$32, 20.432, 20.4284) * CHOOSE(CONTROL!$C$15, $D$11, 100%, $F$11)</f>
        <v>20.431999999999999</v>
      </c>
      <c r="D706" s="8">
        <f>CHOOSE( CONTROL!$C$32, 20.47, 20.4664) * CHOOSE( CONTROL!$C$15, $D$11, 100%, $F$11)</f>
        <v>20.47</v>
      </c>
      <c r="E706" s="12">
        <f>CHOOSE( CONTROL!$C$32, 20.455, 20.4514) * CHOOSE( CONTROL!$C$15, $D$11, 100%, $F$11)</f>
        <v>20.454999999999998</v>
      </c>
      <c r="F706" s="4">
        <f>CHOOSE( CONTROL!$C$32, 21.1671, 21.1634) * CHOOSE(CONTROL!$C$15, $D$11, 100%, $F$11)</f>
        <v>21.167100000000001</v>
      </c>
      <c r="G706" s="8">
        <f>CHOOSE( CONTROL!$C$32, 20.1911, 20.1875) * CHOOSE( CONTROL!$C$15, $D$11, 100%, $F$11)</f>
        <v>20.191099999999999</v>
      </c>
      <c r="H706" s="4">
        <f>CHOOSE( CONTROL!$C$32, 21.1658, 21.1622) * CHOOSE(CONTROL!$C$15, $D$11, 100%, $F$11)</f>
        <v>21.165800000000001</v>
      </c>
      <c r="I706" s="8">
        <f>CHOOSE( CONTROL!$C$32, 19.9632, 19.9597) * CHOOSE(CONTROL!$C$15, $D$11, 100%, $F$11)</f>
        <v>19.963200000000001</v>
      </c>
      <c r="J706" s="4">
        <f>CHOOSE( CONTROL!$C$32, 19.8107, 19.8072) * CHOOSE(CONTROL!$C$15, $D$11, 100%, $F$11)</f>
        <v>19.810700000000001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21.3023, 21.2986) * CHOOSE(CONTROL!$C$15, $D$11, 100%, $F$11)</f>
        <v>21.302299999999999</v>
      </c>
      <c r="C707" s="8">
        <f>CHOOSE( CONTROL!$C$32, 21.3103, 21.3066) * CHOOSE(CONTROL!$C$15, $D$11, 100%, $F$11)</f>
        <v>21.310300000000002</v>
      </c>
      <c r="D707" s="8">
        <f>CHOOSE( CONTROL!$C$32, 21.3485, 21.3448) * CHOOSE( CONTROL!$C$15, $D$11, 100%, $F$11)</f>
        <v>21.348500000000001</v>
      </c>
      <c r="E707" s="12">
        <f>CHOOSE( CONTROL!$C$32, 21.3334, 21.3297) * CHOOSE( CONTROL!$C$15, $D$11, 100%, $F$11)</f>
        <v>21.333400000000001</v>
      </c>
      <c r="F707" s="4">
        <f>CHOOSE( CONTROL!$C$32, 22.0453, 22.0417) * CHOOSE(CONTROL!$C$15, $D$11, 100%, $F$11)</f>
        <v>22.045300000000001</v>
      </c>
      <c r="G707" s="8">
        <f>CHOOSE( CONTROL!$C$32, 21.0594, 21.0558) * CHOOSE( CONTROL!$C$15, $D$11, 100%, $F$11)</f>
        <v>21.0594</v>
      </c>
      <c r="H707" s="4">
        <f>CHOOSE( CONTROL!$C$32, 22.0338, 22.0302) * CHOOSE(CONTROL!$C$15, $D$11, 100%, $F$11)</f>
        <v>22.033799999999999</v>
      </c>
      <c r="I707" s="8">
        <f>CHOOSE( CONTROL!$C$32, 20.8171, 20.8136) * CHOOSE(CONTROL!$C$15, $D$11, 100%, $F$11)</f>
        <v>20.8171</v>
      </c>
      <c r="J707" s="4">
        <f>CHOOSE( CONTROL!$C$32, 20.6631, 20.6595) * CHOOSE(CONTROL!$C$15, $D$11, 100%, $F$11)</f>
        <v>20.6631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19.6591, 19.6554) * CHOOSE(CONTROL!$C$15, $D$11, 100%, $F$11)</f>
        <v>19.659099999999999</v>
      </c>
      <c r="C708" s="8">
        <f>CHOOSE( CONTROL!$C$32, 19.667, 19.6634) * CHOOSE(CONTROL!$C$15, $D$11, 100%, $F$11)</f>
        <v>19.667000000000002</v>
      </c>
      <c r="D708" s="8">
        <f>CHOOSE( CONTROL!$C$32, 19.7053, 19.7016) * CHOOSE( CONTROL!$C$15, $D$11, 100%, $F$11)</f>
        <v>19.705300000000001</v>
      </c>
      <c r="E708" s="12">
        <f>CHOOSE( CONTROL!$C$32, 19.6902, 19.6865) * CHOOSE( CONTROL!$C$15, $D$11, 100%, $F$11)</f>
        <v>19.690200000000001</v>
      </c>
      <c r="F708" s="4">
        <f>CHOOSE( CONTROL!$C$32, 20.4021, 20.3984) * CHOOSE(CONTROL!$C$15, $D$11, 100%, $F$11)</f>
        <v>20.402100000000001</v>
      </c>
      <c r="G708" s="8">
        <f>CHOOSE( CONTROL!$C$32, 19.4355, 19.4319) * CHOOSE( CONTROL!$C$15, $D$11, 100%, $F$11)</f>
        <v>19.435500000000001</v>
      </c>
      <c r="H708" s="4">
        <f>CHOOSE( CONTROL!$C$32, 20.4098, 20.4062) * CHOOSE(CONTROL!$C$15, $D$11, 100%, $F$11)</f>
        <v>20.409800000000001</v>
      </c>
      <c r="I708" s="8">
        <f>CHOOSE( CONTROL!$C$32, 19.2218, 19.2183) * CHOOSE(CONTROL!$C$15, $D$11, 100%, $F$11)</f>
        <v>19.221800000000002</v>
      </c>
      <c r="J708" s="4">
        <f>CHOOSE( CONTROL!$C$32, 19.0683, 19.0648) * CHOOSE(CONTROL!$C$15, $D$11, 100%, $F$11)</f>
        <v>19.068300000000001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19.2476, 19.2439) * CHOOSE(CONTROL!$C$15, $D$11, 100%, $F$11)</f>
        <v>19.247599999999998</v>
      </c>
      <c r="C709" s="8">
        <f>CHOOSE( CONTROL!$C$32, 19.2555, 19.2519) * CHOOSE(CONTROL!$C$15, $D$11, 100%, $F$11)</f>
        <v>19.255500000000001</v>
      </c>
      <c r="D709" s="8">
        <f>CHOOSE( CONTROL!$C$32, 19.2937, 19.2901) * CHOOSE( CONTROL!$C$15, $D$11, 100%, $F$11)</f>
        <v>19.293700000000001</v>
      </c>
      <c r="E709" s="12">
        <f>CHOOSE( CONTROL!$C$32, 19.2787, 19.275) * CHOOSE( CONTROL!$C$15, $D$11, 100%, $F$11)</f>
        <v>19.278700000000001</v>
      </c>
      <c r="F709" s="4">
        <f>CHOOSE( CONTROL!$C$32, 19.9906, 19.9869) * CHOOSE(CONTROL!$C$15, $D$11, 100%, $F$11)</f>
        <v>19.990600000000001</v>
      </c>
      <c r="G709" s="8">
        <f>CHOOSE( CONTROL!$C$32, 19.0287, 19.0251) * CHOOSE( CONTROL!$C$15, $D$11, 100%, $F$11)</f>
        <v>19.028700000000001</v>
      </c>
      <c r="H709" s="4">
        <f>CHOOSE( CONTROL!$C$32, 20.0031, 19.9995) * CHOOSE(CONTROL!$C$15, $D$11, 100%, $F$11)</f>
        <v>20.0031</v>
      </c>
      <c r="I709" s="8">
        <f>CHOOSE( CONTROL!$C$32, 18.8219, 18.8184) * CHOOSE(CONTROL!$C$15, $D$11, 100%, $F$11)</f>
        <v>18.821899999999999</v>
      </c>
      <c r="J709" s="4">
        <f>CHOOSE( CONTROL!$C$32, 18.6689, 18.6654) * CHOOSE(CONTROL!$C$15, $D$11, 100%, $F$11)</f>
        <v>18.668900000000001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20.0966 * CHOOSE(CONTROL!$C$15, $D$11, 100%, $F$11)</f>
        <v>20.096599999999999</v>
      </c>
      <c r="C710" s="8">
        <f>20.1019 * CHOOSE(CONTROL!$C$15, $D$11, 100%, $F$11)</f>
        <v>20.101900000000001</v>
      </c>
      <c r="D710" s="8">
        <f>20.1454 * CHOOSE( CONTROL!$C$15, $D$11, 100%, $F$11)</f>
        <v>20.145399999999999</v>
      </c>
      <c r="E710" s="12">
        <f>20.1305 * CHOOSE( CONTROL!$C$15, $D$11, 100%, $F$11)</f>
        <v>20.130500000000001</v>
      </c>
      <c r="F710" s="4">
        <f>20.8413 * CHOOSE(CONTROL!$C$15, $D$11, 100%, $F$11)</f>
        <v>20.8413</v>
      </c>
      <c r="G710" s="8">
        <f>19.869 * CHOOSE( CONTROL!$C$15, $D$11, 100%, $F$11)</f>
        <v>19.869</v>
      </c>
      <c r="H710" s="4">
        <f>20.8439 * CHOOSE(CONTROL!$C$15, $D$11, 100%, $F$11)</f>
        <v>20.843900000000001</v>
      </c>
      <c r="I710" s="8">
        <f>19.6487 * CHOOSE(CONTROL!$C$15, $D$11, 100%, $F$11)</f>
        <v>19.648700000000002</v>
      </c>
      <c r="J710" s="4">
        <f>19.4946 * CHOOSE(CONTROL!$C$15, $D$11, 100%, $F$11)</f>
        <v>19.494599999999998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21.6732 * CHOOSE(CONTROL!$C$15, $D$11, 100%, $F$11)</f>
        <v>21.673200000000001</v>
      </c>
      <c r="C711" s="8">
        <f>21.6783 * CHOOSE(CONTROL!$C$15, $D$11, 100%, $F$11)</f>
        <v>21.6783</v>
      </c>
      <c r="D711" s="8">
        <f>21.6619 * CHOOSE( CONTROL!$C$15, $D$11, 100%, $F$11)</f>
        <v>21.661899999999999</v>
      </c>
      <c r="E711" s="12">
        <f>21.6674 * CHOOSE( CONTROL!$C$15, $D$11, 100%, $F$11)</f>
        <v>21.667400000000001</v>
      </c>
      <c r="F711" s="4">
        <f>22.3385 * CHOOSE(CONTROL!$C$15, $D$11, 100%, $F$11)</f>
        <v>22.3385</v>
      </c>
      <c r="G711" s="8">
        <f>21.4281 * CHOOSE( CONTROL!$C$15, $D$11, 100%, $F$11)</f>
        <v>21.428100000000001</v>
      </c>
      <c r="H711" s="4">
        <f>22.3235 * CHOOSE(CONTROL!$C$15, $D$11, 100%, $F$11)</f>
        <v>22.323499999999999</v>
      </c>
      <c r="I711" s="8">
        <f>21.1801 * CHOOSE(CONTROL!$C$15, $D$11, 100%, $F$11)</f>
        <v>21.180099999999999</v>
      </c>
      <c r="J711" s="4">
        <f>21.0251 * CHOOSE(CONTROL!$C$15, $D$11, 100%, $F$11)</f>
        <v>21.025099999999998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21.6338 * CHOOSE(CONTROL!$C$15, $D$11, 100%, $F$11)</f>
        <v>21.633800000000001</v>
      </c>
      <c r="C712" s="8">
        <f>21.6389 * CHOOSE(CONTROL!$C$15, $D$11, 100%, $F$11)</f>
        <v>21.6389</v>
      </c>
      <c r="D712" s="8">
        <f>21.6242 * CHOOSE( CONTROL!$C$15, $D$11, 100%, $F$11)</f>
        <v>21.624199999999998</v>
      </c>
      <c r="E712" s="12">
        <f>21.629 * CHOOSE( CONTROL!$C$15, $D$11, 100%, $F$11)</f>
        <v>21.629000000000001</v>
      </c>
      <c r="F712" s="4">
        <f>22.2991 * CHOOSE(CONTROL!$C$15, $D$11, 100%, $F$11)</f>
        <v>22.299099999999999</v>
      </c>
      <c r="G712" s="8">
        <f>21.3904 * CHOOSE( CONTROL!$C$15, $D$11, 100%, $F$11)</f>
        <v>21.3904</v>
      </c>
      <c r="H712" s="4">
        <f>22.2846 * CHOOSE(CONTROL!$C$15, $D$11, 100%, $F$11)</f>
        <v>22.284600000000001</v>
      </c>
      <c r="I712" s="8">
        <f>21.1472 * CHOOSE(CONTROL!$C$15, $D$11, 100%, $F$11)</f>
        <v>21.147200000000002</v>
      </c>
      <c r="J712" s="4">
        <f>20.9869 * CHOOSE(CONTROL!$C$15, $D$11, 100%, $F$11)</f>
        <v>20.986899999999999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22.2717 * CHOOSE(CONTROL!$C$15, $D$11, 100%, $F$11)</f>
        <v>22.271699999999999</v>
      </c>
      <c r="C713" s="8">
        <f>22.2767 * CHOOSE(CONTROL!$C$15, $D$11, 100%, $F$11)</f>
        <v>22.276700000000002</v>
      </c>
      <c r="D713" s="8">
        <f>22.2479 * CHOOSE( CONTROL!$C$15, $D$11, 100%, $F$11)</f>
        <v>22.247900000000001</v>
      </c>
      <c r="E713" s="12">
        <f>22.2579 * CHOOSE( CONTROL!$C$15, $D$11, 100%, $F$11)</f>
        <v>22.257899999999999</v>
      </c>
      <c r="F713" s="4">
        <f>22.9369 * CHOOSE(CONTROL!$C$15, $D$11, 100%, $F$11)</f>
        <v>22.936900000000001</v>
      </c>
      <c r="G713" s="8">
        <f>22.0106 * CHOOSE( CONTROL!$C$15, $D$11, 100%, $F$11)</f>
        <v>22.0106</v>
      </c>
      <c r="H713" s="4">
        <f>22.915 * CHOOSE(CONTROL!$C$15, $D$11, 100%, $F$11)</f>
        <v>22.914999999999999</v>
      </c>
      <c r="I713" s="8">
        <f>21.7612 * CHOOSE(CONTROL!$C$15, $D$11, 100%, $F$11)</f>
        <v>21.761199999999999</v>
      </c>
      <c r="J713" s="4">
        <f>21.6059 * CHOOSE(CONTROL!$C$15, $D$11, 100%, $F$11)</f>
        <v>21.605899999999998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20.8324 * CHOOSE(CONTROL!$C$15, $D$11, 100%, $F$11)</f>
        <v>20.8324</v>
      </c>
      <c r="C714" s="8">
        <f>20.8375 * CHOOSE(CONTROL!$C$15, $D$11, 100%, $F$11)</f>
        <v>20.837499999999999</v>
      </c>
      <c r="D714" s="8">
        <f>20.8086 * CHOOSE( CONTROL!$C$15, $D$11, 100%, $F$11)</f>
        <v>20.808599999999998</v>
      </c>
      <c r="E714" s="12">
        <f>20.8186 * CHOOSE( CONTROL!$C$15, $D$11, 100%, $F$11)</f>
        <v>20.8186</v>
      </c>
      <c r="F714" s="4">
        <f>21.4977 * CHOOSE(CONTROL!$C$15, $D$11, 100%, $F$11)</f>
        <v>21.497699999999998</v>
      </c>
      <c r="G714" s="8">
        <f>20.5882 * CHOOSE( CONTROL!$C$15, $D$11, 100%, $F$11)</f>
        <v>20.588200000000001</v>
      </c>
      <c r="H714" s="4">
        <f>21.4926 * CHOOSE(CONTROL!$C$15, $D$11, 100%, $F$11)</f>
        <v>21.492599999999999</v>
      </c>
      <c r="I714" s="8">
        <f>20.3637 * CHOOSE(CONTROL!$C$15, $D$11, 100%, $F$11)</f>
        <v>20.363700000000001</v>
      </c>
      <c r="J714" s="4">
        <f>20.2091 * CHOOSE(CONTROL!$C$15, $D$11, 100%, $F$11)</f>
        <v>20.209099999999999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20.3891 * CHOOSE(CONTROL!$C$15, $D$11, 100%, $F$11)</f>
        <v>20.389099999999999</v>
      </c>
      <c r="C715" s="8">
        <f>20.3942 * CHOOSE(CONTROL!$C$15, $D$11, 100%, $F$11)</f>
        <v>20.394200000000001</v>
      </c>
      <c r="D715" s="8">
        <f>20.3649 * CHOOSE( CONTROL!$C$15, $D$11, 100%, $F$11)</f>
        <v>20.364899999999999</v>
      </c>
      <c r="E715" s="12">
        <f>20.3751 * CHOOSE( CONTROL!$C$15, $D$11, 100%, $F$11)</f>
        <v>20.3751</v>
      </c>
      <c r="F715" s="4">
        <f>21.0544 * CHOOSE(CONTROL!$C$15, $D$11, 100%, $F$11)</f>
        <v>21.054400000000001</v>
      </c>
      <c r="G715" s="8">
        <f>20.1498 * CHOOSE( CONTROL!$C$15, $D$11, 100%, $F$11)</f>
        <v>20.149799999999999</v>
      </c>
      <c r="H715" s="4">
        <f>21.0545 * CHOOSE(CONTROL!$C$15, $D$11, 100%, $F$11)</f>
        <v>21.054500000000001</v>
      </c>
      <c r="I715" s="8">
        <f>19.932 * CHOOSE(CONTROL!$C$15, $D$11, 100%, $F$11)</f>
        <v>19.931999999999999</v>
      </c>
      <c r="J715" s="4">
        <f>19.7789 * CHOOSE(CONTROL!$C$15, $D$11, 100%, $F$11)</f>
        <v>19.7789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20.6997 * CHOOSE(CONTROL!$C$15, $D$11, 100%, $F$11)</f>
        <v>20.6997</v>
      </c>
      <c r="C716" s="8">
        <f>20.7042 * CHOOSE(CONTROL!$C$15, $D$11, 100%, $F$11)</f>
        <v>20.7042</v>
      </c>
      <c r="D716" s="8">
        <f>20.7475 * CHOOSE( CONTROL!$C$15, $D$11, 100%, $F$11)</f>
        <v>20.747499999999999</v>
      </c>
      <c r="E716" s="12">
        <f>20.7327 * CHOOSE( CONTROL!$C$15, $D$11, 100%, $F$11)</f>
        <v>20.732700000000001</v>
      </c>
      <c r="F716" s="4">
        <f>21.444 * CHOOSE(CONTROL!$C$15, $D$11, 100%, $F$11)</f>
        <v>21.443999999999999</v>
      </c>
      <c r="G716" s="8">
        <f>20.4637 * CHOOSE( CONTROL!$C$15, $D$11, 100%, $F$11)</f>
        <v>20.463699999999999</v>
      </c>
      <c r="H716" s="4">
        <f>21.4395 * CHOOSE(CONTROL!$C$15, $D$11, 100%, $F$11)</f>
        <v>21.439499999999999</v>
      </c>
      <c r="I716" s="8">
        <f>20.231 * CHOOSE(CONTROL!$C$15, $D$11, 100%, $F$11)</f>
        <v>20.231000000000002</v>
      </c>
      <c r="J716" s="4">
        <f>20.0795 * CHOOSE(CONTROL!$C$15, $D$11, 100%, $F$11)</f>
        <v>20.079499999999999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21.256, 21.2523) * CHOOSE(CONTROL!$C$15, $D$11, 100%, $F$11)</f>
        <v>21.256</v>
      </c>
      <c r="C717" s="8">
        <f>CHOOSE( CONTROL!$C$32, 21.2639, 21.2603) * CHOOSE(CONTROL!$C$15, $D$11, 100%, $F$11)</f>
        <v>21.2639</v>
      </c>
      <c r="D717" s="8">
        <f>CHOOSE( CONTROL!$C$32, 21.3017, 21.298) * CHOOSE( CONTROL!$C$15, $D$11, 100%, $F$11)</f>
        <v>21.3017</v>
      </c>
      <c r="E717" s="12">
        <f>CHOOSE( CONTROL!$C$32, 21.2868, 21.2831) * CHOOSE( CONTROL!$C$15, $D$11, 100%, $F$11)</f>
        <v>21.286799999999999</v>
      </c>
      <c r="F717" s="4">
        <f>CHOOSE( CONTROL!$C$32, 21.999, 21.9953) * CHOOSE(CONTROL!$C$15, $D$11, 100%, $F$11)</f>
        <v>21.998999999999999</v>
      </c>
      <c r="G717" s="8">
        <f>CHOOSE( CONTROL!$C$32, 21.0129, 21.0093) * CHOOSE( CONTROL!$C$15, $D$11, 100%, $F$11)</f>
        <v>21.012899999999998</v>
      </c>
      <c r="H717" s="4">
        <f>CHOOSE( CONTROL!$C$32, 21.988, 21.9844) * CHOOSE(CONTROL!$C$15, $D$11, 100%, $F$11)</f>
        <v>21.988</v>
      </c>
      <c r="I717" s="8">
        <f>CHOOSE( CONTROL!$C$32, 20.77, 20.7664) * CHOOSE(CONTROL!$C$15, $D$11, 100%, $F$11)</f>
        <v>20.77</v>
      </c>
      <c r="J717" s="4">
        <f>CHOOSE( CONTROL!$C$32, 20.6181, 20.6146) * CHOOSE(CONTROL!$C$15, $D$11, 100%, $F$11)</f>
        <v>20.618099999999998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20.9145, 20.9108) * CHOOSE(CONTROL!$C$15, $D$11, 100%, $F$11)</f>
        <v>20.9145</v>
      </c>
      <c r="C718" s="8">
        <f>CHOOSE( CONTROL!$C$32, 20.9224, 20.9188) * CHOOSE(CONTROL!$C$15, $D$11, 100%, $F$11)</f>
        <v>20.9224</v>
      </c>
      <c r="D718" s="8">
        <f>CHOOSE( CONTROL!$C$32, 20.9604, 20.9567) * CHOOSE( CONTROL!$C$15, $D$11, 100%, $F$11)</f>
        <v>20.9604</v>
      </c>
      <c r="E718" s="12">
        <f>CHOOSE( CONTROL!$C$32, 20.9454, 20.9417) * CHOOSE( CONTROL!$C$15, $D$11, 100%, $F$11)</f>
        <v>20.945399999999999</v>
      </c>
      <c r="F718" s="4">
        <f>CHOOSE( CONTROL!$C$32, 21.6575, 21.6538) * CHOOSE(CONTROL!$C$15, $D$11, 100%, $F$11)</f>
        <v>21.657499999999999</v>
      </c>
      <c r="G718" s="8">
        <f>CHOOSE( CONTROL!$C$32, 20.6758, 20.6722) * CHOOSE( CONTROL!$C$15, $D$11, 100%, $F$11)</f>
        <v>20.675799999999999</v>
      </c>
      <c r="H718" s="4">
        <f>CHOOSE( CONTROL!$C$32, 21.6505, 21.6469) * CHOOSE(CONTROL!$C$15, $D$11, 100%, $F$11)</f>
        <v>21.650500000000001</v>
      </c>
      <c r="I718" s="8">
        <f>CHOOSE( CONTROL!$C$32, 20.4394, 20.4359) * CHOOSE(CONTROL!$C$15, $D$11, 100%, $F$11)</f>
        <v>20.439399999999999</v>
      </c>
      <c r="J718" s="4">
        <f>CHOOSE( CONTROL!$C$32, 20.2867, 20.2831) * CHOOSE(CONTROL!$C$15, $D$11, 100%, $F$11)</f>
        <v>20.2867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21.8138, 21.8101) * CHOOSE(CONTROL!$C$15, $D$11, 100%, $F$11)</f>
        <v>21.813800000000001</v>
      </c>
      <c r="C719" s="8">
        <f>CHOOSE( CONTROL!$C$32, 21.8217, 21.8181) * CHOOSE(CONTROL!$C$15, $D$11, 100%, $F$11)</f>
        <v>21.8217</v>
      </c>
      <c r="D719" s="8">
        <f>CHOOSE( CONTROL!$C$32, 21.8599, 21.8563) * CHOOSE( CONTROL!$C$15, $D$11, 100%, $F$11)</f>
        <v>21.8599</v>
      </c>
      <c r="E719" s="12">
        <f>CHOOSE( CONTROL!$C$32, 21.8449, 21.8412) * CHOOSE( CONTROL!$C$15, $D$11, 100%, $F$11)</f>
        <v>21.844899999999999</v>
      </c>
      <c r="F719" s="4">
        <f>CHOOSE( CONTROL!$C$32, 22.5568, 22.5531) * CHOOSE(CONTROL!$C$15, $D$11, 100%, $F$11)</f>
        <v>22.556799999999999</v>
      </c>
      <c r="G719" s="8">
        <f>CHOOSE( CONTROL!$C$32, 21.5649, 21.5613) * CHOOSE( CONTROL!$C$15, $D$11, 100%, $F$11)</f>
        <v>21.564900000000002</v>
      </c>
      <c r="H719" s="4">
        <f>CHOOSE( CONTROL!$C$32, 22.5393, 22.5357) * CHOOSE(CONTROL!$C$15, $D$11, 100%, $F$11)</f>
        <v>22.539300000000001</v>
      </c>
      <c r="I719" s="8">
        <f>CHOOSE( CONTROL!$C$32, 21.3138, 21.3102) * CHOOSE(CONTROL!$C$15, $D$11, 100%, $F$11)</f>
        <v>21.313800000000001</v>
      </c>
      <c r="J719" s="4">
        <f>CHOOSE( CONTROL!$C$32, 21.1594, 21.1559) * CHOOSE(CONTROL!$C$15, $D$11, 100%, $F$11)</f>
        <v>21.159400000000002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20.1311, 20.1274) * CHOOSE(CONTROL!$C$15, $D$11, 100%, $F$11)</f>
        <v>20.1311</v>
      </c>
      <c r="C720" s="8">
        <f>CHOOSE( CONTROL!$C$32, 20.139, 20.1354) * CHOOSE(CONTROL!$C$15, $D$11, 100%, $F$11)</f>
        <v>20.138999999999999</v>
      </c>
      <c r="D720" s="8">
        <f>CHOOSE( CONTROL!$C$32, 20.1773, 20.1736) * CHOOSE( CONTROL!$C$15, $D$11, 100%, $F$11)</f>
        <v>20.177299999999999</v>
      </c>
      <c r="E720" s="12">
        <f>CHOOSE( CONTROL!$C$32, 20.1622, 20.1585) * CHOOSE( CONTROL!$C$15, $D$11, 100%, $F$11)</f>
        <v>20.162199999999999</v>
      </c>
      <c r="F720" s="4">
        <f>CHOOSE( CONTROL!$C$32, 20.8741, 20.8704) * CHOOSE(CONTROL!$C$15, $D$11, 100%, $F$11)</f>
        <v>20.874099999999999</v>
      </c>
      <c r="G720" s="8">
        <f>CHOOSE( CONTROL!$C$32, 19.902, 19.8984) * CHOOSE( CONTROL!$C$15, $D$11, 100%, $F$11)</f>
        <v>19.902000000000001</v>
      </c>
      <c r="H720" s="4">
        <f>CHOOSE( CONTROL!$C$32, 20.8762, 20.8726) * CHOOSE(CONTROL!$C$15, $D$11, 100%, $F$11)</f>
        <v>20.876200000000001</v>
      </c>
      <c r="I720" s="8">
        <f>CHOOSE( CONTROL!$C$32, 19.6801, 19.6766) * CHOOSE(CONTROL!$C$15, $D$11, 100%, $F$11)</f>
        <v>19.680099999999999</v>
      </c>
      <c r="J720" s="4">
        <f>CHOOSE( CONTROL!$C$32, 19.5264, 19.5228) * CHOOSE(CONTROL!$C$15, $D$11, 100%, $F$11)</f>
        <v>19.526399999999999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19.7097, 19.706) * CHOOSE(CONTROL!$C$15, $D$11, 100%, $F$11)</f>
        <v>19.709700000000002</v>
      </c>
      <c r="C721" s="8">
        <f>CHOOSE( CONTROL!$C$32, 19.7177, 19.714) * CHOOSE(CONTROL!$C$15, $D$11, 100%, $F$11)</f>
        <v>19.717700000000001</v>
      </c>
      <c r="D721" s="8">
        <f>CHOOSE( CONTROL!$C$32, 19.7558, 19.7522) * CHOOSE( CONTROL!$C$15, $D$11, 100%, $F$11)</f>
        <v>19.755800000000001</v>
      </c>
      <c r="E721" s="12">
        <f>CHOOSE( CONTROL!$C$32, 19.7408, 19.7371) * CHOOSE( CONTROL!$C$15, $D$11, 100%, $F$11)</f>
        <v>19.7408</v>
      </c>
      <c r="F721" s="4">
        <f>CHOOSE( CONTROL!$C$32, 20.4527, 20.449) * CHOOSE(CONTROL!$C$15, $D$11, 100%, $F$11)</f>
        <v>20.4527</v>
      </c>
      <c r="G721" s="8">
        <f>CHOOSE( CONTROL!$C$32, 19.4854, 19.4818) * CHOOSE( CONTROL!$C$15, $D$11, 100%, $F$11)</f>
        <v>19.485399999999998</v>
      </c>
      <c r="H721" s="4">
        <f>CHOOSE( CONTROL!$C$32, 20.4598, 20.4562) * CHOOSE(CONTROL!$C$15, $D$11, 100%, $F$11)</f>
        <v>20.459800000000001</v>
      </c>
      <c r="I721" s="8">
        <f>CHOOSE( CONTROL!$C$32, 19.2706, 19.2671) * CHOOSE(CONTROL!$C$15, $D$11, 100%, $F$11)</f>
        <v>19.270600000000002</v>
      </c>
      <c r="J721" s="4">
        <f>CHOOSE( CONTROL!$C$32, 19.1174, 19.1139) * CHOOSE(CONTROL!$C$15, $D$11, 100%, $F$11)</f>
        <v>19.1174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20.5792 * CHOOSE(CONTROL!$C$15, $D$11, 100%, $F$11)</f>
        <v>20.5792</v>
      </c>
      <c r="C722" s="8">
        <f>20.5846 * CHOOSE(CONTROL!$C$15, $D$11, 100%, $F$11)</f>
        <v>20.584599999999998</v>
      </c>
      <c r="D722" s="8">
        <f>20.6281 * CHOOSE( CONTROL!$C$15, $D$11, 100%, $F$11)</f>
        <v>20.6281</v>
      </c>
      <c r="E722" s="12">
        <f>20.6132 * CHOOSE( CONTROL!$C$15, $D$11, 100%, $F$11)</f>
        <v>20.613199999999999</v>
      </c>
      <c r="F722" s="4">
        <f>21.324 * CHOOSE(CONTROL!$C$15, $D$11, 100%, $F$11)</f>
        <v>21.324000000000002</v>
      </c>
      <c r="G722" s="8">
        <f>20.346 * CHOOSE( CONTROL!$C$15, $D$11, 100%, $F$11)</f>
        <v>20.346</v>
      </c>
      <c r="H722" s="4">
        <f>21.3209 * CHOOSE(CONTROL!$C$15, $D$11, 100%, $F$11)</f>
        <v>21.320900000000002</v>
      </c>
      <c r="I722" s="8">
        <f>20.1174 * CHOOSE(CONTROL!$C$15, $D$11, 100%, $F$11)</f>
        <v>20.1174</v>
      </c>
      <c r="J722" s="4">
        <f>19.963 * CHOOSE(CONTROL!$C$15, $D$11, 100%, $F$11)</f>
        <v>19.963000000000001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22.1937 * CHOOSE(CONTROL!$C$15, $D$11, 100%, $F$11)</f>
        <v>22.1937</v>
      </c>
      <c r="C723" s="8">
        <f>22.1988 * CHOOSE(CONTROL!$C$15, $D$11, 100%, $F$11)</f>
        <v>22.198799999999999</v>
      </c>
      <c r="D723" s="8">
        <f>22.1825 * CHOOSE( CONTROL!$C$15, $D$11, 100%, $F$11)</f>
        <v>22.182500000000001</v>
      </c>
      <c r="E723" s="12">
        <f>22.1879 * CHOOSE( CONTROL!$C$15, $D$11, 100%, $F$11)</f>
        <v>22.187899999999999</v>
      </c>
      <c r="F723" s="4">
        <f>22.859 * CHOOSE(CONTROL!$C$15, $D$11, 100%, $F$11)</f>
        <v>22.859000000000002</v>
      </c>
      <c r="G723" s="8">
        <f>21.9426 * CHOOSE( CONTROL!$C$15, $D$11, 100%, $F$11)</f>
        <v>21.942599999999999</v>
      </c>
      <c r="H723" s="4">
        <f>22.838 * CHOOSE(CONTROL!$C$15, $D$11, 100%, $F$11)</f>
        <v>22.838000000000001</v>
      </c>
      <c r="I723" s="8">
        <f>21.6855 * CHOOSE(CONTROL!$C$15, $D$11, 100%, $F$11)</f>
        <v>21.685500000000001</v>
      </c>
      <c r="J723" s="4">
        <f>21.5303 * CHOOSE(CONTROL!$C$15, $D$11, 100%, $F$11)</f>
        <v>21.5303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22.1534 * CHOOSE(CONTROL!$C$15, $D$11, 100%, $F$11)</f>
        <v>22.153400000000001</v>
      </c>
      <c r="C724" s="8">
        <f>22.1585 * CHOOSE(CONTROL!$C$15, $D$11, 100%, $F$11)</f>
        <v>22.1585</v>
      </c>
      <c r="D724" s="8">
        <f>22.1438 * CHOOSE( CONTROL!$C$15, $D$11, 100%, $F$11)</f>
        <v>22.143799999999999</v>
      </c>
      <c r="E724" s="12">
        <f>22.1486 * CHOOSE( CONTROL!$C$15, $D$11, 100%, $F$11)</f>
        <v>22.148599999999998</v>
      </c>
      <c r="F724" s="4">
        <f>22.8187 * CHOOSE(CONTROL!$C$15, $D$11, 100%, $F$11)</f>
        <v>22.8187</v>
      </c>
      <c r="G724" s="8">
        <f>21.9039 * CHOOSE( CONTROL!$C$15, $D$11, 100%, $F$11)</f>
        <v>21.9039</v>
      </c>
      <c r="H724" s="4">
        <f>22.7981 * CHOOSE(CONTROL!$C$15, $D$11, 100%, $F$11)</f>
        <v>22.798100000000002</v>
      </c>
      <c r="I724" s="8">
        <f>21.6517 * CHOOSE(CONTROL!$C$15, $D$11, 100%, $F$11)</f>
        <v>21.651700000000002</v>
      </c>
      <c r="J724" s="4">
        <f>21.4911 * CHOOSE(CONTROL!$C$15, $D$11, 100%, $F$11)</f>
        <v>21.491099999999999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22.8066 * CHOOSE(CONTROL!$C$15, $D$11, 100%, $F$11)</f>
        <v>22.8066</v>
      </c>
      <c r="C725" s="8">
        <f>22.8117 * CHOOSE(CONTROL!$C$15, $D$11, 100%, $F$11)</f>
        <v>22.811699999999998</v>
      </c>
      <c r="D725" s="8">
        <f>22.7828 * CHOOSE( CONTROL!$C$15, $D$11, 100%, $F$11)</f>
        <v>22.782800000000002</v>
      </c>
      <c r="E725" s="12">
        <f>22.7928 * CHOOSE( CONTROL!$C$15, $D$11, 100%, $F$11)</f>
        <v>22.7928</v>
      </c>
      <c r="F725" s="4">
        <f>23.4719 * CHOOSE(CONTROL!$C$15, $D$11, 100%, $F$11)</f>
        <v>23.471900000000002</v>
      </c>
      <c r="G725" s="8">
        <f>22.5392 * CHOOSE( CONTROL!$C$15, $D$11, 100%, $F$11)</f>
        <v>22.539200000000001</v>
      </c>
      <c r="H725" s="4">
        <f>23.4436 * CHOOSE(CONTROL!$C$15, $D$11, 100%, $F$11)</f>
        <v>23.4436</v>
      </c>
      <c r="I725" s="8">
        <f>22.2806 * CHOOSE(CONTROL!$C$15, $D$11, 100%, $F$11)</f>
        <v>22.2806</v>
      </c>
      <c r="J725" s="4">
        <f>22.125 * CHOOSE(CONTROL!$C$15, $D$11, 100%, $F$11)</f>
        <v>22.125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21.3328 * CHOOSE(CONTROL!$C$15, $D$11, 100%, $F$11)</f>
        <v>21.332799999999999</v>
      </c>
      <c r="C726" s="8">
        <f>21.3378 * CHOOSE(CONTROL!$C$15, $D$11, 100%, $F$11)</f>
        <v>21.337800000000001</v>
      </c>
      <c r="D726" s="8">
        <f>21.3089 * CHOOSE( CONTROL!$C$15, $D$11, 100%, $F$11)</f>
        <v>21.308900000000001</v>
      </c>
      <c r="E726" s="12">
        <f>21.3189 * CHOOSE( CONTROL!$C$15, $D$11, 100%, $F$11)</f>
        <v>21.318899999999999</v>
      </c>
      <c r="F726" s="4">
        <f>21.998 * CHOOSE(CONTROL!$C$15, $D$11, 100%, $F$11)</f>
        <v>21.998000000000001</v>
      </c>
      <c r="G726" s="8">
        <f>21.0826 * CHOOSE( CONTROL!$C$15, $D$11, 100%, $F$11)</f>
        <v>21.082599999999999</v>
      </c>
      <c r="H726" s="4">
        <f>21.9871 * CHOOSE(CONTROL!$C$15, $D$11, 100%, $F$11)</f>
        <v>21.987100000000002</v>
      </c>
      <c r="I726" s="8">
        <f>20.8495 * CHOOSE(CONTROL!$C$15, $D$11, 100%, $F$11)</f>
        <v>20.849499999999999</v>
      </c>
      <c r="J726" s="4">
        <f>20.6947 * CHOOSE(CONTROL!$C$15, $D$11, 100%, $F$11)</f>
        <v>20.694700000000001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20.8788 * CHOOSE(CONTROL!$C$15, $D$11, 100%, $F$11)</f>
        <v>20.878799999999998</v>
      </c>
      <c r="C727" s="8">
        <f>20.8839 * CHOOSE(CONTROL!$C$15, $D$11, 100%, $F$11)</f>
        <v>20.883900000000001</v>
      </c>
      <c r="D727" s="8">
        <f>20.8546 * CHOOSE( CONTROL!$C$15, $D$11, 100%, $F$11)</f>
        <v>20.854600000000001</v>
      </c>
      <c r="E727" s="12">
        <f>20.8648 * CHOOSE( CONTROL!$C$15, $D$11, 100%, $F$11)</f>
        <v>20.864799999999999</v>
      </c>
      <c r="F727" s="4">
        <f>21.5441 * CHOOSE(CONTROL!$C$15, $D$11, 100%, $F$11)</f>
        <v>21.5441</v>
      </c>
      <c r="G727" s="8">
        <f>20.6337 * CHOOSE( CONTROL!$C$15, $D$11, 100%, $F$11)</f>
        <v>20.633700000000001</v>
      </c>
      <c r="H727" s="4">
        <f>21.5384 * CHOOSE(CONTROL!$C$15, $D$11, 100%, $F$11)</f>
        <v>21.538399999999999</v>
      </c>
      <c r="I727" s="8">
        <f>20.4075 * CHOOSE(CONTROL!$C$15, $D$11, 100%, $F$11)</f>
        <v>20.407499999999999</v>
      </c>
      <c r="J727" s="4">
        <f>20.2541 * CHOOSE(CONTROL!$C$15, $D$11, 100%, $F$11)</f>
        <v>20.254100000000001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21.1968 * CHOOSE(CONTROL!$C$15, $D$11, 100%, $F$11)</f>
        <v>21.1968</v>
      </c>
      <c r="C728" s="8">
        <f>21.2013 * CHOOSE(CONTROL!$C$15, $D$11, 100%, $F$11)</f>
        <v>21.2013</v>
      </c>
      <c r="D728" s="8">
        <f>21.2447 * CHOOSE( CONTROL!$C$15, $D$11, 100%, $F$11)</f>
        <v>21.244700000000002</v>
      </c>
      <c r="E728" s="12">
        <f>21.2299 * CHOOSE( CONTROL!$C$15, $D$11, 100%, $F$11)</f>
        <v>21.229900000000001</v>
      </c>
      <c r="F728" s="4">
        <f>21.9412 * CHOOSE(CONTROL!$C$15, $D$11, 100%, $F$11)</f>
        <v>21.941199999999998</v>
      </c>
      <c r="G728" s="8">
        <f>20.955 * CHOOSE( CONTROL!$C$15, $D$11, 100%, $F$11)</f>
        <v>20.954999999999998</v>
      </c>
      <c r="H728" s="4">
        <f>21.9309 * CHOOSE(CONTROL!$C$15, $D$11, 100%, $F$11)</f>
        <v>21.930900000000001</v>
      </c>
      <c r="I728" s="8">
        <f>20.7137 * CHOOSE(CONTROL!$C$15, $D$11, 100%, $F$11)</f>
        <v>20.713699999999999</v>
      </c>
      <c r="J728" s="4">
        <f>20.562 * CHOOSE(CONTROL!$C$15, $D$11, 100%, $F$11)</f>
        <v>20.562000000000001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21.7663, 21.7627) * CHOOSE(CONTROL!$C$15, $D$11, 100%, $F$11)</f>
        <v>21.766300000000001</v>
      </c>
      <c r="C729" s="8">
        <f>CHOOSE( CONTROL!$C$32, 21.7743, 21.7707) * CHOOSE(CONTROL!$C$15, $D$11, 100%, $F$11)</f>
        <v>21.7743</v>
      </c>
      <c r="D729" s="8">
        <f>CHOOSE( CONTROL!$C$32, 21.812, 21.8084) * CHOOSE( CONTROL!$C$15, $D$11, 100%, $F$11)</f>
        <v>21.812000000000001</v>
      </c>
      <c r="E729" s="12">
        <f>CHOOSE( CONTROL!$C$32, 21.7971, 21.7935) * CHOOSE( CONTROL!$C$15, $D$11, 100%, $F$11)</f>
        <v>21.7971</v>
      </c>
      <c r="F729" s="4">
        <f>CHOOSE( CONTROL!$C$32, 22.5093, 22.5057) * CHOOSE(CONTROL!$C$15, $D$11, 100%, $F$11)</f>
        <v>22.5093</v>
      </c>
      <c r="G729" s="8">
        <f>CHOOSE( CONTROL!$C$32, 21.5173, 21.5137) * CHOOSE( CONTROL!$C$15, $D$11, 100%, $F$11)</f>
        <v>21.517299999999999</v>
      </c>
      <c r="H729" s="4">
        <f>CHOOSE( CONTROL!$C$32, 22.4924, 22.4888) * CHOOSE(CONTROL!$C$15, $D$11, 100%, $F$11)</f>
        <v>22.4924</v>
      </c>
      <c r="I729" s="8">
        <f>CHOOSE( CONTROL!$C$32, 21.2655, 21.262) * CHOOSE(CONTROL!$C$15, $D$11, 100%, $F$11)</f>
        <v>21.265499999999999</v>
      </c>
      <c r="J729" s="4">
        <f>CHOOSE( CONTROL!$C$32, 21.1134, 21.1099) * CHOOSE(CONTROL!$C$15, $D$11, 100%, $F$11)</f>
        <v>21.113399999999999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21.4166, 21.413) * CHOOSE(CONTROL!$C$15, $D$11, 100%, $F$11)</f>
        <v>21.416599999999999</v>
      </c>
      <c r="C730" s="8">
        <f>CHOOSE( CONTROL!$C$32, 21.4246, 21.421) * CHOOSE(CONTROL!$C$15, $D$11, 100%, $F$11)</f>
        <v>21.424600000000002</v>
      </c>
      <c r="D730" s="8">
        <f>CHOOSE( CONTROL!$C$32, 21.4626, 21.4589) * CHOOSE( CONTROL!$C$15, $D$11, 100%, $F$11)</f>
        <v>21.462599999999998</v>
      </c>
      <c r="E730" s="12">
        <f>CHOOSE( CONTROL!$C$32, 21.4476, 21.4439) * CHOOSE( CONTROL!$C$15, $D$11, 100%, $F$11)</f>
        <v>21.447600000000001</v>
      </c>
      <c r="F730" s="4">
        <f>CHOOSE( CONTROL!$C$32, 22.1596, 22.156) * CHOOSE(CONTROL!$C$15, $D$11, 100%, $F$11)</f>
        <v>22.159600000000001</v>
      </c>
      <c r="G730" s="8">
        <f>CHOOSE( CONTROL!$C$32, 21.172, 21.1684) * CHOOSE( CONTROL!$C$15, $D$11, 100%, $F$11)</f>
        <v>21.172000000000001</v>
      </c>
      <c r="H730" s="4">
        <f>CHOOSE( CONTROL!$C$32, 22.1468, 22.1432) * CHOOSE(CONTROL!$C$15, $D$11, 100%, $F$11)</f>
        <v>22.146799999999999</v>
      </c>
      <c r="I730" s="8">
        <f>CHOOSE( CONTROL!$C$32, 20.927, 20.9235) * CHOOSE(CONTROL!$C$15, $D$11, 100%, $F$11)</f>
        <v>20.927</v>
      </c>
      <c r="J730" s="4">
        <f>CHOOSE( CONTROL!$C$32, 20.774, 20.7705) * CHOOSE(CONTROL!$C$15, $D$11, 100%, $F$11)</f>
        <v>20.774000000000001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22.3375, 22.3339) * CHOOSE(CONTROL!$C$15, $D$11, 100%, $F$11)</f>
        <v>22.337499999999999</v>
      </c>
      <c r="C731" s="8">
        <f>CHOOSE( CONTROL!$C$32, 22.3455, 22.3419) * CHOOSE(CONTROL!$C$15, $D$11, 100%, $F$11)</f>
        <v>22.345500000000001</v>
      </c>
      <c r="D731" s="8">
        <f>CHOOSE( CONTROL!$C$32, 22.3837, 22.3801) * CHOOSE( CONTROL!$C$15, $D$11, 100%, $F$11)</f>
        <v>22.383700000000001</v>
      </c>
      <c r="E731" s="12">
        <f>CHOOSE( CONTROL!$C$32, 22.3686, 22.365) * CHOOSE( CONTROL!$C$15, $D$11, 100%, $F$11)</f>
        <v>22.368600000000001</v>
      </c>
      <c r="F731" s="4">
        <f>CHOOSE( CONTROL!$C$32, 23.0806, 23.0769) * CHOOSE(CONTROL!$C$15, $D$11, 100%, $F$11)</f>
        <v>23.0806</v>
      </c>
      <c r="G731" s="8">
        <f>CHOOSE( CONTROL!$C$32, 22.0825, 22.0789) * CHOOSE( CONTROL!$C$15, $D$11, 100%, $F$11)</f>
        <v>22.0825</v>
      </c>
      <c r="H731" s="4">
        <f>CHOOSE( CONTROL!$C$32, 23.0569, 23.0533) * CHOOSE(CONTROL!$C$15, $D$11, 100%, $F$11)</f>
        <v>23.056899999999999</v>
      </c>
      <c r="I731" s="8">
        <f>CHOOSE( CONTROL!$C$32, 21.8223, 21.8188) * CHOOSE(CONTROL!$C$15, $D$11, 100%, $F$11)</f>
        <v>21.822299999999998</v>
      </c>
      <c r="J731" s="4">
        <f>CHOOSE( CONTROL!$C$32, 21.6678, 21.6642) * CHOOSE(CONTROL!$C$15, $D$11, 100%, $F$11)</f>
        <v>21.6678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20.6144, 20.6108) * CHOOSE(CONTROL!$C$15, $D$11, 100%, $F$11)</f>
        <v>20.6144</v>
      </c>
      <c r="C732" s="8">
        <f>CHOOSE( CONTROL!$C$32, 20.6224, 20.6187) * CHOOSE(CONTROL!$C$15, $D$11, 100%, $F$11)</f>
        <v>20.622399999999999</v>
      </c>
      <c r="D732" s="8">
        <f>CHOOSE( CONTROL!$C$32, 20.6606, 20.657) * CHOOSE( CONTROL!$C$15, $D$11, 100%, $F$11)</f>
        <v>20.660599999999999</v>
      </c>
      <c r="E732" s="12">
        <f>CHOOSE( CONTROL!$C$32, 20.6455, 20.6419) * CHOOSE( CONTROL!$C$15, $D$11, 100%, $F$11)</f>
        <v>20.645499999999998</v>
      </c>
      <c r="F732" s="4">
        <f>CHOOSE( CONTROL!$C$32, 21.3574, 21.3538) * CHOOSE(CONTROL!$C$15, $D$11, 100%, $F$11)</f>
        <v>21.357399999999998</v>
      </c>
      <c r="G732" s="8">
        <f>CHOOSE( CONTROL!$C$32, 20.3797, 20.3761) * CHOOSE( CONTROL!$C$15, $D$11, 100%, $F$11)</f>
        <v>20.3797</v>
      </c>
      <c r="H732" s="4">
        <f>CHOOSE( CONTROL!$C$32, 21.3539, 21.3503) * CHOOSE(CONTROL!$C$15, $D$11, 100%, $F$11)</f>
        <v>21.353899999999999</v>
      </c>
      <c r="I732" s="8">
        <f>CHOOSE( CONTROL!$C$32, 20.1495, 20.1459) * CHOOSE(CONTROL!$C$15, $D$11, 100%, $F$11)</f>
        <v>20.1495</v>
      </c>
      <c r="J732" s="4">
        <f>CHOOSE( CONTROL!$C$32, 19.9955, 19.9919) * CHOOSE(CONTROL!$C$15, $D$11, 100%, $F$11)</f>
        <v>19.9955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20.1829, 20.1793) * CHOOSE(CONTROL!$C$15, $D$11, 100%, $F$11)</f>
        <v>20.1829</v>
      </c>
      <c r="C733" s="8">
        <f>CHOOSE( CONTROL!$C$32, 20.1909, 20.1872) * CHOOSE(CONTROL!$C$15, $D$11, 100%, $F$11)</f>
        <v>20.190899999999999</v>
      </c>
      <c r="D733" s="8">
        <f>CHOOSE( CONTROL!$C$32, 20.2291, 20.2254) * CHOOSE( CONTROL!$C$15, $D$11, 100%, $F$11)</f>
        <v>20.229099999999999</v>
      </c>
      <c r="E733" s="12">
        <f>CHOOSE( CONTROL!$C$32, 20.214, 20.2104) * CHOOSE( CONTROL!$C$15, $D$11, 100%, $F$11)</f>
        <v>20.213999999999999</v>
      </c>
      <c r="F733" s="4">
        <f>CHOOSE( CONTROL!$C$32, 20.9259, 20.9223) * CHOOSE(CONTROL!$C$15, $D$11, 100%, $F$11)</f>
        <v>20.925899999999999</v>
      </c>
      <c r="G733" s="8">
        <f>CHOOSE( CONTROL!$C$32, 19.9531, 19.9495) * CHOOSE( CONTROL!$C$15, $D$11, 100%, $F$11)</f>
        <v>19.953099999999999</v>
      </c>
      <c r="H733" s="4">
        <f>CHOOSE( CONTROL!$C$32, 20.9275, 20.9239) * CHOOSE(CONTROL!$C$15, $D$11, 100%, $F$11)</f>
        <v>20.927499999999998</v>
      </c>
      <c r="I733" s="8">
        <f>CHOOSE( CONTROL!$C$32, 19.7301, 19.7266) * CHOOSE(CONTROL!$C$15, $D$11, 100%, $F$11)</f>
        <v>19.7301</v>
      </c>
      <c r="J733" s="4">
        <f>CHOOSE( CONTROL!$C$32, 19.5767, 19.5731) * CHOOSE(CONTROL!$C$15, $D$11, 100%, $F$11)</f>
        <v>19.576699999999999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21.0735 * CHOOSE(CONTROL!$C$15, $D$11, 100%, $F$11)</f>
        <v>21.073499999999999</v>
      </c>
      <c r="C734" s="8">
        <f>21.0788 * CHOOSE(CONTROL!$C$15, $D$11, 100%, $F$11)</f>
        <v>21.078800000000001</v>
      </c>
      <c r="D734" s="8">
        <f>21.1223 * CHOOSE( CONTROL!$C$15, $D$11, 100%, $F$11)</f>
        <v>21.122299999999999</v>
      </c>
      <c r="E734" s="12">
        <f>21.1074 * CHOOSE( CONTROL!$C$15, $D$11, 100%, $F$11)</f>
        <v>21.107399999999998</v>
      </c>
      <c r="F734" s="4">
        <f>21.8182 * CHOOSE(CONTROL!$C$15, $D$11, 100%, $F$11)</f>
        <v>21.818200000000001</v>
      </c>
      <c r="G734" s="8">
        <f>20.8344 * CHOOSE( CONTROL!$C$15, $D$11, 100%, $F$11)</f>
        <v>20.834399999999999</v>
      </c>
      <c r="H734" s="4">
        <f>21.8093 * CHOOSE(CONTROL!$C$15, $D$11, 100%, $F$11)</f>
        <v>21.8093</v>
      </c>
      <c r="I734" s="8">
        <f>20.5973 * CHOOSE(CONTROL!$C$15, $D$11, 100%, $F$11)</f>
        <v>20.597300000000001</v>
      </c>
      <c r="J734" s="4">
        <f>20.4427 * CHOOSE(CONTROL!$C$15, $D$11, 100%, $F$11)</f>
        <v>20.442699999999999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22.7268 * CHOOSE(CONTROL!$C$15, $D$11, 100%, $F$11)</f>
        <v>22.726800000000001</v>
      </c>
      <c r="C735" s="8">
        <f>22.7319 * CHOOSE(CONTROL!$C$15, $D$11, 100%, $F$11)</f>
        <v>22.7319</v>
      </c>
      <c r="D735" s="8">
        <f>22.7155 * CHOOSE( CONTROL!$C$15, $D$11, 100%, $F$11)</f>
        <v>22.715499999999999</v>
      </c>
      <c r="E735" s="12">
        <f>22.721 * CHOOSE( CONTROL!$C$15, $D$11, 100%, $F$11)</f>
        <v>22.721</v>
      </c>
      <c r="F735" s="4">
        <f>23.3921 * CHOOSE(CONTROL!$C$15, $D$11, 100%, $F$11)</f>
        <v>23.392099999999999</v>
      </c>
      <c r="G735" s="8">
        <f>22.4694 * CHOOSE( CONTROL!$C$15, $D$11, 100%, $F$11)</f>
        <v>22.4694</v>
      </c>
      <c r="H735" s="4">
        <f>23.3648 * CHOOSE(CONTROL!$C$15, $D$11, 100%, $F$11)</f>
        <v>23.364799999999999</v>
      </c>
      <c r="I735" s="8">
        <f>22.2031 * CHOOSE(CONTROL!$C$15, $D$11, 100%, $F$11)</f>
        <v>22.203099999999999</v>
      </c>
      <c r="J735" s="4">
        <f>22.0476 * CHOOSE(CONTROL!$C$15, $D$11, 100%, $F$11)</f>
        <v>22.047599999999999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22.6855 * CHOOSE(CONTROL!$C$15, $D$11, 100%, $F$11)</f>
        <v>22.685500000000001</v>
      </c>
      <c r="C736" s="8">
        <f>22.6905 * CHOOSE(CONTROL!$C$15, $D$11, 100%, $F$11)</f>
        <v>22.6905</v>
      </c>
      <c r="D736" s="8">
        <f>22.6759 * CHOOSE( CONTROL!$C$15, $D$11, 100%, $F$11)</f>
        <v>22.675899999999999</v>
      </c>
      <c r="E736" s="12">
        <f>22.6807 * CHOOSE( CONTROL!$C$15, $D$11, 100%, $F$11)</f>
        <v>22.680700000000002</v>
      </c>
      <c r="F736" s="4">
        <f>23.3507 * CHOOSE(CONTROL!$C$15, $D$11, 100%, $F$11)</f>
        <v>23.3507</v>
      </c>
      <c r="G736" s="8">
        <f>22.4298 * CHOOSE( CONTROL!$C$15, $D$11, 100%, $F$11)</f>
        <v>22.4298</v>
      </c>
      <c r="H736" s="4">
        <f>23.3239 * CHOOSE(CONTROL!$C$15, $D$11, 100%, $F$11)</f>
        <v>23.323899999999998</v>
      </c>
      <c r="I736" s="8">
        <f>22.1684 * CHOOSE(CONTROL!$C$15, $D$11, 100%, $F$11)</f>
        <v>22.168399999999998</v>
      </c>
      <c r="J736" s="4">
        <f>22.0075 * CHOOSE(CONTROL!$C$15, $D$11, 100%, $F$11)</f>
        <v>22.0075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23.3543 * CHOOSE(CONTROL!$C$15, $D$11, 100%, $F$11)</f>
        <v>23.354299999999999</v>
      </c>
      <c r="C737" s="8">
        <f>23.3594 * CHOOSE(CONTROL!$C$15, $D$11, 100%, $F$11)</f>
        <v>23.359400000000001</v>
      </c>
      <c r="D737" s="8">
        <f>23.3305 * CHOOSE( CONTROL!$C$15, $D$11, 100%, $F$11)</f>
        <v>23.330500000000001</v>
      </c>
      <c r="E737" s="12">
        <f>23.3405 * CHOOSE( CONTROL!$C$15, $D$11, 100%, $F$11)</f>
        <v>23.340499999999999</v>
      </c>
      <c r="F737" s="4">
        <f>24.0196 * CHOOSE(CONTROL!$C$15, $D$11, 100%, $F$11)</f>
        <v>24.019600000000001</v>
      </c>
      <c r="G737" s="8">
        <f>23.0806 * CHOOSE( CONTROL!$C$15, $D$11, 100%, $F$11)</f>
        <v>23.0806</v>
      </c>
      <c r="H737" s="4">
        <f>23.985 * CHOOSE(CONTROL!$C$15, $D$11, 100%, $F$11)</f>
        <v>23.984999999999999</v>
      </c>
      <c r="I737" s="8">
        <f>22.8125 * CHOOSE(CONTROL!$C$15, $D$11, 100%, $F$11)</f>
        <v>22.8125</v>
      </c>
      <c r="J737" s="4">
        <f>22.6566 * CHOOSE(CONTROL!$C$15, $D$11, 100%, $F$11)</f>
        <v>22.656600000000001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21.8451 * CHOOSE(CONTROL!$C$15, $D$11, 100%, $F$11)</f>
        <v>21.845099999999999</v>
      </c>
      <c r="C738" s="8">
        <f>21.8502 * CHOOSE(CONTROL!$C$15, $D$11, 100%, $F$11)</f>
        <v>21.850200000000001</v>
      </c>
      <c r="D738" s="8">
        <f>21.8213 * CHOOSE( CONTROL!$C$15, $D$11, 100%, $F$11)</f>
        <v>21.821300000000001</v>
      </c>
      <c r="E738" s="12">
        <f>21.8313 * CHOOSE( CONTROL!$C$15, $D$11, 100%, $F$11)</f>
        <v>21.831299999999999</v>
      </c>
      <c r="F738" s="4">
        <f>22.5104 * CHOOSE(CONTROL!$C$15, $D$11, 100%, $F$11)</f>
        <v>22.510400000000001</v>
      </c>
      <c r="G738" s="8">
        <f>21.589 * CHOOSE( CONTROL!$C$15, $D$11, 100%, $F$11)</f>
        <v>21.588999999999999</v>
      </c>
      <c r="H738" s="4">
        <f>22.4934 * CHOOSE(CONTROL!$C$15, $D$11, 100%, $F$11)</f>
        <v>22.493400000000001</v>
      </c>
      <c r="I738" s="8">
        <f>21.347 * CHOOSE(CONTROL!$C$15, $D$11, 100%, $F$11)</f>
        <v>21.347000000000001</v>
      </c>
      <c r="J738" s="4">
        <f>21.1919 * CHOOSE(CONTROL!$C$15, $D$11, 100%, $F$11)</f>
        <v>21.1919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21.3803 * CHOOSE(CONTROL!$C$15, $D$11, 100%, $F$11)</f>
        <v>21.380299999999998</v>
      </c>
      <c r="C739" s="8">
        <f>21.3853 * CHOOSE(CONTROL!$C$15, $D$11, 100%, $F$11)</f>
        <v>21.385300000000001</v>
      </c>
      <c r="D739" s="8">
        <f>21.3561 * CHOOSE( CONTROL!$C$15, $D$11, 100%, $F$11)</f>
        <v>21.356100000000001</v>
      </c>
      <c r="E739" s="12">
        <f>21.3662 * CHOOSE( CONTROL!$C$15, $D$11, 100%, $F$11)</f>
        <v>21.366199999999999</v>
      </c>
      <c r="F739" s="4">
        <f>22.0456 * CHOOSE(CONTROL!$C$15, $D$11, 100%, $F$11)</f>
        <v>22.0456</v>
      </c>
      <c r="G739" s="8">
        <f>21.1293 * CHOOSE( CONTROL!$C$15, $D$11, 100%, $F$11)</f>
        <v>21.129300000000001</v>
      </c>
      <c r="H739" s="4">
        <f>22.034 * CHOOSE(CONTROL!$C$15, $D$11, 100%, $F$11)</f>
        <v>22.033999999999999</v>
      </c>
      <c r="I739" s="8">
        <f>20.8944 * CHOOSE(CONTROL!$C$15, $D$11, 100%, $F$11)</f>
        <v>20.894400000000001</v>
      </c>
      <c r="J739" s="4">
        <f>20.7408 * CHOOSE(CONTROL!$C$15, $D$11, 100%, $F$11)</f>
        <v>20.7408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21.7059 * CHOOSE(CONTROL!$C$15, $D$11, 100%, $F$11)</f>
        <v>21.7059</v>
      </c>
      <c r="C740" s="8">
        <f>21.7104 * CHOOSE(CONTROL!$C$15, $D$11, 100%, $F$11)</f>
        <v>21.7104</v>
      </c>
      <c r="D740" s="8">
        <f>21.7537 * CHOOSE( CONTROL!$C$15, $D$11, 100%, $F$11)</f>
        <v>21.753699999999998</v>
      </c>
      <c r="E740" s="12">
        <f>21.7389 * CHOOSE( CONTROL!$C$15, $D$11, 100%, $F$11)</f>
        <v>21.738900000000001</v>
      </c>
      <c r="F740" s="4">
        <f>22.4502 * CHOOSE(CONTROL!$C$15, $D$11, 100%, $F$11)</f>
        <v>22.450199999999999</v>
      </c>
      <c r="G740" s="8">
        <f>21.4581 * CHOOSE( CONTROL!$C$15, $D$11, 100%, $F$11)</f>
        <v>21.458100000000002</v>
      </c>
      <c r="H740" s="4">
        <f>22.434 * CHOOSE(CONTROL!$C$15, $D$11, 100%, $F$11)</f>
        <v>22.434000000000001</v>
      </c>
      <c r="I740" s="8">
        <f>21.208 * CHOOSE(CONTROL!$C$15, $D$11, 100%, $F$11)</f>
        <v>21.207999999999998</v>
      </c>
      <c r="J740" s="4">
        <f>21.056 * CHOOSE(CONTROL!$C$15, $D$11, 100%, $F$11)</f>
        <v>21.056000000000001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22.289, 22.2853) * CHOOSE(CONTROL!$C$15, $D$11, 100%, $F$11)</f>
        <v>22.289000000000001</v>
      </c>
      <c r="C741" s="8">
        <f>CHOOSE( CONTROL!$C$32, 22.2969, 22.2933) * CHOOSE(CONTROL!$C$15, $D$11, 100%, $F$11)</f>
        <v>22.296900000000001</v>
      </c>
      <c r="D741" s="8">
        <f>CHOOSE( CONTROL!$C$32, 22.3347, 22.331) * CHOOSE( CONTROL!$C$15, $D$11, 100%, $F$11)</f>
        <v>22.334700000000002</v>
      </c>
      <c r="E741" s="12">
        <f>CHOOSE( CONTROL!$C$32, 22.3198, 22.3161) * CHOOSE( CONTROL!$C$15, $D$11, 100%, $F$11)</f>
        <v>22.319800000000001</v>
      </c>
      <c r="F741" s="4">
        <f>CHOOSE( CONTROL!$C$32, 23.032, 23.0283) * CHOOSE(CONTROL!$C$15, $D$11, 100%, $F$11)</f>
        <v>23.032</v>
      </c>
      <c r="G741" s="8">
        <f>CHOOSE( CONTROL!$C$32, 22.0338, 22.0302) * CHOOSE( CONTROL!$C$15, $D$11, 100%, $F$11)</f>
        <v>22.033799999999999</v>
      </c>
      <c r="H741" s="4">
        <f>CHOOSE( CONTROL!$C$32, 23.0089, 23.0053) * CHOOSE(CONTROL!$C$15, $D$11, 100%, $F$11)</f>
        <v>23.008900000000001</v>
      </c>
      <c r="I741" s="8">
        <f>CHOOSE( CONTROL!$C$32, 21.773, 21.7695) * CHOOSE(CONTROL!$C$15, $D$11, 100%, $F$11)</f>
        <v>21.773</v>
      </c>
      <c r="J741" s="4">
        <f>CHOOSE( CONTROL!$C$32, 21.6206, 21.6171) * CHOOSE(CONTROL!$C$15, $D$11, 100%, $F$11)</f>
        <v>21.6206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21.9309, 21.9272) * CHOOSE(CONTROL!$C$15, $D$11, 100%, $F$11)</f>
        <v>21.930900000000001</v>
      </c>
      <c r="C742" s="8">
        <f>CHOOSE( CONTROL!$C$32, 21.9388, 21.9352) * CHOOSE(CONTROL!$C$15, $D$11, 100%, $F$11)</f>
        <v>21.938800000000001</v>
      </c>
      <c r="D742" s="8">
        <f>CHOOSE( CONTROL!$C$32, 21.9768, 21.9731) * CHOOSE( CONTROL!$C$15, $D$11, 100%, $F$11)</f>
        <v>21.976800000000001</v>
      </c>
      <c r="E742" s="12">
        <f>CHOOSE( CONTROL!$C$32, 21.9618, 21.9581) * CHOOSE( CONTROL!$C$15, $D$11, 100%, $F$11)</f>
        <v>21.9618</v>
      </c>
      <c r="F742" s="4">
        <f>CHOOSE( CONTROL!$C$32, 22.6739, 22.6702) * CHOOSE(CONTROL!$C$15, $D$11, 100%, $F$11)</f>
        <v>22.6739</v>
      </c>
      <c r="G742" s="8">
        <f>CHOOSE( CONTROL!$C$32, 21.6803, 21.6767) * CHOOSE( CONTROL!$C$15, $D$11, 100%, $F$11)</f>
        <v>21.680299999999999</v>
      </c>
      <c r="H742" s="4">
        <f>CHOOSE( CONTROL!$C$32, 22.655, 22.6514) * CHOOSE(CONTROL!$C$15, $D$11, 100%, $F$11)</f>
        <v>22.655000000000001</v>
      </c>
      <c r="I742" s="8">
        <f>CHOOSE( CONTROL!$C$32, 21.4263, 21.4228) * CHOOSE(CONTROL!$C$15, $D$11, 100%, $F$11)</f>
        <v>21.426300000000001</v>
      </c>
      <c r="J742" s="4">
        <f>CHOOSE( CONTROL!$C$32, 21.2731, 21.2695) * CHOOSE(CONTROL!$C$15, $D$11, 100%, $F$11)</f>
        <v>21.273099999999999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22.8739, 22.8703) * CHOOSE(CONTROL!$C$15, $D$11, 100%, $F$11)</f>
        <v>22.873899999999999</v>
      </c>
      <c r="C743" s="8">
        <f>CHOOSE( CONTROL!$C$32, 22.8819, 22.8782) * CHOOSE(CONTROL!$C$15, $D$11, 100%, $F$11)</f>
        <v>22.881900000000002</v>
      </c>
      <c r="D743" s="8">
        <f>CHOOSE( CONTROL!$C$32, 22.9201, 22.9164) * CHOOSE( CONTROL!$C$15, $D$11, 100%, $F$11)</f>
        <v>22.920100000000001</v>
      </c>
      <c r="E743" s="12">
        <f>CHOOSE( CONTROL!$C$32, 22.905, 22.9014) * CHOOSE( CONTROL!$C$15, $D$11, 100%, $F$11)</f>
        <v>22.905000000000001</v>
      </c>
      <c r="F743" s="4">
        <f>CHOOSE( CONTROL!$C$32, 23.6169, 23.6133) * CHOOSE(CONTROL!$C$15, $D$11, 100%, $F$11)</f>
        <v>23.616900000000001</v>
      </c>
      <c r="G743" s="8">
        <f>CHOOSE( CONTROL!$C$32, 22.6126, 22.609) * CHOOSE( CONTROL!$C$15, $D$11, 100%, $F$11)</f>
        <v>22.6126</v>
      </c>
      <c r="H743" s="4">
        <f>CHOOSE( CONTROL!$C$32, 23.587, 23.5834) * CHOOSE(CONTROL!$C$15, $D$11, 100%, $F$11)</f>
        <v>23.587</v>
      </c>
      <c r="I743" s="8">
        <f>CHOOSE( CONTROL!$C$32, 22.3431, 22.3396) * CHOOSE(CONTROL!$C$15, $D$11, 100%, $F$11)</f>
        <v>22.3431</v>
      </c>
      <c r="J743" s="4">
        <f>CHOOSE( CONTROL!$C$32, 22.1883, 22.1848) * CHOOSE(CONTROL!$C$15, $D$11, 100%, $F$11)</f>
        <v>22.188300000000002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21.1094, 21.1057) * CHOOSE(CONTROL!$C$15, $D$11, 100%, $F$11)</f>
        <v>21.109400000000001</v>
      </c>
      <c r="C744" s="8">
        <f>CHOOSE( CONTROL!$C$32, 21.1173, 21.1137) * CHOOSE(CONTROL!$C$15, $D$11, 100%, $F$11)</f>
        <v>21.1173</v>
      </c>
      <c r="D744" s="8">
        <f>CHOOSE( CONTROL!$C$32, 21.1556, 21.1519) * CHOOSE( CONTROL!$C$15, $D$11, 100%, $F$11)</f>
        <v>21.1556</v>
      </c>
      <c r="E744" s="12">
        <f>CHOOSE( CONTROL!$C$32, 21.1405, 21.1368) * CHOOSE( CONTROL!$C$15, $D$11, 100%, $F$11)</f>
        <v>21.140499999999999</v>
      </c>
      <c r="F744" s="4">
        <f>CHOOSE( CONTROL!$C$32, 21.8524, 21.8487) * CHOOSE(CONTROL!$C$15, $D$11, 100%, $F$11)</f>
        <v>21.852399999999999</v>
      </c>
      <c r="G744" s="8">
        <f>CHOOSE( CONTROL!$C$32, 20.8688, 20.8652) * CHOOSE( CONTROL!$C$15, $D$11, 100%, $F$11)</f>
        <v>20.8688</v>
      </c>
      <c r="H744" s="4">
        <f>CHOOSE( CONTROL!$C$32, 21.8431, 21.8395) * CHOOSE(CONTROL!$C$15, $D$11, 100%, $F$11)</f>
        <v>21.8431</v>
      </c>
      <c r="I744" s="8">
        <f>CHOOSE( CONTROL!$C$32, 20.6301, 20.6265) * CHOOSE(CONTROL!$C$15, $D$11, 100%, $F$11)</f>
        <v>20.630099999999999</v>
      </c>
      <c r="J744" s="4">
        <f>CHOOSE( CONTROL!$C$32, 20.4758, 20.4723) * CHOOSE(CONTROL!$C$15, $D$11, 100%, $F$11)</f>
        <v>20.4758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20.6675, 20.6638) * CHOOSE(CONTROL!$C$15, $D$11, 100%, $F$11)</f>
        <v>20.6675</v>
      </c>
      <c r="C745" s="8">
        <f>CHOOSE( CONTROL!$C$32, 20.6755, 20.6718) * CHOOSE(CONTROL!$C$15, $D$11, 100%, $F$11)</f>
        <v>20.6755</v>
      </c>
      <c r="D745" s="8">
        <f>CHOOSE( CONTROL!$C$32, 20.7136, 20.71) * CHOOSE( CONTROL!$C$15, $D$11, 100%, $F$11)</f>
        <v>20.7136</v>
      </c>
      <c r="E745" s="12">
        <f>CHOOSE( CONTROL!$C$32, 20.6986, 20.6949) * CHOOSE( CONTROL!$C$15, $D$11, 100%, $F$11)</f>
        <v>20.698599999999999</v>
      </c>
      <c r="F745" s="4">
        <f>CHOOSE( CONTROL!$C$32, 21.4105, 21.4068) * CHOOSE(CONTROL!$C$15, $D$11, 100%, $F$11)</f>
        <v>21.410499999999999</v>
      </c>
      <c r="G745" s="8">
        <f>CHOOSE( CONTROL!$C$32, 20.432, 20.4284) * CHOOSE( CONTROL!$C$15, $D$11, 100%, $F$11)</f>
        <v>20.431999999999999</v>
      </c>
      <c r="H745" s="4">
        <f>CHOOSE( CONTROL!$C$32, 21.4064, 21.4028) * CHOOSE(CONTROL!$C$15, $D$11, 100%, $F$11)</f>
        <v>21.406400000000001</v>
      </c>
      <c r="I745" s="8">
        <f>CHOOSE( CONTROL!$C$32, 20.2006, 20.1971) * CHOOSE(CONTROL!$C$15, $D$11, 100%, $F$11)</f>
        <v>20.200600000000001</v>
      </c>
      <c r="J745" s="4">
        <f>CHOOSE( CONTROL!$C$32, 20.047, 20.0434) * CHOOSE(CONTROL!$C$15, $D$11, 100%, $F$11)</f>
        <v>20.047000000000001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21.5796 * CHOOSE(CONTROL!$C$15, $D$11, 100%, $F$11)</f>
        <v>21.579599999999999</v>
      </c>
      <c r="C746" s="8">
        <f>21.5849 * CHOOSE(CONTROL!$C$15, $D$11, 100%, $F$11)</f>
        <v>21.584900000000001</v>
      </c>
      <c r="D746" s="8">
        <f>21.6284 * CHOOSE( CONTROL!$C$15, $D$11, 100%, $F$11)</f>
        <v>21.628399999999999</v>
      </c>
      <c r="E746" s="12">
        <f>21.6135 * CHOOSE( CONTROL!$C$15, $D$11, 100%, $F$11)</f>
        <v>21.613499999999998</v>
      </c>
      <c r="F746" s="4">
        <f>22.3243 * CHOOSE(CONTROL!$C$15, $D$11, 100%, $F$11)</f>
        <v>22.324300000000001</v>
      </c>
      <c r="G746" s="8">
        <f>21.3346 * CHOOSE( CONTROL!$C$15, $D$11, 100%, $F$11)</f>
        <v>21.334599999999998</v>
      </c>
      <c r="H746" s="4">
        <f>22.3095 * CHOOSE(CONTROL!$C$15, $D$11, 100%, $F$11)</f>
        <v>22.3095</v>
      </c>
      <c r="I746" s="8">
        <f>21.0887 * CHOOSE(CONTROL!$C$15, $D$11, 100%, $F$11)</f>
        <v>21.088699999999999</v>
      </c>
      <c r="J746" s="4">
        <f>20.9338 * CHOOSE(CONTROL!$C$15, $D$11, 100%, $F$11)</f>
        <v>20.933800000000002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23.2726 * CHOOSE(CONTROL!$C$15, $D$11, 100%, $F$11)</f>
        <v>23.272600000000001</v>
      </c>
      <c r="C747" s="8">
        <f>23.2777 * CHOOSE(CONTROL!$C$15, $D$11, 100%, $F$11)</f>
        <v>23.277699999999999</v>
      </c>
      <c r="D747" s="8">
        <f>23.2613 * CHOOSE( CONTROL!$C$15, $D$11, 100%, $F$11)</f>
        <v>23.261299999999999</v>
      </c>
      <c r="E747" s="12">
        <f>23.2668 * CHOOSE( CONTROL!$C$15, $D$11, 100%, $F$11)</f>
        <v>23.2668</v>
      </c>
      <c r="F747" s="4">
        <f>23.9379 * CHOOSE(CONTROL!$C$15, $D$11, 100%, $F$11)</f>
        <v>23.937899999999999</v>
      </c>
      <c r="G747" s="8">
        <f>23.0088 * CHOOSE( CONTROL!$C$15, $D$11, 100%, $F$11)</f>
        <v>23.008800000000001</v>
      </c>
      <c r="H747" s="4">
        <f>23.9042 * CHOOSE(CONTROL!$C$15, $D$11, 100%, $F$11)</f>
        <v>23.904199999999999</v>
      </c>
      <c r="I747" s="8">
        <f>22.7331 * CHOOSE(CONTROL!$C$15, $D$11, 100%, $F$11)</f>
        <v>22.7331</v>
      </c>
      <c r="J747" s="4">
        <f>22.5773 * CHOOSE(CONTROL!$C$15, $D$11, 100%, $F$11)</f>
        <v>22.577300000000001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23.2303 * CHOOSE(CONTROL!$C$15, $D$11, 100%, $F$11)</f>
        <v>23.2303</v>
      </c>
      <c r="C748" s="8">
        <f>23.2354 * CHOOSE(CONTROL!$C$15, $D$11, 100%, $F$11)</f>
        <v>23.235399999999998</v>
      </c>
      <c r="D748" s="8">
        <f>23.2208 * CHOOSE( CONTROL!$C$15, $D$11, 100%, $F$11)</f>
        <v>23.220800000000001</v>
      </c>
      <c r="E748" s="12">
        <f>23.2256 * CHOOSE( CONTROL!$C$15, $D$11, 100%, $F$11)</f>
        <v>23.2256</v>
      </c>
      <c r="F748" s="4">
        <f>23.8956 * CHOOSE(CONTROL!$C$15, $D$11, 100%, $F$11)</f>
        <v>23.895600000000002</v>
      </c>
      <c r="G748" s="8">
        <f>22.9683 * CHOOSE( CONTROL!$C$15, $D$11, 100%, $F$11)</f>
        <v>22.968299999999999</v>
      </c>
      <c r="H748" s="4">
        <f>23.8624 * CHOOSE(CONTROL!$C$15, $D$11, 100%, $F$11)</f>
        <v>23.862400000000001</v>
      </c>
      <c r="I748" s="8">
        <f>22.6974 * CHOOSE(CONTROL!$C$15, $D$11, 100%, $F$11)</f>
        <v>22.697399999999998</v>
      </c>
      <c r="J748" s="4">
        <f>22.5363 * CHOOSE(CONTROL!$C$15, $D$11, 100%, $F$11)</f>
        <v>22.536300000000001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23.9153 * CHOOSE(CONTROL!$C$15, $D$11, 100%, $F$11)</f>
        <v>23.915299999999998</v>
      </c>
      <c r="C749" s="8">
        <f>23.9204 * CHOOSE(CONTROL!$C$15, $D$11, 100%, $F$11)</f>
        <v>23.920400000000001</v>
      </c>
      <c r="D749" s="8">
        <f>23.8915 * CHOOSE( CONTROL!$C$15, $D$11, 100%, $F$11)</f>
        <v>23.891500000000001</v>
      </c>
      <c r="E749" s="12">
        <f>23.9015 * CHOOSE( CONTROL!$C$15, $D$11, 100%, $F$11)</f>
        <v>23.901499999999999</v>
      </c>
      <c r="F749" s="4">
        <f>24.5806 * CHOOSE(CONTROL!$C$15, $D$11, 100%, $F$11)</f>
        <v>24.5806</v>
      </c>
      <c r="G749" s="8">
        <f>23.6349 * CHOOSE( CONTROL!$C$15, $D$11, 100%, $F$11)</f>
        <v>23.634899999999998</v>
      </c>
      <c r="H749" s="4">
        <f>24.5393 * CHOOSE(CONTROL!$C$15, $D$11, 100%, $F$11)</f>
        <v>24.539300000000001</v>
      </c>
      <c r="I749" s="8">
        <f>23.3571 * CHOOSE(CONTROL!$C$15, $D$11, 100%, $F$11)</f>
        <v>23.357099999999999</v>
      </c>
      <c r="J749" s="4">
        <f>23.201 * CHOOSE(CONTROL!$C$15, $D$11, 100%, $F$11)</f>
        <v>23.201000000000001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22.3698 * CHOOSE(CONTROL!$C$15, $D$11, 100%, $F$11)</f>
        <v>22.369800000000001</v>
      </c>
      <c r="C750" s="8">
        <f>22.3749 * CHOOSE(CONTROL!$C$15, $D$11, 100%, $F$11)</f>
        <v>22.3749</v>
      </c>
      <c r="D750" s="8">
        <f>22.346 * CHOOSE( CONTROL!$C$15, $D$11, 100%, $F$11)</f>
        <v>22.346</v>
      </c>
      <c r="E750" s="12">
        <f>22.356 * CHOOSE( CONTROL!$C$15, $D$11, 100%, $F$11)</f>
        <v>22.356000000000002</v>
      </c>
      <c r="F750" s="4">
        <f>23.0351 * CHOOSE(CONTROL!$C$15, $D$11, 100%, $F$11)</f>
        <v>23.0351</v>
      </c>
      <c r="G750" s="8">
        <f>22.1075 * CHOOSE( CONTROL!$C$15, $D$11, 100%, $F$11)</f>
        <v>22.107500000000002</v>
      </c>
      <c r="H750" s="4">
        <f>23.0119 * CHOOSE(CONTROL!$C$15, $D$11, 100%, $F$11)</f>
        <v>23.011900000000001</v>
      </c>
      <c r="I750" s="8">
        <f>21.8564 * CHOOSE(CONTROL!$C$15, $D$11, 100%, $F$11)</f>
        <v>21.856400000000001</v>
      </c>
      <c r="J750" s="4">
        <f>21.7011 * CHOOSE(CONTROL!$C$15, $D$11, 100%, $F$11)</f>
        <v>21.7011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21.8938 * CHOOSE(CONTROL!$C$15, $D$11, 100%, $F$11)</f>
        <v>21.893799999999999</v>
      </c>
      <c r="C751" s="8">
        <f>21.8988 * CHOOSE(CONTROL!$C$15, $D$11, 100%, $F$11)</f>
        <v>21.898800000000001</v>
      </c>
      <c r="D751" s="8">
        <f>21.8696 * CHOOSE( CONTROL!$C$15, $D$11, 100%, $F$11)</f>
        <v>21.869599999999998</v>
      </c>
      <c r="E751" s="12">
        <f>21.8797 * CHOOSE( CONTROL!$C$15, $D$11, 100%, $F$11)</f>
        <v>21.8797</v>
      </c>
      <c r="F751" s="4">
        <f>22.559 * CHOOSE(CONTROL!$C$15, $D$11, 100%, $F$11)</f>
        <v>22.559000000000001</v>
      </c>
      <c r="G751" s="8">
        <f>21.6368 * CHOOSE( CONTROL!$C$15, $D$11, 100%, $F$11)</f>
        <v>21.636800000000001</v>
      </c>
      <c r="H751" s="4">
        <f>22.5415 * CHOOSE(CONTROL!$C$15, $D$11, 100%, $F$11)</f>
        <v>22.541499999999999</v>
      </c>
      <c r="I751" s="8">
        <f>21.393 * CHOOSE(CONTROL!$C$15, $D$11, 100%, $F$11)</f>
        <v>21.393000000000001</v>
      </c>
      <c r="J751" s="4">
        <f>21.2391 * CHOOSE(CONTROL!$C$15, $D$11, 100%, $F$11)</f>
        <v>21.239100000000001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22.2272 * CHOOSE(CONTROL!$C$15, $D$11, 100%, $F$11)</f>
        <v>22.2272</v>
      </c>
      <c r="C752" s="8">
        <f>22.2317 * CHOOSE(CONTROL!$C$15, $D$11, 100%, $F$11)</f>
        <v>22.2317</v>
      </c>
      <c r="D752" s="8">
        <f>22.275 * CHOOSE( CONTROL!$C$15, $D$11, 100%, $F$11)</f>
        <v>22.274999999999999</v>
      </c>
      <c r="E752" s="12">
        <f>22.2602 * CHOOSE( CONTROL!$C$15, $D$11, 100%, $F$11)</f>
        <v>22.260200000000001</v>
      </c>
      <c r="F752" s="4">
        <f>22.9715 * CHOOSE(CONTROL!$C$15, $D$11, 100%, $F$11)</f>
        <v>22.971499999999999</v>
      </c>
      <c r="G752" s="8">
        <f>21.9733 * CHOOSE( CONTROL!$C$15, $D$11, 100%, $F$11)</f>
        <v>21.973299999999998</v>
      </c>
      <c r="H752" s="4">
        <f>22.9492 * CHOOSE(CONTROL!$C$15, $D$11, 100%, $F$11)</f>
        <v>22.949200000000001</v>
      </c>
      <c r="I752" s="8">
        <f>21.7142 * CHOOSE(CONTROL!$C$15, $D$11, 100%, $F$11)</f>
        <v>21.714200000000002</v>
      </c>
      <c r="J752" s="4">
        <f>21.562 * CHOOSE(CONTROL!$C$15, $D$11, 100%, $F$11)</f>
        <v>21.562000000000001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22.8242, 22.8205) * CHOOSE(CONTROL!$C$15, $D$11, 100%, $F$11)</f>
        <v>22.824200000000001</v>
      </c>
      <c r="C753" s="8">
        <f>CHOOSE( CONTROL!$C$32, 22.8321, 22.8285) * CHOOSE(CONTROL!$C$15, $D$11, 100%, $F$11)</f>
        <v>22.832100000000001</v>
      </c>
      <c r="D753" s="8">
        <f>CHOOSE( CONTROL!$C$32, 22.8699, 22.8662) * CHOOSE( CONTROL!$C$15, $D$11, 100%, $F$11)</f>
        <v>22.869900000000001</v>
      </c>
      <c r="E753" s="12">
        <f>CHOOSE( CONTROL!$C$32, 22.855, 22.8513) * CHOOSE( CONTROL!$C$15, $D$11, 100%, $F$11)</f>
        <v>22.855</v>
      </c>
      <c r="F753" s="4">
        <f>CHOOSE( CONTROL!$C$32, 23.5672, 23.5635) * CHOOSE(CONTROL!$C$15, $D$11, 100%, $F$11)</f>
        <v>23.5672</v>
      </c>
      <c r="G753" s="8">
        <f>CHOOSE( CONTROL!$C$32, 22.5628, 22.5592) * CHOOSE( CONTROL!$C$15, $D$11, 100%, $F$11)</f>
        <v>22.562799999999999</v>
      </c>
      <c r="H753" s="4">
        <f>CHOOSE( CONTROL!$C$32, 23.5378, 23.5342) * CHOOSE(CONTROL!$C$15, $D$11, 100%, $F$11)</f>
        <v>23.537800000000001</v>
      </c>
      <c r="I753" s="8">
        <f>CHOOSE( CONTROL!$C$32, 22.2927, 22.2891) * CHOOSE(CONTROL!$C$15, $D$11, 100%, $F$11)</f>
        <v>22.2927</v>
      </c>
      <c r="J753" s="4">
        <f>CHOOSE( CONTROL!$C$32, 22.14, 22.1365) * CHOOSE(CONTROL!$C$15, $D$11, 100%, $F$11)</f>
        <v>22.14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22.4574, 22.4538) * CHOOSE(CONTROL!$C$15, $D$11, 100%, $F$11)</f>
        <v>22.4574</v>
      </c>
      <c r="C754" s="8">
        <f>CHOOSE( CONTROL!$C$32, 22.4654, 22.4618) * CHOOSE(CONTROL!$C$15, $D$11, 100%, $F$11)</f>
        <v>22.465399999999999</v>
      </c>
      <c r="D754" s="8">
        <f>CHOOSE( CONTROL!$C$32, 22.5034, 22.4997) * CHOOSE( CONTROL!$C$15, $D$11, 100%, $F$11)</f>
        <v>22.503399999999999</v>
      </c>
      <c r="E754" s="12">
        <f>CHOOSE( CONTROL!$C$32, 22.4884, 22.4847) * CHOOSE( CONTROL!$C$15, $D$11, 100%, $F$11)</f>
        <v>22.488399999999999</v>
      </c>
      <c r="F754" s="4">
        <f>CHOOSE( CONTROL!$C$32, 23.2004, 23.1968) * CHOOSE(CONTROL!$C$15, $D$11, 100%, $F$11)</f>
        <v>23.200399999999998</v>
      </c>
      <c r="G754" s="8">
        <f>CHOOSE( CONTROL!$C$32, 22.2007, 22.1971) * CHOOSE( CONTROL!$C$15, $D$11, 100%, $F$11)</f>
        <v>22.200700000000001</v>
      </c>
      <c r="H754" s="4">
        <f>CHOOSE( CONTROL!$C$32, 23.1754, 23.1718) * CHOOSE(CONTROL!$C$15, $D$11, 100%, $F$11)</f>
        <v>23.1754</v>
      </c>
      <c r="I754" s="8">
        <f>CHOOSE( CONTROL!$C$32, 21.9376, 21.9341) * CHOOSE(CONTROL!$C$15, $D$11, 100%, $F$11)</f>
        <v>21.9376</v>
      </c>
      <c r="J754" s="4">
        <f>CHOOSE( CONTROL!$C$32, 21.7841, 21.7806) * CHOOSE(CONTROL!$C$15, $D$11, 100%, $F$11)</f>
        <v>21.784099999999999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23.4232, 23.4195) * CHOOSE(CONTROL!$C$15, $D$11, 100%, $F$11)</f>
        <v>23.423200000000001</v>
      </c>
      <c r="C755" s="8">
        <f>CHOOSE( CONTROL!$C$32, 23.4311, 23.4275) * CHOOSE(CONTROL!$C$15, $D$11, 100%, $F$11)</f>
        <v>23.431100000000001</v>
      </c>
      <c r="D755" s="8">
        <f>CHOOSE( CONTROL!$C$32, 23.4693, 23.4657) * CHOOSE( CONTROL!$C$15, $D$11, 100%, $F$11)</f>
        <v>23.4693</v>
      </c>
      <c r="E755" s="12">
        <f>CHOOSE( CONTROL!$C$32, 23.4543, 23.4506) * CHOOSE( CONTROL!$C$15, $D$11, 100%, $F$11)</f>
        <v>23.4543</v>
      </c>
      <c r="F755" s="4">
        <f>CHOOSE( CONTROL!$C$32, 24.1662, 24.1625) * CHOOSE(CONTROL!$C$15, $D$11, 100%, $F$11)</f>
        <v>24.1662</v>
      </c>
      <c r="G755" s="8">
        <f>CHOOSE( CONTROL!$C$32, 23.1554, 23.1518) * CHOOSE( CONTROL!$C$15, $D$11, 100%, $F$11)</f>
        <v>23.1554</v>
      </c>
      <c r="H755" s="4">
        <f>CHOOSE( CONTROL!$C$32, 24.1298, 24.1262) * CHOOSE(CONTROL!$C$15, $D$11, 100%, $F$11)</f>
        <v>24.129799999999999</v>
      </c>
      <c r="I755" s="8">
        <f>CHOOSE( CONTROL!$C$32, 22.8764, 22.8729) * CHOOSE(CONTROL!$C$15, $D$11, 100%, $F$11)</f>
        <v>22.8764</v>
      </c>
      <c r="J755" s="4">
        <f>CHOOSE( CONTROL!$C$32, 22.7214, 22.7178) * CHOOSE(CONTROL!$C$15, $D$11, 100%, $F$11)</f>
        <v>22.721399999999999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21.6162, 21.6126) * CHOOSE(CONTROL!$C$15, $D$11, 100%, $F$11)</f>
        <v>21.616199999999999</v>
      </c>
      <c r="C756" s="8">
        <f>CHOOSE( CONTROL!$C$32, 21.6242, 21.6205) * CHOOSE(CONTROL!$C$15, $D$11, 100%, $F$11)</f>
        <v>21.624199999999998</v>
      </c>
      <c r="D756" s="8">
        <f>CHOOSE( CONTROL!$C$32, 21.6624, 21.6588) * CHOOSE( CONTROL!$C$15, $D$11, 100%, $F$11)</f>
        <v>21.662400000000002</v>
      </c>
      <c r="E756" s="12">
        <f>CHOOSE( CONTROL!$C$32, 21.6473, 21.6437) * CHOOSE( CONTROL!$C$15, $D$11, 100%, $F$11)</f>
        <v>21.647300000000001</v>
      </c>
      <c r="F756" s="4">
        <f>CHOOSE( CONTROL!$C$32, 22.3592, 22.3556) * CHOOSE(CONTROL!$C$15, $D$11, 100%, $F$11)</f>
        <v>22.359200000000001</v>
      </c>
      <c r="G756" s="8">
        <f>CHOOSE( CONTROL!$C$32, 21.3697, 21.3661) * CHOOSE( CONTROL!$C$15, $D$11, 100%, $F$11)</f>
        <v>21.369700000000002</v>
      </c>
      <c r="H756" s="4">
        <f>CHOOSE( CONTROL!$C$32, 22.344, 22.3404) * CHOOSE(CONTROL!$C$15, $D$11, 100%, $F$11)</f>
        <v>22.344000000000001</v>
      </c>
      <c r="I756" s="8">
        <f>CHOOSE( CONTROL!$C$32, 21.1222, 21.1187) * CHOOSE(CONTROL!$C$15, $D$11, 100%, $F$11)</f>
        <v>21.122199999999999</v>
      </c>
      <c r="J756" s="4">
        <f>CHOOSE( CONTROL!$C$32, 20.9677, 20.9642) * CHOOSE(CONTROL!$C$15, $D$11, 100%, $F$11)</f>
        <v>20.967700000000001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21.1637, 21.1601) * CHOOSE(CONTROL!$C$15, $D$11, 100%, $F$11)</f>
        <v>21.163699999999999</v>
      </c>
      <c r="C757" s="8">
        <f>CHOOSE( CONTROL!$C$32, 21.1717, 21.168) * CHOOSE(CONTROL!$C$15, $D$11, 100%, $F$11)</f>
        <v>21.171700000000001</v>
      </c>
      <c r="D757" s="8">
        <f>CHOOSE( CONTROL!$C$32, 21.2099, 21.2062) * CHOOSE( CONTROL!$C$15, $D$11, 100%, $F$11)</f>
        <v>21.209900000000001</v>
      </c>
      <c r="E757" s="12">
        <f>CHOOSE( CONTROL!$C$32, 21.1948, 21.1912) * CHOOSE( CONTROL!$C$15, $D$11, 100%, $F$11)</f>
        <v>21.194800000000001</v>
      </c>
      <c r="F757" s="4">
        <f>CHOOSE( CONTROL!$C$32, 21.9067, 21.9031) * CHOOSE(CONTROL!$C$15, $D$11, 100%, $F$11)</f>
        <v>21.906700000000001</v>
      </c>
      <c r="G757" s="8">
        <f>CHOOSE( CONTROL!$C$32, 20.9224, 20.9188) * CHOOSE( CONTROL!$C$15, $D$11, 100%, $F$11)</f>
        <v>20.9224</v>
      </c>
      <c r="H757" s="4">
        <f>CHOOSE( CONTROL!$C$32, 21.8968, 21.8932) * CHOOSE(CONTROL!$C$15, $D$11, 100%, $F$11)</f>
        <v>21.896799999999999</v>
      </c>
      <c r="I757" s="8">
        <f>CHOOSE( CONTROL!$C$32, 20.6825, 20.6789) * CHOOSE(CONTROL!$C$15, $D$11, 100%, $F$11)</f>
        <v>20.682500000000001</v>
      </c>
      <c r="J757" s="4">
        <f>CHOOSE( CONTROL!$C$32, 20.5286, 20.525) * CHOOSE(CONTROL!$C$15, $D$11, 100%, $F$11)</f>
        <v>20.528600000000001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22.0979 * CHOOSE(CONTROL!$C$15, $D$11, 100%, $F$11)</f>
        <v>22.097899999999999</v>
      </c>
      <c r="C758" s="8">
        <f>22.1032 * CHOOSE(CONTROL!$C$15, $D$11, 100%, $F$11)</f>
        <v>22.103200000000001</v>
      </c>
      <c r="D758" s="8">
        <f>22.1467 * CHOOSE( CONTROL!$C$15, $D$11, 100%, $F$11)</f>
        <v>22.146699999999999</v>
      </c>
      <c r="E758" s="12">
        <f>22.1318 * CHOOSE( CONTROL!$C$15, $D$11, 100%, $F$11)</f>
        <v>22.131799999999998</v>
      </c>
      <c r="F758" s="4">
        <f>22.8426 * CHOOSE(CONTROL!$C$15, $D$11, 100%, $F$11)</f>
        <v>22.842600000000001</v>
      </c>
      <c r="G758" s="8">
        <f>21.8468 * CHOOSE( CONTROL!$C$15, $D$11, 100%, $F$11)</f>
        <v>21.846800000000002</v>
      </c>
      <c r="H758" s="4">
        <f>22.8217 * CHOOSE(CONTROL!$C$15, $D$11, 100%, $F$11)</f>
        <v>22.8217</v>
      </c>
      <c r="I758" s="8">
        <f>21.5919 * CHOOSE(CONTROL!$C$15, $D$11, 100%, $F$11)</f>
        <v>21.591899999999999</v>
      </c>
      <c r="J758" s="4">
        <f>21.4368 * CHOOSE(CONTROL!$C$15, $D$11, 100%, $F$11)</f>
        <v>21.436800000000002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23.8316 * CHOOSE(CONTROL!$C$15, $D$11, 100%, $F$11)</f>
        <v>23.831600000000002</v>
      </c>
      <c r="C759" s="8">
        <f>23.8367 * CHOOSE(CONTROL!$C$15, $D$11, 100%, $F$11)</f>
        <v>23.8367</v>
      </c>
      <c r="D759" s="8">
        <f>23.8203 * CHOOSE( CONTROL!$C$15, $D$11, 100%, $F$11)</f>
        <v>23.8203</v>
      </c>
      <c r="E759" s="12">
        <f>23.8258 * CHOOSE( CONTROL!$C$15, $D$11, 100%, $F$11)</f>
        <v>23.825800000000001</v>
      </c>
      <c r="F759" s="4">
        <f>24.4969 * CHOOSE(CONTROL!$C$15, $D$11, 100%, $F$11)</f>
        <v>24.4969</v>
      </c>
      <c r="G759" s="8">
        <f>23.5612 * CHOOSE( CONTROL!$C$15, $D$11, 100%, $F$11)</f>
        <v>23.561199999999999</v>
      </c>
      <c r="H759" s="4">
        <f>24.4566 * CHOOSE(CONTROL!$C$15, $D$11, 100%, $F$11)</f>
        <v>24.456600000000002</v>
      </c>
      <c r="I759" s="8">
        <f>23.2759 * CHOOSE(CONTROL!$C$15, $D$11, 100%, $F$11)</f>
        <v>23.2759</v>
      </c>
      <c r="J759" s="4">
        <f>23.1198 * CHOOSE(CONTROL!$C$15, $D$11, 100%, $F$11)</f>
        <v>23.119800000000001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23.7883 * CHOOSE(CONTROL!$C$15, $D$11, 100%, $F$11)</f>
        <v>23.7883</v>
      </c>
      <c r="C760" s="8">
        <f>23.7933 * CHOOSE(CONTROL!$C$15, $D$11, 100%, $F$11)</f>
        <v>23.793299999999999</v>
      </c>
      <c r="D760" s="8">
        <f>23.7787 * CHOOSE( CONTROL!$C$15, $D$11, 100%, $F$11)</f>
        <v>23.778700000000001</v>
      </c>
      <c r="E760" s="12">
        <f>23.7835 * CHOOSE( CONTROL!$C$15, $D$11, 100%, $F$11)</f>
        <v>23.7835</v>
      </c>
      <c r="F760" s="4">
        <f>24.4536 * CHOOSE(CONTROL!$C$15, $D$11, 100%, $F$11)</f>
        <v>24.453600000000002</v>
      </c>
      <c r="G760" s="8">
        <f>23.5197 * CHOOSE( CONTROL!$C$15, $D$11, 100%, $F$11)</f>
        <v>23.5197</v>
      </c>
      <c r="H760" s="4">
        <f>24.4138 * CHOOSE(CONTROL!$C$15, $D$11, 100%, $F$11)</f>
        <v>24.413799999999998</v>
      </c>
      <c r="I760" s="8">
        <f>23.2392 * CHOOSE(CONTROL!$C$15, $D$11, 100%, $F$11)</f>
        <v>23.2392</v>
      </c>
      <c r="J760" s="4">
        <f>23.0778 * CHOOSE(CONTROL!$C$15, $D$11, 100%, $F$11)</f>
        <v>23.0778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24.4897 * CHOOSE(CONTROL!$C$15, $D$11, 100%, $F$11)</f>
        <v>24.489699999999999</v>
      </c>
      <c r="C761" s="8">
        <f>24.4948 * CHOOSE(CONTROL!$C$15, $D$11, 100%, $F$11)</f>
        <v>24.494800000000001</v>
      </c>
      <c r="D761" s="8">
        <f>24.4659 * CHOOSE( CONTROL!$C$15, $D$11, 100%, $F$11)</f>
        <v>24.465900000000001</v>
      </c>
      <c r="E761" s="12">
        <f>24.4759 * CHOOSE( CONTROL!$C$15, $D$11, 100%, $F$11)</f>
        <v>24.475899999999999</v>
      </c>
      <c r="F761" s="4">
        <f>25.155 * CHOOSE(CONTROL!$C$15, $D$11, 100%, $F$11)</f>
        <v>25.155000000000001</v>
      </c>
      <c r="G761" s="8">
        <f>24.2026 * CHOOSE( CONTROL!$C$15, $D$11, 100%, $F$11)</f>
        <v>24.2026</v>
      </c>
      <c r="H761" s="4">
        <f>25.107 * CHOOSE(CONTROL!$C$15, $D$11, 100%, $F$11)</f>
        <v>25.106999999999999</v>
      </c>
      <c r="I761" s="8">
        <f>23.9149 * CHOOSE(CONTROL!$C$15, $D$11, 100%, $F$11)</f>
        <v>23.914899999999999</v>
      </c>
      <c r="J761" s="4">
        <f>23.7585 * CHOOSE(CONTROL!$C$15, $D$11, 100%, $F$11)</f>
        <v>23.758500000000002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22.907 * CHOOSE(CONTROL!$C$15, $D$11, 100%, $F$11)</f>
        <v>22.907</v>
      </c>
      <c r="C762" s="8">
        <f>22.9121 * CHOOSE(CONTROL!$C$15, $D$11, 100%, $F$11)</f>
        <v>22.912099999999999</v>
      </c>
      <c r="D762" s="8">
        <f>22.8832 * CHOOSE( CONTROL!$C$15, $D$11, 100%, $F$11)</f>
        <v>22.883199999999999</v>
      </c>
      <c r="E762" s="12">
        <f>22.8932 * CHOOSE( CONTROL!$C$15, $D$11, 100%, $F$11)</f>
        <v>22.8932</v>
      </c>
      <c r="F762" s="4">
        <f>23.5723 * CHOOSE(CONTROL!$C$15, $D$11, 100%, $F$11)</f>
        <v>23.572299999999998</v>
      </c>
      <c r="G762" s="8">
        <f>22.6385 * CHOOSE( CONTROL!$C$15, $D$11, 100%, $F$11)</f>
        <v>22.638500000000001</v>
      </c>
      <c r="H762" s="4">
        <f>23.5429 * CHOOSE(CONTROL!$C$15, $D$11, 100%, $F$11)</f>
        <v>23.542899999999999</v>
      </c>
      <c r="I762" s="8">
        <f>22.3781 * CHOOSE(CONTROL!$C$15, $D$11, 100%, $F$11)</f>
        <v>22.3781</v>
      </c>
      <c r="J762" s="4">
        <f>22.2225 * CHOOSE(CONTROL!$C$15, $D$11, 100%, $F$11)</f>
        <v>22.2225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22.4196 * CHOOSE(CONTROL!$C$15, $D$11, 100%, $F$11)</f>
        <v>22.419599999999999</v>
      </c>
      <c r="C763" s="8">
        <f>22.4247 * CHOOSE(CONTROL!$C$15, $D$11, 100%, $F$11)</f>
        <v>22.424700000000001</v>
      </c>
      <c r="D763" s="8">
        <f>22.3954 * CHOOSE( CONTROL!$C$15, $D$11, 100%, $F$11)</f>
        <v>22.395399999999999</v>
      </c>
      <c r="E763" s="12">
        <f>22.4056 * CHOOSE( CONTROL!$C$15, $D$11, 100%, $F$11)</f>
        <v>22.4056</v>
      </c>
      <c r="F763" s="4">
        <f>23.0849 * CHOOSE(CONTROL!$C$15, $D$11, 100%, $F$11)</f>
        <v>23.084900000000001</v>
      </c>
      <c r="G763" s="8">
        <f>22.1565 * CHOOSE( CONTROL!$C$15, $D$11, 100%, $F$11)</f>
        <v>22.156500000000001</v>
      </c>
      <c r="H763" s="4">
        <f>23.0612 * CHOOSE(CONTROL!$C$15, $D$11, 100%, $F$11)</f>
        <v>23.061199999999999</v>
      </c>
      <c r="I763" s="8">
        <f>21.9036 * CHOOSE(CONTROL!$C$15, $D$11, 100%, $F$11)</f>
        <v>21.903600000000001</v>
      </c>
      <c r="J763" s="4">
        <f>21.7495 * CHOOSE(CONTROL!$C$15, $D$11, 100%, $F$11)</f>
        <v>21.749500000000001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22.761 * CHOOSE(CONTROL!$C$15, $D$11, 100%, $F$11)</f>
        <v>22.760999999999999</v>
      </c>
      <c r="C764" s="8">
        <f>22.7655 * CHOOSE(CONTROL!$C$15, $D$11, 100%, $F$11)</f>
        <v>22.765499999999999</v>
      </c>
      <c r="D764" s="8">
        <f>22.8089 * CHOOSE( CONTROL!$C$15, $D$11, 100%, $F$11)</f>
        <v>22.808900000000001</v>
      </c>
      <c r="E764" s="12">
        <f>22.7941 * CHOOSE( CONTROL!$C$15, $D$11, 100%, $F$11)</f>
        <v>22.7941</v>
      </c>
      <c r="F764" s="4">
        <f>23.5054 * CHOOSE(CONTROL!$C$15, $D$11, 100%, $F$11)</f>
        <v>23.505400000000002</v>
      </c>
      <c r="G764" s="8">
        <f>22.5009 * CHOOSE( CONTROL!$C$15, $D$11, 100%, $F$11)</f>
        <v>22.500900000000001</v>
      </c>
      <c r="H764" s="4">
        <f>23.4767 * CHOOSE(CONTROL!$C$15, $D$11, 100%, $F$11)</f>
        <v>23.476700000000001</v>
      </c>
      <c r="I764" s="8">
        <f>22.2325 * CHOOSE(CONTROL!$C$15, $D$11, 100%, $F$11)</f>
        <v>22.232500000000002</v>
      </c>
      <c r="J764" s="4">
        <f>22.08 * CHOOSE(CONTROL!$C$15, $D$11, 100%, $F$11)</f>
        <v>22.08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23.3722, 23.3686) * CHOOSE(CONTROL!$C$15, $D$11, 100%, $F$11)</f>
        <v>23.372199999999999</v>
      </c>
      <c r="C765" s="8">
        <f>CHOOSE( CONTROL!$C$32, 23.3802, 23.3765) * CHOOSE(CONTROL!$C$15, $D$11, 100%, $F$11)</f>
        <v>23.380199999999999</v>
      </c>
      <c r="D765" s="8">
        <f>CHOOSE( CONTROL!$C$32, 23.4179, 23.4143) * CHOOSE( CONTROL!$C$15, $D$11, 100%, $F$11)</f>
        <v>23.417899999999999</v>
      </c>
      <c r="E765" s="12">
        <f>CHOOSE( CONTROL!$C$32, 23.403, 23.3994) * CHOOSE( CONTROL!$C$15, $D$11, 100%, $F$11)</f>
        <v>23.402999999999999</v>
      </c>
      <c r="F765" s="4">
        <f>CHOOSE( CONTROL!$C$32, 24.1152, 24.1116) * CHOOSE(CONTROL!$C$15, $D$11, 100%, $F$11)</f>
        <v>24.115200000000002</v>
      </c>
      <c r="G765" s="8">
        <f>CHOOSE( CONTROL!$C$32, 23.1044, 23.1008) * CHOOSE( CONTROL!$C$15, $D$11, 100%, $F$11)</f>
        <v>23.104399999999998</v>
      </c>
      <c r="H765" s="4">
        <f>CHOOSE( CONTROL!$C$32, 24.0795, 24.0759) * CHOOSE(CONTROL!$C$15, $D$11, 100%, $F$11)</f>
        <v>24.079499999999999</v>
      </c>
      <c r="I765" s="8">
        <f>CHOOSE( CONTROL!$C$32, 22.8248, 22.8213) * CHOOSE(CONTROL!$C$15, $D$11, 100%, $F$11)</f>
        <v>22.8248</v>
      </c>
      <c r="J765" s="4">
        <f>CHOOSE( CONTROL!$C$32, 22.6719, 22.6684) * CHOOSE(CONTROL!$C$15, $D$11, 100%, $F$11)</f>
        <v>22.671900000000001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22.9967, 22.993) * CHOOSE(CONTROL!$C$15, $D$11, 100%, $F$11)</f>
        <v>22.996700000000001</v>
      </c>
      <c r="C766" s="8">
        <f>CHOOSE( CONTROL!$C$32, 23.0047, 23.001) * CHOOSE(CONTROL!$C$15, $D$11, 100%, $F$11)</f>
        <v>23.0047</v>
      </c>
      <c r="D766" s="8">
        <f>CHOOSE( CONTROL!$C$32, 23.0426, 23.039) * CHOOSE( CONTROL!$C$15, $D$11, 100%, $F$11)</f>
        <v>23.0426</v>
      </c>
      <c r="E766" s="12">
        <f>CHOOSE( CONTROL!$C$32, 23.0276, 23.024) * CHOOSE( CONTROL!$C$15, $D$11, 100%, $F$11)</f>
        <v>23.0276</v>
      </c>
      <c r="F766" s="4">
        <f>CHOOSE( CONTROL!$C$32, 23.7397, 23.736) * CHOOSE(CONTROL!$C$15, $D$11, 100%, $F$11)</f>
        <v>23.739699999999999</v>
      </c>
      <c r="G766" s="8">
        <f>CHOOSE( CONTROL!$C$32, 22.7336, 22.73) * CHOOSE( CONTROL!$C$15, $D$11, 100%, $F$11)</f>
        <v>22.733599999999999</v>
      </c>
      <c r="H766" s="4">
        <f>CHOOSE( CONTROL!$C$32, 23.7083, 23.7047) * CHOOSE(CONTROL!$C$15, $D$11, 100%, $F$11)</f>
        <v>23.708300000000001</v>
      </c>
      <c r="I766" s="8">
        <f>CHOOSE( CONTROL!$C$32, 22.4612, 22.4577) * CHOOSE(CONTROL!$C$15, $D$11, 100%, $F$11)</f>
        <v>22.461200000000002</v>
      </c>
      <c r="J766" s="4">
        <f>CHOOSE( CONTROL!$C$32, 22.3075, 22.3039) * CHOOSE(CONTROL!$C$15, $D$11, 100%, $F$11)</f>
        <v>22.307500000000001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23.9856, 23.982) * CHOOSE(CONTROL!$C$15, $D$11, 100%, $F$11)</f>
        <v>23.985600000000002</v>
      </c>
      <c r="C767" s="8">
        <f>CHOOSE( CONTROL!$C$32, 23.9936, 23.9899) * CHOOSE(CONTROL!$C$15, $D$11, 100%, $F$11)</f>
        <v>23.993600000000001</v>
      </c>
      <c r="D767" s="8">
        <f>CHOOSE( CONTROL!$C$32, 24.0318, 24.0281) * CHOOSE( CONTROL!$C$15, $D$11, 100%, $F$11)</f>
        <v>24.0318</v>
      </c>
      <c r="E767" s="12">
        <f>CHOOSE( CONTROL!$C$32, 24.0167, 24.0131) * CHOOSE( CONTROL!$C$15, $D$11, 100%, $F$11)</f>
        <v>24.0167</v>
      </c>
      <c r="F767" s="4">
        <f>CHOOSE( CONTROL!$C$32, 24.7286, 24.725) * CHOOSE(CONTROL!$C$15, $D$11, 100%, $F$11)</f>
        <v>24.7286</v>
      </c>
      <c r="G767" s="8">
        <f>CHOOSE( CONTROL!$C$32, 23.7113, 23.7077) * CHOOSE( CONTROL!$C$15, $D$11, 100%, $F$11)</f>
        <v>23.711300000000001</v>
      </c>
      <c r="H767" s="4">
        <f>CHOOSE( CONTROL!$C$32, 24.6857, 24.6821) * CHOOSE(CONTROL!$C$15, $D$11, 100%, $F$11)</f>
        <v>24.685700000000001</v>
      </c>
      <c r="I767" s="8">
        <f>CHOOSE( CONTROL!$C$32, 23.4226, 23.419) * CHOOSE(CONTROL!$C$15, $D$11, 100%, $F$11)</f>
        <v>23.422599999999999</v>
      </c>
      <c r="J767" s="4">
        <f>CHOOSE( CONTROL!$C$32, 23.2672, 23.2637) * CHOOSE(CONTROL!$C$15, $D$11, 100%, $F$11)</f>
        <v>23.267199999999999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22.1352, 22.1316) * CHOOSE(CONTROL!$C$15, $D$11, 100%, $F$11)</f>
        <v>22.135200000000001</v>
      </c>
      <c r="C768" s="8">
        <f>CHOOSE( CONTROL!$C$32, 22.1432, 22.1396) * CHOOSE(CONTROL!$C$15, $D$11, 100%, $F$11)</f>
        <v>22.1432</v>
      </c>
      <c r="D768" s="8">
        <f>CHOOSE( CONTROL!$C$32, 22.1815, 22.1778) * CHOOSE( CONTROL!$C$15, $D$11, 100%, $F$11)</f>
        <v>22.1815</v>
      </c>
      <c r="E768" s="12">
        <f>CHOOSE( CONTROL!$C$32, 22.1664, 22.1627) * CHOOSE( CONTROL!$C$15, $D$11, 100%, $F$11)</f>
        <v>22.166399999999999</v>
      </c>
      <c r="F768" s="4">
        <f>CHOOSE( CONTROL!$C$32, 22.8782, 22.8746) * CHOOSE(CONTROL!$C$15, $D$11, 100%, $F$11)</f>
        <v>22.8782</v>
      </c>
      <c r="G768" s="8">
        <f>CHOOSE( CONTROL!$C$32, 21.8827, 21.8791) * CHOOSE( CONTROL!$C$15, $D$11, 100%, $F$11)</f>
        <v>21.8827</v>
      </c>
      <c r="H768" s="4">
        <f>CHOOSE( CONTROL!$C$32, 22.857, 22.8534) * CHOOSE(CONTROL!$C$15, $D$11, 100%, $F$11)</f>
        <v>22.856999999999999</v>
      </c>
      <c r="I768" s="8">
        <f>CHOOSE( CONTROL!$C$32, 21.6262, 21.6226) * CHOOSE(CONTROL!$C$15, $D$11, 100%, $F$11)</f>
        <v>21.626200000000001</v>
      </c>
      <c r="J768" s="4">
        <f>CHOOSE( CONTROL!$C$32, 21.4714, 21.4679) * CHOOSE(CONTROL!$C$15, $D$11, 100%, $F$11)</f>
        <v>21.471399999999999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21.6719, 21.6682) * CHOOSE(CONTROL!$C$15, $D$11, 100%, $F$11)</f>
        <v>21.671900000000001</v>
      </c>
      <c r="C769" s="8">
        <f>CHOOSE( CONTROL!$C$32, 21.6798, 21.6762) * CHOOSE(CONTROL!$C$15, $D$11, 100%, $F$11)</f>
        <v>21.6798</v>
      </c>
      <c r="D769" s="8">
        <f>CHOOSE( CONTROL!$C$32, 21.718, 21.7144) * CHOOSE( CONTROL!$C$15, $D$11, 100%, $F$11)</f>
        <v>21.718</v>
      </c>
      <c r="E769" s="12">
        <f>CHOOSE( CONTROL!$C$32, 21.703, 21.6993) * CHOOSE( CONTROL!$C$15, $D$11, 100%, $F$11)</f>
        <v>21.702999999999999</v>
      </c>
      <c r="F769" s="4">
        <f>CHOOSE( CONTROL!$C$32, 22.4149, 22.4112) * CHOOSE(CONTROL!$C$15, $D$11, 100%, $F$11)</f>
        <v>22.414899999999999</v>
      </c>
      <c r="G769" s="8">
        <f>CHOOSE( CONTROL!$C$32, 21.4246, 21.421) * CHOOSE( CONTROL!$C$15, $D$11, 100%, $F$11)</f>
        <v>21.424600000000002</v>
      </c>
      <c r="H769" s="4">
        <f>CHOOSE( CONTROL!$C$32, 22.399, 22.3954) * CHOOSE(CONTROL!$C$15, $D$11, 100%, $F$11)</f>
        <v>22.399000000000001</v>
      </c>
      <c r="I769" s="8">
        <f>CHOOSE( CONTROL!$C$32, 21.1759, 21.1723) * CHOOSE(CONTROL!$C$15, $D$11, 100%, $F$11)</f>
        <v>21.175899999999999</v>
      </c>
      <c r="J769" s="4">
        <f>CHOOSE( CONTROL!$C$32, 21.0217, 21.0182) * CHOOSE(CONTROL!$C$15, $D$11, 100%, $F$11)</f>
        <v>21.021699999999999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22.6286 * CHOOSE(CONTROL!$C$15, $D$11, 100%, $F$11)</f>
        <v>22.628599999999999</v>
      </c>
      <c r="C770" s="8">
        <f>22.6339 * CHOOSE(CONTROL!$C$15, $D$11, 100%, $F$11)</f>
        <v>22.633900000000001</v>
      </c>
      <c r="D770" s="8">
        <f>22.6774 * CHOOSE( CONTROL!$C$15, $D$11, 100%, $F$11)</f>
        <v>22.677399999999999</v>
      </c>
      <c r="E770" s="12">
        <f>22.6625 * CHOOSE( CONTROL!$C$15, $D$11, 100%, $F$11)</f>
        <v>22.662500000000001</v>
      </c>
      <c r="F770" s="4">
        <f>23.3733 * CHOOSE(CONTROL!$C$15, $D$11, 100%, $F$11)</f>
        <v>23.3733</v>
      </c>
      <c r="G770" s="8">
        <f>22.3713 * CHOOSE( CONTROL!$C$15, $D$11, 100%, $F$11)</f>
        <v>22.371300000000002</v>
      </c>
      <c r="H770" s="4">
        <f>23.3462 * CHOOSE(CONTROL!$C$15, $D$11, 100%, $F$11)</f>
        <v>23.3462</v>
      </c>
      <c r="I770" s="8">
        <f>22.1073 * CHOOSE(CONTROL!$C$15, $D$11, 100%, $F$11)</f>
        <v>22.107299999999999</v>
      </c>
      <c r="J770" s="4">
        <f>21.9519 * CHOOSE(CONTROL!$C$15, $D$11, 100%, $F$11)</f>
        <v>21.951899999999998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24.404 * CHOOSE(CONTROL!$C$15, $D$11, 100%, $F$11)</f>
        <v>24.404</v>
      </c>
      <c r="C771" s="8">
        <f>24.4091 * CHOOSE(CONTROL!$C$15, $D$11, 100%, $F$11)</f>
        <v>24.409099999999999</v>
      </c>
      <c r="D771" s="8">
        <f>24.3927 * CHOOSE( CONTROL!$C$15, $D$11, 100%, $F$11)</f>
        <v>24.392700000000001</v>
      </c>
      <c r="E771" s="12">
        <f>24.3982 * CHOOSE( CONTROL!$C$15, $D$11, 100%, $F$11)</f>
        <v>24.398199999999999</v>
      </c>
      <c r="F771" s="4">
        <f>25.0693 * CHOOSE(CONTROL!$C$15, $D$11, 100%, $F$11)</f>
        <v>25.069299999999998</v>
      </c>
      <c r="G771" s="8">
        <f>24.1269 * CHOOSE( CONTROL!$C$15, $D$11, 100%, $F$11)</f>
        <v>24.126899999999999</v>
      </c>
      <c r="H771" s="4">
        <f>25.0223 * CHOOSE(CONTROL!$C$15, $D$11, 100%, $F$11)</f>
        <v>25.022300000000001</v>
      </c>
      <c r="I771" s="8">
        <f>23.8317 * CHOOSE(CONTROL!$C$15, $D$11, 100%, $F$11)</f>
        <v>23.831700000000001</v>
      </c>
      <c r="J771" s="4">
        <f>23.6753 * CHOOSE(CONTROL!$C$15, $D$11, 100%, $F$11)</f>
        <v>23.6753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24.3596 * CHOOSE(CONTROL!$C$15, $D$11, 100%, $F$11)</f>
        <v>24.3596</v>
      </c>
      <c r="C772" s="8">
        <f>24.3647 * CHOOSE(CONTROL!$C$15, $D$11, 100%, $F$11)</f>
        <v>24.364699999999999</v>
      </c>
      <c r="D772" s="8">
        <f>24.3501 * CHOOSE( CONTROL!$C$15, $D$11, 100%, $F$11)</f>
        <v>24.350100000000001</v>
      </c>
      <c r="E772" s="12">
        <f>24.3549 * CHOOSE( CONTROL!$C$15, $D$11, 100%, $F$11)</f>
        <v>24.354900000000001</v>
      </c>
      <c r="F772" s="4">
        <f>25.0249 * CHOOSE(CONTROL!$C$15, $D$11, 100%, $F$11)</f>
        <v>25.024899999999999</v>
      </c>
      <c r="G772" s="8">
        <f>24.0843 * CHOOSE( CONTROL!$C$15, $D$11, 100%, $F$11)</f>
        <v>24.084299999999999</v>
      </c>
      <c r="H772" s="4">
        <f>24.9785 * CHOOSE(CONTROL!$C$15, $D$11, 100%, $F$11)</f>
        <v>24.9785</v>
      </c>
      <c r="I772" s="8">
        <f>23.794 * CHOOSE(CONTROL!$C$15, $D$11, 100%, $F$11)</f>
        <v>23.794</v>
      </c>
      <c r="J772" s="4">
        <f>23.6323 * CHOOSE(CONTROL!$C$15, $D$11, 100%, $F$11)</f>
        <v>23.632300000000001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25.0779 * CHOOSE(CONTROL!$C$15, $D$11, 100%, $F$11)</f>
        <v>25.0779</v>
      </c>
      <c r="C773" s="8">
        <f>25.083 * CHOOSE(CONTROL!$C$15, $D$11, 100%, $F$11)</f>
        <v>25.082999999999998</v>
      </c>
      <c r="D773" s="8">
        <f>25.0541 * CHOOSE( CONTROL!$C$15, $D$11, 100%, $F$11)</f>
        <v>25.054099999999998</v>
      </c>
      <c r="E773" s="12">
        <f>25.0641 * CHOOSE( CONTROL!$C$15, $D$11, 100%, $F$11)</f>
        <v>25.0641</v>
      </c>
      <c r="F773" s="4">
        <f>25.7432 * CHOOSE(CONTROL!$C$15, $D$11, 100%, $F$11)</f>
        <v>25.743200000000002</v>
      </c>
      <c r="G773" s="8">
        <f>24.7839 * CHOOSE( CONTROL!$C$15, $D$11, 100%, $F$11)</f>
        <v>24.783899999999999</v>
      </c>
      <c r="H773" s="4">
        <f>25.6883 * CHOOSE(CONTROL!$C$15, $D$11, 100%, $F$11)</f>
        <v>25.688300000000002</v>
      </c>
      <c r="I773" s="8">
        <f>24.486 * CHOOSE(CONTROL!$C$15, $D$11, 100%, $F$11)</f>
        <v>24.486000000000001</v>
      </c>
      <c r="J773" s="4">
        <f>24.3293 * CHOOSE(CONTROL!$C$15, $D$11, 100%, $F$11)</f>
        <v>24.3293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23.4572 * CHOOSE(CONTROL!$C$15, $D$11, 100%, $F$11)</f>
        <v>23.4572</v>
      </c>
      <c r="C774" s="8">
        <f>23.4623 * CHOOSE(CONTROL!$C$15, $D$11, 100%, $F$11)</f>
        <v>23.462299999999999</v>
      </c>
      <c r="D774" s="8">
        <f>23.4334 * CHOOSE( CONTROL!$C$15, $D$11, 100%, $F$11)</f>
        <v>23.433399999999999</v>
      </c>
      <c r="E774" s="12">
        <f>23.4434 * CHOOSE( CONTROL!$C$15, $D$11, 100%, $F$11)</f>
        <v>23.4434</v>
      </c>
      <c r="F774" s="4">
        <f>24.1225 * CHOOSE(CONTROL!$C$15, $D$11, 100%, $F$11)</f>
        <v>24.122499999999999</v>
      </c>
      <c r="G774" s="8">
        <f>23.1822 * CHOOSE( CONTROL!$C$15, $D$11, 100%, $F$11)</f>
        <v>23.182200000000002</v>
      </c>
      <c r="H774" s="4">
        <f>24.0867 * CHOOSE(CONTROL!$C$15, $D$11, 100%, $F$11)</f>
        <v>24.0867</v>
      </c>
      <c r="I774" s="8">
        <f>22.9123 * CHOOSE(CONTROL!$C$15, $D$11, 100%, $F$11)</f>
        <v>22.912299999999998</v>
      </c>
      <c r="J774" s="4">
        <f>22.7565 * CHOOSE(CONTROL!$C$15, $D$11, 100%, $F$11)</f>
        <v>22.756499999999999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22.9581 * CHOOSE(CONTROL!$C$15, $D$11, 100%, $F$11)</f>
        <v>22.958100000000002</v>
      </c>
      <c r="C775" s="8">
        <f>22.9631 * CHOOSE(CONTROL!$C$15, $D$11, 100%, $F$11)</f>
        <v>22.963100000000001</v>
      </c>
      <c r="D775" s="8">
        <f>22.9339 * CHOOSE( CONTROL!$C$15, $D$11, 100%, $F$11)</f>
        <v>22.933900000000001</v>
      </c>
      <c r="E775" s="12">
        <f>22.944 * CHOOSE( CONTROL!$C$15, $D$11, 100%, $F$11)</f>
        <v>22.943999999999999</v>
      </c>
      <c r="F775" s="4">
        <f>23.6234 * CHOOSE(CONTROL!$C$15, $D$11, 100%, $F$11)</f>
        <v>23.6234</v>
      </c>
      <c r="G775" s="8">
        <f>22.6886 * CHOOSE( CONTROL!$C$15, $D$11, 100%, $F$11)</f>
        <v>22.688600000000001</v>
      </c>
      <c r="H775" s="4">
        <f>23.5933 * CHOOSE(CONTROL!$C$15, $D$11, 100%, $F$11)</f>
        <v>23.593299999999999</v>
      </c>
      <c r="I775" s="8">
        <f>22.4264 * CHOOSE(CONTROL!$C$15, $D$11, 100%, $F$11)</f>
        <v>22.426400000000001</v>
      </c>
      <c r="J775" s="4">
        <f>22.2721 * CHOOSE(CONTROL!$C$15, $D$11, 100%, $F$11)</f>
        <v>22.272099999999998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23.3076 * CHOOSE(CONTROL!$C$15, $D$11, 100%, $F$11)</f>
        <v>23.307600000000001</v>
      </c>
      <c r="C776" s="8">
        <f>23.3121 * CHOOSE(CONTROL!$C$15, $D$11, 100%, $F$11)</f>
        <v>23.312100000000001</v>
      </c>
      <c r="D776" s="8">
        <f>23.3555 * CHOOSE( CONTROL!$C$15, $D$11, 100%, $F$11)</f>
        <v>23.355499999999999</v>
      </c>
      <c r="E776" s="12">
        <f>23.3407 * CHOOSE( CONTROL!$C$15, $D$11, 100%, $F$11)</f>
        <v>23.340699999999998</v>
      </c>
      <c r="F776" s="4">
        <f>24.052 * CHOOSE(CONTROL!$C$15, $D$11, 100%, $F$11)</f>
        <v>24.052</v>
      </c>
      <c r="G776" s="8">
        <f>23.0411 * CHOOSE( CONTROL!$C$15, $D$11, 100%, $F$11)</f>
        <v>23.0411</v>
      </c>
      <c r="H776" s="4">
        <f>24.017 * CHOOSE(CONTROL!$C$15, $D$11, 100%, $F$11)</f>
        <v>24.016999999999999</v>
      </c>
      <c r="I776" s="8">
        <f>22.7633 * CHOOSE(CONTROL!$C$15, $D$11, 100%, $F$11)</f>
        <v>22.763300000000001</v>
      </c>
      <c r="J776" s="4">
        <f>22.6106 * CHOOSE(CONTROL!$C$15, $D$11, 100%, $F$11)</f>
        <v>22.610600000000002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23.9334, 23.9298) * CHOOSE(CONTROL!$C$15, $D$11, 100%, $F$11)</f>
        <v>23.933399999999999</v>
      </c>
      <c r="C777" s="8">
        <f>CHOOSE( CONTROL!$C$32, 23.9414, 23.9378) * CHOOSE(CONTROL!$C$15, $D$11, 100%, $F$11)</f>
        <v>23.941400000000002</v>
      </c>
      <c r="D777" s="8">
        <f>CHOOSE( CONTROL!$C$32, 23.9791, 23.9755) * CHOOSE( CONTROL!$C$15, $D$11, 100%, $F$11)</f>
        <v>23.979099999999999</v>
      </c>
      <c r="E777" s="12">
        <f>CHOOSE( CONTROL!$C$32, 23.9642, 23.9606) * CHOOSE( CONTROL!$C$15, $D$11, 100%, $F$11)</f>
        <v>23.964200000000002</v>
      </c>
      <c r="F777" s="4">
        <f>CHOOSE( CONTROL!$C$32, 24.6764, 24.6728) * CHOOSE(CONTROL!$C$15, $D$11, 100%, $F$11)</f>
        <v>24.676400000000001</v>
      </c>
      <c r="G777" s="8">
        <f>CHOOSE( CONTROL!$C$32, 23.6591, 23.6555) * CHOOSE( CONTROL!$C$15, $D$11, 100%, $F$11)</f>
        <v>23.659099999999999</v>
      </c>
      <c r="H777" s="4">
        <f>CHOOSE( CONTROL!$C$32, 24.6341, 24.6305) * CHOOSE(CONTROL!$C$15, $D$11, 100%, $F$11)</f>
        <v>24.6341</v>
      </c>
      <c r="I777" s="8">
        <f>CHOOSE( CONTROL!$C$32, 23.3697, 23.3662) * CHOOSE(CONTROL!$C$15, $D$11, 100%, $F$11)</f>
        <v>23.369700000000002</v>
      </c>
      <c r="J777" s="4">
        <f>CHOOSE( CONTROL!$C$32, 23.2166, 23.213) * CHOOSE(CONTROL!$C$15, $D$11, 100%, $F$11)</f>
        <v>23.2166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23.5489, 23.5452) * CHOOSE(CONTROL!$C$15, $D$11, 100%, $F$11)</f>
        <v>23.5489</v>
      </c>
      <c r="C778" s="8">
        <f>CHOOSE( CONTROL!$C$32, 23.5569, 23.5532) * CHOOSE(CONTROL!$C$15, $D$11, 100%, $F$11)</f>
        <v>23.556899999999999</v>
      </c>
      <c r="D778" s="8">
        <f>CHOOSE( CONTROL!$C$32, 23.5948, 23.5912) * CHOOSE( CONTROL!$C$15, $D$11, 100%, $F$11)</f>
        <v>23.594799999999999</v>
      </c>
      <c r="E778" s="12">
        <f>CHOOSE( CONTROL!$C$32, 23.5798, 23.5762) * CHOOSE( CONTROL!$C$15, $D$11, 100%, $F$11)</f>
        <v>23.579799999999999</v>
      </c>
      <c r="F778" s="4">
        <f>CHOOSE( CONTROL!$C$32, 24.2919, 24.2882) * CHOOSE(CONTROL!$C$15, $D$11, 100%, $F$11)</f>
        <v>24.291899999999998</v>
      </c>
      <c r="G778" s="8">
        <f>CHOOSE( CONTROL!$C$32, 23.2793, 23.2757) * CHOOSE( CONTROL!$C$15, $D$11, 100%, $F$11)</f>
        <v>23.279299999999999</v>
      </c>
      <c r="H778" s="4">
        <f>CHOOSE( CONTROL!$C$32, 24.254, 24.2504) * CHOOSE(CONTROL!$C$15, $D$11, 100%, $F$11)</f>
        <v>24.254000000000001</v>
      </c>
      <c r="I778" s="8">
        <f>CHOOSE( CONTROL!$C$32, 22.9974, 22.9938) * CHOOSE(CONTROL!$C$15, $D$11, 100%, $F$11)</f>
        <v>22.997399999999999</v>
      </c>
      <c r="J778" s="4">
        <f>CHOOSE( CONTROL!$C$32, 22.8434, 22.8398) * CHOOSE(CONTROL!$C$15, $D$11, 100%, $F$11)</f>
        <v>22.843399999999999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24.5616, 24.5579) * CHOOSE(CONTROL!$C$15, $D$11, 100%, $F$11)</f>
        <v>24.561599999999999</v>
      </c>
      <c r="C779" s="8">
        <f>CHOOSE( CONTROL!$C$32, 24.5695, 24.5659) * CHOOSE(CONTROL!$C$15, $D$11, 100%, $F$11)</f>
        <v>24.569500000000001</v>
      </c>
      <c r="D779" s="8">
        <f>CHOOSE( CONTROL!$C$32, 24.6077, 24.6041) * CHOOSE( CONTROL!$C$15, $D$11, 100%, $F$11)</f>
        <v>24.607700000000001</v>
      </c>
      <c r="E779" s="12">
        <f>CHOOSE( CONTROL!$C$32, 24.5927, 24.589) * CHOOSE( CONTROL!$C$15, $D$11, 100%, $F$11)</f>
        <v>24.592700000000001</v>
      </c>
      <c r="F779" s="4">
        <f>CHOOSE( CONTROL!$C$32, 25.3046, 25.3009) * CHOOSE(CONTROL!$C$15, $D$11, 100%, $F$11)</f>
        <v>25.304600000000001</v>
      </c>
      <c r="G779" s="8">
        <f>CHOOSE( CONTROL!$C$32, 24.2805, 24.2769) * CHOOSE( CONTROL!$C$15, $D$11, 100%, $F$11)</f>
        <v>24.2805</v>
      </c>
      <c r="H779" s="4">
        <f>CHOOSE( CONTROL!$C$32, 25.2549, 25.2513) * CHOOSE(CONTROL!$C$15, $D$11, 100%, $F$11)</f>
        <v>25.254899999999999</v>
      </c>
      <c r="I779" s="8">
        <f>CHOOSE( CONTROL!$C$32, 23.9818, 23.9783) * CHOOSE(CONTROL!$C$15, $D$11, 100%, $F$11)</f>
        <v>23.9818</v>
      </c>
      <c r="J779" s="4">
        <f>CHOOSE( CONTROL!$C$32, 23.8262, 23.8226) * CHOOSE(CONTROL!$C$15, $D$11, 100%, $F$11)</f>
        <v>23.8262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22.6667, 22.6631) * CHOOSE(CONTROL!$C$15, $D$11, 100%, $F$11)</f>
        <v>22.666699999999999</v>
      </c>
      <c r="C780" s="8">
        <f>CHOOSE( CONTROL!$C$32, 22.6747, 22.6711) * CHOOSE(CONTROL!$C$15, $D$11, 100%, $F$11)</f>
        <v>22.674700000000001</v>
      </c>
      <c r="D780" s="8">
        <f>CHOOSE( CONTROL!$C$32, 22.713, 22.7093) * CHOOSE( CONTROL!$C$15, $D$11, 100%, $F$11)</f>
        <v>22.713000000000001</v>
      </c>
      <c r="E780" s="12">
        <f>CHOOSE( CONTROL!$C$32, 22.6979, 22.6942) * CHOOSE( CONTROL!$C$15, $D$11, 100%, $F$11)</f>
        <v>22.697900000000001</v>
      </c>
      <c r="F780" s="4">
        <f>CHOOSE( CONTROL!$C$32, 23.4097, 23.4061) * CHOOSE(CONTROL!$C$15, $D$11, 100%, $F$11)</f>
        <v>23.409700000000001</v>
      </c>
      <c r="G780" s="8">
        <f>CHOOSE( CONTROL!$C$32, 22.408, 22.4044) * CHOOSE( CONTROL!$C$15, $D$11, 100%, $F$11)</f>
        <v>22.408000000000001</v>
      </c>
      <c r="H780" s="4">
        <f>CHOOSE( CONTROL!$C$32, 23.3822, 23.3786) * CHOOSE(CONTROL!$C$15, $D$11, 100%, $F$11)</f>
        <v>23.382200000000001</v>
      </c>
      <c r="I780" s="8">
        <f>CHOOSE( CONTROL!$C$32, 22.1422, 22.1387) * CHOOSE(CONTROL!$C$15, $D$11, 100%, $F$11)</f>
        <v>22.142199999999999</v>
      </c>
      <c r="J780" s="4">
        <f>CHOOSE( CONTROL!$C$32, 21.9872, 21.9837) * CHOOSE(CONTROL!$C$15, $D$11, 100%, $F$11)</f>
        <v>21.987200000000001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22.1922, 22.1886) * CHOOSE(CONTROL!$C$15, $D$11, 100%, $F$11)</f>
        <v>22.1922</v>
      </c>
      <c r="C781" s="8">
        <f>CHOOSE( CONTROL!$C$32, 22.2002, 22.1966) * CHOOSE(CONTROL!$C$15, $D$11, 100%, $F$11)</f>
        <v>22.200199999999999</v>
      </c>
      <c r="D781" s="8">
        <f>CHOOSE( CONTROL!$C$32, 22.2384, 22.2347) * CHOOSE( CONTROL!$C$15, $D$11, 100%, $F$11)</f>
        <v>22.238399999999999</v>
      </c>
      <c r="E781" s="12">
        <f>CHOOSE( CONTROL!$C$32, 22.2233, 22.2197) * CHOOSE( CONTROL!$C$15, $D$11, 100%, $F$11)</f>
        <v>22.223299999999998</v>
      </c>
      <c r="F781" s="4">
        <f>CHOOSE( CONTROL!$C$32, 22.9352, 22.9316) * CHOOSE(CONTROL!$C$15, $D$11, 100%, $F$11)</f>
        <v>22.935199999999998</v>
      </c>
      <c r="G781" s="8">
        <f>CHOOSE( CONTROL!$C$32, 21.9389, 21.9353) * CHOOSE( CONTROL!$C$15, $D$11, 100%, $F$11)</f>
        <v>21.9389</v>
      </c>
      <c r="H781" s="4">
        <f>CHOOSE( CONTROL!$C$32, 22.9133, 22.9097) * CHOOSE(CONTROL!$C$15, $D$11, 100%, $F$11)</f>
        <v>22.9133</v>
      </c>
      <c r="I781" s="8">
        <f>CHOOSE( CONTROL!$C$32, 21.6811, 21.6776) * CHOOSE(CONTROL!$C$15, $D$11, 100%, $F$11)</f>
        <v>21.681100000000001</v>
      </c>
      <c r="J781" s="4">
        <f>CHOOSE( CONTROL!$C$32, 21.5267, 21.5232) * CHOOSE(CONTROL!$C$15, $D$11, 100%, $F$11)</f>
        <v>21.526700000000002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23.1721 * CHOOSE(CONTROL!$C$15, $D$11, 100%, $F$11)</f>
        <v>23.1721</v>
      </c>
      <c r="C782" s="8">
        <f>23.1774 * CHOOSE(CONTROL!$C$15, $D$11, 100%, $F$11)</f>
        <v>23.177399999999999</v>
      </c>
      <c r="D782" s="8">
        <f>23.2209 * CHOOSE( CONTROL!$C$15, $D$11, 100%, $F$11)</f>
        <v>23.2209</v>
      </c>
      <c r="E782" s="12">
        <f>23.206 * CHOOSE( CONTROL!$C$15, $D$11, 100%, $F$11)</f>
        <v>23.206</v>
      </c>
      <c r="F782" s="4">
        <f>23.9168 * CHOOSE(CONTROL!$C$15, $D$11, 100%, $F$11)</f>
        <v>23.916799999999999</v>
      </c>
      <c r="G782" s="8">
        <f>22.9085 * CHOOSE( CONTROL!$C$15, $D$11, 100%, $F$11)</f>
        <v>22.9085</v>
      </c>
      <c r="H782" s="4">
        <f>23.8834 * CHOOSE(CONTROL!$C$15, $D$11, 100%, $F$11)</f>
        <v>23.883400000000002</v>
      </c>
      <c r="I782" s="8">
        <f>22.635 * CHOOSE(CONTROL!$C$15, $D$11, 100%, $F$11)</f>
        <v>22.635000000000002</v>
      </c>
      <c r="J782" s="4">
        <f>22.4793 * CHOOSE(CONTROL!$C$15, $D$11, 100%, $F$11)</f>
        <v>22.479299999999999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24.9901 * CHOOSE(CONTROL!$C$15, $D$11, 100%, $F$11)</f>
        <v>24.990100000000002</v>
      </c>
      <c r="C783" s="8">
        <f>24.9952 * CHOOSE(CONTROL!$C$15, $D$11, 100%, $F$11)</f>
        <v>24.995200000000001</v>
      </c>
      <c r="D783" s="8">
        <f>24.9789 * CHOOSE( CONTROL!$C$15, $D$11, 100%, $F$11)</f>
        <v>24.978899999999999</v>
      </c>
      <c r="E783" s="12">
        <f>24.9843 * CHOOSE( CONTROL!$C$15, $D$11, 100%, $F$11)</f>
        <v>24.984300000000001</v>
      </c>
      <c r="F783" s="4">
        <f>25.6554 * CHOOSE(CONTROL!$C$15, $D$11, 100%, $F$11)</f>
        <v>25.6554</v>
      </c>
      <c r="G783" s="8">
        <f>24.7062 * CHOOSE( CONTROL!$C$15, $D$11, 100%, $F$11)</f>
        <v>24.706199999999999</v>
      </c>
      <c r="H783" s="4">
        <f>25.6016 * CHOOSE(CONTROL!$C$15, $D$11, 100%, $F$11)</f>
        <v>25.601600000000001</v>
      </c>
      <c r="I783" s="8">
        <f>24.4008 * CHOOSE(CONTROL!$C$15, $D$11, 100%, $F$11)</f>
        <v>24.4008</v>
      </c>
      <c r="J783" s="4">
        <f>24.2442 * CHOOSE(CONTROL!$C$15, $D$11, 100%, $F$11)</f>
        <v>24.244199999999999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24.9447 * CHOOSE(CONTROL!$C$15, $D$11, 100%, $F$11)</f>
        <v>24.944700000000001</v>
      </c>
      <c r="C784" s="8">
        <f>24.9498 * CHOOSE(CONTROL!$C$15, $D$11, 100%, $F$11)</f>
        <v>24.9498</v>
      </c>
      <c r="D784" s="8">
        <f>24.9352 * CHOOSE( CONTROL!$C$15, $D$11, 100%, $F$11)</f>
        <v>24.935199999999998</v>
      </c>
      <c r="E784" s="12">
        <f>24.94 * CHOOSE( CONTROL!$C$15, $D$11, 100%, $F$11)</f>
        <v>24.94</v>
      </c>
      <c r="F784" s="4">
        <f>25.61 * CHOOSE(CONTROL!$C$15, $D$11, 100%, $F$11)</f>
        <v>25.61</v>
      </c>
      <c r="G784" s="8">
        <f>24.6626 * CHOOSE( CONTROL!$C$15, $D$11, 100%, $F$11)</f>
        <v>24.662600000000001</v>
      </c>
      <c r="H784" s="4">
        <f>25.5567 * CHOOSE(CONTROL!$C$15, $D$11, 100%, $F$11)</f>
        <v>25.556699999999999</v>
      </c>
      <c r="I784" s="8">
        <f>24.3621 * CHOOSE(CONTROL!$C$15, $D$11, 100%, $F$11)</f>
        <v>24.362100000000002</v>
      </c>
      <c r="J784" s="4">
        <f>24.2001 * CHOOSE(CONTROL!$C$15, $D$11, 100%, $F$11)</f>
        <v>24.200099999999999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25.6802 * CHOOSE(CONTROL!$C$15, $D$11, 100%, $F$11)</f>
        <v>25.680199999999999</v>
      </c>
      <c r="C785" s="8">
        <f>25.6853 * CHOOSE(CONTROL!$C$15, $D$11, 100%, $F$11)</f>
        <v>25.685300000000002</v>
      </c>
      <c r="D785" s="8">
        <f>25.6564 * CHOOSE( CONTROL!$C$15, $D$11, 100%, $F$11)</f>
        <v>25.656400000000001</v>
      </c>
      <c r="E785" s="12">
        <f>25.6664 * CHOOSE( CONTROL!$C$15, $D$11, 100%, $F$11)</f>
        <v>25.666399999999999</v>
      </c>
      <c r="F785" s="4">
        <f>26.3455 * CHOOSE(CONTROL!$C$15, $D$11, 100%, $F$11)</f>
        <v>26.345500000000001</v>
      </c>
      <c r="G785" s="8">
        <f>25.3792 * CHOOSE( CONTROL!$C$15, $D$11, 100%, $F$11)</f>
        <v>25.379200000000001</v>
      </c>
      <c r="H785" s="4">
        <f>26.2836 * CHOOSE(CONTROL!$C$15, $D$11, 100%, $F$11)</f>
        <v>26.2836</v>
      </c>
      <c r="I785" s="8">
        <f>25.0709 * CHOOSE(CONTROL!$C$15, $D$11, 100%, $F$11)</f>
        <v>25.070900000000002</v>
      </c>
      <c r="J785" s="4">
        <f>24.9139 * CHOOSE(CONTROL!$C$15, $D$11, 100%, $F$11)</f>
        <v>24.913900000000002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24.0206 * CHOOSE(CONTROL!$C$15, $D$11, 100%, $F$11)</f>
        <v>24.020600000000002</v>
      </c>
      <c r="C786" s="8">
        <f>24.0257 * CHOOSE(CONTROL!$C$15, $D$11, 100%, $F$11)</f>
        <v>24.025700000000001</v>
      </c>
      <c r="D786" s="8">
        <f>23.9968 * CHOOSE( CONTROL!$C$15, $D$11, 100%, $F$11)</f>
        <v>23.9968</v>
      </c>
      <c r="E786" s="12">
        <f>24.0068 * CHOOSE( CONTROL!$C$15, $D$11, 100%, $F$11)</f>
        <v>24.006799999999998</v>
      </c>
      <c r="F786" s="4">
        <f>24.6859 * CHOOSE(CONTROL!$C$15, $D$11, 100%, $F$11)</f>
        <v>24.6859</v>
      </c>
      <c r="G786" s="8">
        <f>23.739 * CHOOSE( CONTROL!$C$15, $D$11, 100%, $F$11)</f>
        <v>23.739000000000001</v>
      </c>
      <c r="H786" s="4">
        <f>24.6435 * CHOOSE(CONTROL!$C$15, $D$11, 100%, $F$11)</f>
        <v>24.6435</v>
      </c>
      <c r="I786" s="8">
        <f>23.4594 * CHOOSE(CONTROL!$C$15, $D$11, 100%, $F$11)</f>
        <v>23.459399999999999</v>
      </c>
      <c r="J786" s="4">
        <f>23.3033 * CHOOSE(CONTROL!$C$15, $D$11, 100%, $F$11)</f>
        <v>23.3033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23.5095 * CHOOSE(CONTROL!$C$15, $D$11, 100%, $F$11)</f>
        <v>23.509499999999999</v>
      </c>
      <c r="C787" s="8">
        <f>23.5146 * CHOOSE(CONTROL!$C$15, $D$11, 100%, $F$11)</f>
        <v>23.514600000000002</v>
      </c>
      <c r="D787" s="8">
        <f>23.4853 * CHOOSE( CONTROL!$C$15, $D$11, 100%, $F$11)</f>
        <v>23.485299999999999</v>
      </c>
      <c r="E787" s="12">
        <f>23.4955 * CHOOSE( CONTROL!$C$15, $D$11, 100%, $F$11)</f>
        <v>23.4955</v>
      </c>
      <c r="F787" s="4">
        <f>24.1748 * CHOOSE(CONTROL!$C$15, $D$11, 100%, $F$11)</f>
        <v>24.174800000000001</v>
      </c>
      <c r="G787" s="8">
        <f>23.2336 * CHOOSE( CONTROL!$C$15, $D$11, 100%, $F$11)</f>
        <v>23.233599999999999</v>
      </c>
      <c r="H787" s="4">
        <f>24.1383 * CHOOSE(CONTROL!$C$15, $D$11, 100%, $F$11)</f>
        <v>24.138300000000001</v>
      </c>
      <c r="I787" s="8">
        <f>22.9618 * CHOOSE(CONTROL!$C$15, $D$11, 100%, $F$11)</f>
        <v>22.9618</v>
      </c>
      <c r="J787" s="4">
        <f>22.8072 * CHOOSE(CONTROL!$C$15, $D$11, 100%, $F$11)</f>
        <v>22.807200000000002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23.8674 * CHOOSE(CONTROL!$C$15, $D$11, 100%, $F$11)</f>
        <v>23.8674</v>
      </c>
      <c r="C788" s="8">
        <f>23.8719 * CHOOSE(CONTROL!$C$15, $D$11, 100%, $F$11)</f>
        <v>23.8719</v>
      </c>
      <c r="D788" s="8">
        <f>23.9153 * CHOOSE( CONTROL!$C$15, $D$11, 100%, $F$11)</f>
        <v>23.915299999999998</v>
      </c>
      <c r="E788" s="12">
        <f>23.9005 * CHOOSE( CONTROL!$C$15, $D$11, 100%, $F$11)</f>
        <v>23.900500000000001</v>
      </c>
      <c r="F788" s="4">
        <f>24.6118 * CHOOSE(CONTROL!$C$15, $D$11, 100%, $F$11)</f>
        <v>24.611799999999999</v>
      </c>
      <c r="G788" s="8">
        <f>23.5944 * CHOOSE( CONTROL!$C$15, $D$11, 100%, $F$11)</f>
        <v>23.5944</v>
      </c>
      <c r="H788" s="4">
        <f>24.5702 * CHOOSE(CONTROL!$C$15, $D$11, 100%, $F$11)</f>
        <v>24.5702</v>
      </c>
      <c r="I788" s="8">
        <f>23.3068 * CHOOSE(CONTROL!$C$15, $D$11, 100%, $F$11)</f>
        <v>23.306799999999999</v>
      </c>
      <c r="J788" s="4">
        <f>23.1538 * CHOOSE(CONTROL!$C$15, $D$11, 100%, $F$11)</f>
        <v>23.1538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24.5081, 24.5045) * CHOOSE(CONTROL!$C$15, $D$11, 100%, $F$11)</f>
        <v>24.508099999999999</v>
      </c>
      <c r="C789" s="8">
        <f>CHOOSE( CONTROL!$C$32, 24.5161, 24.5125) * CHOOSE(CONTROL!$C$15, $D$11, 100%, $F$11)</f>
        <v>24.516100000000002</v>
      </c>
      <c r="D789" s="8">
        <f>CHOOSE( CONTROL!$C$32, 24.5538, 24.5502) * CHOOSE( CONTROL!$C$15, $D$11, 100%, $F$11)</f>
        <v>24.553799999999999</v>
      </c>
      <c r="E789" s="12">
        <f>CHOOSE( CONTROL!$C$32, 24.5389, 24.5353) * CHOOSE( CONTROL!$C$15, $D$11, 100%, $F$11)</f>
        <v>24.538900000000002</v>
      </c>
      <c r="F789" s="4">
        <f>CHOOSE( CONTROL!$C$32, 25.2511, 25.2475) * CHOOSE(CONTROL!$C$15, $D$11, 100%, $F$11)</f>
        <v>25.251100000000001</v>
      </c>
      <c r="G789" s="8">
        <f>CHOOSE( CONTROL!$C$32, 24.227, 24.2234) * CHOOSE( CONTROL!$C$15, $D$11, 100%, $F$11)</f>
        <v>24.227</v>
      </c>
      <c r="H789" s="4">
        <f>CHOOSE( CONTROL!$C$32, 25.2021, 25.1985) * CHOOSE(CONTROL!$C$15, $D$11, 100%, $F$11)</f>
        <v>25.202100000000002</v>
      </c>
      <c r="I789" s="8">
        <f>CHOOSE( CONTROL!$C$32, 23.9278, 23.9242) * CHOOSE(CONTROL!$C$15, $D$11, 100%, $F$11)</f>
        <v>23.927800000000001</v>
      </c>
      <c r="J789" s="4">
        <f>CHOOSE( CONTROL!$C$32, 23.7743, 23.7708) * CHOOSE(CONTROL!$C$15, $D$11, 100%, $F$11)</f>
        <v>23.7743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24.1143, 24.1107) * CHOOSE(CONTROL!$C$15, $D$11, 100%, $F$11)</f>
        <v>24.1143</v>
      </c>
      <c r="C790" s="8">
        <f>CHOOSE( CONTROL!$C$32, 24.1223, 24.1187) * CHOOSE(CONTROL!$C$15, $D$11, 100%, $F$11)</f>
        <v>24.122299999999999</v>
      </c>
      <c r="D790" s="8">
        <f>CHOOSE( CONTROL!$C$32, 24.1603, 24.1566) * CHOOSE( CONTROL!$C$15, $D$11, 100%, $F$11)</f>
        <v>24.160299999999999</v>
      </c>
      <c r="E790" s="12">
        <f>CHOOSE( CONTROL!$C$32, 24.1453, 24.1416) * CHOOSE( CONTROL!$C$15, $D$11, 100%, $F$11)</f>
        <v>24.145299999999999</v>
      </c>
      <c r="F790" s="4">
        <f>CHOOSE( CONTROL!$C$32, 24.8573, 24.8537) * CHOOSE(CONTROL!$C$15, $D$11, 100%, $F$11)</f>
        <v>24.857299999999999</v>
      </c>
      <c r="G790" s="8">
        <f>CHOOSE( CONTROL!$C$32, 23.8382, 23.8346) * CHOOSE( CONTROL!$C$15, $D$11, 100%, $F$11)</f>
        <v>23.838200000000001</v>
      </c>
      <c r="H790" s="4">
        <f>CHOOSE( CONTROL!$C$32, 24.8129, 24.8093) * CHOOSE(CONTROL!$C$15, $D$11, 100%, $F$11)</f>
        <v>24.812899999999999</v>
      </c>
      <c r="I790" s="8">
        <f>CHOOSE( CONTROL!$C$32, 23.5464, 23.5429) * CHOOSE(CONTROL!$C$15, $D$11, 100%, $F$11)</f>
        <v>23.546399999999998</v>
      </c>
      <c r="J790" s="4">
        <f>CHOOSE( CONTROL!$C$32, 23.3921, 23.3886) * CHOOSE(CONTROL!$C$15, $D$11, 100%, $F$11)</f>
        <v>23.392099999999999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25.1514, 25.1477) * CHOOSE(CONTROL!$C$15, $D$11, 100%, $F$11)</f>
        <v>25.151399999999999</v>
      </c>
      <c r="C791" s="8">
        <f>CHOOSE( CONTROL!$C$32, 25.1593, 25.1557) * CHOOSE(CONTROL!$C$15, $D$11, 100%, $F$11)</f>
        <v>25.159300000000002</v>
      </c>
      <c r="D791" s="8">
        <f>CHOOSE( CONTROL!$C$32, 25.1975, 25.1939) * CHOOSE( CONTROL!$C$15, $D$11, 100%, $F$11)</f>
        <v>25.197500000000002</v>
      </c>
      <c r="E791" s="12">
        <f>CHOOSE( CONTROL!$C$32, 25.1825, 25.1788) * CHOOSE( CONTROL!$C$15, $D$11, 100%, $F$11)</f>
        <v>25.182500000000001</v>
      </c>
      <c r="F791" s="4">
        <f>CHOOSE( CONTROL!$C$32, 25.8944, 25.8907) * CHOOSE(CONTROL!$C$15, $D$11, 100%, $F$11)</f>
        <v>25.894400000000001</v>
      </c>
      <c r="G791" s="8">
        <f>CHOOSE( CONTROL!$C$32, 24.8634, 24.8598) * CHOOSE( CONTROL!$C$15, $D$11, 100%, $F$11)</f>
        <v>24.863399999999999</v>
      </c>
      <c r="H791" s="4">
        <f>CHOOSE( CONTROL!$C$32, 25.8378, 25.8342) * CHOOSE(CONTROL!$C$15, $D$11, 100%, $F$11)</f>
        <v>25.837800000000001</v>
      </c>
      <c r="I791" s="8">
        <f>CHOOSE( CONTROL!$C$32, 24.5545, 24.551) * CHOOSE(CONTROL!$C$15, $D$11, 100%, $F$11)</f>
        <v>24.554500000000001</v>
      </c>
      <c r="J791" s="4">
        <f>CHOOSE( CONTROL!$C$32, 24.3986, 24.395) * CHOOSE(CONTROL!$C$15, $D$11, 100%, $F$11)</f>
        <v>24.398599999999998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23.211, 23.2074) * CHOOSE(CONTROL!$C$15, $D$11, 100%, $F$11)</f>
        <v>23.210999999999999</v>
      </c>
      <c r="C792" s="8">
        <f>CHOOSE( CONTROL!$C$32, 23.219, 23.2153) * CHOOSE(CONTROL!$C$15, $D$11, 100%, $F$11)</f>
        <v>23.219000000000001</v>
      </c>
      <c r="D792" s="8">
        <f>CHOOSE( CONTROL!$C$32, 23.2572, 23.2536) * CHOOSE( CONTROL!$C$15, $D$11, 100%, $F$11)</f>
        <v>23.257200000000001</v>
      </c>
      <c r="E792" s="12">
        <f>CHOOSE( CONTROL!$C$32, 23.2421, 23.2385) * CHOOSE( CONTROL!$C$15, $D$11, 100%, $F$11)</f>
        <v>23.242100000000001</v>
      </c>
      <c r="F792" s="4">
        <f>CHOOSE( CONTROL!$C$32, 23.954, 23.9504) * CHOOSE(CONTROL!$C$15, $D$11, 100%, $F$11)</f>
        <v>23.954000000000001</v>
      </c>
      <c r="G792" s="8">
        <f>CHOOSE( CONTROL!$C$32, 22.9459, 22.9423) * CHOOSE( CONTROL!$C$15, $D$11, 100%, $F$11)</f>
        <v>22.945900000000002</v>
      </c>
      <c r="H792" s="4">
        <f>CHOOSE( CONTROL!$C$32, 23.9201, 23.9165) * CHOOSE(CONTROL!$C$15, $D$11, 100%, $F$11)</f>
        <v>23.920100000000001</v>
      </c>
      <c r="I792" s="8">
        <f>CHOOSE( CONTROL!$C$32, 22.6707, 22.6672) * CHOOSE(CONTROL!$C$15, $D$11, 100%, $F$11)</f>
        <v>22.6707</v>
      </c>
      <c r="J792" s="4">
        <f>CHOOSE( CONTROL!$C$32, 22.5154, 22.5119) * CHOOSE(CONTROL!$C$15, $D$11, 100%, $F$11)</f>
        <v>22.5154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22.7251, 22.7215) * CHOOSE(CONTROL!$C$15, $D$11, 100%, $F$11)</f>
        <v>22.725100000000001</v>
      </c>
      <c r="C793" s="8">
        <f>CHOOSE( CONTROL!$C$32, 22.7331, 22.7294) * CHOOSE(CONTROL!$C$15, $D$11, 100%, $F$11)</f>
        <v>22.7331</v>
      </c>
      <c r="D793" s="8">
        <f>CHOOSE( CONTROL!$C$32, 22.7713, 22.7676) * CHOOSE( CONTROL!$C$15, $D$11, 100%, $F$11)</f>
        <v>22.7713</v>
      </c>
      <c r="E793" s="12">
        <f>CHOOSE( CONTROL!$C$32, 22.7562, 22.7526) * CHOOSE( CONTROL!$C$15, $D$11, 100%, $F$11)</f>
        <v>22.7562</v>
      </c>
      <c r="F793" s="4">
        <f>CHOOSE( CONTROL!$C$32, 23.4681, 23.4645) * CHOOSE(CONTROL!$C$15, $D$11, 100%, $F$11)</f>
        <v>23.4681</v>
      </c>
      <c r="G793" s="8">
        <f>CHOOSE( CONTROL!$C$32, 22.4655, 22.4619) * CHOOSE( CONTROL!$C$15, $D$11, 100%, $F$11)</f>
        <v>22.465499999999999</v>
      </c>
      <c r="H793" s="4">
        <f>CHOOSE( CONTROL!$C$32, 23.4399, 23.4363) * CHOOSE(CONTROL!$C$15, $D$11, 100%, $F$11)</f>
        <v>23.439900000000002</v>
      </c>
      <c r="I793" s="8">
        <f>CHOOSE( CONTROL!$C$32, 22.1986, 22.195) * CHOOSE(CONTROL!$C$15, $D$11, 100%, $F$11)</f>
        <v>22.198599999999999</v>
      </c>
      <c r="J793" s="4">
        <f>CHOOSE( CONTROL!$C$32, 22.0439, 22.0404) * CHOOSE(CONTROL!$C$15, $D$11, 100%, $F$11)</f>
        <v>22.043900000000001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23.7286 * CHOOSE(CONTROL!$C$15, $D$11, 100%, $F$11)</f>
        <v>23.7286</v>
      </c>
      <c r="C794" s="8">
        <f>23.7339 * CHOOSE(CONTROL!$C$15, $D$11, 100%, $F$11)</f>
        <v>23.733899999999998</v>
      </c>
      <c r="D794" s="8">
        <f>23.7775 * CHOOSE( CONTROL!$C$15, $D$11, 100%, $F$11)</f>
        <v>23.7775</v>
      </c>
      <c r="E794" s="12">
        <f>23.7625 * CHOOSE( CONTROL!$C$15, $D$11, 100%, $F$11)</f>
        <v>23.762499999999999</v>
      </c>
      <c r="F794" s="4">
        <f>24.4733 * CHOOSE(CONTROL!$C$15, $D$11, 100%, $F$11)</f>
        <v>24.473299999999998</v>
      </c>
      <c r="G794" s="8">
        <f>23.4585 * CHOOSE( CONTROL!$C$15, $D$11, 100%, $F$11)</f>
        <v>23.458500000000001</v>
      </c>
      <c r="H794" s="4">
        <f>24.4334 * CHOOSE(CONTROL!$C$15, $D$11, 100%, $F$11)</f>
        <v>24.433399999999999</v>
      </c>
      <c r="I794" s="8">
        <f>23.1754 * CHOOSE(CONTROL!$C$15, $D$11, 100%, $F$11)</f>
        <v>23.1754</v>
      </c>
      <c r="J794" s="4">
        <f>23.0195 * CHOOSE(CONTROL!$C$15, $D$11, 100%, $F$11)</f>
        <v>23.019500000000001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25.5904 * CHOOSE(CONTROL!$C$15, $D$11, 100%, $F$11)</f>
        <v>25.590399999999999</v>
      </c>
      <c r="C795" s="8">
        <f>25.5955 * CHOOSE(CONTROL!$C$15, $D$11, 100%, $F$11)</f>
        <v>25.595500000000001</v>
      </c>
      <c r="D795" s="8">
        <f>25.5791 * CHOOSE( CONTROL!$C$15, $D$11, 100%, $F$11)</f>
        <v>25.5791</v>
      </c>
      <c r="E795" s="12">
        <f>25.5846 * CHOOSE( CONTROL!$C$15, $D$11, 100%, $F$11)</f>
        <v>25.584599999999998</v>
      </c>
      <c r="F795" s="4">
        <f>26.2557 * CHOOSE(CONTROL!$C$15, $D$11, 100%, $F$11)</f>
        <v>26.255700000000001</v>
      </c>
      <c r="G795" s="8">
        <f>25.2994 * CHOOSE( CONTROL!$C$15, $D$11, 100%, $F$11)</f>
        <v>25.299399999999999</v>
      </c>
      <c r="H795" s="4">
        <f>26.1948 * CHOOSE(CONTROL!$C$15, $D$11, 100%, $F$11)</f>
        <v>26.194800000000001</v>
      </c>
      <c r="I795" s="8">
        <f>24.9836 * CHOOSE(CONTROL!$C$15, $D$11, 100%, $F$11)</f>
        <v>24.983599999999999</v>
      </c>
      <c r="J795" s="4">
        <f>24.8267 * CHOOSE(CONTROL!$C$15, $D$11, 100%, $F$11)</f>
        <v>24.826699999999999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25.5439 * CHOOSE(CONTROL!$C$15, $D$11, 100%, $F$11)</f>
        <v>25.543900000000001</v>
      </c>
      <c r="C796" s="8">
        <f>25.5489 * CHOOSE(CONTROL!$C$15, $D$11, 100%, $F$11)</f>
        <v>25.5489</v>
      </c>
      <c r="D796" s="8">
        <f>25.5343 * CHOOSE( CONTROL!$C$15, $D$11, 100%, $F$11)</f>
        <v>25.534300000000002</v>
      </c>
      <c r="E796" s="12">
        <f>25.5391 * CHOOSE( CONTROL!$C$15, $D$11, 100%, $F$11)</f>
        <v>25.539100000000001</v>
      </c>
      <c r="F796" s="4">
        <f>26.2091 * CHOOSE(CONTROL!$C$15, $D$11, 100%, $F$11)</f>
        <v>26.209099999999999</v>
      </c>
      <c r="G796" s="8">
        <f>25.2547 * CHOOSE( CONTROL!$C$15, $D$11, 100%, $F$11)</f>
        <v>25.2547</v>
      </c>
      <c r="H796" s="4">
        <f>26.1488 * CHOOSE(CONTROL!$C$15, $D$11, 100%, $F$11)</f>
        <v>26.148800000000001</v>
      </c>
      <c r="I796" s="8">
        <f>24.9438 * CHOOSE(CONTROL!$C$15, $D$11, 100%, $F$11)</f>
        <v>24.9438</v>
      </c>
      <c r="J796" s="4">
        <f>24.7816 * CHOOSE(CONTROL!$C$15, $D$11, 100%, $F$11)</f>
        <v>24.781600000000001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26.297 * CHOOSE(CONTROL!$C$15, $D$11, 100%, $F$11)</f>
        <v>26.297000000000001</v>
      </c>
      <c r="C797" s="8">
        <f>26.3021 * CHOOSE(CONTROL!$C$15, $D$11, 100%, $F$11)</f>
        <v>26.302099999999999</v>
      </c>
      <c r="D797" s="8">
        <f>26.2732 * CHOOSE( CONTROL!$C$15, $D$11, 100%, $F$11)</f>
        <v>26.273199999999999</v>
      </c>
      <c r="E797" s="12">
        <f>26.2832 * CHOOSE( CONTROL!$C$15, $D$11, 100%, $F$11)</f>
        <v>26.283200000000001</v>
      </c>
      <c r="F797" s="4">
        <f>26.9623 * CHOOSE(CONTROL!$C$15, $D$11, 100%, $F$11)</f>
        <v>26.962299999999999</v>
      </c>
      <c r="G797" s="8">
        <f>25.9888 * CHOOSE( CONTROL!$C$15, $D$11, 100%, $F$11)</f>
        <v>25.988800000000001</v>
      </c>
      <c r="H797" s="4">
        <f>26.8932 * CHOOSE(CONTROL!$C$15, $D$11, 100%, $F$11)</f>
        <v>26.8932</v>
      </c>
      <c r="I797" s="8">
        <f>25.6698 * CHOOSE(CONTROL!$C$15, $D$11, 100%, $F$11)</f>
        <v>25.669799999999999</v>
      </c>
      <c r="J797" s="4">
        <f>25.5125 * CHOOSE(CONTROL!$C$15, $D$11, 100%, $F$11)</f>
        <v>25.512499999999999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24.5976 * CHOOSE(CONTROL!$C$15, $D$11, 100%, $F$11)</f>
        <v>24.5976</v>
      </c>
      <c r="C798" s="8">
        <f>24.6026 * CHOOSE(CONTROL!$C$15, $D$11, 100%, $F$11)</f>
        <v>24.602599999999999</v>
      </c>
      <c r="D798" s="8">
        <f>24.5738 * CHOOSE( CONTROL!$C$15, $D$11, 100%, $F$11)</f>
        <v>24.573799999999999</v>
      </c>
      <c r="E798" s="12">
        <f>24.5838 * CHOOSE( CONTROL!$C$15, $D$11, 100%, $F$11)</f>
        <v>24.5838</v>
      </c>
      <c r="F798" s="4">
        <f>25.2628 * CHOOSE(CONTROL!$C$15, $D$11, 100%, $F$11)</f>
        <v>25.262799999999999</v>
      </c>
      <c r="G798" s="8">
        <f>24.3092 * CHOOSE( CONTROL!$C$15, $D$11, 100%, $F$11)</f>
        <v>24.309200000000001</v>
      </c>
      <c r="H798" s="4">
        <f>25.2136 * CHOOSE(CONTROL!$C$15, $D$11, 100%, $F$11)</f>
        <v>25.2136</v>
      </c>
      <c r="I798" s="8">
        <f>24.0196 * CHOOSE(CONTROL!$C$15, $D$11, 100%, $F$11)</f>
        <v>24.019600000000001</v>
      </c>
      <c r="J798" s="4">
        <f>23.8632 * CHOOSE(CONTROL!$C$15, $D$11, 100%, $F$11)</f>
        <v>23.863199999999999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24.0741 * CHOOSE(CONTROL!$C$15, $D$11, 100%, $F$11)</f>
        <v>24.074100000000001</v>
      </c>
      <c r="C799" s="8">
        <f>24.0792 * CHOOSE(CONTROL!$C$15, $D$11, 100%, $F$11)</f>
        <v>24.0792</v>
      </c>
      <c r="D799" s="8">
        <f>24.0499 * CHOOSE( CONTROL!$C$15, $D$11, 100%, $F$11)</f>
        <v>24.049900000000001</v>
      </c>
      <c r="E799" s="12">
        <f>24.0601 * CHOOSE( CONTROL!$C$15, $D$11, 100%, $F$11)</f>
        <v>24.060099999999998</v>
      </c>
      <c r="F799" s="4">
        <f>24.7394 * CHOOSE(CONTROL!$C$15, $D$11, 100%, $F$11)</f>
        <v>24.7394</v>
      </c>
      <c r="G799" s="8">
        <f>23.7916 * CHOOSE( CONTROL!$C$15, $D$11, 100%, $F$11)</f>
        <v>23.791599999999999</v>
      </c>
      <c r="H799" s="4">
        <f>24.6963 * CHOOSE(CONTROL!$C$15, $D$11, 100%, $F$11)</f>
        <v>24.696300000000001</v>
      </c>
      <c r="I799" s="8">
        <f>23.5101 * CHOOSE(CONTROL!$C$15, $D$11, 100%, $F$11)</f>
        <v>23.510100000000001</v>
      </c>
      <c r="J799" s="4">
        <f>23.3552 * CHOOSE(CONTROL!$C$15, $D$11, 100%, $F$11)</f>
        <v>23.3552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24.4407 * CHOOSE(CONTROL!$C$15, $D$11, 100%, $F$11)</f>
        <v>24.4407</v>
      </c>
      <c r="C800" s="8">
        <f>24.4452 * CHOOSE(CONTROL!$C$15, $D$11, 100%, $F$11)</f>
        <v>24.4452</v>
      </c>
      <c r="D800" s="8">
        <f>24.4885 * CHOOSE( CONTROL!$C$15, $D$11, 100%, $F$11)</f>
        <v>24.488499999999998</v>
      </c>
      <c r="E800" s="12">
        <f>24.4737 * CHOOSE( CONTROL!$C$15, $D$11, 100%, $F$11)</f>
        <v>24.473700000000001</v>
      </c>
      <c r="F800" s="4">
        <f>25.185 * CHOOSE(CONTROL!$C$15, $D$11, 100%, $F$11)</f>
        <v>25.184999999999999</v>
      </c>
      <c r="G800" s="8">
        <f>24.1609 * CHOOSE( CONTROL!$C$15, $D$11, 100%, $F$11)</f>
        <v>24.160900000000002</v>
      </c>
      <c r="H800" s="4">
        <f>25.1367 * CHOOSE(CONTROL!$C$15, $D$11, 100%, $F$11)</f>
        <v>25.136700000000001</v>
      </c>
      <c r="I800" s="8">
        <f>23.8634 * CHOOSE(CONTROL!$C$15, $D$11, 100%, $F$11)</f>
        <v>23.863399999999999</v>
      </c>
      <c r="J800" s="4">
        <f>23.7102 * CHOOSE(CONTROL!$C$15, $D$11, 100%, $F$11)</f>
        <v>23.7102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25.0966, 25.093) * CHOOSE(CONTROL!$C$15, $D$11, 100%, $F$11)</f>
        <v>25.096599999999999</v>
      </c>
      <c r="C801" s="8">
        <f>CHOOSE( CONTROL!$C$32, 25.1046, 25.101) * CHOOSE(CONTROL!$C$15, $D$11, 100%, $F$11)</f>
        <v>25.104600000000001</v>
      </c>
      <c r="D801" s="8">
        <f>CHOOSE( CONTROL!$C$32, 25.1424, 25.1387) * CHOOSE( CONTROL!$C$15, $D$11, 100%, $F$11)</f>
        <v>25.142399999999999</v>
      </c>
      <c r="E801" s="12">
        <f>CHOOSE( CONTROL!$C$32, 25.1275, 25.1238) * CHOOSE( CONTROL!$C$15, $D$11, 100%, $F$11)</f>
        <v>25.127500000000001</v>
      </c>
      <c r="F801" s="4">
        <f>CHOOSE( CONTROL!$C$32, 25.8397, 25.836) * CHOOSE(CONTROL!$C$15, $D$11, 100%, $F$11)</f>
        <v>25.839700000000001</v>
      </c>
      <c r="G801" s="8">
        <f>CHOOSE( CONTROL!$C$32, 24.8086, 24.805) * CHOOSE( CONTROL!$C$15, $D$11, 100%, $F$11)</f>
        <v>24.808599999999998</v>
      </c>
      <c r="H801" s="4">
        <f>CHOOSE( CONTROL!$C$32, 25.7837, 25.7801) * CHOOSE(CONTROL!$C$15, $D$11, 100%, $F$11)</f>
        <v>25.7837</v>
      </c>
      <c r="I801" s="8">
        <f>CHOOSE( CONTROL!$C$32, 24.4992, 24.4957) * CHOOSE(CONTROL!$C$15, $D$11, 100%, $F$11)</f>
        <v>24.499199999999998</v>
      </c>
      <c r="J801" s="4">
        <f>CHOOSE( CONTROL!$C$32, 24.3455, 24.3419) * CHOOSE(CONTROL!$C$15, $D$11, 100%, $F$11)</f>
        <v>24.345500000000001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24.6934, 24.6897) * CHOOSE(CONTROL!$C$15, $D$11, 100%, $F$11)</f>
        <v>24.6934</v>
      </c>
      <c r="C802" s="8">
        <f>CHOOSE( CONTROL!$C$32, 24.7014, 24.6977) * CHOOSE(CONTROL!$C$15, $D$11, 100%, $F$11)</f>
        <v>24.7014</v>
      </c>
      <c r="D802" s="8">
        <f>CHOOSE( CONTROL!$C$32, 24.7393, 24.7357) * CHOOSE( CONTROL!$C$15, $D$11, 100%, $F$11)</f>
        <v>24.7393</v>
      </c>
      <c r="E802" s="12">
        <f>CHOOSE( CONTROL!$C$32, 24.7243, 24.7207) * CHOOSE( CONTROL!$C$15, $D$11, 100%, $F$11)</f>
        <v>24.724299999999999</v>
      </c>
      <c r="F802" s="4">
        <f>CHOOSE( CONTROL!$C$32, 25.4364, 25.4328) * CHOOSE(CONTROL!$C$15, $D$11, 100%, $F$11)</f>
        <v>25.436399999999999</v>
      </c>
      <c r="G802" s="8">
        <f>CHOOSE( CONTROL!$C$32, 24.4104, 24.4068) * CHOOSE( CONTROL!$C$15, $D$11, 100%, $F$11)</f>
        <v>24.410399999999999</v>
      </c>
      <c r="H802" s="4">
        <f>CHOOSE( CONTROL!$C$32, 25.3852, 25.3816) * CHOOSE(CONTROL!$C$15, $D$11, 100%, $F$11)</f>
        <v>25.385200000000001</v>
      </c>
      <c r="I802" s="8">
        <f>CHOOSE( CONTROL!$C$32, 24.1087, 24.1052) * CHOOSE(CONTROL!$C$15, $D$11, 100%, $F$11)</f>
        <v>24.108699999999999</v>
      </c>
      <c r="J802" s="4">
        <f>CHOOSE( CONTROL!$C$32, 23.9541, 23.9506) * CHOOSE(CONTROL!$C$15, $D$11, 100%, $F$11)</f>
        <v>23.9541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25.7553, 25.7517) * CHOOSE(CONTROL!$C$15, $D$11, 100%, $F$11)</f>
        <v>25.755299999999998</v>
      </c>
      <c r="C803" s="8">
        <f>CHOOSE( CONTROL!$C$32, 25.7633, 25.7597) * CHOOSE(CONTROL!$C$15, $D$11, 100%, $F$11)</f>
        <v>25.763300000000001</v>
      </c>
      <c r="D803" s="8">
        <f>CHOOSE( CONTROL!$C$32, 25.8015, 25.7978) * CHOOSE( CONTROL!$C$15, $D$11, 100%, $F$11)</f>
        <v>25.801500000000001</v>
      </c>
      <c r="E803" s="12">
        <f>CHOOSE( CONTROL!$C$32, 25.7864, 25.7828) * CHOOSE( CONTROL!$C$15, $D$11, 100%, $F$11)</f>
        <v>25.7864</v>
      </c>
      <c r="F803" s="4">
        <f>CHOOSE( CONTROL!$C$32, 26.4983, 26.4947) * CHOOSE(CONTROL!$C$15, $D$11, 100%, $F$11)</f>
        <v>26.4983</v>
      </c>
      <c r="G803" s="8">
        <f>CHOOSE( CONTROL!$C$32, 25.4603, 25.4567) * CHOOSE( CONTROL!$C$15, $D$11, 100%, $F$11)</f>
        <v>25.4603</v>
      </c>
      <c r="H803" s="4">
        <f>CHOOSE( CONTROL!$C$32, 26.4347, 26.4311) * CHOOSE(CONTROL!$C$15, $D$11, 100%, $F$11)</f>
        <v>26.434699999999999</v>
      </c>
      <c r="I803" s="8">
        <f>CHOOSE( CONTROL!$C$32, 25.1409, 25.1374) * CHOOSE(CONTROL!$C$15, $D$11, 100%, $F$11)</f>
        <v>25.140899999999998</v>
      </c>
      <c r="J803" s="4">
        <f>CHOOSE( CONTROL!$C$32, 24.9847, 24.9812) * CHOOSE(CONTROL!$C$15, $D$11, 100%, $F$11)</f>
        <v>24.9847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23.7683, 23.7647) * CHOOSE(CONTROL!$C$15, $D$11, 100%, $F$11)</f>
        <v>23.7683</v>
      </c>
      <c r="C804" s="8">
        <f>CHOOSE( CONTROL!$C$32, 23.7763, 23.7727) * CHOOSE(CONTROL!$C$15, $D$11, 100%, $F$11)</f>
        <v>23.776299999999999</v>
      </c>
      <c r="D804" s="8">
        <f>CHOOSE( CONTROL!$C$32, 23.8146, 23.8109) * CHOOSE( CONTROL!$C$15, $D$11, 100%, $F$11)</f>
        <v>23.814599999999999</v>
      </c>
      <c r="E804" s="12">
        <f>CHOOSE( CONTROL!$C$32, 23.7995, 23.7958) * CHOOSE( CONTROL!$C$15, $D$11, 100%, $F$11)</f>
        <v>23.799499999999998</v>
      </c>
      <c r="F804" s="4">
        <f>CHOOSE( CONTROL!$C$32, 24.5113, 24.5077) * CHOOSE(CONTROL!$C$15, $D$11, 100%, $F$11)</f>
        <v>24.511299999999999</v>
      </c>
      <c r="G804" s="8">
        <f>CHOOSE( CONTROL!$C$32, 23.4967, 23.4931) * CHOOSE( CONTROL!$C$15, $D$11, 100%, $F$11)</f>
        <v>23.496700000000001</v>
      </c>
      <c r="H804" s="4">
        <f>CHOOSE( CONTROL!$C$32, 24.4709, 24.4673) * CHOOSE(CONTROL!$C$15, $D$11, 100%, $F$11)</f>
        <v>24.4709</v>
      </c>
      <c r="I804" s="8">
        <f>CHOOSE( CONTROL!$C$32, 23.2119, 23.2084) * CHOOSE(CONTROL!$C$15, $D$11, 100%, $F$11)</f>
        <v>23.2119</v>
      </c>
      <c r="J804" s="4">
        <f>CHOOSE( CONTROL!$C$32, 23.0564, 23.0528) * CHOOSE(CONTROL!$C$15, $D$11, 100%, $F$11)</f>
        <v>23.0564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23.2708, 23.2671) * CHOOSE(CONTROL!$C$15, $D$11, 100%, $F$11)</f>
        <v>23.270800000000001</v>
      </c>
      <c r="C805" s="8">
        <f>CHOOSE( CONTROL!$C$32, 23.2787, 23.2751) * CHOOSE(CONTROL!$C$15, $D$11, 100%, $F$11)</f>
        <v>23.278700000000001</v>
      </c>
      <c r="D805" s="8">
        <f>CHOOSE( CONTROL!$C$32, 23.3169, 23.3133) * CHOOSE( CONTROL!$C$15, $D$11, 100%, $F$11)</f>
        <v>23.3169</v>
      </c>
      <c r="E805" s="12">
        <f>CHOOSE( CONTROL!$C$32, 23.3019, 23.2982) * CHOOSE( CONTROL!$C$15, $D$11, 100%, $F$11)</f>
        <v>23.3019</v>
      </c>
      <c r="F805" s="4">
        <f>CHOOSE( CONTROL!$C$32, 24.0138, 24.0101) * CHOOSE(CONTROL!$C$15, $D$11, 100%, $F$11)</f>
        <v>24.0138</v>
      </c>
      <c r="G805" s="8">
        <f>CHOOSE( CONTROL!$C$32, 23.0048, 23.0012) * CHOOSE( CONTROL!$C$15, $D$11, 100%, $F$11)</f>
        <v>23.004799999999999</v>
      </c>
      <c r="H805" s="4">
        <f>CHOOSE( CONTROL!$C$32, 23.9792, 23.9756) * CHOOSE(CONTROL!$C$15, $D$11, 100%, $F$11)</f>
        <v>23.979199999999999</v>
      </c>
      <c r="I805" s="8">
        <f>CHOOSE( CONTROL!$C$32, 22.7284, 22.7249) * CHOOSE(CONTROL!$C$15, $D$11, 100%, $F$11)</f>
        <v>22.728400000000001</v>
      </c>
      <c r="J805" s="4">
        <f>CHOOSE( CONTROL!$C$32, 22.5735, 22.5699) * CHOOSE(CONTROL!$C$15, $D$11, 100%, $F$11)</f>
        <v>22.573499999999999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24.2985 * CHOOSE(CONTROL!$C$15, $D$11, 100%, $F$11)</f>
        <v>24.298500000000001</v>
      </c>
      <c r="C806" s="8">
        <f>24.3038 * CHOOSE(CONTROL!$C$15, $D$11, 100%, $F$11)</f>
        <v>24.303799999999999</v>
      </c>
      <c r="D806" s="8">
        <f>24.3474 * CHOOSE( CONTROL!$C$15, $D$11, 100%, $F$11)</f>
        <v>24.3474</v>
      </c>
      <c r="E806" s="12">
        <f>24.3324 * CHOOSE( CONTROL!$C$15, $D$11, 100%, $F$11)</f>
        <v>24.3324</v>
      </c>
      <c r="F806" s="4">
        <f>25.0433 * CHOOSE(CONTROL!$C$15, $D$11, 100%, $F$11)</f>
        <v>25.043299999999999</v>
      </c>
      <c r="G806" s="8">
        <f>24.0217 * CHOOSE( CONTROL!$C$15, $D$11, 100%, $F$11)</f>
        <v>24.021699999999999</v>
      </c>
      <c r="H806" s="4">
        <f>24.9966 * CHOOSE(CONTROL!$C$15, $D$11, 100%, $F$11)</f>
        <v>24.996600000000001</v>
      </c>
      <c r="I806" s="8">
        <f>23.7287 * CHOOSE(CONTROL!$C$15, $D$11, 100%, $F$11)</f>
        <v>23.7287</v>
      </c>
      <c r="J806" s="4">
        <f>23.5726 * CHOOSE(CONTROL!$C$15, $D$11, 100%, $F$11)</f>
        <v>23.572600000000001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26.205 * CHOOSE(CONTROL!$C$15, $D$11, 100%, $F$11)</f>
        <v>26.204999999999998</v>
      </c>
      <c r="C807" s="8">
        <f>26.2101 * CHOOSE(CONTROL!$C$15, $D$11, 100%, $F$11)</f>
        <v>26.210100000000001</v>
      </c>
      <c r="D807" s="8">
        <f>26.1937 * CHOOSE( CONTROL!$C$15, $D$11, 100%, $F$11)</f>
        <v>26.1937</v>
      </c>
      <c r="E807" s="12">
        <f>26.1992 * CHOOSE( CONTROL!$C$15, $D$11, 100%, $F$11)</f>
        <v>26.199200000000001</v>
      </c>
      <c r="F807" s="4">
        <f>26.8703 * CHOOSE(CONTROL!$C$15, $D$11, 100%, $F$11)</f>
        <v>26.8703</v>
      </c>
      <c r="G807" s="8">
        <f>25.9069 * CHOOSE( CONTROL!$C$15, $D$11, 100%, $F$11)</f>
        <v>25.9069</v>
      </c>
      <c r="H807" s="4">
        <f>26.8023 * CHOOSE(CONTROL!$C$15, $D$11, 100%, $F$11)</f>
        <v>26.802299999999999</v>
      </c>
      <c r="I807" s="8">
        <f>25.5804 * CHOOSE(CONTROL!$C$15, $D$11, 100%, $F$11)</f>
        <v>25.580400000000001</v>
      </c>
      <c r="J807" s="4">
        <f>25.4232 * CHOOSE(CONTROL!$C$15, $D$11, 100%, $F$11)</f>
        <v>25.423200000000001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26.1574 * CHOOSE(CONTROL!$C$15, $D$11, 100%, $F$11)</f>
        <v>26.157399999999999</v>
      </c>
      <c r="C808" s="8">
        <f>26.1625 * CHOOSE(CONTROL!$C$15, $D$11, 100%, $F$11)</f>
        <v>26.162500000000001</v>
      </c>
      <c r="D808" s="8">
        <f>26.1478 * CHOOSE( CONTROL!$C$15, $D$11, 100%, $F$11)</f>
        <v>26.1478</v>
      </c>
      <c r="E808" s="12">
        <f>26.1526 * CHOOSE( CONTROL!$C$15, $D$11, 100%, $F$11)</f>
        <v>26.1526</v>
      </c>
      <c r="F808" s="4">
        <f>26.8227 * CHOOSE(CONTROL!$C$15, $D$11, 100%, $F$11)</f>
        <v>26.822700000000001</v>
      </c>
      <c r="G808" s="8">
        <f>25.861 * CHOOSE( CONTROL!$C$15, $D$11, 100%, $F$11)</f>
        <v>25.861000000000001</v>
      </c>
      <c r="H808" s="4">
        <f>26.7552 * CHOOSE(CONTROL!$C$15, $D$11, 100%, $F$11)</f>
        <v>26.755199999999999</v>
      </c>
      <c r="I808" s="8">
        <f>25.5396 * CHOOSE(CONTROL!$C$15, $D$11, 100%, $F$11)</f>
        <v>25.5396</v>
      </c>
      <c r="J808" s="4">
        <f>25.377 * CHOOSE(CONTROL!$C$15, $D$11, 100%, $F$11)</f>
        <v>25.376999999999999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26.9287 * CHOOSE(CONTROL!$C$15, $D$11, 100%, $F$11)</f>
        <v>26.928699999999999</v>
      </c>
      <c r="C809" s="8">
        <f>26.9338 * CHOOSE(CONTROL!$C$15, $D$11, 100%, $F$11)</f>
        <v>26.933800000000002</v>
      </c>
      <c r="D809" s="8">
        <f>26.9049 * CHOOSE( CONTROL!$C$15, $D$11, 100%, $F$11)</f>
        <v>26.904900000000001</v>
      </c>
      <c r="E809" s="12">
        <f>26.9149 * CHOOSE( CONTROL!$C$15, $D$11, 100%, $F$11)</f>
        <v>26.914899999999999</v>
      </c>
      <c r="F809" s="4">
        <f>27.594 * CHOOSE(CONTROL!$C$15, $D$11, 100%, $F$11)</f>
        <v>27.594000000000001</v>
      </c>
      <c r="G809" s="8">
        <f>26.613 * CHOOSE( CONTROL!$C$15, $D$11, 100%, $F$11)</f>
        <v>26.613</v>
      </c>
      <c r="H809" s="4">
        <f>27.5175 * CHOOSE(CONTROL!$C$15, $D$11, 100%, $F$11)</f>
        <v>27.517499999999998</v>
      </c>
      <c r="I809" s="8">
        <f>26.2831 * CHOOSE(CONTROL!$C$15, $D$11, 100%, $F$11)</f>
        <v>26.283100000000001</v>
      </c>
      <c r="J809" s="4">
        <f>26.1255 * CHOOSE(CONTROL!$C$15, $D$11, 100%, $F$11)</f>
        <v>26.125499999999999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25.1884 * CHOOSE(CONTROL!$C$15, $D$11, 100%, $F$11)</f>
        <v>25.188400000000001</v>
      </c>
      <c r="C810" s="8">
        <f>25.1934 * CHOOSE(CONTROL!$C$15, $D$11, 100%, $F$11)</f>
        <v>25.1934</v>
      </c>
      <c r="D810" s="8">
        <f>25.1646 * CHOOSE( CONTROL!$C$15, $D$11, 100%, $F$11)</f>
        <v>25.1646</v>
      </c>
      <c r="E810" s="12">
        <f>25.1746 * CHOOSE( CONTROL!$C$15, $D$11, 100%, $F$11)</f>
        <v>25.174600000000002</v>
      </c>
      <c r="F810" s="4">
        <f>25.8537 * CHOOSE(CONTROL!$C$15, $D$11, 100%, $F$11)</f>
        <v>25.8537</v>
      </c>
      <c r="G810" s="8">
        <f>24.8931 * CHOOSE( CONTROL!$C$15, $D$11, 100%, $F$11)</f>
        <v>24.8931</v>
      </c>
      <c r="H810" s="4">
        <f>25.7975 * CHOOSE(CONTROL!$C$15, $D$11, 100%, $F$11)</f>
        <v>25.797499999999999</v>
      </c>
      <c r="I810" s="8">
        <f>24.5932 * CHOOSE(CONTROL!$C$15, $D$11, 100%, $F$11)</f>
        <v>24.5932</v>
      </c>
      <c r="J810" s="4">
        <f>24.4366 * CHOOSE(CONTROL!$C$15, $D$11, 100%, $F$11)</f>
        <v>24.436599999999999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24.6524 * CHOOSE(CONTROL!$C$15, $D$11, 100%, $F$11)</f>
        <v>24.6524</v>
      </c>
      <c r="C811" s="8">
        <f>24.6574 * CHOOSE(CONTROL!$C$15, $D$11, 100%, $F$11)</f>
        <v>24.657399999999999</v>
      </c>
      <c r="D811" s="8">
        <f>24.6281 * CHOOSE( CONTROL!$C$15, $D$11, 100%, $F$11)</f>
        <v>24.6281</v>
      </c>
      <c r="E811" s="12">
        <f>24.6383 * CHOOSE( CONTROL!$C$15, $D$11, 100%, $F$11)</f>
        <v>24.638300000000001</v>
      </c>
      <c r="F811" s="4">
        <f>25.3176 * CHOOSE(CONTROL!$C$15, $D$11, 100%, $F$11)</f>
        <v>25.317599999999999</v>
      </c>
      <c r="G811" s="8">
        <f>24.3631 * CHOOSE( CONTROL!$C$15, $D$11, 100%, $F$11)</f>
        <v>24.363099999999999</v>
      </c>
      <c r="H811" s="4">
        <f>25.2678 * CHOOSE(CONTROL!$C$15, $D$11, 100%, $F$11)</f>
        <v>25.267800000000001</v>
      </c>
      <c r="I811" s="8">
        <f>24.0715 * CHOOSE(CONTROL!$C$15, $D$11, 100%, $F$11)</f>
        <v>24.0715</v>
      </c>
      <c r="J811" s="4">
        <f>23.9164 * CHOOSE(CONTROL!$C$15, $D$11, 100%, $F$11)</f>
        <v>23.916399999999999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25.0277 * CHOOSE(CONTROL!$C$15, $D$11, 100%, $F$11)</f>
        <v>25.027699999999999</v>
      </c>
      <c r="C812" s="8">
        <f>25.0322 * CHOOSE(CONTROL!$C$15, $D$11, 100%, $F$11)</f>
        <v>25.0322</v>
      </c>
      <c r="D812" s="8">
        <f>25.0756 * CHOOSE( CONTROL!$C$15, $D$11, 100%, $F$11)</f>
        <v>25.075600000000001</v>
      </c>
      <c r="E812" s="12">
        <f>25.0608 * CHOOSE( CONTROL!$C$15, $D$11, 100%, $F$11)</f>
        <v>25.0608</v>
      </c>
      <c r="F812" s="4">
        <f>25.772 * CHOOSE(CONTROL!$C$15, $D$11, 100%, $F$11)</f>
        <v>25.771999999999998</v>
      </c>
      <c r="G812" s="8">
        <f>24.741 * CHOOSE( CONTROL!$C$15, $D$11, 100%, $F$11)</f>
        <v>24.741</v>
      </c>
      <c r="H812" s="4">
        <f>25.7169 * CHOOSE(CONTROL!$C$15, $D$11, 100%, $F$11)</f>
        <v>25.716899999999999</v>
      </c>
      <c r="I812" s="8">
        <f>24.4334 * CHOOSE(CONTROL!$C$15, $D$11, 100%, $F$11)</f>
        <v>24.433399999999999</v>
      </c>
      <c r="J812" s="4">
        <f>24.2799 * CHOOSE(CONTROL!$C$15, $D$11, 100%, $F$11)</f>
        <v>24.279900000000001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25.6993, 25.6957) * CHOOSE(CONTROL!$C$15, $D$11, 100%, $F$11)</f>
        <v>25.699300000000001</v>
      </c>
      <c r="C813" s="8">
        <f>CHOOSE( CONTROL!$C$32, 25.7073, 25.7036) * CHOOSE(CONTROL!$C$15, $D$11, 100%, $F$11)</f>
        <v>25.7073</v>
      </c>
      <c r="D813" s="8">
        <f>CHOOSE( CONTROL!$C$32, 25.745, 25.7414) * CHOOSE( CONTROL!$C$15, $D$11, 100%, $F$11)</f>
        <v>25.745000000000001</v>
      </c>
      <c r="E813" s="12">
        <f>CHOOSE( CONTROL!$C$32, 25.7301, 25.7265) * CHOOSE( CONTROL!$C$15, $D$11, 100%, $F$11)</f>
        <v>25.7301</v>
      </c>
      <c r="F813" s="4">
        <f>CHOOSE( CONTROL!$C$32, 26.4423, 26.4387) * CHOOSE(CONTROL!$C$15, $D$11, 100%, $F$11)</f>
        <v>26.442299999999999</v>
      </c>
      <c r="G813" s="8">
        <f>CHOOSE( CONTROL!$C$32, 25.4042, 25.4006) * CHOOSE( CONTROL!$C$15, $D$11, 100%, $F$11)</f>
        <v>25.404199999999999</v>
      </c>
      <c r="H813" s="4">
        <f>CHOOSE( CONTROL!$C$32, 26.3793, 26.3757) * CHOOSE(CONTROL!$C$15, $D$11, 100%, $F$11)</f>
        <v>26.379300000000001</v>
      </c>
      <c r="I813" s="8">
        <f>CHOOSE( CONTROL!$C$32, 25.0844, 25.0808) * CHOOSE(CONTROL!$C$15, $D$11, 100%, $F$11)</f>
        <v>25.084399999999999</v>
      </c>
      <c r="J813" s="4">
        <f>CHOOSE( CONTROL!$C$32, 24.9304, 24.9268) * CHOOSE(CONTROL!$C$15, $D$11, 100%, $F$11)</f>
        <v>24.930399999999999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25.2864, 25.2827) * CHOOSE(CONTROL!$C$15, $D$11, 100%, $F$11)</f>
        <v>25.2864</v>
      </c>
      <c r="C814" s="8">
        <f>CHOOSE( CONTROL!$C$32, 25.2943, 25.2907) * CHOOSE(CONTROL!$C$15, $D$11, 100%, $F$11)</f>
        <v>25.2943</v>
      </c>
      <c r="D814" s="8">
        <f>CHOOSE( CONTROL!$C$32, 25.3323, 25.3286) * CHOOSE( CONTROL!$C$15, $D$11, 100%, $F$11)</f>
        <v>25.3323</v>
      </c>
      <c r="E814" s="12">
        <f>CHOOSE( CONTROL!$C$32, 25.3173, 25.3136) * CHOOSE( CONTROL!$C$15, $D$11, 100%, $F$11)</f>
        <v>25.317299999999999</v>
      </c>
      <c r="F814" s="4">
        <f>CHOOSE( CONTROL!$C$32, 26.0294, 26.0257) * CHOOSE(CONTROL!$C$15, $D$11, 100%, $F$11)</f>
        <v>26.029399999999999</v>
      </c>
      <c r="G814" s="8">
        <f>CHOOSE( CONTROL!$C$32, 24.9965, 24.9929) * CHOOSE( CONTROL!$C$15, $D$11, 100%, $F$11)</f>
        <v>24.996500000000001</v>
      </c>
      <c r="H814" s="4">
        <f>CHOOSE( CONTROL!$C$32, 25.9712, 25.9676) * CHOOSE(CONTROL!$C$15, $D$11, 100%, $F$11)</f>
        <v>25.9712</v>
      </c>
      <c r="I814" s="8">
        <f>CHOOSE( CONTROL!$C$32, 24.6845, 24.6809) * CHOOSE(CONTROL!$C$15, $D$11, 100%, $F$11)</f>
        <v>24.6845</v>
      </c>
      <c r="J814" s="4">
        <f>CHOOSE( CONTROL!$C$32, 24.5296, 24.5261) * CHOOSE(CONTROL!$C$15, $D$11, 100%, $F$11)</f>
        <v>24.529599999999999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26.3738, 26.3702) * CHOOSE(CONTROL!$C$15, $D$11, 100%, $F$11)</f>
        <v>26.373799999999999</v>
      </c>
      <c r="C815" s="8">
        <f>CHOOSE( CONTROL!$C$32, 26.3818, 26.3781) * CHOOSE(CONTROL!$C$15, $D$11, 100%, $F$11)</f>
        <v>26.381799999999998</v>
      </c>
      <c r="D815" s="8">
        <f>CHOOSE( CONTROL!$C$32, 26.42, 26.4163) * CHOOSE( CONTROL!$C$15, $D$11, 100%, $F$11)</f>
        <v>26.42</v>
      </c>
      <c r="E815" s="12">
        <f>CHOOSE( CONTROL!$C$32, 26.4049, 26.4013) * CHOOSE( CONTROL!$C$15, $D$11, 100%, $F$11)</f>
        <v>26.404900000000001</v>
      </c>
      <c r="F815" s="4">
        <f>CHOOSE( CONTROL!$C$32, 27.1168, 27.1132) * CHOOSE(CONTROL!$C$15, $D$11, 100%, $F$11)</f>
        <v>27.116800000000001</v>
      </c>
      <c r="G815" s="8">
        <f>CHOOSE( CONTROL!$C$32, 26.0715, 26.0679) * CHOOSE( CONTROL!$C$15, $D$11, 100%, $F$11)</f>
        <v>26.0715</v>
      </c>
      <c r="H815" s="4">
        <f>CHOOSE( CONTROL!$C$32, 27.0459, 27.0423) * CHOOSE(CONTROL!$C$15, $D$11, 100%, $F$11)</f>
        <v>27.0459</v>
      </c>
      <c r="I815" s="8">
        <f>CHOOSE( CONTROL!$C$32, 25.7415, 25.7379) * CHOOSE(CONTROL!$C$15, $D$11, 100%, $F$11)</f>
        <v>25.741499999999998</v>
      </c>
      <c r="J815" s="4">
        <f>CHOOSE( CONTROL!$C$32, 25.585, 25.5814) * CHOOSE(CONTROL!$C$15, $D$11, 100%, $F$11)</f>
        <v>25.585000000000001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24.3391, 24.3354) * CHOOSE(CONTROL!$C$15, $D$11, 100%, $F$11)</f>
        <v>24.339099999999998</v>
      </c>
      <c r="C816" s="8">
        <f>CHOOSE( CONTROL!$C$32, 24.3471, 24.3434) * CHOOSE(CONTROL!$C$15, $D$11, 100%, $F$11)</f>
        <v>24.347100000000001</v>
      </c>
      <c r="D816" s="8">
        <f>CHOOSE( CONTROL!$C$32, 24.3853, 24.3817) * CHOOSE( CONTROL!$C$15, $D$11, 100%, $F$11)</f>
        <v>24.385300000000001</v>
      </c>
      <c r="E816" s="12">
        <f>CHOOSE( CONTROL!$C$32, 24.3702, 24.3666) * CHOOSE( CONTROL!$C$15, $D$11, 100%, $F$11)</f>
        <v>24.370200000000001</v>
      </c>
      <c r="F816" s="4">
        <f>CHOOSE( CONTROL!$C$32, 25.0821, 25.0784) * CHOOSE(CONTROL!$C$15, $D$11, 100%, $F$11)</f>
        <v>25.082100000000001</v>
      </c>
      <c r="G816" s="8">
        <f>CHOOSE( CONTROL!$C$32, 24.0607, 24.0571) * CHOOSE( CONTROL!$C$15, $D$11, 100%, $F$11)</f>
        <v>24.060700000000001</v>
      </c>
      <c r="H816" s="4">
        <f>CHOOSE( CONTROL!$C$32, 25.035, 25.0314) * CHOOSE(CONTROL!$C$15, $D$11, 100%, $F$11)</f>
        <v>25.035</v>
      </c>
      <c r="I816" s="8">
        <f>CHOOSE( CONTROL!$C$32, 23.7661, 23.7625) * CHOOSE(CONTROL!$C$15, $D$11, 100%, $F$11)</f>
        <v>23.766100000000002</v>
      </c>
      <c r="J816" s="4">
        <f>CHOOSE( CONTROL!$C$32, 23.6103, 23.6067) * CHOOSE(CONTROL!$C$15, $D$11, 100%, $F$11)</f>
        <v>23.610299999999999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23.8296, 23.8259) * CHOOSE(CONTROL!$C$15, $D$11, 100%, $F$11)</f>
        <v>23.829599999999999</v>
      </c>
      <c r="C817" s="8">
        <f>CHOOSE( CONTROL!$C$32, 23.8375, 23.8339) * CHOOSE(CONTROL!$C$15, $D$11, 100%, $F$11)</f>
        <v>23.837499999999999</v>
      </c>
      <c r="D817" s="8">
        <f>CHOOSE( CONTROL!$C$32, 23.8757, 23.8721) * CHOOSE( CONTROL!$C$15, $D$11, 100%, $F$11)</f>
        <v>23.875699999999998</v>
      </c>
      <c r="E817" s="12">
        <f>CHOOSE( CONTROL!$C$32, 23.8607, 23.857) * CHOOSE( CONTROL!$C$15, $D$11, 100%, $F$11)</f>
        <v>23.860700000000001</v>
      </c>
      <c r="F817" s="4">
        <f>CHOOSE( CONTROL!$C$32, 24.5726, 24.5689) * CHOOSE(CONTROL!$C$15, $D$11, 100%, $F$11)</f>
        <v>24.572600000000001</v>
      </c>
      <c r="G817" s="8">
        <f>CHOOSE( CONTROL!$C$32, 23.5571, 23.5535) * CHOOSE( CONTROL!$C$15, $D$11, 100%, $F$11)</f>
        <v>23.557099999999998</v>
      </c>
      <c r="H817" s="4">
        <f>CHOOSE( CONTROL!$C$32, 24.5314, 24.5278) * CHOOSE(CONTROL!$C$15, $D$11, 100%, $F$11)</f>
        <v>24.531400000000001</v>
      </c>
      <c r="I817" s="8">
        <f>CHOOSE( CONTROL!$C$32, 23.271, 23.2674) * CHOOSE(CONTROL!$C$15, $D$11, 100%, $F$11)</f>
        <v>23.271000000000001</v>
      </c>
      <c r="J817" s="4">
        <f>CHOOSE( CONTROL!$C$32, 23.1158, 23.1122) * CHOOSE(CONTROL!$C$15, $D$11, 100%, $F$11)</f>
        <v>23.1158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24.8821 * CHOOSE(CONTROL!$C$15, $D$11, 100%, $F$11)</f>
        <v>24.882100000000001</v>
      </c>
      <c r="C818" s="8">
        <f>24.8875 * CHOOSE(CONTROL!$C$15, $D$11, 100%, $F$11)</f>
        <v>24.887499999999999</v>
      </c>
      <c r="D818" s="8">
        <f>24.931 * CHOOSE( CONTROL!$C$15, $D$11, 100%, $F$11)</f>
        <v>24.931000000000001</v>
      </c>
      <c r="E818" s="12">
        <f>24.9161 * CHOOSE( CONTROL!$C$15, $D$11, 100%, $F$11)</f>
        <v>24.9161</v>
      </c>
      <c r="F818" s="4">
        <f>25.6269 * CHOOSE(CONTROL!$C$15, $D$11, 100%, $F$11)</f>
        <v>25.626899999999999</v>
      </c>
      <c r="G818" s="8">
        <f>24.5985 * CHOOSE( CONTROL!$C$15, $D$11, 100%, $F$11)</f>
        <v>24.598500000000001</v>
      </c>
      <c r="H818" s="4">
        <f>25.5734 * CHOOSE(CONTROL!$C$15, $D$11, 100%, $F$11)</f>
        <v>25.573399999999999</v>
      </c>
      <c r="I818" s="8">
        <f>24.2954 * CHOOSE(CONTROL!$C$15, $D$11, 100%, $F$11)</f>
        <v>24.295400000000001</v>
      </c>
      <c r="J818" s="4">
        <f>24.139 * CHOOSE(CONTROL!$C$15, $D$11, 100%, $F$11)</f>
        <v>24.138999999999999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26.8345 * CHOOSE(CONTROL!$C$15, $D$11, 100%, $F$11)</f>
        <v>26.834499999999998</v>
      </c>
      <c r="C819" s="8">
        <f>26.8395 * CHOOSE(CONTROL!$C$15, $D$11, 100%, $F$11)</f>
        <v>26.839500000000001</v>
      </c>
      <c r="D819" s="8">
        <f>26.8232 * CHOOSE( CONTROL!$C$15, $D$11, 100%, $F$11)</f>
        <v>26.8232</v>
      </c>
      <c r="E819" s="12">
        <f>26.8286 * CHOOSE( CONTROL!$C$15, $D$11, 100%, $F$11)</f>
        <v>26.828600000000002</v>
      </c>
      <c r="F819" s="4">
        <f>27.4997 * CHOOSE(CONTROL!$C$15, $D$11, 100%, $F$11)</f>
        <v>27.499700000000001</v>
      </c>
      <c r="G819" s="8">
        <f>26.5289 * CHOOSE( CONTROL!$C$15, $D$11, 100%, $F$11)</f>
        <v>26.5289</v>
      </c>
      <c r="H819" s="4">
        <f>27.4243 * CHOOSE(CONTROL!$C$15, $D$11, 100%, $F$11)</f>
        <v>27.424299999999999</v>
      </c>
      <c r="I819" s="8">
        <f>26.1916 * CHOOSE(CONTROL!$C$15, $D$11, 100%, $F$11)</f>
        <v>26.191600000000001</v>
      </c>
      <c r="J819" s="4">
        <f>26.0341 * CHOOSE(CONTROL!$C$15, $D$11, 100%, $F$11)</f>
        <v>26.034099999999999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26.7857 * CHOOSE(CONTROL!$C$15, $D$11, 100%, $F$11)</f>
        <v>26.785699999999999</v>
      </c>
      <c r="C820" s="8">
        <f>26.7907 * CHOOSE(CONTROL!$C$15, $D$11, 100%, $F$11)</f>
        <v>26.790700000000001</v>
      </c>
      <c r="D820" s="8">
        <f>26.7761 * CHOOSE( CONTROL!$C$15, $D$11, 100%, $F$11)</f>
        <v>26.7761</v>
      </c>
      <c r="E820" s="12">
        <f>26.7809 * CHOOSE( CONTROL!$C$15, $D$11, 100%, $F$11)</f>
        <v>26.780899999999999</v>
      </c>
      <c r="F820" s="4">
        <f>27.4509 * CHOOSE(CONTROL!$C$15, $D$11, 100%, $F$11)</f>
        <v>27.450900000000001</v>
      </c>
      <c r="G820" s="8">
        <f>26.482 * CHOOSE( CONTROL!$C$15, $D$11, 100%, $F$11)</f>
        <v>26.481999999999999</v>
      </c>
      <c r="H820" s="4">
        <f>27.3761 * CHOOSE(CONTROL!$C$15, $D$11, 100%, $F$11)</f>
        <v>27.376100000000001</v>
      </c>
      <c r="I820" s="8">
        <f>26.1496 * CHOOSE(CONTROL!$C$15, $D$11, 100%, $F$11)</f>
        <v>26.1496</v>
      </c>
      <c r="J820" s="4">
        <f>25.9867 * CHOOSE(CONTROL!$C$15, $D$11, 100%, $F$11)</f>
        <v>25.986699999999999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27.5755 * CHOOSE(CONTROL!$C$15, $D$11, 100%, $F$11)</f>
        <v>27.575500000000002</v>
      </c>
      <c r="C821" s="8">
        <f>27.5806 * CHOOSE(CONTROL!$C$15, $D$11, 100%, $F$11)</f>
        <v>27.5806</v>
      </c>
      <c r="D821" s="8">
        <f>27.5517 * CHOOSE( CONTROL!$C$15, $D$11, 100%, $F$11)</f>
        <v>27.5517</v>
      </c>
      <c r="E821" s="12">
        <f>27.5617 * CHOOSE( CONTROL!$C$15, $D$11, 100%, $F$11)</f>
        <v>27.561699999999998</v>
      </c>
      <c r="F821" s="4">
        <f>28.2408 * CHOOSE(CONTROL!$C$15, $D$11, 100%, $F$11)</f>
        <v>28.2408</v>
      </c>
      <c r="G821" s="8">
        <f>27.2523 * CHOOSE( CONTROL!$C$15, $D$11, 100%, $F$11)</f>
        <v>27.252300000000002</v>
      </c>
      <c r="H821" s="4">
        <f>28.1567 * CHOOSE(CONTROL!$C$15, $D$11, 100%, $F$11)</f>
        <v>28.156700000000001</v>
      </c>
      <c r="I821" s="8">
        <f>26.9111 * CHOOSE(CONTROL!$C$15, $D$11, 100%, $F$11)</f>
        <v>26.911100000000001</v>
      </c>
      <c r="J821" s="4">
        <f>26.7533 * CHOOSE(CONTROL!$C$15, $D$11, 100%, $F$11)</f>
        <v>26.753299999999999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25.7934 * CHOOSE(CONTROL!$C$15, $D$11, 100%, $F$11)</f>
        <v>25.793399999999998</v>
      </c>
      <c r="C822" s="8">
        <f>25.7984 * CHOOSE(CONTROL!$C$15, $D$11, 100%, $F$11)</f>
        <v>25.798400000000001</v>
      </c>
      <c r="D822" s="8">
        <f>25.7695 * CHOOSE( CONTROL!$C$15, $D$11, 100%, $F$11)</f>
        <v>25.769500000000001</v>
      </c>
      <c r="E822" s="12">
        <f>25.7795 * CHOOSE( CONTROL!$C$15, $D$11, 100%, $F$11)</f>
        <v>25.779499999999999</v>
      </c>
      <c r="F822" s="4">
        <f>26.4586 * CHOOSE(CONTROL!$C$15, $D$11, 100%, $F$11)</f>
        <v>26.458600000000001</v>
      </c>
      <c r="G822" s="8">
        <f>25.491 * CHOOSE( CONTROL!$C$15, $D$11, 100%, $F$11)</f>
        <v>25.491</v>
      </c>
      <c r="H822" s="4">
        <f>26.3954 * CHOOSE(CONTROL!$C$15, $D$11, 100%, $F$11)</f>
        <v>26.395399999999999</v>
      </c>
      <c r="I822" s="8">
        <f>25.1807 * CHOOSE(CONTROL!$C$15, $D$11, 100%, $F$11)</f>
        <v>25.180700000000002</v>
      </c>
      <c r="J822" s="4">
        <f>25.0237 * CHOOSE(CONTROL!$C$15, $D$11, 100%, $F$11)</f>
        <v>25.023700000000002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25.2445 * CHOOSE(CONTROL!$C$15, $D$11, 100%, $F$11)</f>
        <v>25.244499999999999</v>
      </c>
      <c r="C823" s="8">
        <f>25.2496 * CHOOSE(CONTROL!$C$15, $D$11, 100%, $F$11)</f>
        <v>25.249600000000001</v>
      </c>
      <c r="D823" s="8">
        <f>25.2203 * CHOOSE( CONTROL!$C$15, $D$11, 100%, $F$11)</f>
        <v>25.220300000000002</v>
      </c>
      <c r="E823" s="12">
        <f>25.2305 * CHOOSE( CONTROL!$C$15, $D$11, 100%, $F$11)</f>
        <v>25.230499999999999</v>
      </c>
      <c r="F823" s="4">
        <f>25.9098 * CHOOSE(CONTROL!$C$15, $D$11, 100%, $F$11)</f>
        <v>25.909800000000001</v>
      </c>
      <c r="G823" s="8">
        <f>24.9483 * CHOOSE( CONTROL!$C$15, $D$11, 100%, $F$11)</f>
        <v>24.9483</v>
      </c>
      <c r="H823" s="4">
        <f>25.853 * CHOOSE(CONTROL!$C$15, $D$11, 100%, $F$11)</f>
        <v>25.853000000000002</v>
      </c>
      <c r="I823" s="8">
        <f>24.6465 * CHOOSE(CONTROL!$C$15, $D$11, 100%, $F$11)</f>
        <v>24.6465</v>
      </c>
      <c r="J823" s="4">
        <f>24.491 * CHOOSE(CONTROL!$C$15, $D$11, 100%, $F$11)</f>
        <v>24.491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25.6288 * CHOOSE(CONTROL!$C$15, $D$11, 100%, $F$11)</f>
        <v>25.628799999999998</v>
      </c>
      <c r="C824" s="8">
        <f>25.6333 * CHOOSE(CONTROL!$C$15, $D$11, 100%, $F$11)</f>
        <v>25.633299999999998</v>
      </c>
      <c r="D824" s="8">
        <f>25.6767 * CHOOSE( CONTROL!$C$15, $D$11, 100%, $F$11)</f>
        <v>25.6767</v>
      </c>
      <c r="E824" s="12">
        <f>25.6619 * CHOOSE( CONTROL!$C$15, $D$11, 100%, $F$11)</f>
        <v>25.661899999999999</v>
      </c>
      <c r="F824" s="4">
        <f>26.3732 * CHOOSE(CONTROL!$C$15, $D$11, 100%, $F$11)</f>
        <v>26.373200000000001</v>
      </c>
      <c r="G824" s="8">
        <f>25.3351 * CHOOSE( CONTROL!$C$15, $D$11, 100%, $F$11)</f>
        <v>25.335100000000001</v>
      </c>
      <c r="H824" s="4">
        <f>26.311 * CHOOSE(CONTROL!$C$15, $D$11, 100%, $F$11)</f>
        <v>26.311</v>
      </c>
      <c r="I824" s="8">
        <f>25.0171 * CHOOSE(CONTROL!$C$15, $D$11, 100%, $F$11)</f>
        <v>25.017099999999999</v>
      </c>
      <c r="J824" s="4">
        <f>24.8632 * CHOOSE(CONTROL!$C$15, $D$11, 100%, $F$11)</f>
        <v>24.863199999999999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26.3164, 26.3128) * CHOOSE(CONTROL!$C$15, $D$11, 100%, $F$11)</f>
        <v>26.316400000000002</v>
      </c>
      <c r="C825" s="8">
        <f>CHOOSE( CONTROL!$C$32, 26.3244, 26.3208) * CHOOSE(CONTROL!$C$15, $D$11, 100%, $F$11)</f>
        <v>26.324400000000001</v>
      </c>
      <c r="D825" s="8">
        <f>CHOOSE( CONTROL!$C$32, 26.3621, 26.3585) * CHOOSE( CONTROL!$C$15, $D$11, 100%, $F$11)</f>
        <v>26.362100000000002</v>
      </c>
      <c r="E825" s="12">
        <f>CHOOSE( CONTROL!$C$32, 26.3472, 26.3436) * CHOOSE( CONTROL!$C$15, $D$11, 100%, $F$11)</f>
        <v>26.347200000000001</v>
      </c>
      <c r="F825" s="4">
        <f>CHOOSE( CONTROL!$C$32, 27.0594, 27.0558) * CHOOSE(CONTROL!$C$15, $D$11, 100%, $F$11)</f>
        <v>27.0594</v>
      </c>
      <c r="G825" s="8">
        <f>CHOOSE( CONTROL!$C$32, 26.0141, 26.0105) * CHOOSE( CONTROL!$C$15, $D$11, 100%, $F$11)</f>
        <v>26.014099999999999</v>
      </c>
      <c r="H825" s="4">
        <f>CHOOSE( CONTROL!$C$32, 26.9892, 26.9856) * CHOOSE(CONTROL!$C$15, $D$11, 100%, $F$11)</f>
        <v>26.9892</v>
      </c>
      <c r="I825" s="8">
        <f>CHOOSE( CONTROL!$C$32, 25.6836, 25.6801) * CHOOSE(CONTROL!$C$15, $D$11, 100%, $F$11)</f>
        <v>25.683599999999998</v>
      </c>
      <c r="J825" s="4">
        <f>CHOOSE( CONTROL!$C$32, 25.5293, 25.5257) * CHOOSE(CONTROL!$C$15, $D$11, 100%, $F$11)</f>
        <v>25.529299999999999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25.8936, 25.8899) * CHOOSE(CONTROL!$C$15, $D$11, 100%, $F$11)</f>
        <v>25.893599999999999</v>
      </c>
      <c r="C826" s="8">
        <f>CHOOSE( CONTROL!$C$32, 25.9015, 25.8979) * CHOOSE(CONTROL!$C$15, $D$11, 100%, $F$11)</f>
        <v>25.901499999999999</v>
      </c>
      <c r="D826" s="8">
        <f>CHOOSE( CONTROL!$C$32, 25.9395, 25.9359) * CHOOSE( CONTROL!$C$15, $D$11, 100%, $F$11)</f>
        <v>25.939499999999999</v>
      </c>
      <c r="E826" s="12">
        <f>CHOOSE( CONTROL!$C$32, 25.9245, 25.9209) * CHOOSE( CONTROL!$C$15, $D$11, 100%, $F$11)</f>
        <v>25.924499999999998</v>
      </c>
      <c r="F826" s="4">
        <f>CHOOSE( CONTROL!$C$32, 26.6366, 26.6329) * CHOOSE(CONTROL!$C$15, $D$11, 100%, $F$11)</f>
        <v>26.636600000000001</v>
      </c>
      <c r="G826" s="8">
        <f>CHOOSE( CONTROL!$C$32, 25.5966, 25.593) * CHOOSE( CONTROL!$C$15, $D$11, 100%, $F$11)</f>
        <v>25.596599999999999</v>
      </c>
      <c r="H826" s="4">
        <f>CHOOSE( CONTROL!$C$32, 26.5713, 26.5677) * CHOOSE(CONTROL!$C$15, $D$11, 100%, $F$11)</f>
        <v>26.571300000000001</v>
      </c>
      <c r="I826" s="8">
        <f>CHOOSE( CONTROL!$C$32, 25.274, 25.2705) * CHOOSE(CONTROL!$C$15, $D$11, 100%, $F$11)</f>
        <v>25.274000000000001</v>
      </c>
      <c r="J826" s="4">
        <f>CHOOSE( CONTROL!$C$32, 25.1189, 25.1154) * CHOOSE(CONTROL!$C$15, $D$11, 100%, $F$11)</f>
        <v>25.1189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27.0071, 27.0035) * CHOOSE(CONTROL!$C$15, $D$11, 100%, $F$11)</f>
        <v>27.007100000000001</v>
      </c>
      <c r="C827" s="8">
        <f>CHOOSE( CONTROL!$C$32, 27.0151, 27.0115) * CHOOSE(CONTROL!$C$15, $D$11, 100%, $F$11)</f>
        <v>27.0151</v>
      </c>
      <c r="D827" s="8">
        <f>CHOOSE( CONTROL!$C$32, 27.0533, 27.0497) * CHOOSE( CONTROL!$C$15, $D$11, 100%, $F$11)</f>
        <v>27.0533</v>
      </c>
      <c r="E827" s="12">
        <f>CHOOSE( CONTROL!$C$32, 27.0382, 27.0346) * CHOOSE( CONTROL!$C$15, $D$11, 100%, $F$11)</f>
        <v>27.0382</v>
      </c>
      <c r="F827" s="4">
        <f>CHOOSE( CONTROL!$C$32, 27.7501, 27.7465) * CHOOSE(CONTROL!$C$15, $D$11, 100%, $F$11)</f>
        <v>27.7501</v>
      </c>
      <c r="G827" s="8">
        <f>CHOOSE( CONTROL!$C$32, 26.6974, 26.6938) * CHOOSE( CONTROL!$C$15, $D$11, 100%, $F$11)</f>
        <v>26.697399999999998</v>
      </c>
      <c r="H827" s="4">
        <f>CHOOSE( CONTROL!$C$32, 27.6718, 27.6682) * CHOOSE(CONTROL!$C$15, $D$11, 100%, $F$11)</f>
        <v>27.671800000000001</v>
      </c>
      <c r="I827" s="8">
        <f>CHOOSE( CONTROL!$C$32, 26.3564, 26.3529) * CHOOSE(CONTROL!$C$15, $D$11, 100%, $F$11)</f>
        <v>26.356400000000001</v>
      </c>
      <c r="J827" s="4">
        <f>CHOOSE( CONTROL!$C$32, 26.1996, 26.1961) * CHOOSE(CONTROL!$C$15, $D$11, 100%, $F$11)</f>
        <v>26.1996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24.9235, 24.9199) * CHOOSE(CONTROL!$C$15, $D$11, 100%, $F$11)</f>
        <v>24.923500000000001</v>
      </c>
      <c r="C828" s="8">
        <f>CHOOSE( CONTROL!$C$32, 24.9315, 24.9279) * CHOOSE(CONTROL!$C$15, $D$11, 100%, $F$11)</f>
        <v>24.9315</v>
      </c>
      <c r="D828" s="8">
        <f>CHOOSE( CONTROL!$C$32, 24.9698, 24.9661) * CHOOSE( CONTROL!$C$15, $D$11, 100%, $F$11)</f>
        <v>24.969799999999999</v>
      </c>
      <c r="E828" s="12">
        <f>CHOOSE( CONTROL!$C$32, 24.9547, 24.951) * CHOOSE( CONTROL!$C$15, $D$11, 100%, $F$11)</f>
        <v>24.954699999999999</v>
      </c>
      <c r="F828" s="4">
        <f>CHOOSE( CONTROL!$C$32, 25.6665, 25.6629) * CHOOSE(CONTROL!$C$15, $D$11, 100%, $F$11)</f>
        <v>25.666499999999999</v>
      </c>
      <c r="G828" s="8">
        <f>CHOOSE( CONTROL!$C$32, 24.6383, 24.6347) * CHOOSE( CONTROL!$C$15, $D$11, 100%, $F$11)</f>
        <v>24.638300000000001</v>
      </c>
      <c r="H828" s="4">
        <f>CHOOSE( CONTROL!$C$32, 25.6126, 25.609) * CHOOSE(CONTROL!$C$15, $D$11, 100%, $F$11)</f>
        <v>25.6126</v>
      </c>
      <c r="I828" s="8">
        <f>CHOOSE( CONTROL!$C$32, 24.3336, 24.33) * CHOOSE(CONTROL!$C$15, $D$11, 100%, $F$11)</f>
        <v>24.333600000000001</v>
      </c>
      <c r="J828" s="4">
        <f>CHOOSE( CONTROL!$C$32, 24.1775, 24.1739) * CHOOSE(CONTROL!$C$15, $D$11, 100%, $F$11)</f>
        <v>24.177499999999998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24.4018, 24.3981) * CHOOSE(CONTROL!$C$15, $D$11, 100%, $F$11)</f>
        <v>24.401800000000001</v>
      </c>
      <c r="C829" s="8">
        <f>CHOOSE( CONTROL!$C$32, 24.4097, 24.4061) * CHOOSE(CONTROL!$C$15, $D$11, 100%, $F$11)</f>
        <v>24.409700000000001</v>
      </c>
      <c r="D829" s="8">
        <f>CHOOSE( CONTROL!$C$32, 24.4479, 24.4443) * CHOOSE( CONTROL!$C$15, $D$11, 100%, $F$11)</f>
        <v>24.447900000000001</v>
      </c>
      <c r="E829" s="12">
        <f>CHOOSE( CONTROL!$C$32, 24.4329, 24.4292) * CHOOSE( CONTROL!$C$15, $D$11, 100%, $F$11)</f>
        <v>24.4329</v>
      </c>
      <c r="F829" s="4">
        <f>CHOOSE( CONTROL!$C$32, 25.1448, 25.1411) * CHOOSE(CONTROL!$C$15, $D$11, 100%, $F$11)</f>
        <v>25.1448</v>
      </c>
      <c r="G829" s="8">
        <f>CHOOSE( CONTROL!$C$32, 24.1226, 24.119) * CHOOSE( CONTROL!$C$15, $D$11, 100%, $F$11)</f>
        <v>24.122599999999998</v>
      </c>
      <c r="H829" s="4">
        <f>CHOOSE( CONTROL!$C$32, 25.0969, 25.0933) * CHOOSE(CONTROL!$C$15, $D$11, 100%, $F$11)</f>
        <v>25.096900000000002</v>
      </c>
      <c r="I829" s="8">
        <f>CHOOSE( CONTROL!$C$32, 23.8266, 23.823) * CHOOSE(CONTROL!$C$15, $D$11, 100%, $F$11)</f>
        <v>23.826599999999999</v>
      </c>
      <c r="J829" s="4">
        <f>CHOOSE( CONTROL!$C$32, 23.6711, 23.6676) * CHOOSE(CONTROL!$C$15, $D$11, 100%, $F$11)</f>
        <v>23.671099999999999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25.4798 * CHOOSE(CONTROL!$C$15, $D$11, 100%, $F$11)</f>
        <v>25.479800000000001</v>
      </c>
      <c r="C830" s="8">
        <f>25.4851 * CHOOSE(CONTROL!$C$15, $D$11, 100%, $F$11)</f>
        <v>25.485099999999999</v>
      </c>
      <c r="D830" s="8">
        <f>25.5286 * CHOOSE( CONTROL!$C$15, $D$11, 100%, $F$11)</f>
        <v>25.528600000000001</v>
      </c>
      <c r="E830" s="12">
        <f>25.5137 * CHOOSE( CONTROL!$C$15, $D$11, 100%, $F$11)</f>
        <v>25.5137</v>
      </c>
      <c r="F830" s="4">
        <f>26.2245 * CHOOSE(CONTROL!$C$15, $D$11, 100%, $F$11)</f>
        <v>26.224499999999999</v>
      </c>
      <c r="G830" s="8">
        <f>25.1891 * CHOOSE( CONTROL!$C$15, $D$11, 100%, $F$11)</f>
        <v>25.1891</v>
      </c>
      <c r="H830" s="4">
        <f>26.164 * CHOOSE(CONTROL!$C$15, $D$11, 100%, $F$11)</f>
        <v>26.164000000000001</v>
      </c>
      <c r="I830" s="8">
        <f>24.8757 * CHOOSE(CONTROL!$C$15, $D$11, 100%, $F$11)</f>
        <v>24.875699999999998</v>
      </c>
      <c r="J830" s="4">
        <f>24.719 * CHOOSE(CONTROL!$C$15, $D$11, 100%, $F$11)</f>
        <v>24.719000000000001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27.479 * CHOOSE(CONTROL!$C$15, $D$11, 100%, $F$11)</f>
        <v>27.478999999999999</v>
      </c>
      <c r="C831" s="8">
        <f>27.4841 * CHOOSE(CONTROL!$C$15, $D$11, 100%, $F$11)</f>
        <v>27.484100000000002</v>
      </c>
      <c r="D831" s="8">
        <f>27.4677 * CHOOSE( CONTROL!$C$15, $D$11, 100%, $F$11)</f>
        <v>27.467700000000001</v>
      </c>
      <c r="E831" s="12">
        <f>27.4732 * CHOOSE( CONTROL!$C$15, $D$11, 100%, $F$11)</f>
        <v>27.473199999999999</v>
      </c>
      <c r="F831" s="4">
        <f>28.1443 * CHOOSE(CONTROL!$C$15, $D$11, 100%, $F$11)</f>
        <v>28.144300000000001</v>
      </c>
      <c r="G831" s="8">
        <f>27.1659 * CHOOSE( CONTROL!$C$15, $D$11, 100%, $F$11)</f>
        <v>27.165900000000001</v>
      </c>
      <c r="H831" s="4">
        <f>28.0613 * CHOOSE(CONTROL!$C$15, $D$11, 100%, $F$11)</f>
        <v>28.061299999999999</v>
      </c>
      <c r="I831" s="8">
        <f>26.8174 * CHOOSE(CONTROL!$C$15, $D$11, 100%, $F$11)</f>
        <v>26.817399999999999</v>
      </c>
      <c r="J831" s="4">
        <f>26.6596 * CHOOSE(CONTROL!$C$15, $D$11, 100%, $F$11)</f>
        <v>26.659600000000001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27.429 * CHOOSE(CONTROL!$C$15, $D$11, 100%, $F$11)</f>
        <v>27.428999999999998</v>
      </c>
      <c r="C832" s="8">
        <f>27.4341 * CHOOSE(CONTROL!$C$15, $D$11, 100%, $F$11)</f>
        <v>27.434100000000001</v>
      </c>
      <c r="D832" s="8">
        <f>27.4195 * CHOOSE( CONTROL!$C$15, $D$11, 100%, $F$11)</f>
        <v>27.419499999999999</v>
      </c>
      <c r="E832" s="12">
        <f>27.4243 * CHOOSE( CONTROL!$C$15, $D$11, 100%, $F$11)</f>
        <v>27.424299999999999</v>
      </c>
      <c r="F832" s="4">
        <f>28.0943 * CHOOSE(CONTROL!$C$15, $D$11, 100%, $F$11)</f>
        <v>28.0943</v>
      </c>
      <c r="G832" s="8">
        <f>27.1178 * CHOOSE( CONTROL!$C$15, $D$11, 100%, $F$11)</f>
        <v>27.117799999999999</v>
      </c>
      <c r="H832" s="4">
        <f>28.012 * CHOOSE(CONTROL!$C$15, $D$11, 100%, $F$11)</f>
        <v>28.012</v>
      </c>
      <c r="I832" s="8">
        <f>26.7743 * CHOOSE(CONTROL!$C$15, $D$11, 100%, $F$11)</f>
        <v>26.7743</v>
      </c>
      <c r="J832" s="4">
        <f>26.6111 * CHOOSE(CONTROL!$C$15, $D$11, 100%, $F$11)</f>
        <v>26.6111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28.2378 * CHOOSE(CONTROL!$C$15, $D$11, 100%, $F$11)</f>
        <v>28.2378</v>
      </c>
      <c r="C833" s="8">
        <f>28.2429 * CHOOSE(CONTROL!$C$15, $D$11, 100%, $F$11)</f>
        <v>28.242899999999999</v>
      </c>
      <c r="D833" s="8">
        <f>28.214 * CHOOSE( CONTROL!$C$15, $D$11, 100%, $F$11)</f>
        <v>28.213999999999999</v>
      </c>
      <c r="E833" s="12">
        <f>28.224 * CHOOSE( CONTROL!$C$15, $D$11, 100%, $F$11)</f>
        <v>28.224</v>
      </c>
      <c r="F833" s="4">
        <f>28.9031 * CHOOSE(CONTROL!$C$15, $D$11, 100%, $F$11)</f>
        <v>28.903099999999998</v>
      </c>
      <c r="G833" s="8">
        <f>27.9069 * CHOOSE( CONTROL!$C$15, $D$11, 100%, $F$11)</f>
        <v>27.9069</v>
      </c>
      <c r="H833" s="4">
        <f>28.8113 * CHOOSE(CONTROL!$C$15, $D$11, 100%, $F$11)</f>
        <v>28.811299999999999</v>
      </c>
      <c r="I833" s="8">
        <f>27.5543 * CHOOSE(CONTROL!$C$15, $D$11, 100%, $F$11)</f>
        <v>27.554300000000001</v>
      </c>
      <c r="J833" s="4">
        <f>27.3961 * CHOOSE(CONTROL!$C$15, $D$11, 100%, $F$11)</f>
        <v>27.396100000000001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26.4129 * CHOOSE(CONTROL!$C$15, $D$11, 100%, $F$11)</f>
        <v>26.4129</v>
      </c>
      <c r="C834" s="8">
        <f>26.418 * CHOOSE(CONTROL!$C$15, $D$11, 100%, $F$11)</f>
        <v>26.417999999999999</v>
      </c>
      <c r="D834" s="8">
        <f>26.3891 * CHOOSE( CONTROL!$C$15, $D$11, 100%, $F$11)</f>
        <v>26.389099999999999</v>
      </c>
      <c r="E834" s="12">
        <f>26.3991 * CHOOSE( CONTROL!$C$15, $D$11, 100%, $F$11)</f>
        <v>26.399100000000001</v>
      </c>
      <c r="F834" s="4">
        <f>27.0782 * CHOOSE(CONTROL!$C$15, $D$11, 100%, $F$11)</f>
        <v>27.078199999999999</v>
      </c>
      <c r="G834" s="8">
        <f>26.1033 * CHOOSE( CONTROL!$C$15, $D$11, 100%, $F$11)</f>
        <v>26.103300000000001</v>
      </c>
      <c r="H834" s="4">
        <f>27.0077 * CHOOSE(CONTROL!$C$15, $D$11, 100%, $F$11)</f>
        <v>27.0077</v>
      </c>
      <c r="I834" s="8">
        <f>25.7822 * CHOOSE(CONTROL!$C$15, $D$11, 100%, $F$11)</f>
        <v>25.7822</v>
      </c>
      <c r="J834" s="4">
        <f>25.625 * CHOOSE(CONTROL!$C$15, $D$11, 100%, $F$11)</f>
        <v>25.625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25.8508 * CHOOSE(CONTROL!$C$15, $D$11, 100%, $F$11)</f>
        <v>25.8508</v>
      </c>
      <c r="C835" s="8">
        <f>25.8559 * CHOOSE(CONTROL!$C$15, $D$11, 100%, $F$11)</f>
        <v>25.855899999999998</v>
      </c>
      <c r="D835" s="8">
        <f>25.8266 * CHOOSE( CONTROL!$C$15, $D$11, 100%, $F$11)</f>
        <v>25.826599999999999</v>
      </c>
      <c r="E835" s="12">
        <f>25.8368 * CHOOSE( CONTROL!$C$15, $D$11, 100%, $F$11)</f>
        <v>25.8368</v>
      </c>
      <c r="F835" s="4">
        <f>26.5161 * CHOOSE(CONTROL!$C$15, $D$11, 100%, $F$11)</f>
        <v>26.516100000000002</v>
      </c>
      <c r="G835" s="8">
        <f>25.5475 * CHOOSE( CONTROL!$C$15, $D$11, 100%, $F$11)</f>
        <v>25.547499999999999</v>
      </c>
      <c r="H835" s="4">
        <f>26.4522 * CHOOSE(CONTROL!$C$15, $D$11, 100%, $F$11)</f>
        <v>26.452200000000001</v>
      </c>
      <c r="I835" s="8">
        <f>25.2352 * CHOOSE(CONTROL!$C$15, $D$11, 100%, $F$11)</f>
        <v>25.235199999999999</v>
      </c>
      <c r="J835" s="4">
        <f>25.0795 * CHOOSE(CONTROL!$C$15, $D$11, 100%, $F$11)</f>
        <v>25.079499999999999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26.2444 * CHOOSE(CONTROL!$C$15, $D$11, 100%, $F$11)</f>
        <v>26.244399999999999</v>
      </c>
      <c r="C836" s="8">
        <f>26.2489 * CHOOSE(CONTROL!$C$15, $D$11, 100%, $F$11)</f>
        <v>26.248899999999999</v>
      </c>
      <c r="D836" s="8">
        <f>26.2922 * CHOOSE( CONTROL!$C$15, $D$11, 100%, $F$11)</f>
        <v>26.292200000000001</v>
      </c>
      <c r="E836" s="12">
        <f>26.2774 * CHOOSE( CONTROL!$C$15, $D$11, 100%, $F$11)</f>
        <v>26.2774</v>
      </c>
      <c r="F836" s="4">
        <f>26.9887 * CHOOSE(CONTROL!$C$15, $D$11, 100%, $F$11)</f>
        <v>26.988700000000001</v>
      </c>
      <c r="G836" s="8">
        <f>25.9435 * CHOOSE( CONTROL!$C$15, $D$11, 100%, $F$11)</f>
        <v>25.9435</v>
      </c>
      <c r="H836" s="4">
        <f>26.9193 * CHOOSE(CONTROL!$C$15, $D$11, 100%, $F$11)</f>
        <v>26.9193</v>
      </c>
      <c r="I836" s="8">
        <f>25.6148 * CHOOSE(CONTROL!$C$15, $D$11, 100%, $F$11)</f>
        <v>25.614799999999999</v>
      </c>
      <c r="J836" s="4">
        <f>25.4606 * CHOOSE(CONTROL!$C$15, $D$11, 100%, $F$11)</f>
        <v>25.460599999999999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26.9484, 26.9448) * CHOOSE(CONTROL!$C$15, $D$11, 100%, $F$11)</f>
        <v>26.948399999999999</v>
      </c>
      <c r="C837" s="8">
        <f>CHOOSE( CONTROL!$C$32, 26.9564, 26.9527) * CHOOSE(CONTROL!$C$15, $D$11, 100%, $F$11)</f>
        <v>26.956399999999999</v>
      </c>
      <c r="D837" s="8">
        <f>CHOOSE( CONTROL!$C$32, 26.9941, 26.9905) * CHOOSE( CONTROL!$C$15, $D$11, 100%, $F$11)</f>
        <v>26.9941</v>
      </c>
      <c r="E837" s="12">
        <f>CHOOSE( CONTROL!$C$32, 26.9792, 26.9756) * CHOOSE( CONTROL!$C$15, $D$11, 100%, $F$11)</f>
        <v>26.979199999999999</v>
      </c>
      <c r="F837" s="4">
        <f>CHOOSE( CONTROL!$C$32, 27.6914, 27.6878) * CHOOSE(CONTROL!$C$15, $D$11, 100%, $F$11)</f>
        <v>27.691400000000002</v>
      </c>
      <c r="G837" s="8">
        <f>CHOOSE( CONTROL!$C$32, 26.6387, 26.6351) * CHOOSE( CONTROL!$C$15, $D$11, 100%, $F$11)</f>
        <v>26.6387</v>
      </c>
      <c r="H837" s="4">
        <f>CHOOSE( CONTROL!$C$32, 27.6138, 27.6102) * CHOOSE(CONTROL!$C$15, $D$11, 100%, $F$11)</f>
        <v>27.613800000000001</v>
      </c>
      <c r="I837" s="8">
        <f>CHOOSE( CONTROL!$C$32, 26.2972, 26.2937) * CHOOSE(CONTROL!$C$15, $D$11, 100%, $F$11)</f>
        <v>26.2972</v>
      </c>
      <c r="J837" s="4">
        <f>CHOOSE( CONTROL!$C$32, 26.1426, 26.1391) * CHOOSE(CONTROL!$C$15, $D$11, 100%, $F$11)</f>
        <v>26.142600000000002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26.5154, 26.5117) * CHOOSE(CONTROL!$C$15, $D$11, 100%, $F$11)</f>
        <v>26.5154</v>
      </c>
      <c r="C838" s="8">
        <f>CHOOSE( CONTROL!$C$32, 26.5233, 26.5197) * CHOOSE(CONTROL!$C$15, $D$11, 100%, $F$11)</f>
        <v>26.523299999999999</v>
      </c>
      <c r="D838" s="8">
        <f>CHOOSE( CONTROL!$C$32, 26.5613, 26.5577) * CHOOSE( CONTROL!$C$15, $D$11, 100%, $F$11)</f>
        <v>26.561299999999999</v>
      </c>
      <c r="E838" s="12">
        <f>CHOOSE( CONTROL!$C$32, 26.5463, 26.5427) * CHOOSE( CONTROL!$C$15, $D$11, 100%, $F$11)</f>
        <v>26.546299999999999</v>
      </c>
      <c r="F838" s="4">
        <f>CHOOSE( CONTROL!$C$32, 27.2584, 27.2547) * CHOOSE(CONTROL!$C$15, $D$11, 100%, $F$11)</f>
        <v>27.258400000000002</v>
      </c>
      <c r="G838" s="8">
        <f>CHOOSE( CONTROL!$C$32, 26.2111, 26.2075) * CHOOSE( CONTROL!$C$15, $D$11, 100%, $F$11)</f>
        <v>26.211099999999998</v>
      </c>
      <c r="H838" s="4">
        <f>CHOOSE( CONTROL!$C$32, 27.1858, 27.1822) * CHOOSE(CONTROL!$C$15, $D$11, 100%, $F$11)</f>
        <v>27.1858</v>
      </c>
      <c r="I838" s="8">
        <f>CHOOSE( CONTROL!$C$32, 25.8778, 25.8743) * CHOOSE(CONTROL!$C$15, $D$11, 100%, $F$11)</f>
        <v>25.877800000000001</v>
      </c>
      <c r="J838" s="4">
        <f>CHOOSE( CONTROL!$C$32, 25.7223, 25.7188) * CHOOSE(CONTROL!$C$15, $D$11, 100%, $F$11)</f>
        <v>25.722300000000001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27.6557, 27.6521) * CHOOSE(CONTROL!$C$15, $D$11, 100%, $F$11)</f>
        <v>27.6557</v>
      </c>
      <c r="C839" s="8">
        <f>CHOOSE( CONTROL!$C$32, 27.6637, 27.66) * CHOOSE(CONTROL!$C$15, $D$11, 100%, $F$11)</f>
        <v>27.663699999999999</v>
      </c>
      <c r="D839" s="8">
        <f>CHOOSE( CONTROL!$C$32, 27.7019, 27.6982) * CHOOSE( CONTROL!$C$15, $D$11, 100%, $F$11)</f>
        <v>27.701899999999998</v>
      </c>
      <c r="E839" s="12">
        <f>CHOOSE( CONTROL!$C$32, 27.6868, 27.6832) * CHOOSE( CONTROL!$C$15, $D$11, 100%, $F$11)</f>
        <v>27.686800000000002</v>
      </c>
      <c r="F839" s="4">
        <f>CHOOSE( CONTROL!$C$32, 28.3987, 28.3951) * CHOOSE(CONTROL!$C$15, $D$11, 100%, $F$11)</f>
        <v>28.398700000000002</v>
      </c>
      <c r="G839" s="8">
        <f>CHOOSE( CONTROL!$C$32, 27.3384, 27.3348) * CHOOSE( CONTROL!$C$15, $D$11, 100%, $F$11)</f>
        <v>27.3384</v>
      </c>
      <c r="H839" s="4">
        <f>CHOOSE( CONTROL!$C$32, 28.3128, 28.3092) * CHOOSE(CONTROL!$C$15, $D$11, 100%, $F$11)</f>
        <v>28.312799999999999</v>
      </c>
      <c r="I839" s="8">
        <f>CHOOSE( CONTROL!$C$32, 26.9862, 26.9826) * CHOOSE(CONTROL!$C$15, $D$11, 100%, $F$11)</f>
        <v>26.9862</v>
      </c>
      <c r="J839" s="4">
        <f>CHOOSE( CONTROL!$C$32, 26.829, 26.8255) * CHOOSE(CONTROL!$C$15, $D$11, 100%, $F$11)</f>
        <v>26.829000000000001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25.522, 25.5184) * CHOOSE(CONTROL!$C$15, $D$11, 100%, $F$11)</f>
        <v>25.521999999999998</v>
      </c>
      <c r="C840" s="8">
        <f>CHOOSE( CONTROL!$C$32, 25.53, 25.5264) * CHOOSE(CONTROL!$C$15, $D$11, 100%, $F$11)</f>
        <v>25.53</v>
      </c>
      <c r="D840" s="8">
        <f>CHOOSE( CONTROL!$C$32, 25.5683, 25.5646) * CHOOSE( CONTROL!$C$15, $D$11, 100%, $F$11)</f>
        <v>25.568300000000001</v>
      </c>
      <c r="E840" s="12">
        <f>CHOOSE( CONTROL!$C$32, 25.5532, 25.5495) * CHOOSE( CONTROL!$C$15, $D$11, 100%, $F$11)</f>
        <v>25.5532</v>
      </c>
      <c r="F840" s="4">
        <f>CHOOSE( CONTROL!$C$32, 26.265, 26.2614) * CHOOSE(CONTROL!$C$15, $D$11, 100%, $F$11)</f>
        <v>26.265000000000001</v>
      </c>
      <c r="G840" s="8">
        <f>CHOOSE( CONTROL!$C$32, 25.2298, 25.2262) * CHOOSE( CONTROL!$C$15, $D$11, 100%, $F$11)</f>
        <v>25.229800000000001</v>
      </c>
      <c r="H840" s="4">
        <f>CHOOSE( CONTROL!$C$32, 26.2041, 26.2005) * CHOOSE(CONTROL!$C$15, $D$11, 100%, $F$11)</f>
        <v>26.2041</v>
      </c>
      <c r="I840" s="8">
        <f>CHOOSE( CONTROL!$C$32, 24.9147, 24.9112) * CHOOSE(CONTROL!$C$15, $D$11, 100%, $F$11)</f>
        <v>24.9147</v>
      </c>
      <c r="J840" s="4">
        <f>CHOOSE( CONTROL!$C$32, 24.7583, 24.7548) * CHOOSE(CONTROL!$C$15, $D$11, 100%, $F$11)</f>
        <v>24.758299999999998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24.9877, 24.9841) * CHOOSE(CONTROL!$C$15, $D$11, 100%, $F$11)</f>
        <v>24.9877</v>
      </c>
      <c r="C841" s="8">
        <f>CHOOSE( CONTROL!$C$32, 24.9957, 24.9921) * CHOOSE(CONTROL!$C$15, $D$11, 100%, $F$11)</f>
        <v>24.995699999999999</v>
      </c>
      <c r="D841" s="8">
        <f>CHOOSE( CONTROL!$C$32, 25.0339, 25.0302) * CHOOSE( CONTROL!$C$15, $D$11, 100%, $F$11)</f>
        <v>25.033899999999999</v>
      </c>
      <c r="E841" s="12">
        <f>CHOOSE( CONTROL!$C$32, 25.0188, 25.0152) * CHOOSE( CONTROL!$C$15, $D$11, 100%, $F$11)</f>
        <v>25.018799999999999</v>
      </c>
      <c r="F841" s="4">
        <f>CHOOSE( CONTROL!$C$32, 25.7307, 25.7271) * CHOOSE(CONTROL!$C$15, $D$11, 100%, $F$11)</f>
        <v>25.730699999999999</v>
      </c>
      <c r="G841" s="8">
        <f>CHOOSE( CONTROL!$C$32, 24.7017, 24.6981) * CHOOSE( CONTROL!$C$15, $D$11, 100%, $F$11)</f>
        <v>24.701699999999999</v>
      </c>
      <c r="H841" s="4">
        <f>CHOOSE( CONTROL!$C$32, 25.676, 25.6724) * CHOOSE(CONTROL!$C$15, $D$11, 100%, $F$11)</f>
        <v>25.675999999999998</v>
      </c>
      <c r="I841" s="8">
        <f>CHOOSE( CONTROL!$C$32, 24.3955, 24.392) * CHOOSE(CONTROL!$C$15, $D$11, 100%, $F$11)</f>
        <v>24.395499999999998</v>
      </c>
      <c r="J841" s="4">
        <f>CHOOSE( CONTROL!$C$32, 24.2398, 24.2362) * CHOOSE(CONTROL!$C$15, $D$11, 100%, $F$11)</f>
        <v>24.239799999999999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26.0917 * CHOOSE(CONTROL!$C$15, $D$11, 100%, $F$11)</f>
        <v>26.091699999999999</v>
      </c>
      <c r="C842" s="8">
        <f>26.0971 * CHOOSE(CONTROL!$C$15, $D$11, 100%, $F$11)</f>
        <v>26.097100000000001</v>
      </c>
      <c r="D842" s="8">
        <f>26.1406 * CHOOSE( CONTROL!$C$15, $D$11, 100%, $F$11)</f>
        <v>26.140599999999999</v>
      </c>
      <c r="E842" s="12">
        <f>26.1257 * CHOOSE( CONTROL!$C$15, $D$11, 100%, $F$11)</f>
        <v>26.125699999999998</v>
      </c>
      <c r="F842" s="4">
        <f>26.8365 * CHOOSE(CONTROL!$C$15, $D$11, 100%, $F$11)</f>
        <v>26.836500000000001</v>
      </c>
      <c r="G842" s="8">
        <f>25.7939 * CHOOSE( CONTROL!$C$15, $D$11, 100%, $F$11)</f>
        <v>25.793900000000001</v>
      </c>
      <c r="H842" s="4">
        <f>26.7688 * CHOOSE(CONTROL!$C$15, $D$11, 100%, $F$11)</f>
        <v>26.768799999999999</v>
      </c>
      <c r="I842" s="8">
        <f>25.4699 * CHOOSE(CONTROL!$C$15, $D$11, 100%, $F$11)</f>
        <v>25.469899999999999</v>
      </c>
      <c r="J842" s="4">
        <f>25.3129 * CHOOSE(CONTROL!$C$15, $D$11, 100%, $F$11)</f>
        <v>25.312899999999999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28.139 * CHOOSE(CONTROL!$C$15, $D$11, 100%, $F$11)</f>
        <v>28.138999999999999</v>
      </c>
      <c r="C843" s="8">
        <f>28.1441 * CHOOSE(CONTROL!$C$15, $D$11, 100%, $F$11)</f>
        <v>28.144100000000002</v>
      </c>
      <c r="D843" s="8">
        <f>28.1278 * CHOOSE( CONTROL!$C$15, $D$11, 100%, $F$11)</f>
        <v>28.127800000000001</v>
      </c>
      <c r="E843" s="12">
        <f>28.1332 * CHOOSE( CONTROL!$C$15, $D$11, 100%, $F$11)</f>
        <v>28.133199999999999</v>
      </c>
      <c r="F843" s="4">
        <f>28.8043 * CHOOSE(CONTROL!$C$15, $D$11, 100%, $F$11)</f>
        <v>28.804300000000001</v>
      </c>
      <c r="G843" s="8">
        <f>27.8182 * CHOOSE( CONTROL!$C$15, $D$11, 100%, $F$11)</f>
        <v>27.818200000000001</v>
      </c>
      <c r="H843" s="4">
        <f>28.7136 * CHOOSE(CONTROL!$C$15, $D$11, 100%, $F$11)</f>
        <v>28.7136</v>
      </c>
      <c r="I843" s="8">
        <f>27.4583 * CHOOSE(CONTROL!$C$15, $D$11, 100%, $F$11)</f>
        <v>27.458300000000001</v>
      </c>
      <c r="J843" s="4">
        <f>27.3002 * CHOOSE(CONTROL!$C$15, $D$11, 100%, $F$11)</f>
        <v>27.3002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28.0879 * CHOOSE(CONTROL!$C$15, $D$11, 100%, $F$11)</f>
        <v>28.087900000000001</v>
      </c>
      <c r="C844" s="8">
        <f>28.093 * CHOOSE(CONTROL!$C$15, $D$11, 100%, $F$11)</f>
        <v>28.093</v>
      </c>
      <c r="D844" s="8">
        <f>28.0783 * CHOOSE( CONTROL!$C$15, $D$11, 100%, $F$11)</f>
        <v>28.078299999999999</v>
      </c>
      <c r="E844" s="12">
        <f>28.0831 * CHOOSE( CONTROL!$C$15, $D$11, 100%, $F$11)</f>
        <v>28.083100000000002</v>
      </c>
      <c r="F844" s="4">
        <f>28.7532 * CHOOSE(CONTROL!$C$15, $D$11, 100%, $F$11)</f>
        <v>28.7532</v>
      </c>
      <c r="G844" s="8">
        <f>27.7689 * CHOOSE( CONTROL!$C$15, $D$11, 100%, $F$11)</f>
        <v>27.768899999999999</v>
      </c>
      <c r="H844" s="4">
        <f>28.6631 * CHOOSE(CONTROL!$C$15, $D$11, 100%, $F$11)</f>
        <v>28.6631</v>
      </c>
      <c r="I844" s="8">
        <f>27.414 * CHOOSE(CONTROL!$C$15, $D$11, 100%, $F$11)</f>
        <v>27.414000000000001</v>
      </c>
      <c r="J844" s="4">
        <f>27.2505 * CHOOSE(CONTROL!$C$15, $D$11, 100%, $F$11)</f>
        <v>27.250499999999999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28.9161 * CHOOSE(CONTROL!$C$15, $D$11, 100%, $F$11)</f>
        <v>28.9161</v>
      </c>
      <c r="C845" s="8">
        <f>28.9212 * CHOOSE(CONTROL!$C$15, $D$11, 100%, $F$11)</f>
        <v>28.921199999999999</v>
      </c>
      <c r="D845" s="8">
        <f>28.8923 * CHOOSE( CONTROL!$C$15, $D$11, 100%, $F$11)</f>
        <v>28.892299999999999</v>
      </c>
      <c r="E845" s="12">
        <f>28.9023 * CHOOSE( CONTROL!$C$15, $D$11, 100%, $F$11)</f>
        <v>28.9023</v>
      </c>
      <c r="F845" s="4">
        <f>29.5814 * CHOOSE(CONTROL!$C$15, $D$11, 100%, $F$11)</f>
        <v>29.581399999999999</v>
      </c>
      <c r="G845" s="8">
        <f>28.5772 * CHOOSE( CONTROL!$C$15, $D$11, 100%, $F$11)</f>
        <v>28.577200000000001</v>
      </c>
      <c r="H845" s="4">
        <f>29.4816 * CHOOSE(CONTROL!$C$15, $D$11, 100%, $F$11)</f>
        <v>29.4816</v>
      </c>
      <c r="I845" s="8">
        <f>28.2129 * CHOOSE(CONTROL!$C$15, $D$11, 100%, $F$11)</f>
        <v>28.212900000000001</v>
      </c>
      <c r="J845" s="4">
        <f>28.0543 * CHOOSE(CONTROL!$C$15, $D$11, 100%, $F$11)</f>
        <v>28.054300000000001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27.0473 * CHOOSE(CONTROL!$C$15, $D$11, 100%, $F$11)</f>
        <v>27.0473</v>
      </c>
      <c r="C846" s="8">
        <f>27.0524 * CHOOSE(CONTROL!$C$15, $D$11, 100%, $F$11)</f>
        <v>27.052399999999999</v>
      </c>
      <c r="D846" s="8">
        <f>27.0235 * CHOOSE( CONTROL!$C$15, $D$11, 100%, $F$11)</f>
        <v>27.023499999999999</v>
      </c>
      <c r="E846" s="12">
        <f>27.0335 * CHOOSE( CONTROL!$C$15, $D$11, 100%, $F$11)</f>
        <v>27.0335</v>
      </c>
      <c r="F846" s="4">
        <f>27.7126 * CHOOSE(CONTROL!$C$15, $D$11, 100%, $F$11)</f>
        <v>27.712599999999998</v>
      </c>
      <c r="G846" s="8">
        <f>26.7303 * CHOOSE( CONTROL!$C$15, $D$11, 100%, $F$11)</f>
        <v>26.7303</v>
      </c>
      <c r="H846" s="4">
        <f>27.6347 * CHOOSE(CONTROL!$C$15, $D$11, 100%, $F$11)</f>
        <v>27.634699999999999</v>
      </c>
      <c r="I846" s="8">
        <f>26.3983 * CHOOSE(CONTROL!$C$15, $D$11, 100%, $F$11)</f>
        <v>26.398299999999999</v>
      </c>
      <c r="J846" s="4">
        <f>26.2407 * CHOOSE(CONTROL!$C$15, $D$11, 100%, $F$11)</f>
        <v>26.2407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26.4717 * CHOOSE(CONTROL!$C$15, $D$11, 100%, $F$11)</f>
        <v>26.471699999999998</v>
      </c>
      <c r="C847" s="8">
        <f>26.4768 * CHOOSE(CONTROL!$C$15, $D$11, 100%, $F$11)</f>
        <v>26.476800000000001</v>
      </c>
      <c r="D847" s="8">
        <f>26.4475 * CHOOSE( CONTROL!$C$15, $D$11, 100%, $F$11)</f>
        <v>26.447500000000002</v>
      </c>
      <c r="E847" s="12">
        <f>26.4577 * CHOOSE( CONTROL!$C$15, $D$11, 100%, $F$11)</f>
        <v>26.457699999999999</v>
      </c>
      <c r="F847" s="4">
        <f>27.137 * CHOOSE(CONTROL!$C$15, $D$11, 100%, $F$11)</f>
        <v>27.137</v>
      </c>
      <c r="G847" s="8">
        <f>26.1611 * CHOOSE( CONTROL!$C$15, $D$11, 100%, $F$11)</f>
        <v>26.161100000000001</v>
      </c>
      <c r="H847" s="4">
        <f>27.0659 * CHOOSE(CONTROL!$C$15, $D$11, 100%, $F$11)</f>
        <v>27.065899999999999</v>
      </c>
      <c r="I847" s="8">
        <f>25.8381 * CHOOSE(CONTROL!$C$15, $D$11, 100%, $F$11)</f>
        <v>25.838100000000001</v>
      </c>
      <c r="J847" s="4">
        <f>25.6821 * CHOOSE(CONTROL!$C$15, $D$11, 100%, $F$11)</f>
        <v>25.682099999999998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26.8747 * CHOOSE(CONTROL!$C$15, $D$11, 100%, $F$11)</f>
        <v>26.874700000000001</v>
      </c>
      <c r="C848" s="8">
        <f>26.8792 * CHOOSE(CONTROL!$C$15, $D$11, 100%, $F$11)</f>
        <v>26.879200000000001</v>
      </c>
      <c r="D848" s="8">
        <f>26.9226 * CHOOSE( CONTROL!$C$15, $D$11, 100%, $F$11)</f>
        <v>26.922599999999999</v>
      </c>
      <c r="E848" s="12">
        <f>26.9078 * CHOOSE( CONTROL!$C$15, $D$11, 100%, $F$11)</f>
        <v>26.907800000000002</v>
      </c>
      <c r="F848" s="4">
        <f>27.6191 * CHOOSE(CONTROL!$C$15, $D$11, 100%, $F$11)</f>
        <v>27.6191</v>
      </c>
      <c r="G848" s="8">
        <f>26.5664 * CHOOSE( CONTROL!$C$15, $D$11, 100%, $F$11)</f>
        <v>26.566400000000002</v>
      </c>
      <c r="H848" s="4">
        <f>27.5423 * CHOOSE(CONTROL!$C$15, $D$11, 100%, $F$11)</f>
        <v>27.542300000000001</v>
      </c>
      <c r="I848" s="8">
        <f>26.2269 * CHOOSE(CONTROL!$C$15, $D$11, 100%, $F$11)</f>
        <v>26.226900000000001</v>
      </c>
      <c r="J848" s="4">
        <f>26.0724 * CHOOSE(CONTROL!$C$15, $D$11, 100%, $F$11)</f>
        <v>26.072399999999998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27.5955, 27.5919) * CHOOSE(CONTROL!$C$15, $D$11, 100%, $F$11)</f>
        <v>27.595500000000001</v>
      </c>
      <c r="C849" s="8">
        <f>CHOOSE( CONTROL!$C$32, 27.6035, 27.5999) * CHOOSE(CONTROL!$C$15, $D$11, 100%, $F$11)</f>
        <v>27.6035</v>
      </c>
      <c r="D849" s="8">
        <f>CHOOSE( CONTROL!$C$32, 27.6413, 27.6376) * CHOOSE( CONTROL!$C$15, $D$11, 100%, $F$11)</f>
        <v>27.641300000000001</v>
      </c>
      <c r="E849" s="12">
        <f>CHOOSE( CONTROL!$C$32, 27.6264, 27.6227) * CHOOSE( CONTROL!$C$15, $D$11, 100%, $F$11)</f>
        <v>27.6264</v>
      </c>
      <c r="F849" s="4">
        <f>CHOOSE( CONTROL!$C$32, 28.3385, 28.3349) * CHOOSE(CONTROL!$C$15, $D$11, 100%, $F$11)</f>
        <v>28.3385</v>
      </c>
      <c r="G849" s="8">
        <f>CHOOSE( CONTROL!$C$32, 27.2783, 27.2747) * CHOOSE( CONTROL!$C$15, $D$11, 100%, $F$11)</f>
        <v>27.278300000000002</v>
      </c>
      <c r="H849" s="4">
        <f>CHOOSE( CONTROL!$C$32, 28.2533, 28.2497) * CHOOSE(CONTROL!$C$15, $D$11, 100%, $F$11)</f>
        <v>28.253299999999999</v>
      </c>
      <c r="I849" s="8">
        <f>CHOOSE( CONTROL!$C$32, 26.9256, 26.9221) * CHOOSE(CONTROL!$C$15, $D$11, 100%, $F$11)</f>
        <v>26.925599999999999</v>
      </c>
      <c r="J849" s="4">
        <f>CHOOSE( CONTROL!$C$32, 26.7707, 26.7671) * CHOOSE(CONTROL!$C$15, $D$11, 100%, $F$11)</f>
        <v>26.770700000000001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27.1521, 27.1485) * CHOOSE(CONTROL!$C$15, $D$11, 100%, $F$11)</f>
        <v>27.152100000000001</v>
      </c>
      <c r="C850" s="8">
        <f>CHOOSE( CONTROL!$C$32, 27.1601, 27.1564) * CHOOSE(CONTROL!$C$15, $D$11, 100%, $F$11)</f>
        <v>27.1601</v>
      </c>
      <c r="D850" s="8">
        <f>CHOOSE( CONTROL!$C$32, 27.198, 27.1944) * CHOOSE( CONTROL!$C$15, $D$11, 100%, $F$11)</f>
        <v>27.198</v>
      </c>
      <c r="E850" s="12">
        <f>CHOOSE( CONTROL!$C$32, 27.183, 27.1794) * CHOOSE( CONTROL!$C$15, $D$11, 100%, $F$11)</f>
        <v>27.183</v>
      </c>
      <c r="F850" s="4">
        <f>CHOOSE( CONTROL!$C$32, 27.8951, 27.8915) * CHOOSE(CONTROL!$C$15, $D$11, 100%, $F$11)</f>
        <v>27.895099999999999</v>
      </c>
      <c r="G850" s="8">
        <f>CHOOSE( CONTROL!$C$32, 26.8404, 26.8368) * CHOOSE( CONTROL!$C$15, $D$11, 100%, $F$11)</f>
        <v>26.840399999999999</v>
      </c>
      <c r="H850" s="4">
        <f>CHOOSE( CONTROL!$C$32, 27.8151, 27.8115) * CHOOSE(CONTROL!$C$15, $D$11, 100%, $F$11)</f>
        <v>27.815100000000001</v>
      </c>
      <c r="I850" s="8">
        <f>CHOOSE( CONTROL!$C$32, 26.4961, 26.4925) * CHOOSE(CONTROL!$C$15, $D$11, 100%, $F$11)</f>
        <v>26.496099999999998</v>
      </c>
      <c r="J850" s="4">
        <f>CHOOSE( CONTROL!$C$32, 26.3403, 26.3368) * CHOOSE(CONTROL!$C$15, $D$11, 100%, $F$11)</f>
        <v>26.340299999999999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28.3198, 28.3162) * CHOOSE(CONTROL!$C$15, $D$11, 100%, $F$11)</f>
        <v>28.319800000000001</v>
      </c>
      <c r="C851" s="8">
        <f>CHOOSE( CONTROL!$C$32, 28.3278, 28.3242) * CHOOSE(CONTROL!$C$15, $D$11, 100%, $F$11)</f>
        <v>28.3278</v>
      </c>
      <c r="D851" s="8">
        <f>CHOOSE( CONTROL!$C$32, 28.366, 28.3624) * CHOOSE( CONTROL!$C$15, $D$11, 100%, $F$11)</f>
        <v>28.366</v>
      </c>
      <c r="E851" s="12">
        <f>CHOOSE( CONTROL!$C$32, 28.3509, 28.3473) * CHOOSE( CONTROL!$C$15, $D$11, 100%, $F$11)</f>
        <v>28.350899999999999</v>
      </c>
      <c r="F851" s="4">
        <f>CHOOSE( CONTROL!$C$32, 29.0628, 29.0592) * CHOOSE(CONTROL!$C$15, $D$11, 100%, $F$11)</f>
        <v>29.062799999999999</v>
      </c>
      <c r="G851" s="8">
        <f>CHOOSE( CONTROL!$C$32, 27.9948, 27.9912) * CHOOSE( CONTROL!$C$15, $D$11, 100%, $F$11)</f>
        <v>27.994800000000001</v>
      </c>
      <c r="H851" s="4">
        <f>CHOOSE( CONTROL!$C$32, 28.9691, 28.9655) * CHOOSE(CONTROL!$C$15, $D$11, 100%, $F$11)</f>
        <v>28.969100000000001</v>
      </c>
      <c r="I851" s="8">
        <f>CHOOSE( CONTROL!$C$32, 27.631, 27.6275) * CHOOSE(CONTROL!$C$15, $D$11, 100%, $F$11)</f>
        <v>27.631</v>
      </c>
      <c r="J851" s="4">
        <f>CHOOSE( CONTROL!$C$32, 27.4736, 27.47) * CHOOSE(CONTROL!$C$15, $D$11, 100%, $F$11)</f>
        <v>27.473600000000001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26.1349, 26.1313) * CHOOSE(CONTROL!$C$15, $D$11, 100%, $F$11)</f>
        <v>26.134899999999998</v>
      </c>
      <c r="C852" s="8">
        <f>CHOOSE( CONTROL!$C$32, 26.1429, 26.1392) * CHOOSE(CONTROL!$C$15, $D$11, 100%, $F$11)</f>
        <v>26.142900000000001</v>
      </c>
      <c r="D852" s="8">
        <f>CHOOSE( CONTROL!$C$32, 26.1811, 26.1775) * CHOOSE( CONTROL!$C$15, $D$11, 100%, $F$11)</f>
        <v>26.181100000000001</v>
      </c>
      <c r="E852" s="12">
        <f>CHOOSE( CONTROL!$C$32, 26.166, 26.1624) * CHOOSE( CONTROL!$C$15, $D$11, 100%, $F$11)</f>
        <v>26.166</v>
      </c>
      <c r="F852" s="4">
        <f>CHOOSE( CONTROL!$C$32, 26.8779, 26.8743) * CHOOSE(CONTROL!$C$15, $D$11, 100%, $F$11)</f>
        <v>26.8779</v>
      </c>
      <c r="G852" s="8">
        <f>CHOOSE( CONTROL!$C$32, 25.8355, 25.8319) * CHOOSE( CONTROL!$C$15, $D$11, 100%, $F$11)</f>
        <v>25.8355</v>
      </c>
      <c r="H852" s="4">
        <f>CHOOSE( CONTROL!$C$32, 26.8098, 26.8062) * CHOOSE(CONTROL!$C$15, $D$11, 100%, $F$11)</f>
        <v>26.809799999999999</v>
      </c>
      <c r="I852" s="8">
        <f>CHOOSE( CONTROL!$C$32, 25.5098, 25.5062) * CHOOSE(CONTROL!$C$15, $D$11, 100%, $F$11)</f>
        <v>25.509799999999998</v>
      </c>
      <c r="J852" s="4">
        <f>CHOOSE( CONTROL!$C$32, 25.3531, 25.3496) * CHOOSE(CONTROL!$C$15, $D$11, 100%, $F$11)</f>
        <v>25.353100000000001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25.5878, 25.5841) * CHOOSE(CONTROL!$C$15, $D$11, 100%, $F$11)</f>
        <v>25.587800000000001</v>
      </c>
      <c r="C853" s="8">
        <f>CHOOSE( CONTROL!$C$32, 25.5957, 25.5921) * CHOOSE(CONTROL!$C$15, $D$11, 100%, $F$11)</f>
        <v>25.595700000000001</v>
      </c>
      <c r="D853" s="8">
        <f>CHOOSE( CONTROL!$C$32, 25.6339, 25.6303) * CHOOSE( CONTROL!$C$15, $D$11, 100%, $F$11)</f>
        <v>25.633900000000001</v>
      </c>
      <c r="E853" s="12">
        <f>CHOOSE( CONTROL!$C$32, 25.6189, 25.6152) * CHOOSE( CONTROL!$C$15, $D$11, 100%, $F$11)</f>
        <v>25.6189</v>
      </c>
      <c r="F853" s="4">
        <f>CHOOSE( CONTROL!$C$32, 26.3308, 26.3271) * CHOOSE(CONTROL!$C$15, $D$11, 100%, $F$11)</f>
        <v>26.3308</v>
      </c>
      <c r="G853" s="8">
        <f>CHOOSE( CONTROL!$C$32, 25.2947, 25.2911) * CHOOSE( CONTROL!$C$15, $D$11, 100%, $F$11)</f>
        <v>25.294699999999999</v>
      </c>
      <c r="H853" s="4">
        <f>CHOOSE( CONTROL!$C$32, 26.2691, 26.2655) * CHOOSE(CONTROL!$C$15, $D$11, 100%, $F$11)</f>
        <v>26.269100000000002</v>
      </c>
      <c r="I853" s="8">
        <f>CHOOSE( CONTROL!$C$32, 24.9781, 24.9746) * CHOOSE(CONTROL!$C$15, $D$11, 100%, $F$11)</f>
        <v>24.978100000000001</v>
      </c>
      <c r="J853" s="4">
        <f>CHOOSE( CONTROL!$C$32, 24.8221, 24.8186) * CHOOSE(CONTROL!$C$15, $D$11, 100%, $F$11)</f>
        <v>24.822099999999999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26.7184 * CHOOSE(CONTROL!$C$15, $D$11, 100%, $F$11)</f>
        <v>26.718399999999999</v>
      </c>
      <c r="C854" s="8">
        <f>26.7238 * CHOOSE(CONTROL!$C$15, $D$11, 100%, $F$11)</f>
        <v>26.723800000000001</v>
      </c>
      <c r="D854" s="8">
        <f>26.7673 * CHOOSE( CONTROL!$C$15, $D$11, 100%, $F$11)</f>
        <v>26.767299999999999</v>
      </c>
      <c r="E854" s="12">
        <f>26.7524 * CHOOSE( CONTROL!$C$15, $D$11, 100%, $F$11)</f>
        <v>26.752400000000002</v>
      </c>
      <c r="F854" s="4">
        <f>27.4632 * CHOOSE(CONTROL!$C$15, $D$11, 100%, $F$11)</f>
        <v>27.463200000000001</v>
      </c>
      <c r="G854" s="8">
        <f>26.4133 * CHOOSE( CONTROL!$C$15, $D$11, 100%, $F$11)</f>
        <v>26.4133</v>
      </c>
      <c r="H854" s="4">
        <f>27.3882 * CHOOSE(CONTROL!$C$15, $D$11, 100%, $F$11)</f>
        <v>27.388200000000001</v>
      </c>
      <c r="I854" s="8">
        <f>26.0784 * CHOOSE(CONTROL!$C$15, $D$11, 100%, $F$11)</f>
        <v>26.078399999999998</v>
      </c>
      <c r="J854" s="4">
        <f>25.9211 * CHOOSE(CONTROL!$C$15, $D$11, 100%, $F$11)</f>
        <v>25.921099999999999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28.8149 * CHOOSE(CONTROL!$C$15, $D$11, 100%, $F$11)</f>
        <v>28.814900000000002</v>
      </c>
      <c r="C855" s="8">
        <f>28.82 * CHOOSE(CONTROL!$C$15, $D$11, 100%, $F$11)</f>
        <v>28.82</v>
      </c>
      <c r="D855" s="8">
        <f>28.8036 * CHOOSE( CONTROL!$C$15, $D$11, 100%, $F$11)</f>
        <v>28.803599999999999</v>
      </c>
      <c r="E855" s="12">
        <f>28.8091 * CHOOSE( CONTROL!$C$15, $D$11, 100%, $F$11)</f>
        <v>28.809100000000001</v>
      </c>
      <c r="F855" s="4">
        <f>29.4802 * CHOOSE(CONTROL!$C$15, $D$11, 100%, $F$11)</f>
        <v>29.4802</v>
      </c>
      <c r="G855" s="8">
        <f>28.4862 * CHOOSE( CONTROL!$C$15, $D$11, 100%, $F$11)</f>
        <v>28.4862</v>
      </c>
      <c r="H855" s="4">
        <f>29.3816 * CHOOSE(CONTROL!$C$15, $D$11, 100%, $F$11)</f>
        <v>29.381599999999999</v>
      </c>
      <c r="I855" s="8">
        <f>28.1146 * CHOOSE(CONTROL!$C$15, $D$11, 100%, $F$11)</f>
        <v>28.114599999999999</v>
      </c>
      <c r="J855" s="4">
        <f>27.9561 * CHOOSE(CONTROL!$C$15, $D$11, 100%, $F$11)</f>
        <v>27.956099999999999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28.7625 * CHOOSE(CONTROL!$C$15, $D$11, 100%, $F$11)</f>
        <v>28.762499999999999</v>
      </c>
      <c r="C856" s="8">
        <f>28.7676 * CHOOSE(CONTROL!$C$15, $D$11, 100%, $F$11)</f>
        <v>28.767600000000002</v>
      </c>
      <c r="D856" s="8">
        <f>28.753 * CHOOSE( CONTROL!$C$15, $D$11, 100%, $F$11)</f>
        <v>28.753</v>
      </c>
      <c r="E856" s="12">
        <f>28.7578 * CHOOSE( CONTROL!$C$15, $D$11, 100%, $F$11)</f>
        <v>28.7578</v>
      </c>
      <c r="F856" s="4">
        <f>29.4278 * CHOOSE(CONTROL!$C$15, $D$11, 100%, $F$11)</f>
        <v>29.427800000000001</v>
      </c>
      <c r="G856" s="8">
        <f>28.4357 * CHOOSE( CONTROL!$C$15, $D$11, 100%, $F$11)</f>
        <v>28.435700000000001</v>
      </c>
      <c r="H856" s="4">
        <f>29.3298 * CHOOSE(CONTROL!$C$15, $D$11, 100%, $F$11)</f>
        <v>29.329799999999999</v>
      </c>
      <c r="I856" s="8">
        <f>28.0691 * CHOOSE(CONTROL!$C$15, $D$11, 100%, $F$11)</f>
        <v>28.069099999999999</v>
      </c>
      <c r="J856" s="4">
        <f>27.9053 * CHOOSE(CONTROL!$C$15, $D$11, 100%, $F$11)</f>
        <v>27.9053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29.6107 * CHOOSE(CONTROL!$C$15, $D$11, 100%, $F$11)</f>
        <v>29.610700000000001</v>
      </c>
      <c r="C857" s="8">
        <f>29.6157 * CHOOSE(CONTROL!$C$15, $D$11, 100%, $F$11)</f>
        <v>29.6157</v>
      </c>
      <c r="D857" s="8">
        <f>29.5869 * CHOOSE( CONTROL!$C$15, $D$11, 100%, $F$11)</f>
        <v>29.5869</v>
      </c>
      <c r="E857" s="12">
        <f>29.5969 * CHOOSE( CONTROL!$C$15, $D$11, 100%, $F$11)</f>
        <v>29.596900000000002</v>
      </c>
      <c r="F857" s="4">
        <f>30.276 * CHOOSE(CONTROL!$C$15, $D$11, 100%, $F$11)</f>
        <v>30.276</v>
      </c>
      <c r="G857" s="8">
        <f>29.2636 * CHOOSE( CONTROL!$C$15, $D$11, 100%, $F$11)</f>
        <v>29.2636</v>
      </c>
      <c r="H857" s="4">
        <f>30.168 * CHOOSE(CONTROL!$C$15, $D$11, 100%, $F$11)</f>
        <v>30.167999999999999</v>
      </c>
      <c r="I857" s="8">
        <f>28.8873 * CHOOSE(CONTROL!$C$15, $D$11, 100%, $F$11)</f>
        <v>28.8873</v>
      </c>
      <c r="J857" s="4">
        <f>28.7284 * CHOOSE(CONTROL!$C$15, $D$11, 100%, $F$11)</f>
        <v>28.728400000000001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27.697 * CHOOSE(CONTROL!$C$15, $D$11, 100%, $F$11)</f>
        <v>27.696999999999999</v>
      </c>
      <c r="C858" s="8">
        <f>27.7021 * CHOOSE(CONTROL!$C$15, $D$11, 100%, $F$11)</f>
        <v>27.702100000000002</v>
      </c>
      <c r="D858" s="8">
        <f>27.6732 * CHOOSE( CONTROL!$C$15, $D$11, 100%, $F$11)</f>
        <v>27.673200000000001</v>
      </c>
      <c r="E858" s="12">
        <f>27.6832 * CHOOSE( CONTROL!$C$15, $D$11, 100%, $F$11)</f>
        <v>27.683199999999999</v>
      </c>
      <c r="F858" s="4">
        <f>28.3623 * CHOOSE(CONTROL!$C$15, $D$11, 100%, $F$11)</f>
        <v>28.362300000000001</v>
      </c>
      <c r="G858" s="8">
        <f>27.3723 * CHOOSE( CONTROL!$C$15, $D$11, 100%, $F$11)</f>
        <v>27.372299999999999</v>
      </c>
      <c r="H858" s="4">
        <f>28.2768 * CHOOSE(CONTROL!$C$15, $D$11, 100%, $F$11)</f>
        <v>28.276800000000001</v>
      </c>
      <c r="I858" s="8">
        <f>27.0291 * CHOOSE(CONTROL!$C$15, $D$11, 100%, $F$11)</f>
        <v>27.0291</v>
      </c>
      <c r="J858" s="4">
        <f>26.8712 * CHOOSE(CONTROL!$C$15, $D$11, 100%, $F$11)</f>
        <v>26.871200000000002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27.1076 * CHOOSE(CONTROL!$C$15, $D$11, 100%, $F$11)</f>
        <v>27.107600000000001</v>
      </c>
      <c r="C859" s="8">
        <f>27.1126 * CHOOSE(CONTROL!$C$15, $D$11, 100%, $F$11)</f>
        <v>27.1126</v>
      </c>
      <c r="D859" s="8">
        <f>27.0834 * CHOOSE( CONTROL!$C$15, $D$11, 100%, $F$11)</f>
        <v>27.083400000000001</v>
      </c>
      <c r="E859" s="12">
        <f>27.0935 * CHOOSE( CONTROL!$C$15, $D$11, 100%, $F$11)</f>
        <v>27.093499999999999</v>
      </c>
      <c r="F859" s="4">
        <f>27.7728 * CHOOSE(CONTROL!$C$15, $D$11, 100%, $F$11)</f>
        <v>27.7728</v>
      </c>
      <c r="G859" s="8">
        <f>26.7895 * CHOOSE( CONTROL!$C$15, $D$11, 100%, $F$11)</f>
        <v>26.7895</v>
      </c>
      <c r="H859" s="4">
        <f>27.6942 * CHOOSE(CONTROL!$C$15, $D$11, 100%, $F$11)</f>
        <v>27.694199999999999</v>
      </c>
      <c r="I859" s="8">
        <f>26.4555 * CHOOSE(CONTROL!$C$15, $D$11, 100%, $F$11)</f>
        <v>26.455500000000001</v>
      </c>
      <c r="J859" s="4">
        <f>26.2991 * CHOOSE(CONTROL!$C$15, $D$11, 100%, $F$11)</f>
        <v>26.299099999999999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27.5202 * CHOOSE(CONTROL!$C$15, $D$11, 100%, $F$11)</f>
        <v>27.520199999999999</v>
      </c>
      <c r="C860" s="8">
        <f>27.5247 * CHOOSE(CONTROL!$C$15, $D$11, 100%, $F$11)</f>
        <v>27.524699999999999</v>
      </c>
      <c r="D860" s="8">
        <f>27.5681 * CHOOSE( CONTROL!$C$15, $D$11, 100%, $F$11)</f>
        <v>27.568100000000001</v>
      </c>
      <c r="E860" s="12">
        <f>27.5533 * CHOOSE( CONTROL!$C$15, $D$11, 100%, $F$11)</f>
        <v>27.5533</v>
      </c>
      <c r="F860" s="4">
        <f>28.2646 * CHOOSE(CONTROL!$C$15, $D$11, 100%, $F$11)</f>
        <v>28.264600000000002</v>
      </c>
      <c r="G860" s="8">
        <f>27.2044 * CHOOSE( CONTROL!$C$15, $D$11, 100%, $F$11)</f>
        <v>27.2044</v>
      </c>
      <c r="H860" s="4">
        <f>28.1802 * CHOOSE(CONTROL!$C$15, $D$11, 100%, $F$11)</f>
        <v>28.180199999999999</v>
      </c>
      <c r="I860" s="8">
        <f>26.8536 * CHOOSE(CONTROL!$C$15, $D$11, 100%, $F$11)</f>
        <v>26.8536</v>
      </c>
      <c r="J860" s="4">
        <f>26.6989 * CHOOSE(CONTROL!$C$15, $D$11, 100%, $F$11)</f>
        <v>26.698899999999998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28.2582, 28.2546) * CHOOSE(CONTROL!$C$15, $D$11, 100%, $F$11)</f>
        <v>28.258199999999999</v>
      </c>
      <c r="C861" s="8">
        <f>CHOOSE( CONTROL!$C$32, 28.2662, 28.2626) * CHOOSE(CONTROL!$C$15, $D$11, 100%, $F$11)</f>
        <v>28.266200000000001</v>
      </c>
      <c r="D861" s="8">
        <f>CHOOSE( CONTROL!$C$32, 28.304, 28.3003) * CHOOSE( CONTROL!$C$15, $D$11, 100%, $F$11)</f>
        <v>28.303999999999998</v>
      </c>
      <c r="E861" s="12">
        <f>CHOOSE( CONTROL!$C$32, 28.2891, 28.2854) * CHOOSE( CONTROL!$C$15, $D$11, 100%, $F$11)</f>
        <v>28.289100000000001</v>
      </c>
      <c r="F861" s="4">
        <f>CHOOSE( CONTROL!$C$32, 29.0012, 28.9976) * CHOOSE(CONTROL!$C$15, $D$11, 100%, $F$11)</f>
        <v>29.001200000000001</v>
      </c>
      <c r="G861" s="8">
        <f>CHOOSE( CONTROL!$C$32, 27.9332, 27.9296) * CHOOSE( CONTROL!$C$15, $D$11, 100%, $F$11)</f>
        <v>27.933199999999999</v>
      </c>
      <c r="H861" s="4">
        <f>CHOOSE( CONTROL!$C$32, 28.9083, 28.9047) * CHOOSE(CONTROL!$C$15, $D$11, 100%, $F$11)</f>
        <v>28.908300000000001</v>
      </c>
      <c r="I861" s="8">
        <f>CHOOSE( CONTROL!$C$32, 27.5691, 27.5655) * CHOOSE(CONTROL!$C$15, $D$11, 100%, $F$11)</f>
        <v>27.569099999999999</v>
      </c>
      <c r="J861" s="4">
        <f>CHOOSE( CONTROL!$C$32, 27.4138, 27.4103) * CHOOSE(CONTROL!$C$15, $D$11, 100%, $F$11)</f>
        <v>27.413799999999998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27.8041, 27.8005) * CHOOSE(CONTROL!$C$15, $D$11, 100%, $F$11)</f>
        <v>27.804099999999998</v>
      </c>
      <c r="C862" s="8">
        <f>CHOOSE( CONTROL!$C$32, 27.8121, 27.8085) * CHOOSE(CONTROL!$C$15, $D$11, 100%, $F$11)</f>
        <v>27.812100000000001</v>
      </c>
      <c r="D862" s="8">
        <f>CHOOSE( CONTROL!$C$32, 27.8501, 27.8464) * CHOOSE( CONTROL!$C$15, $D$11, 100%, $F$11)</f>
        <v>27.850100000000001</v>
      </c>
      <c r="E862" s="12">
        <f>CHOOSE( CONTROL!$C$32, 27.8351, 27.8314) * CHOOSE( CONTROL!$C$15, $D$11, 100%, $F$11)</f>
        <v>27.835100000000001</v>
      </c>
      <c r="F862" s="4">
        <f>CHOOSE( CONTROL!$C$32, 28.5472, 28.5435) * CHOOSE(CONTROL!$C$15, $D$11, 100%, $F$11)</f>
        <v>28.5472</v>
      </c>
      <c r="G862" s="8">
        <f>CHOOSE( CONTROL!$C$32, 27.4848, 27.4812) * CHOOSE( CONTROL!$C$15, $D$11, 100%, $F$11)</f>
        <v>27.4848</v>
      </c>
      <c r="H862" s="4">
        <f>CHOOSE( CONTROL!$C$32, 28.4595, 28.4559) * CHOOSE(CONTROL!$C$15, $D$11, 100%, $F$11)</f>
        <v>28.459499999999998</v>
      </c>
      <c r="I862" s="8">
        <f>CHOOSE( CONTROL!$C$32, 27.1292, 27.1257) * CHOOSE(CONTROL!$C$15, $D$11, 100%, $F$11)</f>
        <v>27.129200000000001</v>
      </c>
      <c r="J862" s="4">
        <f>CHOOSE( CONTROL!$C$32, 26.9731, 26.9696) * CHOOSE(CONTROL!$C$15, $D$11, 100%, $F$11)</f>
        <v>26.973099999999999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28.9999, 28.9963) * CHOOSE(CONTROL!$C$15, $D$11, 100%, $F$11)</f>
        <v>28.9999</v>
      </c>
      <c r="C863" s="8">
        <f>CHOOSE( CONTROL!$C$32, 29.0079, 29.0043) * CHOOSE(CONTROL!$C$15, $D$11, 100%, $F$11)</f>
        <v>29.007899999999999</v>
      </c>
      <c r="D863" s="8">
        <f>CHOOSE( CONTROL!$C$32, 29.0461, 29.0425) * CHOOSE( CONTROL!$C$15, $D$11, 100%, $F$11)</f>
        <v>29.046099999999999</v>
      </c>
      <c r="E863" s="12">
        <f>CHOOSE( CONTROL!$C$32, 29.031, 29.0274) * CHOOSE( CONTROL!$C$15, $D$11, 100%, $F$11)</f>
        <v>29.030999999999999</v>
      </c>
      <c r="F863" s="4">
        <f>CHOOSE( CONTROL!$C$32, 29.7429, 29.7393) * CHOOSE(CONTROL!$C$15, $D$11, 100%, $F$11)</f>
        <v>29.742899999999999</v>
      </c>
      <c r="G863" s="8">
        <f>CHOOSE( CONTROL!$C$32, 28.6669, 28.6633) * CHOOSE( CONTROL!$C$15, $D$11, 100%, $F$11)</f>
        <v>28.666899999999998</v>
      </c>
      <c r="H863" s="4">
        <f>CHOOSE( CONTROL!$C$32, 29.6413, 29.6377) * CHOOSE(CONTROL!$C$15, $D$11, 100%, $F$11)</f>
        <v>29.641300000000001</v>
      </c>
      <c r="I863" s="8">
        <f>CHOOSE( CONTROL!$C$32, 28.2914, 28.2879) * CHOOSE(CONTROL!$C$15, $D$11, 100%, $F$11)</f>
        <v>28.291399999999999</v>
      </c>
      <c r="J863" s="4">
        <f>CHOOSE( CONTROL!$C$32, 28.1336, 28.1301) * CHOOSE(CONTROL!$C$15, $D$11, 100%, $F$11)</f>
        <v>28.133600000000001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26.7625, 26.7589) * CHOOSE(CONTROL!$C$15, $D$11, 100%, $F$11)</f>
        <v>26.762499999999999</v>
      </c>
      <c r="C864" s="8">
        <f>CHOOSE( CONTROL!$C$32, 26.7705, 26.7668) * CHOOSE(CONTROL!$C$15, $D$11, 100%, $F$11)</f>
        <v>26.770499999999998</v>
      </c>
      <c r="D864" s="8">
        <f>CHOOSE( CONTROL!$C$32, 26.8087, 26.8051) * CHOOSE( CONTROL!$C$15, $D$11, 100%, $F$11)</f>
        <v>26.808700000000002</v>
      </c>
      <c r="E864" s="12">
        <f>CHOOSE( CONTROL!$C$32, 26.7936, 26.79) * CHOOSE( CONTROL!$C$15, $D$11, 100%, $F$11)</f>
        <v>26.793600000000001</v>
      </c>
      <c r="F864" s="4">
        <f>CHOOSE( CONTROL!$C$32, 27.5055, 27.5019) * CHOOSE(CONTROL!$C$15, $D$11, 100%, $F$11)</f>
        <v>27.505500000000001</v>
      </c>
      <c r="G864" s="8">
        <f>CHOOSE( CONTROL!$C$32, 26.4558, 26.4522) * CHOOSE( CONTROL!$C$15, $D$11, 100%, $F$11)</f>
        <v>26.4558</v>
      </c>
      <c r="H864" s="4">
        <f>CHOOSE( CONTROL!$C$32, 27.43, 27.4264) * CHOOSE(CONTROL!$C$15, $D$11, 100%, $F$11)</f>
        <v>27.43</v>
      </c>
      <c r="I864" s="8">
        <f>CHOOSE( CONTROL!$C$32, 26.1192, 26.1156) * CHOOSE(CONTROL!$C$15, $D$11, 100%, $F$11)</f>
        <v>26.119199999999999</v>
      </c>
      <c r="J864" s="4">
        <f>CHOOSE( CONTROL!$C$32, 25.9622, 25.9586) * CHOOSE(CONTROL!$C$15, $D$11, 100%, $F$11)</f>
        <v>25.962199999999999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26.2022, 26.1986) * CHOOSE(CONTROL!$C$15, $D$11, 100%, $F$11)</f>
        <v>26.202200000000001</v>
      </c>
      <c r="C865" s="8">
        <f>CHOOSE( CONTROL!$C$32, 26.2102, 26.2065) * CHOOSE(CONTROL!$C$15, $D$11, 100%, $F$11)</f>
        <v>26.2102</v>
      </c>
      <c r="D865" s="8">
        <f>CHOOSE( CONTROL!$C$32, 26.2484, 26.2447) * CHOOSE( CONTROL!$C$15, $D$11, 100%, $F$11)</f>
        <v>26.2484</v>
      </c>
      <c r="E865" s="12">
        <f>CHOOSE( CONTROL!$C$32, 26.2333, 26.2297) * CHOOSE( CONTROL!$C$15, $D$11, 100%, $F$11)</f>
        <v>26.2333</v>
      </c>
      <c r="F865" s="4">
        <f>CHOOSE( CONTROL!$C$32, 26.9452, 26.9416) * CHOOSE(CONTROL!$C$15, $D$11, 100%, $F$11)</f>
        <v>26.9452</v>
      </c>
      <c r="G865" s="8">
        <f>CHOOSE( CONTROL!$C$32, 25.9019, 25.8983) * CHOOSE( CONTROL!$C$15, $D$11, 100%, $F$11)</f>
        <v>25.901900000000001</v>
      </c>
      <c r="H865" s="4">
        <f>CHOOSE( CONTROL!$C$32, 26.8763, 26.8727) * CHOOSE(CONTROL!$C$15, $D$11, 100%, $F$11)</f>
        <v>26.876300000000001</v>
      </c>
      <c r="I865" s="8">
        <f>CHOOSE( CONTROL!$C$32, 25.5748, 25.5712) * CHOOSE(CONTROL!$C$15, $D$11, 100%, $F$11)</f>
        <v>25.5748</v>
      </c>
      <c r="J865" s="4">
        <f>CHOOSE( CONTROL!$C$32, 25.4184, 25.4149) * CHOOSE(CONTROL!$C$15, $D$11, 100%, $F$11)</f>
        <v>25.418399999999998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27.3602 * CHOOSE(CONTROL!$C$15, $D$11, 100%, $F$11)</f>
        <v>27.360199999999999</v>
      </c>
      <c r="C866" s="8">
        <f>27.3655 * CHOOSE(CONTROL!$C$15, $D$11, 100%, $F$11)</f>
        <v>27.365500000000001</v>
      </c>
      <c r="D866" s="8">
        <f>27.409 * CHOOSE( CONTROL!$C$15, $D$11, 100%, $F$11)</f>
        <v>27.408999999999999</v>
      </c>
      <c r="E866" s="12">
        <f>27.3941 * CHOOSE( CONTROL!$C$15, $D$11, 100%, $F$11)</f>
        <v>27.394100000000002</v>
      </c>
      <c r="F866" s="4">
        <f>28.1049 * CHOOSE(CONTROL!$C$15, $D$11, 100%, $F$11)</f>
        <v>28.104900000000001</v>
      </c>
      <c r="G866" s="8">
        <f>27.0475 * CHOOSE( CONTROL!$C$15, $D$11, 100%, $F$11)</f>
        <v>27.047499999999999</v>
      </c>
      <c r="H866" s="4">
        <f>28.0224 * CHOOSE(CONTROL!$C$15, $D$11, 100%, $F$11)</f>
        <v>28.022400000000001</v>
      </c>
      <c r="I866" s="8">
        <f>26.7016 * CHOOSE(CONTROL!$C$15, $D$11, 100%, $F$11)</f>
        <v>26.701599999999999</v>
      </c>
      <c r="J866" s="4">
        <f>26.5439 * CHOOSE(CONTROL!$C$15, $D$11, 100%, $F$11)</f>
        <v>26.543900000000001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29.5071 * CHOOSE(CONTROL!$C$15, $D$11, 100%, $F$11)</f>
        <v>29.507100000000001</v>
      </c>
      <c r="C867" s="8">
        <f>29.5121 * CHOOSE(CONTROL!$C$15, $D$11, 100%, $F$11)</f>
        <v>29.5121</v>
      </c>
      <c r="D867" s="8">
        <f>29.4958 * CHOOSE( CONTROL!$C$15, $D$11, 100%, $F$11)</f>
        <v>29.495799999999999</v>
      </c>
      <c r="E867" s="12">
        <f>29.5012 * CHOOSE( CONTROL!$C$15, $D$11, 100%, $F$11)</f>
        <v>29.501200000000001</v>
      </c>
      <c r="F867" s="4">
        <f>30.1723 * CHOOSE(CONTROL!$C$15, $D$11, 100%, $F$11)</f>
        <v>30.1723</v>
      </c>
      <c r="G867" s="8">
        <f>29.1702 * CHOOSE( CONTROL!$C$15, $D$11, 100%, $F$11)</f>
        <v>29.170200000000001</v>
      </c>
      <c r="H867" s="4">
        <f>30.0656 * CHOOSE(CONTROL!$C$15, $D$11, 100%, $F$11)</f>
        <v>30.0656</v>
      </c>
      <c r="I867" s="8">
        <f>28.7867 * CHOOSE(CONTROL!$C$15, $D$11, 100%, $F$11)</f>
        <v>28.7867</v>
      </c>
      <c r="J867" s="4">
        <f>28.6279 * CHOOSE(CONTROL!$C$15, $D$11, 100%, $F$11)</f>
        <v>28.6279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29.4534 * CHOOSE(CONTROL!$C$15, $D$11, 100%, $F$11)</f>
        <v>29.453399999999998</v>
      </c>
      <c r="C868" s="8">
        <f>29.4585 * CHOOSE(CONTROL!$C$15, $D$11, 100%, $F$11)</f>
        <v>29.458500000000001</v>
      </c>
      <c r="D868" s="8">
        <f>29.4439 * CHOOSE( CONTROL!$C$15, $D$11, 100%, $F$11)</f>
        <v>29.443899999999999</v>
      </c>
      <c r="E868" s="12">
        <f>29.4487 * CHOOSE( CONTROL!$C$15, $D$11, 100%, $F$11)</f>
        <v>29.448699999999999</v>
      </c>
      <c r="F868" s="4">
        <f>30.1187 * CHOOSE(CONTROL!$C$15, $D$11, 100%, $F$11)</f>
        <v>30.1187</v>
      </c>
      <c r="G868" s="8">
        <f>29.1185 * CHOOSE( CONTROL!$C$15, $D$11, 100%, $F$11)</f>
        <v>29.118500000000001</v>
      </c>
      <c r="H868" s="4">
        <f>30.0126 * CHOOSE(CONTROL!$C$15, $D$11, 100%, $F$11)</f>
        <v>30.012599999999999</v>
      </c>
      <c r="I868" s="8">
        <f>28.74 * CHOOSE(CONTROL!$C$15, $D$11, 100%, $F$11)</f>
        <v>28.74</v>
      </c>
      <c r="J868" s="4">
        <f>28.5758 * CHOOSE(CONTROL!$C$15, $D$11, 100%, $F$11)</f>
        <v>28.575800000000001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30.3219 * CHOOSE(CONTROL!$C$15, $D$11, 100%, $F$11)</f>
        <v>30.321899999999999</v>
      </c>
      <c r="C869" s="8">
        <f>30.327 * CHOOSE(CONTROL!$C$15, $D$11, 100%, $F$11)</f>
        <v>30.327000000000002</v>
      </c>
      <c r="D869" s="8">
        <f>30.2981 * CHOOSE( CONTROL!$C$15, $D$11, 100%, $F$11)</f>
        <v>30.298100000000002</v>
      </c>
      <c r="E869" s="12">
        <f>30.3081 * CHOOSE( CONTROL!$C$15, $D$11, 100%, $F$11)</f>
        <v>30.3081</v>
      </c>
      <c r="F869" s="4">
        <f>30.9872 * CHOOSE(CONTROL!$C$15, $D$11, 100%, $F$11)</f>
        <v>30.987200000000001</v>
      </c>
      <c r="G869" s="8">
        <f>29.9665 * CHOOSE( CONTROL!$C$15, $D$11, 100%, $F$11)</f>
        <v>29.9665</v>
      </c>
      <c r="H869" s="4">
        <f>30.871 * CHOOSE(CONTROL!$C$15, $D$11, 100%, $F$11)</f>
        <v>30.870999999999999</v>
      </c>
      <c r="I869" s="8">
        <f>29.5779 * CHOOSE(CONTROL!$C$15, $D$11, 100%, $F$11)</f>
        <v>29.5779</v>
      </c>
      <c r="J869" s="4">
        <f>29.4187 * CHOOSE(CONTROL!$C$15, $D$11, 100%, $F$11)</f>
        <v>29.418700000000001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28.3622 * CHOOSE(CONTROL!$C$15, $D$11, 100%, $F$11)</f>
        <v>28.362200000000001</v>
      </c>
      <c r="C870" s="8">
        <f>28.3673 * CHOOSE(CONTROL!$C$15, $D$11, 100%, $F$11)</f>
        <v>28.3673</v>
      </c>
      <c r="D870" s="8">
        <f>28.3384 * CHOOSE( CONTROL!$C$15, $D$11, 100%, $F$11)</f>
        <v>28.3384</v>
      </c>
      <c r="E870" s="12">
        <f>28.3484 * CHOOSE( CONTROL!$C$15, $D$11, 100%, $F$11)</f>
        <v>28.348400000000002</v>
      </c>
      <c r="F870" s="4">
        <f>29.0275 * CHOOSE(CONTROL!$C$15, $D$11, 100%, $F$11)</f>
        <v>29.0275</v>
      </c>
      <c r="G870" s="8">
        <f>28.0298 * CHOOSE( CONTROL!$C$15, $D$11, 100%, $F$11)</f>
        <v>28.029800000000002</v>
      </c>
      <c r="H870" s="4">
        <f>28.9342 * CHOOSE(CONTROL!$C$15, $D$11, 100%, $F$11)</f>
        <v>28.934200000000001</v>
      </c>
      <c r="I870" s="8">
        <f>27.675 * CHOOSE(CONTROL!$C$15, $D$11, 100%, $F$11)</f>
        <v>27.675000000000001</v>
      </c>
      <c r="J870" s="4">
        <f>27.5168 * CHOOSE(CONTROL!$C$15, $D$11, 100%, $F$11)</f>
        <v>27.5168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27.7587 * CHOOSE(CONTROL!$C$15, $D$11, 100%, $F$11)</f>
        <v>27.758700000000001</v>
      </c>
      <c r="C871" s="8">
        <f>27.7638 * CHOOSE(CONTROL!$C$15, $D$11, 100%, $F$11)</f>
        <v>27.7638</v>
      </c>
      <c r="D871" s="8">
        <f>27.7345 * CHOOSE( CONTROL!$C$15, $D$11, 100%, $F$11)</f>
        <v>27.734500000000001</v>
      </c>
      <c r="E871" s="12">
        <f>27.7447 * CHOOSE( CONTROL!$C$15, $D$11, 100%, $F$11)</f>
        <v>27.744700000000002</v>
      </c>
      <c r="F871" s="4">
        <f>28.424 * CHOOSE(CONTROL!$C$15, $D$11, 100%, $F$11)</f>
        <v>28.423999999999999</v>
      </c>
      <c r="G871" s="8">
        <f>27.433 * CHOOSE( CONTROL!$C$15, $D$11, 100%, $F$11)</f>
        <v>27.433</v>
      </c>
      <c r="H871" s="4">
        <f>28.3377 * CHOOSE(CONTROL!$C$15, $D$11, 100%, $F$11)</f>
        <v>28.337700000000002</v>
      </c>
      <c r="I871" s="8">
        <f>27.0877 * CHOOSE(CONTROL!$C$15, $D$11, 100%, $F$11)</f>
        <v>27.087700000000002</v>
      </c>
      <c r="J871" s="4">
        <f>26.931 * CHOOSE(CONTROL!$C$15, $D$11, 100%, $F$11)</f>
        <v>26.931000000000001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28.1812 * CHOOSE(CONTROL!$C$15, $D$11, 100%, $F$11)</f>
        <v>28.1812</v>
      </c>
      <c r="C872" s="8">
        <f>28.1857 * CHOOSE(CONTROL!$C$15, $D$11, 100%, $F$11)</f>
        <v>28.185700000000001</v>
      </c>
      <c r="D872" s="8">
        <f>28.2291 * CHOOSE( CONTROL!$C$15, $D$11, 100%, $F$11)</f>
        <v>28.229099999999999</v>
      </c>
      <c r="E872" s="12">
        <f>28.2143 * CHOOSE( CONTROL!$C$15, $D$11, 100%, $F$11)</f>
        <v>28.214300000000001</v>
      </c>
      <c r="F872" s="4">
        <f>28.9256 * CHOOSE(CONTROL!$C$15, $D$11, 100%, $F$11)</f>
        <v>28.925599999999999</v>
      </c>
      <c r="G872" s="8">
        <f>27.8576 * CHOOSE( CONTROL!$C$15, $D$11, 100%, $F$11)</f>
        <v>27.857600000000001</v>
      </c>
      <c r="H872" s="4">
        <f>28.8335 * CHOOSE(CONTROL!$C$15, $D$11, 100%, $F$11)</f>
        <v>28.833500000000001</v>
      </c>
      <c r="I872" s="8">
        <f>27.4955 * CHOOSE(CONTROL!$C$15, $D$11, 100%, $F$11)</f>
        <v>27.4955</v>
      </c>
      <c r="J872" s="4">
        <f>27.3404 * CHOOSE(CONTROL!$C$15, $D$11, 100%, $F$11)</f>
        <v>27.340399999999999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28.9369, 28.9332) * CHOOSE(CONTROL!$C$15, $D$11, 100%, $F$11)</f>
        <v>28.936900000000001</v>
      </c>
      <c r="C873" s="8">
        <f>CHOOSE( CONTROL!$C$32, 28.9448, 28.9412) * CHOOSE(CONTROL!$C$15, $D$11, 100%, $F$11)</f>
        <v>28.944800000000001</v>
      </c>
      <c r="D873" s="8">
        <f>CHOOSE( CONTROL!$C$32, 28.9826, 28.9789) * CHOOSE( CONTROL!$C$15, $D$11, 100%, $F$11)</f>
        <v>28.982600000000001</v>
      </c>
      <c r="E873" s="12">
        <f>CHOOSE( CONTROL!$C$32, 28.9677, 28.964) * CHOOSE( CONTROL!$C$15, $D$11, 100%, $F$11)</f>
        <v>28.967700000000001</v>
      </c>
      <c r="F873" s="4">
        <f>CHOOSE( CONTROL!$C$32, 29.6799, 29.6762) * CHOOSE(CONTROL!$C$15, $D$11, 100%, $F$11)</f>
        <v>29.6799</v>
      </c>
      <c r="G873" s="8">
        <f>CHOOSE( CONTROL!$C$32, 28.6039, 28.6003) * CHOOSE( CONTROL!$C$15, $D$11, 100%, $F$11)</f>
        <v>28.603899999999999</v>
      </c>
      <c r="H873" s="4">
        <f>CHOOSE( CONTROL!$C$32, 29.5789, 29.5753) * CHOOSE(CONTROL!$C$15, $D$11, 100%, $F$11)</f>
        <v>29.578900000000001</v>
      </c>
      <c r="I873" s="8">
        <f>CHOOSE( CONTROL!$C$32, 28.228, 28.2245) * CHOOSE(CONTROL!$C$15, $D$11, 100%, $F$11)</f>
        <v>28.228000000000002</v>
      </c>
      <c r="J873" s="4">
        <f>CHOOSE( CONTROL!$C$32, 28.0724, 28.0689) * CHOOSE(CONTROL!$C$15, $D$11, 100%, $F$11)</f>
        <v>28.072399999999998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28.4719, 28.4682) * CHOOSE(CONTROL!$C$15, $D$11, 100%, $F$11)</f>
        <v>28.471900000000002</v>
      </c>
      <c r="C874" s="8">
        <f>CHOOSE( CONTROL!$C$32, 28.4798, 28.4762) * CHOOSE(CONTROL!$C$15, $D$11, 100%, $F$11)</f>
        <v>28.479800000000001</v>
      </c>
      <c r="D874" s="8">
        <f>CHOOSE( CONTROL!$C$32, 28.5178, 28.5141) * CHOOSE( CONTROL!$C$15, $D$11, 100%, $F$11)</f>
        <v>28.517800000000001</v>
      </c>
      <c r="E874" s="12">
        <f>CHOOSE( CONTROL!$C$32, 28.5028, 28.4991) * CHOOSE( CONTROL!$C$15, $D$11, 100%, $F$11)</f>
        <v>28.502800000000001</v>
      </c>
      <c r="F874" s="4">
        <f>CHOOSE( CONTROL!$C$32, 29.2149, 29.2112) * CHOOSE(CONTROL!$C$15, $D$11, 100%, $F$11)</f>
        <v>29.2149</v>
      </c>
      <c r="G874" s="8">
        <f>CHOOSE( CONTROL!$C$32, 28.1447, 28.1411) * CHOOSE( CONTROL!$C$15, $D$11, 100%, $F$11)</f>
        <v>28.1447</v>
      </c>
      <c r="H874" s="4">
        <f>CHOOSE( CONTROL!$C$32, 29.1194, 29.1158) * CHOOSE(CONTROL!$C$15, $D$11, 100%, $F$11)</f>
        <v>29.119399999999999</v>
      </c>
      <c r="I874" s="8">
        <f>CHOOSE( CONTROL!$C$32, 27.7775, 27.774) * CHOOSE(CONTROL!$C$15, $D$11, 100%, $F$11)</f>
        <v>27.7775</v>
      </c>
      <c r="J874" s="4">
        <f>CHOOSE( CONTROL!$C$32, 27.6211, 27.6176) * CHOOSE(CONTROL!$C$15, $D$11, 100%, $F$11)</f>
        <v>27.621099999999998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29.6964, 29.6927) * CHOOSE(CONTROL!$C$15, $D$11, 100%, $F$11)</f>
        <v>29.696400000000001</v>
      </c>
      <c r="C875" s="8">
        <f>CHOOSE( CONTROL!$C$32, 29.7043, 29.7007) * CHOOSE(CONTROL!$C$15, $D$11, 100%, $F$11)</f>
        <v>29.7043</v>
      </c>
      <c r="D875" s="8">
        <f>CHOOSE( CONTROL!$C$32, 29.7425, 29.7389) * CHOOSE( CONTROL!$C$15, $D$11, 100%, $F$11)</f>
        <v>29.7425</v>
      </c>
      <c r="E875" s="12">
        <f>CHOOSE( CONTROL!$C$32, 29.7275, 29.7238) * CHOOSE( CONTROL!$C$15, $D$11, 100%, $F$11)</f>
        <v>29.727499999999999</v>
      </c>
      <c r="F875" s="4">
        <f>CHOOSE( CONTROL!$C$32, 30.4394, 30.4357) * CHOOSE(CONTROL!$C$15, $D$11, 100%, $F$11)</f>
        <v>30.439399999999999</v>
      </c>
      <c r="G875" s="8">
        <f>CHOOSE( CONTROL!$C$32, 29.3552, 29.3516) * CHOOSE( CONTROL!$C$15, $D$11, 100%, $F$11)</f>
        <v>29.3552</v>
      </c>
      <c r="H875" s="4">
        <f>CHOOSE( CONTROL!$C$32, 30.3296, 30.326) * CHOOSE(CONTROL!$C$15, $D$11, 100%, $F$11)</f>
        <v>30.329599999999999</v>
      </c>
      <c r="I875" s="8">
        <f>CHOOSE( CONTROL!$C$32, 28.9676, 28.9641) * CHOOSE(CONTROL!$C$15, $D$11, 100%, $F$11)</f>
        <v>28.967600000000001</v>
      </c>
      <c r="J875" s="4">
        <f>CHOOSE( CONTROL!$C$32, 28.8095, 28.806) * CHOOSE(CONTROL!$C$15, $D$11, 100%, $F$11)</f>
        <v>28.8095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27.4052, 27.4015) * CHOOSE(CONTROL!$C$15, $D$11, 100%, $F$11)</f>
        <v>27.405200000000001</v>
      </c>
      <c r="C876" s="8">
        <f>CHOOSE( CONTROL!$C$32, 27.4131, 27.4095) * CHOOSE(CONTROL!$C$15, $D$11, 100%, $F$11)</f>
        <v>27.4131</v>
      </c>
      <c r="D876" s="8">
        <f>CHOOSE( CONTROL!$C$32, 27.4514, 27.4478) * CHOOSE( CONTROL!$C$15, $D$11, 100%, $F$11)</f>
        <v>27.4514</v>
      </c>
      <c r="E876" s="12">
        <f>CHOOSE( CONTROL!$C$32, 27.4363, 27.4327) * CHOOSE( CONTROL!$C$15, $D$11, 100%, $F$11)</f>
        <v>27.436299999999999</v>
      </c>
      <c r="F876" s="4">
        <f>CHOOSE( CONTROL!$C$32, 28.1482, 28.1445) * CHOOSE(CONTROL!$C$15, $D$11, 100%, $F$11)</f>
        <v>28.148199999999999</v>
      </c>
      <c r="G876" s="8">
        <f>CHOOSE( CONTROL!$C$32, 27.0909, 27.0873) * CHOOSE( CONTROL!$C$15, $D$11, 100%, $F$11)</f>
        <v>27.090900000000001</v>
      </c>
      <c r="H876" s="4">
        <f>CHOOSE( CONTROL!$C$32, 28.0652, 28.0616) * CHOOSE(CONTROL!$C$15, $D$11, 100%, $F$11)</f>
        <v>28.065200000000001</v>
      </c>
      <c r="I876" s="8">
        <f>CHOOSE( CONTROL!$C$32, 26.7432, 26.7397) * CHOOSE(CONTROL!$C$15, $D$11, 100%, $F$11)</f>
        <v>26.743200000000002</v>
      </c>
      <c r="J876" s="4">
        <f>CHOOSE( CONTROL!$C$32, 26.5859, 26.5824) * CHOOSE(CONTROL!$C$15, $D$11, 100%, $F$11)</f>
        <v>26.585899999999999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26.8314, 26.8278) * CHOOSE(CONTROL!$C$15, $D$11, 100%, $F$11)</f>
        <v>26.831399999999999</v>
      </c>
      <c r="C877" s="8">
        <f>CHOOSE( CONTROL!$C$32, 26.8394, 26.8358) * CHOOSE(CONTROL!$C$15, $D$11, 100%, $F$11)</f>
        <v>26.839400000000001</v>
      </c>
      <c r="D877" s="8">
        <f>CHOOSE( CONTROL!$C$32, 26.8776, 26.8739) * CHOOSE( CONTROL!$C$15, $D$11, 100%, $F$11)</f>
        <v>26.877600000000001</v>
      </c>
      <c r="E877" s="12">
        <f>CHOOSE( CONTROL!$C$32, 26.8625, 26.8589) * CHOOSE( CONTROL!$C$15, $D$11, 100%, $F$11)</f>
        <v>26.862500000000001</v>
      </c>
      <c r="F877" s="4">
        <f>CHOOSE( CONTROL!$C$32, 27.5744, 27.5708) * CHOOSE(CONTROL!$C$15, $D$11, 100%, $F$11)</f>
        <v>27.574400000000001</v>
      </c>
      <c r="G877" s="8">
        <f>CHOOSE( CONTROL!$C$32, 26.5238, 26.5202) * CHOOSE( CONTROL!$C$15, $D$11, 100%, $F$11)</f>
        <v>26.523800000000001</v>
      </c>
      <c r="H877" s="4">
        <f>CHOOSE( CONTROL!$C$32, 27.4982, 27.4946) * CHOOSE(CONTROL!$C$15, $D$11, 100%, $F$11)</f>
        <v>27.498200000000001</v>
      </c>
      <c r="I877" s="8">
        <f>CHOOSE( CONTROL!$C$32, 26.1857, 26.1822) * CHOOSE(CONTROL!$C$15, $D$11, 100%, $F$11)</f>
        <v>26.185700000000001</v>
      </c>
      <c r="J877" s="4">
        <f>CHOOSE( CONTROL!$C$32, 26.0291, 26.0255) * CHOOSE(CONTROL!$C$15, $D$11, 100%, $F$11)</f>
        <v>26.0291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28.0174 * CHOOSE(CONTROL!$C$15, $D$11, 100%, $F$11)</f>
        <v>28.017399999999999</v>
      </c>
      <c r="C878" s="8">
        <f>28.0227 * CHOOSE(CONTROL!$C$15, $D$11, 100%, $F$11)</f>
        <v>28.0227</v>
      </c>
      <c r="D878" s="8">
        <f>28.0662 * CHOOSE( CONTROL!$C$15, $D$11, 100%, $F$11)</f>
        <v>28.066199999999998</v>
      </c>
      <c r="E878" s="12">
        <f>28.0513 * CHOOSE( CONTROL!$C$15, $D$11, 100%, $F$11)</f>
        <v>28.051300000000001</v>
      </c>
      <c r="F878" s="4">
        <f>28.7621 * CHOOSE(CONTROL!$C$15, $D$11, 100%, $F$11)</f>
        <v>28.7621</v>
      </c>
      <c r="G878" s="8">
        <f>27.697 * CHOOSE( CONTROL!$C$15, $D$11, 100%, $F$11)</f>
        <v>27.696999999999999</v>
      </c>
      <c r="H878" s="4">
        <f>28.6719 * CHOOSE(CONTROL!$C$15, $D$11, 100%, $F$11)</f>
        <v>28.671900000000001</v>
      </c>
      <c r="I878" s="8">
        <f>27.3397 * CHOOSE(CONTROL!$C$15, $D$11, 100%, $F$11)</f>
        <v>27.339700000000001</v>
      </c>
      <c r="J878" s="4">
        <f>27.1817 * CHOOSE(CONTROL!$C$15, $D$11, 100%, $F$11)</f>
        <v>27.181699999999999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30.2158 * CHOOSE(CONTROL!$C$15, $D$11, 100%, $F$11)</f>
        <v>30.215800000000002</v>
      </c>
      <c r="C879" s="8">
        <f>30.2209 * CHOOSE(CONTROL!$C$15, $D$11, 100%, $F$11)</f>
        <v>30.2209</v>
      </c>
      <c r="D879" s="8">
        <f>30.2045 * CHOOSE( CONTROL!$C$15, $D$11, 100%, $F$11)</f>
        <v>30.204499999999999</v>
      </c>
      <c r="E879" s="12">
        <f>30.21 * CHOOSE( CONTROL!$C$15, $D$11, 100%, $F$11)</f>
        <v>30.21</v>
      </c>
      <c r="F879" s="4">
        <f>30.8811 * CHOOSE(CONTROL!$C$15, $D$11, 100%, $F$11)</f>
        <v>30.8811</v>
      </c>
      <c r="G879" s="8">
        <f>29.8707 * CHOOSE( CONTROL!$C$15, $D$11, 100%, $F$11)</f>
        <v>29.870699999999999</v>
      </c>
      <c r="H879" s="4">
        <f>30.7661 * CHOOSE(CONTROL!$C$15, $D$11, 100%, $F$11)</f>
        <v>30.766100000000002</v>
      </c>
      <c r="I879" s="8">
        <f>29.4749 * CHOOSE(CONTROL!$C$15, $D$11, 100%, $F$11)</f>
        <v>29.474900000000002</v>
      </c>
      <c r="J879" s="4">
        <f>29.3157 * CHOOSE(CONTROL!$C$15, $D$11, 100%, $F$11)</f>
        <v>29.3157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30.1609 * CHOOSE(CONTROL!$C$15, $D$11, 100%, $F$11)</f>
        <v>30.160900000000002</v>
      </c>
      <c r="C880" s="8">
        <f>30.166 * CHOOSE(CONTROL!$C$15, $D$11, 100%, $F$11)</f>
        <v>30.166</v>
      </c>
      <c r="D880" s="8">
        <f>30.1513 * CHOOSE( CONTROL!$C$15, $D$11, 100%, $F$11)</f>
        <v>30.151299999999999</v>
      </c>
      <c r="E880" s="12">
        <f>30.1561 * CHOOSE( CONTROL!$C$15, $D$11, 100%, $F$11)</f>
        <v>30.156099999999999</v>
      </c>
      <c r="F880" s="4">
        <f>30.8262 * CHOOSE(CONTROL!$C$15, $D$11, 100%, $F$11)</f>
        <v>30.8262</v>
      </c>
      <c r="G880" s="8">
        <f>29.8177 * CHOOSE( CONTROL!$C$15, $D$11, 100%, $F$11)</f>
        <v>29.817699999999999</v>
      </c>
      <c r="H880" s="4">
        <f>30.7118 * CHOOSE(CONTROL!$C$15, $D$11, 100%, $F$11)</f>
        <v>30.7118</v>
      </c>
      <c r="I880" s="8">
        <f>29.4269 * CHOOSE(CONTROL!$C$15, $D$11, 100%, $F$11)</f>
        <v>29.4269</v>
      </c>
      <c r="J880" s="4">
        <f>29.2624 * CHOOSE(CONTROL!$C$15, $D$11, 100%, $F$11)</f>
        <v>29.2624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31.0503 * CHOOSE(CONTROL!$C$15, $D$11, 100%, $F$11)</f>
        <v>31.0503</v>
      </c>
      <c r="C881" s="8">
        <f>31.0553 * CHOOSE(CONTROL!$C$15, $D$11, 100%, $F$11)</f>
        <v>31.055299999999999</v>
      </c>
      <c r="D881" s="8">
        <f>31.0265 * CHOOSE( CONTROL!$C$15, $D$11, 100%, $F$11)</f>
        <v>31.026499999999999</v>
      </c>
      <c r="E881" s="12">
        <f>31.0365 * CHOOSE( CONTROL!$C$15, $D$11, 100%, $F$11)</f>
        <v>31.0365</v>
      </c>
      <c r="F881" s="4">
        <f>31.7155 * CHOOSE(CONTROL!$C$15, $D$11, 100%, $F$11)</f>
        <v>31.715499999999999</v>
      </c>
      <c r="G881" s="8">
        <f>30.6864 * CHOOSE( CONTROL!$C$15, $D$11, 100%, $F$11)</f>
        <v>30.686399999999999</v>
      </c>
      <c r="H881" s="4">
        <f>31.5908 * CHOOSE(CONTROL!$C$15, $D$11, 100%, $F$11)</f>
        <v>31.590800000000002</v>
      </c>
      <c r="I881" s="8">
        <f>30.2851 * CHOOSE(CONTROL!$C$15, $D$11, 100%, $F$11)</f>
        <v>30.2851</v>
      </c>
      <c r="J881" s="4">
        <f>30.1255 * CHOOSE(CONTROL!$C$15, $D$11, 100%, $F$11)</f>
        <v>30.125499999999999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29.0435 * CHOOSE(CONTROL!$C$15, $D$11, 100%, $F$11)</f>
        <v>29.043500000000002</v>
      </c>
      <c r="C882" s="8">
        <f>29.0486 * CHOOSE(CONTROL!$C$15, $D$11, 100%, $F$11)</f>
        <v>29.0486</v>
      </c>
      <c r="D882" s="8">
        <f>29.0197 * CHOOSE( CONTROL!$C$15, $D$11, 100%, $F$11)</f>
        <v>29.0197</v>
      </c>
      <c r="E882" s="12">
        <f>29.0297 * CHOOSE( CONTROL!$C$15, $D$11, 100%, $F$11)</f>
        <v>29.029699999999998</v>
      </c>
      <c r="F882" s="4">
        <f>29.7088 * CHOOSE(CONTROL!$C$15, $D$11, 100%, $F$11)</f>
        <v>29.7088</v>
      </c>
      <c r="G882" s="8">
        <f>28.7031 * CHOOSE( CONTROL!$C$15, $D$11, 100%, $F$11)</f>
        <v>28.703099999999999</v>
      </c>
      <c r="H882" s="4">
        <f>29.6075 * CHOOSE(CONTROL!$C$15, $D$11, 100%, $F$11)</f>
        <v>29.607500000000002</v>
      </c>
      <c r="I882" s="8">
        <f>28.3365 * CHOOSE(CONTROL!$C$15, $D$11, 100%, $F$11)</f>
        <v>28.336500000000001</v>
      </c>
      <c r="J882" s="4">
        <f>28.178 * CHOOSE(CONTROL!$C$15, $D$11, 100%, $F$11)</f>
        <v>28.178000000000001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28.4254 * CHOOSE(CONTROL!$C$15, $D$11, 100%, $F$11)</f>
        <v>28.4254</v>
      </c>
      <c r="C883" s="8">
        <f>28.4305 * CHOOSE(CONTROL!$C$15, $D$11, 100%, $F$11)</f>
        <v>28.430499999999999</v>
      </c>
      <c r="D883" s="8">
        <f>28.4012 * CHOOSE( CONTROL!$C$15, $D$11, 100%, $F$11)</f>
        <v>28.401199999999999</v>
      </c>
      <c r="E883" s="12">
        <f>28.4114 * CHOOSE( CONTROL!$C$15, $D$11, 100%, $F$11)</f>
        <v>28.4114</v>
      </c>
      <c r="F883" s="4">
        <f>29.0907 * CHOOSE(CONTROL!$C$15, $D$11, 100%, $F$11)</f>
        <v>29.090699999999998</v>
      </c>
      <c r="G883" s="8">
        <f>28.092 * CHOOSE( CONTROL!$C$15, $D$11, 100%, $F$11)</f>
        <v>28.091999999999999</v>
      </c>
      <c r="H883" s="4">
        <f>28.9967 * CHOOSE(CONTROL!$C$15, $D$11, 100%, $F$11)</f>
        <v>28.996700000000001</v>
      </c>
      <c r="I883" s="8">
        <f>27.7351 * CHOOSE(CONTROL!$C$15, $D$11, 100%, $F$11)</f>
        <v>27.735099999999999</v>
      </c>
      <c r="J883" s="4">
        <f>27.5781 * CHOOSE(CONTROL!$C$15, $D$11, 100%, $F$11)</f>
        <v>27.578099999999999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28.8581 * CHOOSE(CONTROL!$C$15, $D$11, 100%, $F$11)</f>
        <v>28.8581</v>
      </c>
      <c r="C884" s="8">
        <f>28.8626 * CHOOSE(CONTROL!$C$15, $D$11, 100%, $F$11)</f>
        <v>28.8626</v>
      </c>
      <c r="D884" s="8">
        <f>28.906 * CHOOSE( CONTROL!$C$15, $D$11, 100%, $F$11)</f>
        <v>28.905999999999999</v>
      </c>
      <c r="E884" s="12">
        <f>28.8912 * CHOOSE( CONTROL!$C$15, $D$11, 100%, $F$11)</f>
        <v>28.891200000000001</v>
      </c>
      <c r="F884" s="4">
        <f>29.6025 * CHOOSE(CONTROL!$C$15, $D$11, 100%, $F$11)</f>
        <v>29.602499999999999</v>
      </c>
      <c r="G884" s="8">
        <f>28.5266 * CHOOSE( CONTROL!$C$15, $D$11, 100%, $F$11)</f>
        <v>28.526599999999998</v>
      </c>
      <c r="H884" s="4">
        <f>29.5024 * CHOOSE(CONTROL!$C$15, $D$11, 100%, $F$11)</f>
        <v>29.502400000000002</v>
      </c>
      <c r="I884" s="8">
        <f>28.1527 * CHOOSE(CONTROL!$C$15, $D$11, 100%, $F$11)</f>
        <v>28.152699999999999</v>
      </c>
      <c r="J884" s="4">
        <f>27.9973 * CHOOSE(CONTROL!$C$15, $D$11, 100%, $F$11)</f>
        <v>27.997299999999999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29.6318, 29.6281) * CHOOSE(CONTROL!$C$15, $D$11, 100%, $F$11)</f>
        <v>29.631799999999998</v>
      </c>
      <c r="C885" s="8">
        <f>CHOOSE( CONTROL!$C$32, 29.6398, 29.6361) * CHOOSE(CONTROL!$C$15, $D$11, 100%, $F$11)</f>
        <v>29.639800000000001</v>
      </c>
      <c r="D885" s="8">
        <f>CHOOSE( CONTROL!$C$32, 29.6775, 29.6738) * CHOOSE( CONTROL!$C$15, $D$11, 100%, $F$11)</f>
        <v>29.677499999999998</v>
      </c>
      <c r="E885" s="12">
        <f>CHOOSE( CONTROL!$C$32, 29.6626, 29.6589) * CHOOSE( CONTROL!$C$15, $D$11, 100%, $F$11)</f>
        <v>29.662600000000001</v>
      </c>
      <c r="F885" s="4">
        <f>CHOOSE( CONTROL!$C$32, 30.3748, 30.3711) * CHOOSE(CONTROL!$C$15, $D$11, 100%, $F$11)</f>
        <v>30.3748</v>
      </c>
      <c r="G885" s="8">
        <f>CHOOSE( CONTROL!$C$32, 29.2907, 29.2871) * CHOOSE( CONTROL!$C$15, $D$11, 100%, $F$11)</f>
        <v>29.290700000000001</v>
      </c>
      <c r="H885" s="4">
        <f>CHOOSE( CONTROL!$C$32, 30.2657, 30.2621) * CHOOSE(CONTROL!$C$15, $D$11, 100%, $F$11)</f>
        <v>30.265699999999999</v>
      </c>
      <c r="I885" s="8">
        <f>CHOOSE( CONTROL!$C$32, 28.9028, 28.8992) * CHOOSE(CONTROL!$C$15, $D$11, 100%, $F$11)</f>
        <v>28.902799999999999</v>
      </c>
      <c r="J885" s="4">
        <f>CHOOSE( CONTROL!$C$32, 28.7468, 28.7433) * CHOOSE(CONTROL!$C$15, $D$11, 100%, $F$11)</f>
        <v>28.7468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29.1556, 29.152) * CHOOSE(CONTROL!$C$15, $D$11, 100%, $F$11)</f>
        <v>29.1556</v>
      </c>
      <c r="C886" s="8">
        <f>CHOOSE( CONTROL!$C$32, 29.1636, 29.1599) * CHOOSE(CONTROL!$C$15, $D$11, 100%, $F$11)</f>
        <v>29.163599999999999</v>
      </c>
      <c r="D886" s="8">
        <f>CHOOSE( CONTROL!$C$32, 29.2015, 29.1979) * CHOOSE( CONTROL!$C$15, $D$11, 100%, $F$11)</f>
        <v>29.201499999999999</v>
      </c>
      <c r="E886" s="12">
        <f>CHOOSE( CONTROL!$C$32, 29.1865, 29.1829) * CHOOSE( CONTROL!$C$15, $D$11, 100%, $F$11)</f>
        <v>29.186499999999999</v>
      </c>
      <c r="F886" s="4">
        <f>CHOOSE( CONTROL!$C$32, 29.8986, 29.895) * CHOOSE(CONTROL!$C$15, $D$11, 100%, $F$11)</f>
        <v>29.898599999999998</v>
      </c>
      <c r="G886" s="8">
        <f>CHOOSE( CONTROL!$C$32, 28.8204, 28.8168) * CHOOSE( CONTROL!$C$15, $D$11, 100%, $F$11)</f>
        <v>28.820399999999999</v>
      </c>
      <c r="H886" s="4">
        <f>CHOOSE( CONTROL!$C$32, 29.7951, 29.7915) * CHOOSE(CONTROL!$C$15, $D$11, 100%, $F$11)</f>
        <v>29.795100000000001</v>
      </c>
      <c r="I886" s="8">
        <f>CHOOSE( CONTROL!$C$32, 28.4414, 28.4379) * CHOOSE(CONTROL!$C$15, $D$11, 100%, $F$11)</f>
        <v>28.441400000000002</v>
      </c>
      <c r="J886" s="4">
        <f>CHOOSE( CONTROL!$C$32, 28.2847, 28.2812) * CHOOSE(CONTROL!$C$15, $D$11, 100%, $F$11)</f>
        <v>28.284700000000001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30.4095, 30.4059) * CHOOSE(CONTROL!$C$15, $D$11, 100%, $F$11)</f>
        <v>30.409500000000001</v>
      </c>
      <c r="C887" s="8">
        <f>CHOOSE( CONTROL!$C$32, 30.4175, 30.4139) * CHOOSE(CONTROL!$C$15, $D$11, 100%, $F$11)</f>
        <v>30.4175</v>
      </c>
      <c r="D887" s="8">
        <f>CHOOSE( CONTROL!$C$32, 30.4557, 30.4521) * CHOOSE( CONTROL!$C$15, $D$11, 100%, $F$11)</f>
        <v>30.4557</v>
      </c>
      <c r="E887" s="12">
        <f>CHOOSE( CONTROL!$C$32, 30.4406, 30.437) * CHOOSE( CONTROL!$C$15, $D$11, 100%, $F$11)</f>
        <v>30.4406</v>
      </c>
      <c r="F887" s="4">
        <f>CHOOSE( CONTROL!$C$32, 31.1526, 31.1489) * CHOOSE(CONTROL!$C$15, $D$11, 100%, $F$11)</f>
        <v>31.1526</v>
      </c>
      <c r="G887" s="8">
        <f>CHOOSE( CONTROL!$C$32, 30.06, 30.0564) * CHOOSE( CONTROL!$C$15, $D$11, 100%, $F$11)</f>
        <v>30.06</v>
      </c>
      <c r="H887" s="4">
        <f>CHOOSE( CONTROL!$C$32, 31.0344, 31.0308) * CHOOSE(CONTROL!$C$15, $D$11, 100%, $F$11)</f>
        <v>31.034400000000002</v>
      </c>
      <c r="I887" s="8">
        <f>CHOOSE( CONTROL!$C$32, 29.6601, 29.6566) * CHOOSE(CONTROL!$C$15, $D$11, 100%, $F$11)</f>
        <v>29.6601</v>
      </c>
      <c r="J887" s="4">
        <f>CHOOSE( CONTROL!$C$32, 29.5016, 29.4981) * CHOOSE(CONTROL!$C$15, $D$11, 100%, $F$11)</f>
        <v>29.5016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28.0633, 28.0597) * CHOOSE(CONTROL!$C$15, $D$11, 100%, $F$11)</f>
        <v>28.063300000000002</v>
      </c>
      <c r="C888" s="8">
        <f>CHOOSE( CONTROL!$C$32, 28.0713, 28.0676) * CHOOSE(CONTROL!$C$15, $D$11, 100%, $F$11)</f>
        <v>28.071300000000001</v>
      </c>
      <c r="D888" s="8">
        <f>CHOOSE( CONTROL!$C$32, 28.1095, 28.1059) * CHOOSE( CONTROL!$C$15, $D$11, 100%, $F$11)</f>
        <v>28.109500000000001</v>
      </c>
      <c r="E888" s="12">
        <f>CHOOSE( CONTROL!$C$32, 28.0944, 28.0908) * CHOOSE( CONTROL!$C$15, $D$11, 100%, $F$11)</f>
        <v>28.0944</v>
      </c>
      <c r="F888" s="4">
        <f>CHOOSE( CONTROL!$C$32, 28.8063, 28.8027) * CHOOSE(CONTROL!$C$15, $D$11, 100%, $F$11)</f>
        <v>28.8063</v>
      </c>
      <c r="G888" s="8">
        <f>CHOOSE( CONTROL!$C$32, 27.7413, 27.7377) * CHOOSE( CONTROL!$C$15, $D$11, 100%, $F$11)</f>
        <v>27.741299999999999</v>
      </c>
      <c r="H888" s="4">
        <f>CHOOSE( CONTROL!$C$32, 28.7156, 28.712) * CHOOSE(CONTROL!$C$15, $D$11, 100%, $F$11)</f>
        <v>28.715599999999998</v>
      </c>
      <c r="I888" s="8">
        <f>CHOOSE( CONTROL!$C$32, 27.3822, 27.3787) * CHOOSE(CONTROL!$C$15, $D$11, 100%, $F$11)</f>
        <v>27.382200000000001</v>
      </c>
      <c r="J888" s="4">
        <f>CHOOSE( CONTROL!$C$32, 27.2246, 27.2211) * CHOOSE(CONTROL!$C$15, $D$11, 100%, $F$11)</f>
        <v>27.224599999999999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27.4758, 27.4721) * CHOOSE(CONTROL!$C$15, $D$11, 100%, $F$11)</f>
        <v>27.4758</v>
      </c>
      <c r="C889" s="8">
        <f>CHOOSE( CONTROL!$C$32, 27.4837, 27.4801) * CHOOSE(CONTROL!$C$15, $D$11, 100%, $F$11)</f>
        <v>27.483699999999999</v>
      </c>
      <c r="D889" s="8">
        <f>CHOOSE( CONTROL!$C$32, 27.5219, 27.5183) * CHOOSE( CONTROL!$C$15, $D$11, 100%, $F$11)</f>
        <v>27.521899999999999</v>
      </c>
      <c r="E889" s="12">
        <f>CHOOSE( CONTROL!$C$32, 27.5069, 27.5032) * CHOOSE( CONTROL!$C$15, $D$11, 100%, $F$11)</f>
        <v>27.506900000000002</v>
      </c>
      <c r="F889" s="4">
        <f>CHOOSE( CONTROL!$C$32, 28.2188, 28.2151) * CHOOSE(CONTROL!$C$15, $D$11, 100%, $F$11)</f>
        <v>28.218800000000002</v>
      </c>
      <c r="G889" s="8">
        <f>CHOOSE( CONTROL!$C$32, 27.1606, 27.157) * CHOOSE( CONTROL!$C$15, $D$11, 100%, $F$11)</f>
        <v>27.160599999999999</v>
      </c>
      <c r="H889" s="4">
        <f>CHOOSE( CONTROL!$C$32, 28.1349, 28.1313) * CHOOSE(CONTROL!$C$15, $D$11, 100%, $F$11)</f>
        <v>28.134899999999998</v>
      </c>
      <c r="I889" s="8">
        <f>CHOOSE( CONTROL!$C$32, 26.8114, 26.8078) * CHOOSE(CONTROL!$C$15, $D$11, 100%, $F$11)</f>
        <v>26.811399999999999</v>
      </c>
      <c r="J889" s="4">
        <f>CHOOSE( CONTROL!$C$32, 26.6544, 26.6509) * CHOOSE(CONTROL!$C$15, $D$11, 100%, $F$11)</f>
        <v>26.654399999999999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28.6903 * CHOOSE(CONTROL!$C$15, $D$11, 100%, $F$11)</f>
        <v>28.690300000000001</v>
      </c>
      <c r="C890" s="8">
        <f>28.6956 * CHOOSE(CONTROL!$C$15, $D$11, 100%, $F$11)</f>
        <v>28.695599999999999</v>
      </c>
      <c r="D890" s="8">
        <f>28.7392 * CHOOSE( CONTROL!$C$15, $D$11, 100%, $F$11)</f>
        <v>28.7392</v>
      </c>
      <c r="E890" s="12">
        <f>28.7242 * CHOOSE( CONTROL!$C$15, $D$11, 100%, $F$11)</f>
        <v>28.7242</v>
      </c>
      <c r="F890" s="4">
        <f>29.435 * CHOOSE(CONTROL!$C$15, $D$11, 100%, $F$11)</f>
        <v>29.434999999999999</v>
      </c>
      <c r="G890" s="8">
        <f>28.3621 * CHOOSE( CONTROL!$C$15, $D$11, 100%, $F$11)</f>
        <v>28.362100000000002</v>
      </c>
      <c r="H890" s="4">
        <f>29.337 * CHOOSE(CONTROL!$C$15, $D$11, 100%, $F$11)</f>
        <v>29.337</v>
      </c>
      <c r="I890" s="8">
        <f>27.9931 * CHOOSE(CONTROL!$C$15, $D$11, 100%, $F$11)</f>
        <v>27.993099999999998</v>
      </c>
      <c r="J890" s="4">
        <f>27.8348 * CHOOSE(CONTROL!$C$15, $D$11, 100%, $F$11)</f>
        <v>27.834800000000001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30.9416 * CHOOSE(CONTROL!$C$15, $D$11, 100%, $F$11)</f>
        <v>30.941600000000001</v>
      </c>
      <c r="C891" s="8">
        <f>30.9467 * CHOOSE(CONTROL!$C$15, $D$11, 100%, $F$11)</f>
        <v>30.9467</v>
      </c>
      <c r="D891" s="8">
        <f>30.9303 * CHOOSE( CONTROL!$C$15, $D$11, 100%, $F$11)</f>
        <v>30.930299999999999</v>
      </c>
      <c r="E891" s="12">
        <f>30.9358 * CHOOSE( CONTROL!$C$15, $D$11, 100%, $F$11)</f>
        <v>30.9358</v>
      </c>
      <c r="F891" s="4">
        <f>31.6069 * CHOOSE(CONTROL!$C$15, $D$11, 100%, $F$11)</f>
        <v>31.6069</v>
      </c>
      <c r="G891" s="8">
        <f>30.588 * CHOOSE( CONTROL!$C$15, $D$11, 100%, $F$11)</f>
        <v>30.588000000000001</v>
      </c>
      <c r="H891" s="4">
        <f>31.4834 * CHOOSE(CONTROL!$C$15, $D$11, 100%, $F$11)</f>
        <v>31.4834</v>
      </c>
      <c r="I891" s="8">
        <f>30.1796 * CHOOSE(CONTROL!$C$15, $D$11, 100%, $F$11)</f>
        <v>30.179600000000001</v>
      </c>
      <c r="J891" s="4">
        <f>30.0201 * CHOOSE(CONTROL!$C$15, $D$11, 100%, $F$11)</f>
        <v>30.020099999999999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30.8854 * CHOOSE(CONTROL!$C$15, $D$11, 100%, $F$11)</f>
        <v>30.885400000000001</v>
      </c>
      <c r="C892" s="8">
        <f>30.8904 * CHOOSE(CONTROL!$C$15, $D$11, 100%, $F$11)</f>
        <v>30.8904</v>
      </c>
      <c r="D892" s="8">
        <f>30.8758 * CHOOSE( CONTROL!$C$15, $D$11, 100%, $F$11)</f>
        <v>30.875800000000002</v>
      </c>
      <c r="E892" s="12">
        <f>30.8806 * CHOOSE( CONTROL!$C$15, $D$11, 100%, $F$11)</f>
        <v>30.880600000000001</v>
      </c>
      <c r="F892" s="4">
        <f>31.5506 * CHOOSE(CONTROL!$C$15, $D$11, 100%, $F$11)</f>
        <v>31.550599999999999</v>
      </c>
      <c r="G892" s="8">
        <f>30.5336 * CHOOSE( CONTROL!$C$15, $D$11, 100%, $F$11)</f>
        <v>30.5336</v>
      </c>
      <c r="H892" s="4">
        <f>31.4278 * CHOOSE(CONTROL!$C$15, $D$11, 100%, $F$11)</f>
        <v>31.427800000000001</v>
      </c>
      <c r="I892" s="8">
        <f>30.1304 * CHOOSE(CONTROL!$C$15, $D$11, 100%, $F$11)</f>
        <v>30.130400000000002</v>
      </c>
      <c r="J892" s="4">
        <f>29.9655 * CHOOSE(CONTROL!$C$15, $D$11, 100%, $F$11)</f>
        <v>29.965499999999999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31.7961 * CHOOSE(CONTROL!$C$15, $D$11, 100%, $F$11)</f>
        <v>31.796099999999999</v>
      </c>
      <c r="C893" s="8">
        <f>31.8012 * CHOOSE(CONTROL!$C$15, $D$11, 100%, $F$11)</f>
        <v>31.801200000000001</v>
      </c>
      <c r="D893" s="8">
        <f>31.7723 * CHOOSE( CONTROL!$C$15, $D$11, 100%, $F$11)</f>
        <v>31.772300000000001</v>
      </c>
      <c r="E893" s="12">
        <f>31.7823 * CHOOSE( CONTROL!$C$15, $D$11, 100%, $F$11)</f>
        <v>31.782299999999999</v>
      </c>
      <c r="F893" s="4">
        <f>32.4614 * CHOOSE(CONTROL!$C$15, $D$11, 100%, $F$11)</f>
        <v>32.461399999999998</v>
      </c>
      <c r="G893" s="8">
        <f>31.4235 * CHOOSE( CONTROL!$C$15, $D$11, 100%, $F$11)</f>
        <v>31.423500000000001</v>
      </c>
      <c r="H893" s="4">
        <f>32.3279 * CHOOSE(CONTROL!$C$15, $D$11, 100%, $F$11)</f>
        <v>32.3279</v>
      </c>
      <c r="I893" s="8">
        <f>31.0093 * CHOOSE(CONTROL!$C$15, $D$11, 100%, $F$11)</f>
        <v>31.0093</v>
      </c>
      <c r="J893" s="4">
        <f>30.8494 * CHOOSE(CONTROL!$C$15, $D$11, 100%, $F$11)</f>
        <v>30.849399999999999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29.7411 * CHOOSE(CONTROL!$C$15, $D$11, 100%, $F$11)</f>
        <v>29.741099999999999</v>
      </c>
      <c r="C894" s="8">
        <f>29.7462 * CHOOSE(CONTROL!$C$15, $D$11, 100%, $F$11)</f>
        <v>29.746200000000002</v>
      </c>
      <c r="D894" s="8">
        <f>29.7173 * CHOOSE( CONTROL!$C$15, $D$11, 100%, $F$11)</f>
        <v>29.717300000000002</v>
      </c>
      <c r="E894" s="12">
        <f>29.7273 * CHOOSE( CONTROL!$C$15, $D$11, 100%, $F$11)</f>
        <v>29.7273</v>
      </c>
      <c r="F894" s="4">
        <f>30.4064 * CHOOSE(CONTROL!$C$15, $D$11, 100%, $F$11)</f>
        <v>30.406400000000001</v>
      </c>
      <c r="G894" s="8">
        <f>29.3925 * CHOOSE( CONTROL!$C$15, $D$11, 100%, $F$11)</f>
        <v>29.392499999999998</v>
      </c>
      <c r="H894" s="4">
        <f>30.297 * CHOOSE(CONTROL!$C$15, $D$11, 100%, $F$11)</f>
        <v>30.297000000000001</v>
      </c>
      <c r="I894" s="8">
        <f>29.0139 * CHOOSE(CONTROL!$C$15, $D$11, 100%, $F$11)</f>
        <v>29.0139</v>
      </c>
      <c r="J894" s="4">
        <f>28.855 * CHOOSE(CONTROL!$C$15, $D$11, 100%, $F$11)</f>
        <v>28.855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29.1082 * CHOOSE(CONTROL!$C$15, $D$11, 100%, $F$11)</f>
        <v>29.1082</v>
      </c>
      <c r="C895" s="8">
        <f>29.1133 * CHOOSE(CONTROL!$C$15, $D$11, 100%, $F$11)</f>
        <v>29.113299999999999</v>
      </c>
      <c r="D895" s="8">
        <f>29.084 * CHOOSE( CONTROL!$C$15, $D$11, 100%, $F$11)</f>
        <v>29.084</v>
      </c>
      <c r="E895" s="12">
        <f>29.0942 * CHOOSE( CONTROL!$C$15, $D$11, 100%, $F$11)</f>
        <v>29.094200000000001</v>
      </c>
      <c r="F895" s="4">
        <f>29.7735 * CHOOSE(CONTROL!$C$15, $D$11, 100%, $F$11)</f>
        <v>29.773499999999999</v>
      </c>
      <c r="G895" s="8">
        <f>28.7667 * CHOOSE( CONTROL!$C$15, $D$11, 100%, $F$11)</f>
        <v>28.7667</v>
      </c>
      <c r="H895" s="4">
        <f>29.6715 * CHOOSE(CONTROL!$C$15, $D$11, 100%, $F$11)</f>
        <v>29.671500000000002</v>
      </c>
      <c r="I895" s="8">
        <f>28.3981 * CHOOSE(CONTROL!$C$15, $D$11, 100%, $F$11)</f>
        <v>28.398099999999999</v>
      </c>
      <c r="J895" s="4">
        <f>28.2408 * CHOOSE(CONTROL!$C$15, $D$11, 100%, $F$11)</f>
        <v>28.2408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29.5512 * CHOOSE(CONTROL!$C$15, $D$11, 100%, $F$11)</f>
        <v>29.551200000000001</v>
      </c>
      <c r="C896" s="8">
        <f>29.5557 * CHOOSE(CONTROL!$C$15, $D$11, 100%, $F$11)</f>
        <v>29.555700000000002</v>
      </c>
      <c r="D896" s="8">
        <f>29.5991 * CHOOSE( CONTROL!$C$15, $D$11, 100%, $F$11)</f>
        <v>29.5991</v>
      </c>
      <c r="E896" s="12">
        <f>29.5843 * CHOOSE( CONTROL!$C$15, $D$11, 100%, $F$11)</f>
        <v>29.584299999999999</v>
      </c>
      <c r="F896" s="4">
        <f>30.2956 * CHOOSE(CONTROL!$C$15, $D$11, 100%, $F$11)</f>
        <v>30.2956</v>
      </c>
      <c r="G896" s="8">
        <f>29.2116 * CHOOSE( CONTROL!$C$15, $D$11, 100%, $F$11)</f>
        <v>29.211600000000001</v>
      </c>
      <c r="H896" s="4">
        <f>30.1875 * CHOOSE(CONTROL!$C$15, $D$11, 100%, $F$11)</f>
        <v>30.1875</v>
      </c>
      <c r="I896" s="8">
        <f>28.8257 * CHOOSE(CONTROL!$C$15, $D$11, 100%, $F$11)</f>
        <v>28.825700000000001</v>
      </c>
      <c r="J896" s="4">
        <f>28.67 * CHOOSE(CONTROL!$C$15, $D$11, 100%, $F$11)</f>
        <v>28.67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30.3434, 30.3398) * CHOOSE(CONTROL!$C$15, $D$11, 100%, $F$11)</f>
        <v>30.343399999999999</v>
      </c>
      <c r="C897" s="8">
        <f>CHOOSE( CONTROL!$C$32, 30.3514, 30.3477) * CHOOSE(CONTROL!$C$15, $D$11, 100%, $F$11)</f>
        <v>30.351400000000002</v>
      </c>
      <c r="D897" s="8">
        <f>CHOOSE( CONTROL!$C$32, 30.3891, 30.3855) * CHOOSE( CONTROL!$C$15, $D$11, 100%, $F$11)</f>
        <v>30.389099999999999</v>
      </c>
      <c r="E897" s="12">
        <f>CHOOSE( CONTROL!$C$32, 30.3742, 30.3706) * CHOOSE( CONTROL!$C$15, $D$11, 100%, $F$11)</f>
        <v>30.374199999999998</v>
      </c>
      <c r="F897" s="4">
        <f>CHOOSE( CONTROL!$C$32, 31.0864, 31.0828) * CHOOSE(CONTROL!$C$15, $D$11, 100%, $F$11)</f>
        <v>31.086400000000001</v>
      </c>
      <c r="G897" s="8">
        <f>CHOOSE( CONTROL!$C$32, 29.994, 29.9904) * CHOOSE( CONTROL!$C$15, $D$11, 100%, $F$11)</f>
        <v>29.994</v>
      </c>
      <c r="H897" s="4">
        <f>CHOOSE( CONTROL!$C$32, 30.969, 30.9654) * CHOOSE(CONTROL!$C$15, $D$11, 100%, $F$11)</f>
        <v>30.969000000000001</v>
      </c>
      <c r="I897" s="8">
        <f>CHOOSE( CONTROL!$C$32, 29.5937, 29.5902) * CHOOSE(CONTROL!$C$15, $D$11, 100%, $F$11)</f>
        <v>29.593699999999998</v>
      </c>
      <c r="J897" s="4">
        <f>CHOOSE( CONTROL!$C$32, 29.4374, 29.4339) * CHOOSE(CONTROL!$C$15, $D$11, 100%, $F$11)</f>
        <v>29.4374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29.8558, 29.8521) * CHOOSE(CONTROL!$C$15, $D$11, 100%, $F$11)</f>
        <v>29.855799999999999</v>
      </c>
      <c r="C898" s="8">
        <f>CHOOSE( CONTROL!$C$32, 29.8638, 29.8601) * CHOOSE(CONTROL!$C$15, $D$11, 100%, $F$11)</f>
        <v>29.863800000000001</v>
      </c>
      <c r="D898" s="8">
        <f>CHOOSE( CONTROL!$C$32, 29.9017, 29.8981) * CHOOSE( CONTROL!$C$15, $D$11, 100%, $F$11)</f>
        <v>29.901700000000002</v>
      </c>
      <c r="E898" s="12">
        <f>CHOOSE( CONTROL!$C$32, 29.8867, 29.8831) * CHOOSE( CONTROL!$C$15, $D$11, 100%, $F$11)</f>
        <v>29.886700000000001</v>
      </c>
      <c r="F898" s="4">
        <f>CHOOSE( CONTROL!$C$32, 30.5988, 30.5952) * CHOOSE(CONTROL!$C$15, $D$11, 100%, $F$11)</f>
        <v>30.598800000000001</v>
      </c>
      <c r="G898" s="8">
        <f>CHOOSE( CONTROL!$C$32, 29.5124, 29.5088) * CHOOSE( CONTROL!$C$15, $D$11, 100%, $F$11)</f>
        <v>29.5124</v>
      </c>
      <c r="H898" s="4">
        <f>CHOOSE( CONTROL!$C$32, 30.4871, 30.4835) * CHOOSE(CONTROL!$C$15, $D$11, 100%, $F$11)</f>
        <v>30.487100000000002</v>
      </c>
      <c r="I898" s="8">
        <f>CHOOSE( CONTROL!$C$32, 29.1213, 29.1178) * CHOOSE(CONTROL!$C$15, $D$11, 100%, $F$11)</f>
        <v>29.121300000000002</v>
      </c>
      <c r="J898" s="4">
        <f>CHOOSE( CONTROL!$C$32, 28.9642, 28.9607) * CHOOSE(CONTROL!$C$15, $D$11, 100%, $F$11)</f>
        <v>28.964200000000002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31.1399, 31.1362) * CHOOSE(CONTROL!$C$15, $D$11, 100%, $F$11)</f>
        <v>31.139900000000001</v>
      </c>
      <c r="C899" s="8">
        <f>CHOOSE( CONTROL!$C$32, 31.1478, 31.1442) * CHOOSE(CONTROL!$C$15, $D$11, 100%, $F$11)</f>
        <v>31.1478</v>
      </c>
      <c r="D899" s="8">
        <f>CHOOSE( CONTROL!$C$32, 31.186, 31.1824) * CHOOSE( CONTROL!$C$15, $D$11, 100%, $F$11)</f>
        <v>31.186</v>
      </c>
      <c r="E899" s="12">
        <f>CHOOSE( CONTROL!$C$32, 31.171, 31.1673) * CHOOSE( CONTROL!$C$15, $D$11, 100%, $F$11)</f>
        <v>31.170999999999999</v>
      </c>
      <c r="F899" s="4">
        <f>CHOOSE( CONTROL!$C$32, 31.8829, 31.8792) * CHOOSE(CONTROL!$C$15, $D$11, 100%, $F$11)</f>
        <v>31.882899999999999</v>
      </c>
      <c r="G899" s="8">
        <f>CHOOSE( CONTROL!$C$32, 30.7818, 30.7782) * CHOOSE( CONTROL!$C$15, $D$11, 100%, $F$11)</f>
        <v>30.7818</v>
      </c>
      <c r="H899" s="4">
        <f>CHOOSE( CONTROL!$C$32, 31.7561, 31.7525) * CHOOSE(CONTROL!$C$15, $D$11, 100%, $F$11)</f>
        <v>31.7561</v>
      </c>
      <c r="I899" s="8">
        <f>CHOOSE( CONTROL!$C$32, 30.3692, 30.3657) * CHOOSE(CONTROL!$C$15, $D$11, 100%, $F$11)</f>
        <v>30.369199999999999</v>
      </c>
      <c r="J899" s="4">
        <f>CHOOSE( CONTROL!$C$32, 30.2104, 30.2069) * CHOOSE(CONTROL!$C$15, $D$11, 100%, $F$11)</f>
        <v>30.2104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28.7372, 28.7336) * CHOOSE(CONTROL!$C$15, $D$11, 100%, $F$11)</f>
        <v>28.737200000000001</v>
      </c>
      <c r="C900" s="8">
        <f>CHOOSE( CONTROL!$C$32, 28.7452, 28.7416) * CHOOSE(CONTROL!$C$15, $D$11, 100%, $F$11)</f>
        <v>28.745200000000001</v>
      </c>
      <c r="D900" s="8">
        <f>CHOOSE( CONTROL!$C$32, 28.7835, 28.7798) * CHOOSE( CONTROL!$C$15, $D$11, 100%, $F$11)</f>
        <v>28.7835</v>
      </c>
      <c r="E900" s="12">
        <f>CHOOSE( CONTROL!$C$32, 28.7684, 28.7647) * CHOOSE( CONTROL!$C$15, $D$11, 100%, $F$11)</f>
        <v>28.7684</v>
      </c>
      <c r="F900" s="4">
        <f>CHOOSE( CONTROL!$C$32, 29.4802, 29.4766) * CHOOSE(CONTROL!$C$15, $D$11, 100%, $F$11)</f>
        <v>29.4802</v>
      </c>
      <c r="G900" s="8">
        <f>CHOOSE( CONTROL!$C$32, 28.4074, 28.4038) * CHOOSE( CONTROL!$C$15, $D$11, 100%, $F$11)</f>
        <v>28.407399999999999</v>
      </c>
      <c r="H900" s="4">
        <f>CHOOSE( CONTROL!$C$32, 29.3816, 29.378) * CHOOSE(CONTROL!$C$15, $D$11, 100%, $F$11)</f>
        <v>29.381599999999999</v>
      </c>
      <c r="I900" s="8">
        <f>CHOOSE( CONTROL!$C$32, 28.0366, 28.0331) * CHOOSE(CONTROL!$C$15, $D$11, 100%, $F$11)</f>
        <v>28.0366</v>
      </c>
      <c r="J900" s="4">
        <f>CHOOSE( CONTROL!$C$32, 27.8787, 27.8751) * CHOOSE(CONTROL!$C$15, $D$11, 100%, $F$11)</f>
        <v>27.878699999999998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28.1356, 28.1319) * CHOOSE(CONTROL!$C$15, $D$11, 100%, $F$11)</f>
        <v>28.1356</v>
      </c>
      <c r="C901" s="8">
        <f>CHOOSE( CONTROL!$C$32, 28.1436, 28.1399) * CHOOSE(CONTROL!$C$15, $D$11, 100%, $F$11)</f>
        <v>28.143599999999999</v>
      </c>
      <c r="D901" s="8">
        <f>CHOOSE( CONTROL!$C$32, 28.1817, 28.1781) * CHOOSE( CONTROL!$C$15, $D$11, 100%, $F$11)</f>
        <v>28.181699999999999</v>
      </c>
      <c r="E901" s="12">
        <f>CHOOSE( CONTROL!$C$32, 28.1667, 28.163) * CHOOSE( CONTROL!$C$15, $D$11, 100%, $F$11)</f>
        <v>28.166699999999999</v>
      </c>
      <c r="F901" s="4">
        <f>CHOOSE( CONTROL!$C$32, 28.8786, 28.8749) * CHOOSE(CONTROL!$C$15, $D$11, 100%, $F$11)</f>
        <v>28.878599999999999</v>
      </c>
      <c r="G901" s="8">
        <f>CHOOSE( CONTROL!$C$32, 27.8126, 27.809) * CHOOSE( CONTROL!$C$15, $D$11, 100%, $F$11)</f>
        <v>27.8126</v>
      </c>
      <c r="H901" s="4">
        <f>CHOOSE( CONTROL!$C$32, 28.787, 28.7834) * CHOOSE(CONTROL!$C$15, $D$11, 100%, $F$11)</f>
        <v>28.786999999999999</v>
      </c>
      <c r="I901" s="8">
        <f>CHOOSE( CONTROL!$C$32, 27.452, 27.4485) * CHOOSE(CONTROL!$C$15, $D$11, 100%, $F$11)</f>
        <v>27.452000000000002</v>
      </c>
      <c r="J901" s="4">
        <f>CHOOSE( CONTROL!$C$32, 27.2948, 27.2912) * CHOOSE(CONTROL!$C$15, $D$11, 100%, $F$11)</f>
        <v>27.294799999999999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29.3794 * CHOOSE(CONTROL!$C$15, $D$11, 100%, $F$11)</f>
        <v>29.3794</v>
      </c>
      <c r="C902" s="8">
        <f>29.3848 * CHOOSE(CONTROL!$C$15, $D$11, 100%, $F$11)</f>
        <v>29.384799999999998</v>
      </c>
      <c r="D902" s="8">
        <f>29.4283 * CHOOSE( CONTROL!$C$15, $D$11, 100%, $F$11)</f>
        <v>29.4283</v>
      </c>
      <c r="E902" s="12">
        <f>29.4134 * CHOOSE( CONTROL!$C$15, $D$11, 100%, $F$11)</f>
        <v>29.413399999999999</v>
      </c>
      <c r="F902" s="4">
        <f>30.1242 * CHOOSE(CONTROL!$C$15, $D$11, 100%, $F$11)</f>
        <v>30.124199999999998</v>
      </c>
      <c r="G902" s="8">
        <f>29.0431 * CHOOSE( CONTROL!$C$15, $D$11, 100%, $F$11)</f>
        <v>29.043099999999999</v>
      </c>
      <c r="H902" s="4">
        <f>30.018 * CHOOSE(CONTROL!$C$15, $D$11, 100%, $F$11)</f>
        <v>30.018000000000001</v>
      </c>
      <c r="I902" s="8">
        <f>28.6622 * CHOOSE(CONTROL!$C$15, $D$11, 100%, $F$11)</f>
        <v>28.662199999999999</v>
      </c>
      <c r="J902" s="4">
        <f>28.5036 * CHOOSE(CONTROL!$C$15, $D$11, 100%, $F$11)</f>
        <v>28.503599999999999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31.6848 * CHOOSE(CONTROL!$C$15, $D$11, 100%, $F$11)</f>
        <v>31.684799999999999</v>
      </c>
      <c r="C903" s="8">
        <f>31.6899 * CHOOSE(CONTROL!$C$15, $D$11, 100%, $F$11)</f>
        <v>31.689900000000002</v>
      </c>
      <c r="D903" s="8">
        <f>31.6736 * CHOOSE( CONTROL!$C$15, $D$11, 100%, $F$11)</f>
        <v>31.6736</v>
      </c>
      <c r="E903" s="12">
        <f>31.679 * CHOOSE( CONTROL!$C$15, $D$11, 100%, $F$11)</f>
        <v>31.678999999999998</v>
      </c>
      <c r="F903" s="4">
        <f>32.3501 * CHOOSE(CONTROL!$C$15, $D$11, 100%, $F$11)</f>
        <v>32.350099999999998</v>
      </c>
      <c r="G903" s="8">
        <f>31.3225 * CHOOSE( CONTROL!$C$15, $D$11, 100%, $F$11)</f>
        <v>31.322500000000002</v>
      </c>
      <c r="H903" s="4">
        <f>32.2179 * CHOOSE(CONTROL!$C$15, $D$11, 100%, $F$11)</f>
        <v>32.2179</v>
      </c>
      <c r="I903" s="8">
        <f>30.9013 * CHOOSE(CONTROL!$C$15, $D$11, 100%, $F$11)</f>
        <v>30.901299999999999</v>
      </c>
      <c r="J903" s="4">
        <f>30.7414 * CHOOSE(CONTROL!$C$15, $D$11, 100%, $F$11)</f>
        <v>30.741399999999999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31.6272 * CHOOSE(CONTROL!$C$15, $D$11, 100%, $F$11)</f>
        <v>31.627199999999998</v>
      </c>
      <c r="C904" s="8">
        <f>31.6323 * CHOOSE(CONTROL!$C$15, $D$11, 100%, $F$11)</f>
        <v>31.632300000000001</v>
      </c>
      <c r="D904" s="8">
        <f>31.6177 * CHOOSE( CONTROL!$C$15, $D$11, 100%, $F$11)</f>
        <v>31.617699999999999</v>
      </c>
      <c r="E904" s="12">
        <f>31.6225 * CHOOSE( CONTROL!$C$15, $D$11, 100%, $F$11)</f>
        <v>31.622499999999999</v>
      </c>
      <c r="F904" s="4">
        <f>32.2925 * CHOOSE(CONTROL!$C$15, $D$11, 100%, $F$11)</f>
        <v>32.292499999999997</v>
      </c>
      <c r="G904" s="8">
        <f>31.2668 * CHOOSE( CONTROL!$C$15, $D$11, 100%, $F$11)</f>
        <v>31.2668</v>
      </c>
      <c r="H904" s="4">
        <f>32.161 * CHOOSE(CONTROL!$C$15, $D$11, 100%, $F$11)</f>
        <v>32.161000000000001</v>
      </c>
      <c r="I904" s="8">
        <f>30.8507 * CHOOSE(CONTROL!$C$15, $D$11, 100%, $F$11)</f>
        <v>30.8507</v>
      </c>
      <c r="J904" s="4">
        <f>30.6855 * CHOOSE(CONTROL!$C$15, $D$11, 100%, $F$11)</f>
        <v>30.685500000000001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32.5599 * CHOOSE(CONTROL!$C$15, $D$11, 100%, $F$11)</f>
        <v>32.559899999999999</v>
      </c>
      <c r="C905" s="8">
        <f>32.5649 * CHOOSE(CONTROL!$C$15, $D$11, 100%, $F$11)</f>
        <v>32.564900000000002</v>
      </c>
      <c r="D905" s="8">
        <f>32.5361 * CHOOSE( CONTROL!$C$15, $D$11, 100%, $F$11)</f>
        <v>32.536099999999998</v>
      </c>
      <c r="E905" s="12">
        <f>32.5461 * CHOOSE( CONTROL!$C$15, $D$11, 100%, $F$11)</f>
        <v>32.546100000000003</v>
      </c>
      <c r="F905" s="4">
        <f>33.2252 * CHOOSE(CONTROL!$C$15, $D$11, 100%, $F$11)</f>
        <v>33.225200000000001</v>
      </c>
      <c r="G905" s="8">
        <f>32.1783 * CHOOSE( CONTROL!$C$15, $D$11, 100%, $F$11)</f>
        <v>32.1783</v>
      </c>
      <c r="H905" s="4">
        <f>33.0827 * CHOOSE(CONTROL!$C$15, $D$11, 100%, $F$11)</f>
        <v>33.082700000000003</v>
      </c>
      <c r="I905" s="8">
        <f>31.7509 * CHOOSE(CONTROL!$C$15, $D$11, 100%, $F$11)</f>
        <v>31.750900000000001</v>
      </c>
      <c r="J905" s="4">
        <f>31.5906 * CHOOSE(CONTROL!$C$15, $D$11, 100%, $F$11)</f>
        <v>31.590599999999998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30.4555 * CHOOSE(CONTROL!$C$15, $D$11, 100%, $F$11)</f>
        <v>30.455500000000001</v>
      </c>
      <c r="C906" s="8">
        <f>30.4606 * CHOOSE(CONTROL!$C$15, $D$11, 100%, $F$11)</f>
        <v>30.460599999999999</v>
      </c>
      <c r="D906" s="8">
        <f>30.4317 * CHOOSE( CONTROL!$C$15, $D$11, 100%, $F$11)</f>
        <v>30.431699999999999</v>
      </c>
      <c r="E906" s="12">
        <f>30.4417 * CHOOSE( CONTROL!$C$15, $D$11, 100%, $F$11)</f>
        <v>30.441700000000001</v>
      </c>
      <c r="F906" s="4">
        <f>31.1208 * CHOOSE(CONTROL!$C$15, $D$11, 100%, $F$11)</f>
        <v>31.120799999999999</v>
      </c>
      <c r="G906" s="8">
        <f>30.0986 * CHOOSE( CONTROL!$C$15, $D$11, 100%, $F$11)</f>
        <v>30.098600000000001</v>
      </c>
      <c r="H906" s="4">
        <f>31.003 * CHOOSE(CONTROL!$C$15, $D$11, 100%, $F$11)</f>
        <v>31.003</v>
      </c>
      <c r="I906" s="8">
        <f>29.7076 * CHOOSE(CONTROL!$C$15, $D$11, 100%, $F$11)</f>
        <v>29.707599999999999</v>
      </c>
      <c r="J906" s="4">
        <f>29.5483 * CHOOSE(CONTROL!$C$15, $D$11, 100%, $F$11)</f>
        <v>29.548300000000001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29.8074 * CHOOSE(CONTROL!$C$15, $D$11, 100%, $F$11)</f>
        <v>29.807400000000001</v>
      </c>
      <c r="C907" s="8">
        <f>29.8125 * CHOOSE(CONTROL!$C$15, $D$11, 100%, $F$11)</f>
        <v>29.8125</v>
      </c>
      <c r="D907" s="8">
        <f>29.7832 * CHOOSE( CONTROL!$C$15, $D$11, 100%, $F$11)</f>
        <v>29.783200000000001</v>
      </c>
      <c r="E907" s="12">
        <f>29.7934 * CHOOSE( CONTROL!$C$15, $D$11, 100%, $F$11)</f>
        <v>29.793399999999998</v>
      </c>
      <c r="F907" s="4">
        <f>30.4727 * CHOOSE(CONTROL!$C$15, $D$11, 100%, $F$11)</f>
        <v>30.4727</v>
      </c>
      <c r="G907" s="8">
        <f>29.4577 * CHOOSE( CONTROL!$C$15, $D$11, 100%, $F$11)</f>
        <v>29.457699999999999</v>
      </c>
      <c r="H907" s="4">
        <f>30.3624 * CHOOSE(CONTROL!$C$15, $D$11, 100%, $F$11)</f>
        <v>30.362400000000001</v>
      </c>
      <c r="I907" s="8">
        <f>29.077 * CHOOSE(CONTROL!$C$15, $D$11, 100%, $F$11)</f>
        <v>29.077000000000002</v>
      </c>
      <c r="J907" s="4">
        <f>28.9193 * CHOOSE(CONTROL!$C$15, $D$11, 100%, $F$11)</f>
        <v>28.9193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30.261 * CHOOSE(CONTROL!$C$15, $D$11, 100%, $F$11)</f>
        <v>30.260999999999999</v>
      </c>
      <c r="C908" s="8">
        <f>30.2656 * CHOOSE(CONTROL!$C$15, $D$11, 100%, $F$11)</f>
        <v>30.265599999999999</v>
      </c>
      <c r="D908" s="8">
        <f>30.3089 * CHOOSE( CONTROL!$C$15, $D$11, 100%, $F$11)</f>
        <v>30.308900000000001</v>
      </c>
      <c r="E908" s="12">
        <f>30.2941 * CHOOSE( CONTROL!$C$15, $D$11, 100%, $F$11)</f>
        <v>30.2941</v>
      </c>
      <c r="F908" s="4">
        <f>31.0054 * CHOOSE(CONTROL!$C$15, $D$11, 100%, $F$11)</f>
        <v>31.005400000000002</v>
      </c>
      <c r="G908" s="8">
        <f>29.9131 * CHOOSE( CONTROL!$C$15, $D$11, 100%, $F$11)</f>
        <v>29.9131</v>
      </c>
      <c r="H908" s="4">
        <f>30.889 * CHOOSE(CONTROL!$C$15, $D$11, 100%, $F$11)</f>
        <v>30.888999999999999</v>
      </c>
      <c r="I908" s="8">
        <f>29.515 * CHOOSE(CONTROL!$C$15, $D$11, 100%, $F$11)</f>
        <v>29.515000000000001</v>
      </c>
      <c r="J908" s="4">
        <f>29.3589 * CHOOSE(CONTROL!$C$15, $D$11, 100%, $F$11)</f>
        <v>29.358899999999998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31.0721, 31.0685) * CHOOSE(CONTROL!$C$15, $D$11, 100%, $F$11)</f>
        <v>31.072099999999999</v>
      </c>
      <c r="C909" s="8">
        <f>CHOOSE( CONTROL!$C$32, 31.0801, 31.0765) * CHOOSE(CONTROL!$C$15, $D$11, 100%, $F$11)</f>
        <v>31.080100000000002</v>
      </c>
      <c r="D909" s="8">
        <f>CHOOSE( CONTROL!$C$32, 31.1178, 31.1142) * CHOOSE( CONTROL!$C$15, $D$11, 100%, $F$11)</f>
        <v>31.117799999999999</v>
      </c>
      <c r="E909" s="12">
        <f>CHOOSE( CONTROL!$C$32, 31.1029, 31.0993) * CHOOSE( CONTROL!$C$15, $D$11, 100%, $F$11)</f>
        <v>31.102900000000002</v>
      </c>
      <c r="F909" s="4">
        <f>CHOOSE( CONTROL!$C$32, 31.8151, 31.8115) * CHOOSE(CONTROL!$C$15, $D$11, 100%, $F$11)</f>
        <v>31.815100000000001</v>
      </c>
      <c r="G909" s="8">
        <f>CHOOSE( CONTROL!$C$32, 30.7141, 30.7105) * CHOOSE( CONTROL!$C$15, $D$11, 100%, $F$11)</f>
        <v>30.714099999999998</v>
      </c>
      <c r="H909" s="4">
        <f>CHOOSE( CONTROL!$C$32, 31.6892, 31.6856) * CHOOSE(CONTROL!$C$15, $D$11, 100%, $F$11)</f>
        <v>31.6892</v>
      </c>
      <c r="I909" s="8">
        <f>CHOOSE( CONTROL!$C$32, 30.3013, 30.2978) * CHOOSE(CONTROL!$C$15, $D$11, 100%, $F$11)</f>
        <v>30.301300000000001</v>
      </c>
      <c r="J909" s="4">
        <f>CHOOSE( CONTROL!$C$32, 30.1447, 30.1411) * CHOOSE(CONTROL!$C$15, $D$11, 100%, $F$11)</f>
        <v>30.1447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30.5728, 30.5691) * CHOOSE(CONTROL!$C$15, $D$11, 100%, $F$11)</f>
        <v>30.572800000000001</v>
      </c>
      <c r="C910" s="8">
        <f>CHOOSE( CONTROL!$C$32, 30.5808, 30.5771) * CHOOSE(CONTROL!$C$15, $D$11, 100%, $F$11)</f>
        <v>30.5808</v>
      </c>
      <c r="D910" s="8">
        <f>CHOOSE( CONTROL!$C$32, 30.6187, 30.6151) * CHOOSE( CONTROL!$C$15, $D$11, 100%, $F$11)</f>
        <v>30.6187</v>
      </c>
      <c r="E910" s="12">
        <f>CHOOSE( CONTROL!$C$32, 30.6037, 30.6001) * CHOOSE( CONTROL!$C$15, $D$11, 100%, $F$11)</f>
        <v>30.6037</v>
      </c>
      <c r="F910" s="4">
        <f>CHOOSE( CONTROL!$C$32, 31.3158, 31.3122) * CHOOSE(CONTROL!$C$15, $D$11, 100%, $F$11)</f>
        <v>31.315799999999999</v>
      </c>
      <c r="G910" s="8">
        <f>CHOOSE( CONTROL!$C$32, 30.221, 30.2174) * CHOOSE( CONTROL!$C$15, $D$11, 100%, $F$11)</f>
        <v>30.221</v>
      </c>
      <c r="H910" s="4">
        <f>CHOOSE( CONTROL!$C$32, 31.1957, 31.1921) * CHOOSE(CONTROL!$C$15, $D$11, 100%, $F$11)</f>
        <v>31.195699999999999</v>
      </c>
      <c r="I910" s="8">
        <f>CHOOSE( CONTROL!$C$32, 29.8175, 29.814) * CHOOSE(CONTROL!$C$15, $D$11, 100%, $F$11)</f>
        <v>29.817499999999999</v>
      </c>
      <c r="J910" s="4">
        <f>CHOOSE( CONTROL!$C$32, 29.6601, 29.6565) * CHOOSE(CONTROL!$C$15, $D$11, 100%, $F$11)</f>
        <v>29.6601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31.8877, 31.8841) * CHOOSE(CONTROL!$C$15, $D$11, 100%, $F$11)</f>
        <v>31.887699999999999</v>
      </c>
      <c r="C911" s="8">
        <f>CHOOSE( CONTROL!$C$32, 31.8957, 31.892) * CHOOSE(CONTROL!$C$15, $D$11, 100%, $F$11)</f>
        <v>31.895700000000001</v>
      </c>
      <c r="D911" s="8">
        <f>CHOOSE( CONTROL!$C$32, 31.9339, 31.9302) * CHOOSE( CONTROL!$C$15, $D$11, 100%, $F$11)</f>
        <v>31.933900000000001</v>
      </c>
      <c r="E911" s="12">
        <f>CHOOSE( CONTROL!$C$32, 31.9188, 31.9152) * CHOOSE( CONTROL!$C$15, $D$11, 100%, $F$11)</f>
        <v>31.918800000000001</v>
      </c>
      <c r="F911" s="4">
        <f>CHOOSE( CONTROL!$C$32, 32.6307, 32.6271) * CHOOSE(CONTROL!$C$15, $D$11, 100%, $F$11)</f>
        <v>32.630699999999997</v>
      </c>
      <c r="G911" s="8">
        <f>CHOOSE( CONTROL!$C$32, 31.5209, 31.5173) * CHOOSE( CONTROL!$C$15, $D$11, 100%, $F$11)</f>
        <v>31.520900000000001</v>
      </c>
      <c r="H911" s="4">
        <f>CHOOSE( CONTROL!$C$32, 32.4952, 32.4916) * CHOOSE(CONTROL!$C$15, $D$11, 100%, $F$11)</f>
        <v>32.495199999999997</v>
      </c>
      <c r="I911" s="8">
        <f>CHOOSE( CONTROL!$C$32, 31.0954, 31.0919) * CHOOSE(CONTROL!$C$15, $D$11, 100%, $F$11)</f>
        <v>31.095400000000001</v>
      </c>
      <c r="J911" s="4">
        <f>CHOOSE( CONTROL!$C$32, 30.9362, 30.9327) * CHOOSE(CONTROL!$C$15, $D$11, 100%, $F$11)</f>
        <v>30.936199999999999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29.4274, 29.4237) * CHOOSE(CONTROL!$C$15, $D$11, 100%, $F$11)</f>
        <v>29.427399999999999</v>
      </c>
      <c r="C912" s="8">
        <f>CHOOSE( CONTROL!$C$32, 29.4353, 29.4317) * CHOOSE(CONTROL!$C$15, $D$11, 100%, $F$11)</f>
        <v>29.435300000000002</v>
      </c>
      <c r="D912" s="8">
        <f>CHOOSE( CONTROL!$C$32, 29.4736, 29.4699) * CHOOSE( CONTROL!$C$15, $D$11, 100%, $F$11)</f>
        <v>29.473600000000001</v>
      </c>
      <c r="E912" s="12">
        <f>CHOOSE( CONTROL!$C$32, 29.4585, 29.4548) * CHOOSE( CONTROL!$C$15, $D$11, 100%, $F$11)</f>
        <v>29.458500000000001</v>
      </c>
      <c r="F912" s="4">
        <f>CHOOSE( CONTROL!$C$32, 30.1704, 30.1667) * CHOOSE(CONTROL!$C$15, $D$11, 100%, $F$11)</f>
        <v>30.170400000000001</v>
      </c>
      <c r="G912" s="8">
        <f>CHOOSE( CONTROL!$C$32, 29.0894, 29.0858) * CHOOSE( CONTROL!$C$15, $D$11, 100%, $F$11)</f>
        <v>29.089400000000001</v>
      </c>
      <c r="H912" s="4">
        <f>CHOOSE( CONTROL!$C$32, 30.0637, 30.0601) * CHOOSE(CONTROL!$C$15, $D$11, 100%, $F$11)</f>
        <v>30.063700000000001</v>
      </c>
      <c r="I912" s="8">
        <f>CHOOSE( CONTROL!$C$32, 28.7067, 28.7032) * CHOOSE(CONTROL!$C$15, $D$11, 100%, $F$11)</f>
        <v>28.706700000000001</v>
      </c>
      <c r="J912" s="4">
        <f>CHOOSE( CONTROL!$C$32, 28.5484, 28.5449) * CHOOSE(CONTROL!$C$15, $D$11, 100%, $F$11)</f>
        <v>28.548400000000001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28.8113, 28.8076) * CHOOSE(CONTROL!$C$15, $D$11, 100%, $F$11)</f>
        <v>28.811299999999999</v>
      </c>
      <c r="C913" s="8">
        <f>CHOOSE( CONTROL!$C$32, 28.8192, 28.8156) * CHOOSE(CONTROL!$C$15, $D$11, 100%, $F$11)</f>
        <v>28.819199999999999</v>
      </c>
      <c r="D913" s="8">
        <f>CHOOSE( CONTROL!$C$32, 28.8574, 28.8538) * CHOOSE( CONTROL!$C$15, $D$11, 100%, $F$11)</f>
        <v>28.857399999999998</v>
      </c>
      <c r="E913" s="12">
        <f>CHOOSE( CONTROL!$C$32, 28.8424, 28.8387) * CHOOSE( CONTROL!$C$15, $D$11, 100%, $F$11)</f>
        <v>28.842400000000001</v>
      </c>
      <c r="F913" s="4">
        <f>CHOOSE( CONTROL!$C$32, 29.5543, 29.5506) * CHOOSE(CONTROL!$C$15, $D$11, 100%, $F$11)</f>
        <v>29.554300000000001</v>
      </c>
      <c r="G913" s="8">
        <f>CHOOSE( CONTROL!$C$32, 28.4804, 28.4768) * CHOOSE( CONTROL!$C$15, $D$11, 100%, $F$11)</f>
        <v>28.480399999999999</v>
      </c>
      <c r="H913" s="4">
        <f>CHOOSE( CONTROL!$C$32, 29.4548, 29.4512) * CHOOSE(CONTROL!$C$15, $D$11, 100%, $F$11)</f>
        <v>29.454799999999999</v>
      </c>
      <c r="I913" s="8">
        <f>CHOOSE( CONTROL!$C$32, 28.1081, 28.1046) * CHOOSE(CONTROL!$C$15, $D$11, 100%, $F$11)</f>
        <v>28.1081</v>
      </c>
      <c r="J913" s="4">
        <f>CHOOSE( CONTROL!$C$32, 27.9505, 27.947) * CHOOSE(CONTROL!$C$15, $D$11, 100%, $F$11)</f>
        <v>27.950500000000002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30.0851 * CHOOSE(CONTROL!$C$15, $D$11, 100%, $F$11)</f>
        <v>30.085100000000001</v>
      </c>
      <c r="C914" s="8">
        <f>30.0905 * CHOOSE(CONTROL!$C$15, $D$11, 100%, $F$11)</f>
        <v>30.090499999999999</v>
      </c>
      <c r="D914" s="8">
        <f>30.134 * CHOOSE( CONTROL!$C$15, $D$11, 100%, $F$11)</f>
        <v>30.134</v>
      </c>
      <c r="E914" s="12">
        <f>30.1191 * CHOOSE( CONTROL!$C$15, $D$11, 100%, $F$11)</f>
        <v>30.1191</v>
      </c>
      <c r="F914" s="4">
        <f>30.8299 * CHOOSE(CONTROL!$C$15, $D$11, 100%, $F$11)</f>
        <v>30.829899999999999</v>
      </c>
      <c r="G914" s="8">
        <f>29.7406 * CHOOSE( CONTROL!$C$15, $D$11, 100%, $F$11)</f>
        <v>29.740600000000001</v>
      </c>
      <c r="H914" s="4">
        <f>30.7155 * CHOOSE(CONTROL!$C$15, $D$11, 100%, $F$11)</f>
        <v>30.715499999999999</v>
      </c>
      <c r="I914" s="8">
        <f>29.3474 * CHOOSE(CONTROL!$C$15, $D$11, 100%, $F$11)</f>
        <v>29.3474</v>
      </c>
      <c r="J914" s="4">
        <f>29.1885 * CHOOSE(CONTROL!$C$15, $D$11, 100%, $F$11)</f>
        <v>29.188500000000001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32.4459 * CHOOSE(CONTROL!$C$15, $D$11, 100%, $F$11)</f>
        <v>32.445900000000002</v>
      </c>
      <c r="C915" s="8">
        <f>32.451 * CHOOSE(CONTROL!$C$15, $D$11, 100%, $F$11)</f>
        <v>32.451000000000001</v>
      </c>
      <c r="D915" s="8">
        <f>32.4347 * CHOOSE( CONTROL!$C$15, $D$11, 100%, $F$11)</f>
        <v>32.434699999999999</v>
      </c>
      <c r="E915" s="12">
        <f>32.4401 * CHOOSE( CONTROL!$C$15, $D$11, 100%, $F$11)</f>
        <v>32.440100000000001</v>
      </c>
      <c r="F915" s="4">
        <f>33.1112 * CHOOSE(CONTROL!$C$15, $D$11, 100%, $F$11)</f>
        <v>33.111199999999997</v>
      </c>
      <c r="G915" s="8">
        <f>32.0747 * CHOOSE( CONTROL!$C$15, $D$11, 100%, $F$11)</f>
        <v>32.0747</v>
      </c>
      <c r="H915" s="4">
        <f>32.9701 * CHOOSE(CONTROL!$C$15, $D$11, 100%, $F$11)</f>
        <v>32.970100000000002</v>
      </c>
      <c r="I915" s="8">
        <f>31.6403 * CHOOSE(CONTROL!$C$15, $D$11, 100%, $F$11)</f>
        <v>31.6403</v>
      </c>
      <c r="J915" s="4">
        <f>31.48 * CHOOSE(CONTROL!$C$15, $D$11, 100%, $F$11)</f>
        <v>31.48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32.3869 * CHOOSE(CONTROL!$C$15, $D$11, 100%, $F$11)</f>
        <v>32.386899999999997</v>
      </c>
      <c r="C916" s="8">
        <f>32.392 * CHOOSE(CONTROL!$C$15, $D$11, 100%, $F$11)</f>
        <v>32.392000000000003</v>
      </c>
      <c r="D916" s="8">
        <f>32.3774 * CHOOSE( CONTROL!$C$15, $D$11, 100%, $F$11)</f>
        <v>32.377400000000002</v>
      </c>
      <c r="E916" s="12">
        <f>32.3822 * CHOOSE( CONTROL!$C$15, $D$11, 100%, $F$11)</f>
        <v>32.382199999999997</v>
      </c>
      <c r="F916" s="4">
        <f>33.0522 * CHOOSE(CONTROL!$C$15, $D$11, 100%, $F$11)</f>
        <v>33.052199999999999</v>
      </c>
      <c r="G916" s="8">
        <f>32.0176 * CHOOSE( CONTROL!$C$15, $D$11, 100%, $F$11)</f>
        <v>32.017600000000002</v>
      </c>
      <c r="H916" s="4">
        <f>32.9118 * CHOOSE(CONTROL!$C$15, $D$11, 100%, $F$11)</f>
        <v>32.911799999999999</v>
      </c>
      <c r="I916" s="8">
        <f>31.5884 * CHOOSE(CONTROL!$C$15, $D$11, 100%, $F$11)</f>
        <v>31.5884</v>
      </c>
      <c r="J916" s="4">
        <f>31.4228 * CHOOSE(CONTROL!$C$15, $D$11, 100%, $F$11)</f>
        <v>31.422799999999999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33.342 * CHOOSE(CONTROL!$C$15, $D$11, 100%, $F$11)</f>
        <v>33.341999999999999</v>
      </c>
      <c r="C917" s="8">
        <f>33.3471 * CHOOSE(CONTROL!$C$15, $D$11, 100%, $F$11)</f>
        <v>33.347099999999998</v>
      </c>
      <c r="D917" s="8">
        <f>33.3182 * CHOOSE( CONTROL!$C$15, $D$11, 100%, $F$11)</f>
        <v>33.318199999999997</v>
      </c>
      <c r="E917" s="12">
        <f>33.3282 * CHOOSE( CONTROL!$C$15, $D$11, 100%, $F$11)</f>
        <v>33.328200000000002</v>
      </c>
      <c r="F917" s="4">
        <f>34.0073 * CHOOSE(CONTROL!$C$15, $D$11, 100%, $F$11)</f>
        <v>34.007300000000001</v>
      </c>
      <c r="G917" s="8">
        <f>32.9512 * CHOOSE( CONTROL!$C$15, $D$11, 100%, $F$11)</f>
        <v>32.9512</v>
      </c>
      <c r="H917" s="4">
        <f>33.8557 * CHOOSE(CONTROL!$C$15, $D$11, 100%, $F$11)</f>
        <v>33.855699999999999</v>
      </c>
      <c r="I917" s="8">
        <f>32.5103 * CHOOSE(CONTROL!$C$15, $D$11, 100%, $F$11)</f>
        <v>32.510300000000001</v>
      </c>
      <c r="J917" s="4">
        <f>32.3496 * CHOOSE(CONTROL!$C$15, $D$11, 100%, $F$11)</f>
        <v>32.349600000000002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31.1871 * CHOOSE(CONTROL!$C$15, $D$11, 100%, $F$11)</f>
        <v>31.187100000000001</v>
      </c>
      <c r="C918" s="8">
        <f>31.1921 * CHOOSE(CONTROL!$C$15, $D$11, 100%, $F$11)</f>
        <v>31.1921</v>
      </c>
      <c r="D918" s="8">
        <f>31.1633 * CHOOSE( CONTROL!$C$15, $D$11, 100%, $F$11)</f>
        <v>31.1633</v>
      </c>
      <c r="E918" s="12">
        <f>31.1733 * CHOOSE( CONTROL!$C$15, $D$11, 100%, $F$11)</f>
        <v>31.173300000000001</v>
      </c>
      <c r="F918" s="4">
        <f>31.8523 * CHOOSE(CONTROL!$C$15, $D$11, 100%, $F$11)</f>
        <v>31.8523</v>
      </c>
      <c r="G918" s="8">
        <f>30.8215 * CHOOSE( CONTROL!$C$15, $D$11, 100%, $F$11)</f>
        <v>30.8215</v>
      </c>
      <c r="H918" s="4">
        <f>31.726 * CHOOSE(CONTROL!$C$15, $D$11, 100%, $F$11)</f>
        <v>31.725999999999999</v>
      </c>
      <c r="I918" s="8">
        <f>30.4179 * CHOOSE(CONTROL!$C$15, $D$11, 100%, $F$11)</f>
        <v>30.417899999999999</v>
      </c>
      <c r="J918" s="4">
        <f>30.2583 * CHOOSE(CONTROL!$C$15, $D$11, 100%, $F$11)</f>
        <v>30.258299999999998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30.5234 * CHOOSE(CONTROL!$C$15, $D$11, 100%, $F$11)</f>
        <v>30.523399999999999</v>
      </c>
      <c r="C919" s="8">
        <f>30.5284 * CHOOSE(CONTROL!$C$15, $D$11, 100%, $F$11)</f>
        <v>30.528400000000001</v>
      </c>
      <c r="D919" s="8">
        <f>30.4991 * CHOOSE( CONTROL!$C$15, $D$11, 100%, $F$11)</f>
        <v>30.499099999999999</v>
      </c>
      <c r="E919" s="12">
        <f>30.5093 * CHOOSE( CONTROL!$C$15, $D$11, 100%, $F$11)</f>
        <v>30.5093</v>
      </c>
      <c r="F919" s="4">
        <f>31.1886 * CHOOSE(CONTROL!$C$15, $D$11, 100%, $F$11)</f>
        <v>31.188600000000001</v>
      </c>
      <c r="G919" s="8">
        <f>30.1653 * CHOOSE( CONTROL!$C$15, $D$11, 100%, $F$11)</f>
        <v>30.165299999999998</v>
      </c>
      <c r="H919" s="4">
        <f>31.07 * CHOOSE(CONTROL!$C$15, $D$11, 100%, $F$11)</f>
        <v>31.07</v>
      </c>
      <c r="I919" s="8">
        <f>29.7722 * CHOOSE(CONTROL!$C$15, $D$11, 100%, $F$11)</f>
        <v>29.772200000000002</v>
      </c>
      <c r="J919" s="4">
        <f>29.6142 * CHOOSE(CONTROL!$C$15, $D$11, 100%, $F$11)</f>
        <v>29.6142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30.9879 * CHOOSE(CONTROL!$C$15, $D$11, 100%, $F$11)</f>
        <v>30.9879</v>
      </c>
      <c r="C920" s="8">
        <f>30.9924 * CHOOSE(CONTROL!$C$15, $D$11, 100%, $F$11)</f>
        <v>30.9924</v>
      </c>
      <c r="D920" s="8">
        <f>31.0358 * CHOOSE( CONTROL!$C$15, $D$11, 100%, $F$11)</f>
        <v>31.035799999999998</v>
      </c>
      <c r="E920" s="12">
        <f>31.021 * CHOOSE( CONTROL!$C$15, $D$11, 100%, $F$11)</f>
        <v>31.021000000000001</v>
      </c>
      <c r="F920" s="4">
        <f>31.7323 * CHOOSE(CONTROL!$C$15, $D$11, 100%, $F$11)</f>
        <v>31.732299999999999</v>
      </c>
      <c r="G920" s="8">
        <f>30.6315 * CHOOSE( CONTROL!$C$15, $D$11, 100%, $F$11)</f>
        <v>30.631499999999999</v>
      </c>
      <c r="H920" s="4">
        <f>31.6073 * CHOOSE(CONTROL!$C$15, $D$11, 100%, $F$11)</f>
        <v>31.607299999999999</v>
      </c>
      <c r="I920" s="8">
        <f>30.2207 * CHOOSE(CONTROL!$C$15, $D$11, 100%, $F$11)</f>
        <v>30.220700000000001</v>
      </c>
      <c r="J920" s="4">
        <f>30.0643 * CHOOSE(CONTROL!$C$15, $D$11, 100%, $F$11)</f>
        <v>30.064299999999999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31.8183, 31.8147) * CHOOSE(CONTROL!$C$15, $D$11, 100%, $F$11)</f>
        <v>31.818300000000001</v>
      </c>
      <c r="C921" s="8">
        <f>CHOOSE( CONTROL!$C$32, 31.8263, 31.8227) * CHOOSE(CONTROL!$C$15, $D$11, 100%, $F$11)</f>
        <v>31.8263</v>
      </c>
      <c r="D921" s="8">
        <f>CHOOSE( CONTROL!$C$32, 31.8641, 31.8604) * CHOOSE( CONTROL!$C$15, $D$11, 100%, $F$11)</f>
        <v>31.864100000000001</v>
      </c>
      <c r="E921" s="12">
        <f>CHOOSE( CONTROL!$C$32, 31.8492, 31.8455) * CHOOSE( CONTROL!$C$15, $D$11, 100%, $F$11)</f>
        <v>31.8492</v>
      </c>
      <c r="F921" s="4">
        <f>CHOOSE( CONTROL!$C$32, 32.5614, 32.5577) * CHOOSE(CONTROL!$C$15, $D$11, 100%, $F$11)</f>
        <v>32.561399999999999</v>
      </c>
      <c r="G921" s="8">
        <f>CHOOSE( CONTROL!$C$32, 31.4516, 31.448) * CHOOSE( CONTROL!$C$15, $D$11, 100%, $F$11)</f>
        <v>31.451599999999999</v>
      </c>
      <c r="H921" s="4">
        <f>CHOOSE( CONTROL!$C$32, 32.4267, 32.4231) * CHOOSE(CONTROL!$C$15, $D$11, 100%, $F$11)</f>
        <v>32.426699999999997</v>
      </c>
      <c r="I921" s="8">
        <f>CHOOSE( CONTROL!$C$32, 31.0259, 31.0223) * CHOOSE(CONTROL!$C$15, $D$11, 100%, $F$11)</f>
        <v>31.0259</v>
      </c>
      <c r="J921" s="4">
        <f>CHOOSE( CONTROL!$C$32, 30.8689, 30.8654) * CHOOSE(CONTROL!$C$15, $D$11, 100%, $F$11)</f>
        <v>30.8689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31.307, 31.3034) * CHOOSE(CONTROL!$C$15, $D$11, 100%, $F$11)</f>
        <v>31.306999999999999</v>
      </c>
      <c r="C922" s="8">
        <f>CHOOSE( CONTROL!$C$32, 31.315, 31.3114) * CHOOSE(CONTROL!$C$15, $D$11, 100%, $F$11)</f>
        <v>31.315000000000001</v>
      </c>
      <c r="D922" s="8">
        <f>CHOOSE( CONTROL!$C$32, 31.353, 31.3493) * CHOOSE( CONTROL!$C$15, $D$11, 100%, $F$11)</f>
        <v>31.353000000000002</v>
      </c>
      <c r="E922" s="12">
        <f>CHOOSE( CONTROL!$C$32, 31.338, 31.3343) * CHOOSE( CONTROL!$C$15, $D$11, 100%, $F$11)</f>
        <v>31.338000000000001</v>
      </c>
      <c r="F922" s="4">
        <f>CHOOSE( CONTROL!$C$32, 32.05, 32.0464) * CHOOSE(CONTROL!$C$15, $D$11, 100%, $F$11)</f>
        <v>32.049999999999997</v>
      </c>
      <c r="G922" s="8">
        <f>CHOOSE( CONTROL!$C$32, 30.9466, 30.943) * CHOOSE( CONTROL!$C$15, $D$11, 100%, $F$11)</f>
        <v>30.9466</v>
      </c>
      <c r="H922" s="4">
        <f>CHOOSE( CONTROL!$C$32, 31.9213, 31.9177) * CHOOSE(CONTROL!$C$15, $D$11, 100%, $F$11)</f>
        <v>31.921299999999999</v>
      </c>
      <c r="I922" s="8">
        <f>CHOOSE( CONTROL!$C$32, 30.5304, 30.5269) * CHOOSE(CONTROL!$C$15, $D$11, 100%, $F$11)</f>
        <v>30.5304</v>
      </c>
      <c r="J922" s="4">
        <f>CHOOSE( CONTROL!$C$32, 30.3726, 30.3691) * CHOOSE(CONTROL!$C$15, $D$11, 100%, $F$11)</f>
        <v>30.372599999999998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32.6535, 32.6499) * CHOOSE(CONTROL!$C$15, $D$11, 100%, $F$11)</f>
        <v>32.653500000000001</v>
      </c>
      <c r="C923" s="8">
        <f>CHOOSE( CONTROL!$C$32, 32.6615, 32.6579) * CHOOSE(CONTROL!$C$15, $D$11, 100%, $F$11)</f>
        <v>32.661499999999997</v>
      </c>
      <c r="D923" s="8">
        <f>CHOOSE( CONTROL!$C$32, 32.6997, 32.6961) * CHOOSE( CONTROL!$C$15, $D$11, 100%, $F$11)</f>
        <v>32.6997</v>
      </c>
      <c r="E923" s="12">
        <f>CHOOSE( CONTROL!$C$32, 32.6846, 32.681) * CHOOSE( CONTROL!$C$15, $D$11, 100%, $F$11)</f>
        <v>32.684600000000003</v>
      </c>
      <c r="F923" s="4">
        <f>CHOOSE( CONTROL!$C$32, 33.3965, 33.3929) * CHOOSE(CONTROL!$C$15, $D$11, 100%, $F$11)</f>
        <v>33.396500000000003</v>
      </c>
      <c r="G923" s="8">
        <f>CHOOSE( CONTROL!$C$32, 32.2777, 32.2741) * CHOOSE( CONTROL!$C$15, $D$11, 100%, $F$11)</f>
        <v>32.277700000000003</v>
      </c>
      <c r="H923" s="4">
        <f>CHOOSE( CONTROL!$C$32, 33.2521, 33.2485) * CHOOSE(CONTROL!$C$15, $D$11, 100%, $F$11)</f>
        <v>33.252099999999999</v>
      </c>
      <c r="I923" s="8">
        <f>CHOOSE( CONTROL!$C$32, 31.839, 31.8355) * CHOOSE(CONTROL!$C$15, $D$11, 100%, $F$11)</f>
        <v>31.838999999999999</v>
      </c>
      <c r="J923" s="4">
        <f>CHOOSE( CONTROL!$C$32, 31.6794, 31.6759) * CHOOSE(CONTROL!$C$15, $D$11, 100%, $F$11)</f>
        <v>31.679400000000001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30.1341, 30.1304) * CHOOSE(CONTROL!$C$15, $D$11, 100%, $F$11)</f>
        <v>30.1341</v>
      </c>
      <c r="C924" s="8">
        <f>CHOOSE( CONTROL!$C$32, 30.142, 30.1384) * CHOOSE(CONTROL!$C$15, $D$11, 100%, $F$11)</f>
        <v>30.141999999999999</v>
      </c>
      <c r="D924" s="8">
        <f>CHOOSE( CONTROL!$C$32, 30.1803, 30.1767) * CHOOSE( CONTROL!$C$15, $D$11, 100%, $F$11)</f>
        <v>30.180299999999999</v>
      </c>
      <c r="E924" s="12">
        <f>CHOOSE( CONTROL!$C$32, 30.1652, 30.1616) * CHOOSE( CONTROL!$C$15, $D$11, 100%, $F$11)</f>
        <v>30.165199999999999</v>
      </c>
      <c r="F924" s="4">
        <f>CHOOSE( CONTROL!$C$32, 30.8771, 30.8734) * CHOOSE(CONTROL!$C$15, $D$11, 100%, $F$11)</f>
        <v>30.877099999999999</v>
      </c>
      <c r="G924" s="8">
        <f>CHOOSE( CONTROL!$C$32, 29.7878, 29.7842) * CHOOSE( CONTROL!$C$15, $D$11, 100%, $F$11)</f>
        <v>29.787800000000001</v>
      </c>
      <c r="H924" s="4">
        <f>CHOOSE( CONTROL!$C$32, 30.7621, 30.7585) * CHOOSE(CONTROL!$C$15, $D$11, 100%, $F$11)</f>
        <v>30.7621</v>
      </c>
      <c r="I924" s="8">
        <f>CHOOSE( CONTROL!$C$32, 29.3929, 29.3894) * CHOOSE(CONTROL!$C$15, $D$11, 100%, $F$11)</f>
        <v>29.392900000000001</v>
      </c>
      <c r="J924" s="4">
        <f>CHOOSE( CONTROL!$C$32, 29.2343, 29.2308) * CHOOSE(CONTROL!$C$15, $D$11, 100%, $F$11)</f>
        <v>29.234300000000001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29.5032, 29.4995) * CHOOSE(CONTROL!$C$15, $D$11, 100%, $F$11)</f>
        <v>29.5032</v>
      </c>
      <c r="C925" s="8">
        <f>CHOOSE( CONTROL!$C$32, 29.5111, 29.5075) * CHOOSE(CONTROL!$C$15, $D$11, 100%, $F$11)</f>
        <v>29.511099999999999</v>
      </c>
      <c r="D925" s="8">
        <f>CHOOSE( CONTROL!$C$32, 29.5493, 29.5457) * CHOOSE( CONTROL!$C$15, $D$11, 100%, $F$11)</f>
        <v>29.549299999999999</v>
      </c>
      <c r="E925" s="12">
        <f>CHOOSE( CONTROL!$C$32, 29.5343, 29.5306) * CHOOSE( CONTROL!$C$15, $D$11, 100%, $F$11)</f>
        <v>29.534300000000002</v>
      </c>
      <c r="F925" s="4">
        <f>CHOOSE( CONTROL!$C$32, 30.2462, 30.2425) * CHOOSE(CONTROL!$C$15, $D$11, 100%, $F$11)</f>
        <v>30.246200000000002</v>
      </c>
      <c r="G925" s="8">
        <f>CHOOSE( CONTROL!$C$32, 29.1642, 29.1606) * CHOOSE( CONTROL!$C$15, $D$11, 100%, $F$11)</f>
        <v>29.164200000000001</v>
      </c>
      <c r="H925" s="4">
        <f>CHOOSE( CONTROL!$C$32, 30.1386, 30.135) * CHOOSE(CONTROL!$C$15, $D$11, 100%, $F$11)</f>
        <v>30.1386</v>
      </c>
      <c r="I925" s="8">
        <f>CHOOSE( CONTROL!$C$32, 28.7799, 28.7764) * CHOOSE(CONTROL!$C$15, $D$11, 100%, $F$11)</f>
        <v>28.779900000000001</v>
      </c>
      <c r="J925" s="4">
        <f>CHOOSE( CONTROL!$C$32, 28.622, 28.6185) * CHOOSE(CONTROL!$C$15, $D$11, 100%, $F$11)</f>
        <v>28.622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30.8078 * CHOOSE(CONTROL!$C$15, $D$11, 100%, $F$11)</f>
        <v>30.8078</v>
      </c>
      <c r="C926" s="8">
        <f>30.8131 * CHOOSE(CONTROL!$C$15, $D$11, 100%, $F$11)</f>
        <v>30.813099999999999</v>
      </c>
      <c r="D926" s="8">
        <f>30.8566 * CHOOSE( CONTROL!$C$15, $D$11, 100%, $F$11)</f>
        <v>30.8566</v>
      </c>
      <c r="E926" s="12">
        <f>30.8417 * CHOOSE( CONTROL!$C$15, $D$11, 100%, $F$11)</f>
        <v>30.841699999999999</v>
      </c>
      <c r="F926" s="4">
        <f>31.5525 * CHOOSE(CONTROL!$C$15, $D$11, 100%, $F$11)</f>
        <v>31.552499999999998</v>
      </c>
      <c r="G926" s="8">
        <f>30.4547 * CHOOSE( CONTROL!$C$15, $D$11, 100%, $F$11)</f>
        <v>30.454699999999999</v>
      </c>
      <c r="H926" s="4">
        <f>31.4296 * CHOOSE(CONTROL!$C$15, $D$11, 100%, $F$11)</f>
        <v>31.429600000000001</v>
      </c>
      <c r="I926" s="8">
        <f>30.0491 * CHOOSE(CONTROL!$C$15, $D$11, 100%, $F$11)</f>
        <v>30.049099999999999</v>
      </c>
      <c r="J926" s="4">
        <f>29.8898 * CHOOSE(CONTROL!$C$15, $D$11, 100%, $F$11)</f>
        <v>29.889800000000001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33.2253 * CHOOSE(CONTROL!$C$15, $D$11, 100%, $F$11)</f>
        <v>33.225299999999997</v>
      </c>
      <c r="C927" s="8">
        <f>33.2304 * CHOOSE(CONTROL!$C$15, $D$11, 100%, $F$11)</f>
        <v>33.230400000000003</v>
      </c>
      <c r="D927" s="8">
        <f>33.214 * CHOOSE( CONTROL!$C$15, $D$11, 100%, $F$11)</f>
        <v>33.213999999999999</v>
      </c>
      <c r="E927" s="12">
        <f>33.2195 * CHOOSE( CONTROL!$C$15, $D$11, 100%, $F$11)</f>
        <v>33.219499999999996</v>
      </c>
      <c r="F927" s="4">
        <f>33.8906 * CHOOSE(CONTROL!$C$15, $D$11, 100%, $F$11)</f>
        <v>33.890599999999999</v>
      </c>
      <c r="G927" s="8">
        <f>32.845 * CHOOSE( CONTROL!$C$15, $D$11, 100%, $F$11)</f>
        <v>32.844999999999999</v>
      </c>
      <c r="H927" s="4">
        <f>33.7404 * CHOOSE(CONTROL!$C$15, $D$11, 100%, $F$11)</f>
        <v>33.740400000000001</v>
      </c>
      <c r="I927" s="8">
        <f>32.397 * CHOOSE(CONTROL!$C$15, $D$11, 100%, $F$11)</f>
        <v>32.396999999999998</v>
      </c>
      <c r="J927" s="4">
        <f>32.2364 * CHOOSE(CONTROL!$C$15, $D$11, 100%, $F$11)</f>
        <v>32.236400000000003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33.1649 * CHOOSE(CONTROL!$C$15, $D$11, 100%, $F$11)</f>
        <v>33.164900000000003</v>
      </c>
      <c r="C928" s="8">
        <f>33.17 * CHOOSE(CONTROL!$C$15, $D$11, 100%, $F$11)</f>
        <v>33.17</v>
      </c>
      <c r="D928" s="8">
        <f>33.1553 * CHOOSE( CONTROL!$C$15, $D$11, 100%, $F$11)</f>
        <v>33.155299999999997</v>
      </c>
      <c r="E928" s="12">
        <f>33.1601 * CHOOSE( CONTROL!$C$15, $D$11, 100%, $F$11)</f>
        <v>33.1601</v>
      </c>
      <c r="F928" s="4">
        <f>33.8302 * CHOOSE(CONTROL!$C$15, $D$11, 100%, $F$11)</f>
        <v>33.830199999999998</v>
      </c>
      <c r="G928" s="8">
        <f>32.7865 * CHOOSE( CONTROL!$C$15, $D$11, 100%, $F$11)</f>
        <v>32.786499999999997</v>
      </c>
      <c r="H928" s="4">
        <f>33.6806 * CHOOSE(CONTROL!$C$15, $D$11, 100%, $F$11)</f>
        <v>33.680599999999998</v>
      </c>
      <c r="I928" s="8">
        <f>32.3438 * CHOOSE(CONTROL!$C$15, $D$11, 100%, $F$11)</f>
        <v>32.343800000000002</v>
      </c>
      <c r="J928" s="4">
        <f>32.1778 * CHOOSE(CONTROL!$C$15, $D$11, 100%, $F$11)</f>
        <v>32.177799999999998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34.1429 * CHOOSE(CONTROL!$C$15, $D$11, 100%, $F$11)</f>
        <v>34.142899999999997</v>
      </c>
      <c r="C929" s="8">
        <f>34.148 * CHOOSE(CONTROL!$C$15, $D$11, 100%, $F$11)</f>
        <v>34.148000000000003</v>
      </c>
      <c r="D929" s="8">
        <f>34.1191 * CHOOSE( CONTROL!$C$15, $D$11, 100%, $F$11)</f>
        <v>34.119100000000003</v>
      </c>
      <c r="E929" s="12">
        <f>34.1291 * CHOOSE( CONTROL!$C$15, $D$11, 100%, $F$11)</f>
        <v>34.129100000000001</v>
      </c>
      <c r="F929" s="4">
        <f>34.8082 * CHOOSE(CONTROL!$C$15, $D$11, 100%, $F$11)</f>
        <v>34.808199999999999</v>
      </c>
      <c r="G929" s="8">
        <f>33.7428 * CHOOSE( CONTROL!$C$15, $D$11, 100%, $F$11)</f>
        <v>33.742800000000003</v>
      </c>
      <c r="H929" s="4">
        <f>34.6472 * CHOOSE(CONTROL!$C$15, $D$11, 100%, $F$11)</f>
        <v>34.647199999999998</v>
      </c>
      <c r="I929" s="8">
        <f>33.288 * CHOOSE(CONTROL!$C$15, $D$11, 100%, $F$11)</f>
        <v>33.287999999999997</v>
      </c>
      <c r="J929" s="4">
        <f>33.1269 * CHOOSE(CONTROL!$C$15, $D$11, 100%, $F$11)</f>
        <v>33.126899999999999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31.9362 * CHOOSE(CONTROL!$C$15, $D$11, 100%, $F$11)</f>
        <v>31.936199999999999</v>
      </c>
      <c r="C930" s="8">
        <f>31.9413 * CHOOSE(CONTROL!$C$15, $D$11, 100%, $F$11)</f>
        <v>31.941299999999998</v>
      </c>
      <c r="D930" s="8">
        <f>31.9124 * CHOOSE( CONTROL!$C$15, $D$11, 100%, $F$11)</f>
        <v>31.912400000000002</v>
      </c>
      <c r="E930" s="12">
        <f>31.9224 * CHOOSE( CONTROL!$C$15, $D$11, 100%, $F$11)</f>
        <v>31.9224</v>
      </c>
      <c r="F930" s="4">
        <f>32.6015 * CHOOSE(CONTROL!$C$15, $D$11, 100%, $F$11)</f>
        <v>32.601500000000001</v>
      </c>
      <c r="G930" s="8">
        <f>31.5619 * CHOOSE( CONTROL!$C$15, $D$11, 100%, $F$11)</f>
        <v>31.561900000000001</v>
      </c>
      <c r="H930" s="4">
        <f>32.4663 * CHOOSE(CONTROL!$C$15, $D$11, 100%, $F$11)</f>
        <v>32.466299999999997</v>
      </c>
      <c r="I930" s="8">
        <f>31.1453 * CHOOSE(CONTROL!$C$15, $D$11, 100%, $F$11)</f>
        <v>31.145299999999999</v>
      </c>
      <c r="J930" s="4">
        <f>30.9853 * CHOOSE(CONTROL!$C$15, $D$11, 100%, $F$11)</f>
        <v>30.985299999999999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31.2565 * CHOOSE(CONTROL!$C$15, $D$11, 100%, $F$11)</f>
        <v>31.256499999999999</v>
      </c>
      <c r="C931" s="8">
        <f>31.2616 * CHOOSE(CONTROL!$C$15, $D$11, 100%, $F$11)</f>
        <v>31.261600000000001</v>
      </c>
      <c r="D931" s="8">
        <f>31.2323 * CHOOSE( CONTROL!$C$15, $D$11, 100%, $F$11)</f>
        <v>31.232299999999999</v>
      </c>
      <c r="E931" s="12">
        <f>31.2425 * CHOOSE( CONTROL!$C$15, $D$11, 100%, $F$11)</f>
        <v>31.2425</v>
      </c>
      <c r="F931" s="4">
        <f>31.9218 * CHOOSE(CONTROL!$C$15, $D$11, 100%, $F$11)</f>
        <v>31.921800000000001</v>
      </c>
      <c r="G931" s="8">
        <f>30.8899 * CHOOSE( CONTROL!$C$15, $D$11, 100%, $F$11)</f>
        <v>30.889900000000001</v>
      </c>
      <c r="H931" s="4">
        <f>31.7946 * CHOOSE(CONTROL!$C$15, $D$11, 100%, $F$11)</f>
        <v>31.794599999999999</v>
      </c>
      <c r="I931" s="8">
        <f>30.4841 * CHOOSE(CONTROL!$C$15, $D$11, 100%, $F$11)</f>
        <v>30.484100000000002</v>
      </c>
      <c r="J931" s="4">
        <f>30.3257 * CHOOSE(CONTROL!$C$15, $D$11, 100%, $F$11)</f>
        <v>30.325700000000001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31.7322 * CHOOSE(CONTROL!$C$15, $D$11, 100%, $F$11)</f>
        <v>31.732199999999999</v>
      </c>
      <c r="C932" s="8">
        <f>31.7367 * CHOOSE(CONTROL!$C$15, $D$11, 100%, $F$11)</f>
        <v>31.736699999999999</v>
      </c>
      <c r="D932" s="8">
        <f>31.7801 * CHOOSE( CONTROL!$C$15, $D$11, 100%, $F$11)</f>
        <v>31.780100000000001</v>
      </c>
      <c r="E932" s="12">
        <f>31.7653 * CHOOSE( CONTROL!$C$15, $D$11, 100%, $F$11)</f>
        <v>31.7653</v>
      </c>
      <c r="F932" s="4">
        <f>32.4766 * CHOOSE(CONTROL!$C$15, $D$11, 100%, $F$11)</f>
        <v>32.476599999999998</v>
      </c>
      <c r="G932" s="8">
        <f>31.3671 * CHOOSE( CONTROL!$C$15, $D$11, 100%, $F$11)</f>
        <v>31.367100000000001</v>
      </c>
      <c r="H932" s="4">
        <f>32.3429 * CHOOSE(CONTROL!$C$15, $D$11, 100%, $F$11)</f>
        <v>32.3429</v>
      </c>
      <c r="I932" s="8">
        <f>30.9435 * CHOOSE(CONTROL!$C$15, $D$11, 100%, $F$11)</f>
        <v>30.9435</v>
      </c>
      <c r="J932" s="4">
        <f>30.7866 * CHOOSE(CONTROL!$C$15, $D$11, 100%, $F$11)</f>
        <v>30.7866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32.5825, 32.5789) * CHOOSE(CONTROL!$C$15, $D$11, 100%, $F$11)</f>
        <v>32.582500000000003</v>
      </c>
      <c r="C933" s="8">
        <f>CHOOSE( CONTROL!$C$32, 32.5905, 32.5868) * CHOOSE(CONTROL!$C$15, $D$11, 100%, $F$11)</f>
        <v>32.590499999999999</v>
      </c>
      <c r="D933" s="8">
        <f>CHOOSE( CONTROL!$C$32, 32.6282, 32.6246) * CHOOSE( CONTROL!$C$15, $D$11, 100%, $F$11)</f>
        <v>32.6282</v>
      </c>
      <c r="E933" s="12">
        <f>CHOOSE( CONTROL!$C$32, 32.6133, 32.6097) * CHOOSE( CONTROL!$C$15, $D$11, 100%, $F$11)</f>
        <v>32.613300000000002</v>
      </c>
      <c r="F933" s="4">
        <f>CHOOSE( CONTROL!$C$32, 33.3255, 33.3219) * CHOOSE(CONTROL!$C$15, $D$11, 100%, $F$11)</f>
        <v>33.325499999999998</v>
      </c>
      <c r="G933" s="8">
        <f>CHOOSE( CONTROL!$C$32, 32.2068, 32.2032) * CHOOSE( CONTROL!$C$15, $D$11, 100%, $F$11)</f>
        <v>32.206800000000001</v>
      </c>
      <c r="H933" s="4">
        <f>CHOOSE( CONTROL!$C$32, 33.1819, 33.1783) * CHOOSE(CONTROL!$C$15, $D$11, 100%, $F$11)</f>
        <v>33.181899999999999</v>
      </c>
      <c r="I933" s="8">
        <f>CHOOSE( CONTROL!$C$32, 31.7679, 31.7643) * CHOOSE(CONTROL!$C$15, $D$11, 100%, $F$11)</f>
        <v>31.767900000000001</v>
      </c>
      <c r="J933" s="4">
        <f>CHOOSE( CONTROL!$C$32, 31.6105, 31.607) * CHOOSE(CONTROL!$C$15, $D$11, 100%, $F$11)</f>
        <v>31.610499999999998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32.0589, 32.0553) * CHOOSE(CONTROL!$C$15, $D$11, 100%, $F$11)</f>
        <v>32.058900000000001</v>
      </c>
      <c r="C934" s="8">
        <f>CHOOSE( CONTROL!$C$32, 32.0669, 32.0632) * CHOOSE(CONTROL!$C$15, $D$11, 100%, $F$11)</f>
        <v>32.066899999999997</v>
      </c>
      <c r="D934" s="8">
        <f>CHOOSE( CONTROL!$C$32, 32.1048, 32.1012) * CHOOSE( CONTROL!$C$15, $D$11, 100%, $F$11)</f>
        <v>32.104799999999997</v>
      </c>
      <c r="E934" s="12">
        <f>CHOOSE( CONTROL!$C$32, 32.0898, 32.0862) * CHOOSE( CONTROL!$C$15, $D$11, 100%, $F$11)</f>
        <v>32.089799999999997</v>
      </c>
      <c r="F934" s="4">
        <f>CHOOSE( CONTROL!$C$32, 32.8019, 32.7983) * CHOOSE(CONTROL!$C$15, $D$11, 100%, $F$11)</f>
        <v>32.801900000000003</v>
      </c>
      <c r="G934" s="8">
        <f>CHOOSE( CONTROL!$C$32, 31.6897, 31.6861) * CHOOSE( CONTROL!$C$15, $D$11, 100%, $F$11)</f>
        <v>31.689699999999998</v>
      </c>
      <c r="H934" s="4">
        <f>CHOOSE( CONTROL!$C$32, 32.6644, 32.6608) * CHOOSE(CONTROL!$C$15, $D$11, 100%, $F$11)</f>
        <v>32.664400000000001</v>
      </c>
      <c r="I934" s="8">
        <f>CHOOSE( CONTROL!$C$32, 31.2605, 31.257) * CHOOSE(CONTROL!$C$15, $D$11, 100%, $F$11)</f>
        <v>31.2605</v>
      </c>
      <c r="J934" s="4">
        <f>CHOOSE( CONTROL!$C$32, 31.1023, 31.0988) * CHOOSE(CONTROL!$C$15, $D$11, 100%, $F$11)</f>
        <v>31.1023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33.4378, 33.4341) * CHOOSE(CONTROL!$C$15, $D$11, 100%, $F$11)</f>
        <v>33.437800000000003</v>
      </c>
      <c r="C935" s="8">
        <f>CHOOSE( CONTROL!$C$32, 33.4457, 33.4421) * CHOOSE(CONTROL!$C$15, $D$11, 100%, $F$11)</f>
        <v>33.445700000000002</v>
      </c>
      <c r="D935" s="8">
        <f>CHOOSE( CONTROL!$C$32, 33.4839, 33.4803) * CHOOSE( CONTROL!$C$15, $D$11, 100%, $F$11)</f>
        <v>33.483899999999998</v>
      </c>
      <c r="E935" s="12">
        <f>CHOOSE( CONTROL!$C$32, 33.4689, 33.4652) * CHOOSE( CONTROL!$C$15, $D$11, 100%, $F$11)</f>
        <v>33.468899999999998</v>
      </c>
      <c r="F935" s="4">
        <f>CHOOSE( CONTROL!$C$32, 34.1808, 34.1771) * CHOOSE(CONTROL!$C$15, $D$11, 100%, $F$11)</f>
        <v>34.180799999999998</v>
      </c>
      <c r="G935" s="8">
        <f>CHOOSE( CONTROL!$C$32, 33.0528, 33.0492) * CHOOSE( CONTROL!$C$15, $D$11, 100%, $F$11)</f>
        <v>33.052799999999998</v>
      </c>
      <c r="H935" s="4">
        <f>CHOOSE( CONTROL!$C$32, 34.0271, 34.0235) * CHOOSE(CONTROL!$C$15, $D$11, 100%, $F$11)</f>
        <v>34.027099999999997</v>
      </c>
      <c r="I935" s="8">
        <f>CHOOSE( CONTROL!$C$32, 32.6005, 32.5969) * CHOOSE(CONTROL!$C$15, $D$11, 100%, $F$11)</f>
        <v>32.600499999999997</v>
      </c>
      <c r="J935" s="4">
        <f>CHOOSE( CONTROL!$C$32, 32.4405, 32.437) * CHOOSE(CONTROL!$C$15, $D$11, 100%, $F$11)</f>
        <v>32.4405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30.8578, 30.8541) * CHOOSE(CONTROL!$C$15, $D$11, 100%, $F$11)</f>
        <v>30.857800000000001</v>
      </c>
      <c r="C936" s="8">
        <f>CHOOSE( CONTROL!$C$32, 30.8657, 30.8621) * CHOOSE(CONTROL!$C$15, $D$11, 100%, $F$11)</f>
        <v>30.8657</v>
      </c>
      <c r="D936" s="8">
        <f>CHOOSE( CONTROL!$C$32, 30.904, 30.9003) * CHOOSE( CONTROL!$C$15, $D$11, 100%, $F$11)</f>
        <v>30.904</v>
      </c>
      <c r="E936" s="12">
        <f>CHOOSE( CONTROL!$C$32, 30.8889, 30.8852) * CHOOSE( CONTROL!$C$15, $D$11, 100%, $F$11)</f>
        <v>30.8889</v>
      </c>
      <c r="F936" s="4">
        <f>CHOOSE( CONTROL!$C$32, 31.6008, 31.5971) * CHOOSE(CONTROL!$C$15, $D$11, 100%, $F$11)</f>
        <v>31.6008</v>
      </c>
      <c r="G936" s="8">
        <f>CHOOSE( CONTROL!$C$32, 30.5031, 30.4995) * CHOOSE( CONTROL!$C$15, $D$11, 100%, $F$11)</f>
        <v>30.5031</v>
      </c>
      <c r="H936" s="4">
        <f>CHOOSE( CONTROL!$C$32, 31.4773, 31.4737) * CHOOSE(CONTROL!$C$15, $D$11, 100%, $F$11)</f>
        <v>31.4773</v>
      </c>
      <c r="I936" s="8">
        <f>CHOOSE( CONTROL!$C$32, 30.0956, 30.0921) * CHOOSE(CONTROL!$C$15, $D$11, 100%, $F$11)</f>
        <v>30.095600000000001</v>
      </c>
      <c r="J936" s="4">
        <f>CHOOSE( CONTROL!$C$32, 29.9366, 29.9331) * CHOOSE(CONTROL!$C$15, $D$11, 100%, $F$11)</f>
        <v>29.936599999999999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30.2117, 30.208) * CHOOSE(CONTROL!$C$15, $D$11, 100%, $F$11)</f>
        <v>30.2117</v>
      </c>
      <c r="C937" s="8">
        <f>CHOOSE( CONTROL!$C$32, 30.2197, 30.216) * CHOOSE(CONTROL!$C$15, $D$11, 100%, $F$11)</f>
        <v>30.2197</v>
      </c>
      <c r="D937" s="8">
        <f>CHOOSE( CONTROL!$C$32, 30.2578, 30.2542) * CHOOSE( CONTROL!$C$15, $D$11, 100%, $F$11)</f>
        <v>30.2578</v>
      </c>
      <c r="E937" s="12">
        <f>CHOOSE( CONTROL!$C$32, 30.2428, 30.2391) * CHOOSE( CONTROL!$C$15, $D$11, 100%, $F$11)</f>
        <v>30.242799999999999</v>
      </c>
      <c r="F937" s="4">
        <f>CHOOSE( CONTROL!$C$32, 30.9547, 30.9511) * CHOOSE(CONTROL!$C$15, $D$11, 100%, $F$11)</f>
        <v>30.954699999999999</v>
      </c>
      <c r="G937" s="8">
        <f>CHOOSE( CONTROL!$C$32, 29.8644, 29.8608) * CHOOSE( CONTROL!$C$15, $D$11, 100%, $F$11)</f>
        <v>29.8644</v>
      </c>
      <c r="H937" s="4">
        <f>CHOOSE( CONTROL!$C$32, 30.8388, 30.8352) * CHOOSE(CONTROL!$C$15, $D$11, 100%, $F$11)</f>
        <v>30.838799999999999</v>
      </c>
      <c r="I937" s="8">
        <f>CHOOSE( CONTROL!$C$32, 29.4679, 29.4644) * CHOOSE(CONTROL!$C$15, $D$11, 100%, $F$11)</f>
        <v>29.4679</v>
      </c>
      <c r="J937" s="4">
        <f>CHOOSE( CONTROL!$C$32, 29.3096, 29.3061) * CHOOSE(CONTROL!$C$15, $D$11, 100%, $F$11)</f>
        <v>29.3096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31.5478 * CHOOSE(CONTROL!$C$15, $D$11, 100%, $F$11)</f>
        <v>31.547799999999999</v>
      </c>
      <c r="C938" s="8">
        <f>31.5531 * CHOOSE(CONTROL!$C$15, $D$11, 100%, $F$11)</f>
        <v>31.553100000000001</v>
      </c>
      <c r="D938" s="8">
        <f>31.5966 * CHOOSE( CONTROL!$C$15, $D$11, 100%, $F$11)</f>
        <v>31.596599999999999</v>
      </c>
      <c r="E938" s="12">
        <f>31.5817 * CHOOSE( CONTROL!$C$15, $D$11, 100%, $F$11)</f>
        <v>31.581700000000001</v>
      </c>
      <c r="F938" s="4">
        <f>32.2925 * CHOOSE(CONTROL!$C$15, $D$11, 100%, $F$11)</f>
        <v>32.292499999999997</v>
      </c>
      <c r="G938" s="8">
        <f>31.1861 * CHOOSE( CONTROL!$C$15, $D$11, 100%, $F$11)</f>
        <v>31.1861</v>
      </c>
      <c r="H938" s="4">
        <f>32.161 * CHOOSE(CONTROL!$C$15, $D$11, 100%, $F$11)</f>
        <v>32.161000000000001</v>
      </c>
      <c r="I938" s="8">
        <f>30.7677 * CHOOSE(CONTROL!$C$15, $D$11, 100%, $F$11)</f>
        <v>30.767700000000001</v>
      </c>
      <c r="J938" s="4">
        <f>30.608 * CHOOSE(CONTROL!$C$15, $D$11, 100%, $F$11)</f>
        <v>30.608000000000001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34.0234 * CHOOSE(CONTROL!$C$15, $D$11, 100%, $F$11)</f>
        <v>34.023400000000002</v>
      </c>
      <c r="C939" s="8">
        <f>34.0285 * CHOOSE(CONTROL!$C$15, $D$11, 100%, $F$11)</f>
        <v>34.028500000000001</v>
      </c>
      <c r="D939" s="8">
        <f>34.0121 * CHOOSE( CONTROL!$C$15, $D$11, 100%, $F$11)</f>
        <v>34.012099999999997</v>
      </c>
      <c r="E939" s="12">
        <f>34.0176 * CHOOSE( CONTROL!$C$15, $D$11, 100%, $F$11)</f>
        <v>34.017600000000002</v>
      </c>
      <c r="F939" s="4">
        <f>34.6887 * CHOOSE(CONTROL!$C$15, $D$11, 100%, $F$11)</f>
        <v>34.688699999999997</v>
      </c>
      <c r="G939" s="8">
        <f>33.6337 * CHOOSE( CONTROL!$C$15, $D$11, 100%, $F$11)</f>
        <v>33.633699999999997</v>
      </c>
      <c r="H939" s="4">
        <f>34.5291 * CHOOSE(CONTROL!$C$15, $D$11, 100%, $F$11)</f>
        <v>34.5291</v>
      </c>
      <c r="I939" s="8">
        <f>33.172 * CHOOSE(CONTROL!$C$15, $D$11, 100%, $F$11)</f>
        <v>33.171999999999997</v>
      </c>
      <c r="J939" s="4">
        <f>33.011 * CHOOSE(CONTROL!$C$15, $D$11, 100%, $F$11)</f>
        <v>33.011000000000003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33.9616 * CHOOSE(CONTROL!$C$15, $D$11, 100%, $F$11)</f>
        <v>33.961599999999997</v>
      </c>
      <c r="C940" s="8">
        <f>33.9666 * CHOOSE(CONTROL!$C$15, $D$11, 100%, $F$11)</f>
        <v>33.9666</v>
      </c>
      <c r="D940" s="8">
        <f>33.952 * CHOOSE( CONTROL!$C$15, $D$11, 100%, $F$11)</f>
        <v>33.951999999999998</v>
      </c>
      <c r="E940" s="12">
        <f>33.9568 * CHOOSE( CONTROL!$C$15, $D$11, 100%, $F$11)</f>
        <v>33.956800000000001</v>
      </c>
      <c r="F940" s="4">
        <f>34.6268 * CHOOSE(CONTROL!$C$15, $D$11, 100%, $F$11)</f>
        <v>34.626800000000003</v>
      </c>
      <c r="G940" s="8">
        <f>33.5738 * CHOOSE( CONTROL!$C$15, $D$11, 100%, $F$11)</f>
        <v>33.573799999999999</v>
      </c>
      <c r="H940" s="4">
        <f>34.468 * CHOOSE(CONTROL!$C$15, $D$11, 100%, $F$11)</f>
        <v>34.468000000000004</v>
      </c>
      <c r="I940" s="8">
        <f>33.1173 * CHOOSE(CONTROL!$C$15, $D$11, 100%, $F$11)</f>
        <v>33.1173</v>
      </c>
      <c r="J940" s="4">
        <f>32.9509 * CHOOSE(CONTROL!$C$15, $D$11, 100%, $F$11)</f>
        <v>32.950899999999997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34.963 * CHOOSE(CONTROL!$C$15, $D$11, 100%, $F$11)</f>
        <v>34.963000000000001</v>
      </c>
      <c r="C941" s="8">
        <f>34.9681 * CHOOSE(CONTROL!$C$15, $D$11, 100%, $F$11)</f>
        <v>34.9681</v>
      </c>
      <c r="D941" s="8">
        <f>34.9392 * CHOOSE( CONTROL!$C$15, $D$11, 100%, $F$11)</f>
        <v>34.9392</v>
      </c>
      <c r="E941" s="12">
        <f>34.9492 * CHOOSE( CONTROL!$C$15, $D$11, 100%, $F$11)</f>
        <v>34.949199999999998</v>
      </c>
      <c r="F941" s="4">
        <f>35.6283 * CHOOSE(CONTROL!$C$15, $D$11, 100%, $F$11)</f>
        <v>35.628300000000003</v>
      </c>
      <c r="G941" s="8">
        <f>34.5533 * CHOOSE( CONTROL!$C$15, $D$11, 100%, $F$11)</f>
        <v>34.5533</v>
      </c>
      <c r="H941" s="4">
        <f>35.4577 * CHOOSE(CONTROL!$C$15, $D$11, 100%, $F$11)</f>
        <v>35.457700000000003</v>
      </c>
      <c r="I941" s="8">
        <f>34.0843 * CHOOSE(CONTROL!$C$15, $D$11, 100%, $F$11)</f>
        <v>34.084299999999999</v>
      </c>
      <c r="J941" s="4">
        <f>33.9229 * CHOOSE(CONTROL!$C$15, $D$11, 100%, $F$11)</f>
        <v>33.922899999999998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32.7033 * CHOOSE(CONTROL!$C$15, $D$11, 100%, $F$11)</f>
        <v>32.703299999999999</v>
      </c>
      <c r="C942" s="8">
        <f>32.7084 * CHOOSE(CONTROL!$C$15, $D$11, 100%, $F$11)</f>
        <v>32.708399999999997</v>
      </c>
      <c r="D942" s="8">
        <f>32.6795 * CHOOSE( CONTROL!$C$15, $D$11, 100%, $F$11)</f>
        <v>32.679499999999997</v>
      </c>
      <c r="E942" s="12">
        <f>32.6895 * CHOOSE( CONTROL!$C$15, $D$11, 100%, $F$11)</f>
        <v>32.689500000000002</v>
      </c>
      <c r="F942" s="4">
        <f>33.3686 * CHOOSE(CONTROL!$C$15, $D$11, 100%, $F$11)</f>
        <v>33.368600000000001</v>
      </c>
      <c r="G942" s="8">
        <f>32.32 * CHOOSE( CONTROL!$C$15, $D$11, 100%, $F$11)</f>
        <v>32.32</v>
      </c>
      <c r="H942" s="4">
        <f>33.2245 * CHOOSE(CONTROL!$C$15, $D$11, 100%, $F$11)</f>
        <v>33.224499999999999</v>
      </c>
      <c r="I942" s="8">
        <f>31.8902 * CHOOSE(CONTROL!$C$15, $D$11, 100%, $F$11)</f>
        <v>31.8902</v>
      </c>
      <c r="J942" s="4">
        <f>31.7298 * CHOOSE(CONTROL!$C$15, $D$11, 100%, $F$11)</f>
        <v>31.729800000000001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32.0073 * CHOOSE(CONTROL!$C$15, $D$11, 100%, $F$11)</f>
        <v>32.007300000000001</v>
      </c>
      <c r="C943" s="8">
        <f>32.0124 * CHOOSE(CONTROL!$C$15, $D$11, 100%, $F$11)</f>
        <v>32.0124</v>
      </c>
      <c r="D943" s="8">
        <f>31.9831 * CHOOSE( CONTROL!$C$15, $D$11, 100%, $F$11)</f>
        <v>31.9831</v>
      </c>
      <c r="E943" s="12">
        <f>31.9933 * CHOOSE( CONTROL!$C$15, $D$11, 100%, $F$11)</f>
        <v>31.993300000000001</v>
      </c>
      <c r="F943" s="4">
        <f>32.6726 * CHOOSE(CONTROL!$C$15, $D$11, 100%, $F$11)</f>
        <v>32.672600000000003</v>
      </c>
      <c r="G943" s="8">
        <f>31.6319 * CHOOSE( CONTROL!$C$15, $D$11, 100%, $F$11)</f>
        <v>31.631900000000002</v>
      </c>
      <c r="H943" s="4">
        <f>32.5366 * CHOOSE(CONTROL!$C$15, $D$11, 100%, $F$11)</f>
        <v>32.5366</v>
      </c>
      <c r="I943" s="8">
        <f>31.2131 * CHOOSE(CONTROL!$C$15, $D$11, 100%, $F$11)</f>
        <v>31.213100000000001</v>
      </c>
      <c r="J943" s="4">
        <f>31.0544 * CHOOSE(CONTROL!$C$15, $D$11, 100%, $F$11)</f>
        <v>31.054400000000001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32.4944 * CHOOSE(CONTROL!$C$15, $D$11, 100%, $F$11)</f>
        <v>32.494399999999999</v>
      </c>
      <c r="C944" s="8">
        <f>32.499 * CHOOSE(CONTROL!$C$15, $D$11, 100%, $F$11)</f>
        <v>32.499000000000002</v>
      </c>
      <c r="D944" s="8">
        <f>32.5423 * CHOOSE( CONTROL!$C$15, $D$11, 100%, $F$11)</f>
        <v>32.542299999999997</v>
      </c>
      <c r="E944" s="12">
        <f>32.5275 * CHOOSE( CONTROL!$C$15, $D$11, 100%, $F$11)</f>
        <v>32.527500000000003</v>
      </c>
      <c r="F944" s="4">
        <f>33.2388 * CHOOSE(CONTROL!$C$15, $D$11, 100%, $F$11)</f>
        <v>33.238799999999998</v>
      </c>
      <c r="G944" s="8">
        <f>32.1204 * CHOOSE( CONTROL!$C$15, $D$11, 100%, $F$11)</f>
        <v>32.120399999999997</v>
      </c>
      <c r="H944" s="4">
        <f>33.0962 * CHOOSE(CONTROL!$C$15, $D$11, 100%, $F$11)</f>
        <v>33.096200000000003</v>
      </c>
      <c r="I944" s="8">
        <f>31.6835 * CHOOSE(CONTROL!$C$15, $D$11, 100%, $F$11)</f>
        <v>31.683499999999999</v>
      </c>
      <c r="J944" s="4">
        <f>31.5264 * CHOOSE(CONTROL!$C$15, $D$11, 100%, $F$11)</f>
        <v>31.526399999999999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33.365, 33.3614) * CHOOSE(CONTROL!$C$15, $D$11, 100%, $F$11)</f>
        <v>33.365000000000002</v>
      </c>
      <c r="C945" s="8">
        <f>CHOOSE( CONTROL!$C$32, 33.373, 33.3694) * CHOOSE(CONTROL!$C$15, $D$11, 100%, $F$11)</f>
        <v>33.372999999999998</v>
      </c>
      <c r="D945" s="8">
        <f>CHOOSE( CONTROL!$C$32, 33.4107, 33.4071) * CHOOSE( CONTROL!$C$15, $D$11, 100%, $F$11)</f>
        <v>33.410699999999999</v>
      </c>
      <c r="E945" s="12">
        <f>CHOOSE( CONTROL!$C$32, 33.3958, 33.3922) * CHOOSE( CONTROL!$C$15, $D$11, 100%, $F$11)</f>
        <v>33.395800000000001</v>
      </c>
      <c r="F945" s="4">
        <f>CHOOSE( CONTROL!$C$32, 34.108, 34.1044) * CHOOSE(CONTROL!$C$15, $D$11, 100%, $F$11)</f>
        <v>34.107999999999997</v>
      </c>
      <c r="G945" s="8">
        <f>CHOOSE( CONTROL!$C$32, 32.9802, 32.9766) * CHOOSE( CONTROL!$C$15, $D$11, 100%, $F$11)</f>
        <v>32.980200000000004</v>
      </c>
      <c r="H945" s="4">
        <f>CHOOSE( CONTROL!$C$32, 33.9552, 33.9516) * CHOOSE(CONTROL!$C$15, $D$11, 100%, $F$11)</f>
        <v>33.955199999999998</v>
      </c>
      <c r="I945" s="8">
        <f>CHOOSE( CONTROL!$C$32, 32.5277, 32.5242) * CHOOSE(CONTROL!$C$15, $D$11, 100%, $F$11)</f>
        <v>32.527700000000003</v>
      </c>
      <c r="J945" s="4">
        <f>CHOOSE( CONTROL!$C$32, 32.3699, 32.3664) * CHOOSE(CONTROL!$C$15, $D$11, 100%, $F$11)</f>
        <v>32.369900000000001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32.8288, 32.8252) * CHOOSE(CONTROL!$C$15, $D$11, 100%, $F$11)</f>
        <v>32.828800000000001</v>
      </c>
      <c r="C946" s="8">
        <f>CHOOSE( CONTROL!$C$32, 32.8368, 32.8332) * CHOOSE(CONTROL!$C$15, $D$11, 100%, $F$11)</f>
        <v>32.836799999999997</v>
      </c>
      <c r="D946" s="8">
        <f>CHOOSE( CONTROL!$C$32, 32.8748, 32.8711) * CHOOSE( CONTROL!$C$15, $D$11, 100%, $F$11)</f>
        <v>32.8748</v>
      </c>
      <c r="E946" s="12">
        <f>CHOOSE( CONTROL!$C$32, 32.8598, 32.8561) * CHOOSE( CONTROL!$C$15, $D$11, 100%, $F$11)</f>
        <v>32.8598</v>
      </c>
      <c r="F946" s="4">
        <f>CHOOSE( CONTROL!$C$32, 33.5718, 33.5682) * CHOOSE(CONTROL!$C$15, $D$11, 100%, $F$11)</f>
        <v>33.571800000000003</v>
      </c>
      <c r="G946" s="8">
        <f>CHOOSE( CONTROL!$C$32, 32.4506, 32.447) * CHOOSE( CONTROL!$C$15, $D$11, 100%, $F$11)</f>
        <v>32.450600000000001</v>
      </c>
      <c r="H946" s="4">
        <f>CHOOSE( CONTROL!$C$32, 33.4253, 33.4217) * CHOOSE(CONTROL!$C$15, $D$11, 100%, $F$11)</f>
        <v>33.4253</v>
      </c>
      <c r="I946" s="8">
        <f>CHOOSE( CONTROL!$C$32, 32.0081, 32.0046) * CHOOSE(CONTROL!$C$15, $D$11, 100%, $F$11)</f>
        <v>32.008099999999999</v>
      </c>
      <c r="J946" s="4">
        <f>CHOOSE( CONTROL!$C$32, 31.8496, 31.846) * CHOOSE(CONTROL!$C$15, $D$11, 100%, $F$11)</f>
        <v>31.849599999999999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34.2408, 34.2372) * CHOOSE(CONTROL!$C$15, $D$11, 100%, $F$11)</f>
        <v>34.2408</v>
      </c>
      <c r="C947" s="8">
        <f>CHOOSE( CONTROL!$C$32, 34.2488, 34.2452) * CHOOSE(CONTROL!$C$15, $D$11, 100%, $F$11)</f>
        <v>34.248800000000003</v>
      </c>
      <c r="D947" s="8">
        <f>CHOOSE( CONTROL!$C$32, 34.287, 34.2834) * CHOOSE( CONTROL!$C$15, $D$11, 100%, $F$11)</f>
        <v>34.286999999999999</v>
      </c>
      <c r="E947" s="12">
        <f>CHOOSE( CONTROL!$C$32, 34.2719, 34.2683) * CHOOSE( CONTROL!$C$15, $D$11, 100%, $F$11)</f>
        <v>34.271900000000002</v>
      </c>
      <c r="F947" s="4">
        <f>CHOOSE( CONTROL!$C$32, 34.9838, 34.9802) * CHOOSE(CONTROL!$C$15, $D$11, 100%, $F$11)</f>
        <v>34.983800000000002</v>
      </c>
      <c r="G947" s="8">
        <f>CHOOSE( CONTROL!$C$32, 33.8464, 33.8428) * CHOOSE( CONTROL!$C$15, $D$11, 100%, $F$11)</f>
        <v>33.846400000000003</v>
      </c>
      <c r="H947" s="4">
        <f>CHOOSE( CONTROL!$C$32, 34.8208, 34.8172) * CHOOSE(CONTROL!$C$15, $D$11, 100%, $F$11)</f>
        <v>34.820799999999998</v>
      </c>
      <c r="I947" s="8">
        <f>CHOOSE( CONTROL!$C$32, 33.3802, 33.3767) * CHOOSE(CONTROL!$C$15, $D$11, 100%, $F$11)</f>
        <v>33.380200000000002</v>
      </c>
      <c r="J947" s="4">
        <f>CHOOSE( CONTROL!$C$32, 33.2199, 33.2164) * CHOOSE(CONTROL!$C$15, $D$11, 100%, $F$11)</f>
        <v>33.219900000000003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31.5988, 31.5952) * CHOOSE(CONTROL!$C$15, $D$11, 100%, $F$11)</f>
        <v>31.598800000000001</v>
      </c>
      <c r="C948" s="8">
        <f>CHOOSE( CONTROL!$C$32, 31.6068, 31.6032) * CHOOSE(CONTROL!$C$15, $D$11, 100%, $F$11)</f>
        <v>31.6068</v>
      </c>
      <c r="D948" s="8">
        <f>CHOOSE( CONTROL!$C$32, 31.6451, 31.6414) * CHOOSE( CONTROL!$C$15, $D$11, 100%, $F$11)</f>
        <v>31.645099999999999</v>
      </c>
      <c r="E948" s="12">
        <f>CHOOSE( CONTROL!$C$32, 31.63, 31.6263) * CHOOSE( CONTROL!$C$15, $D$11, 100%, $F$11)</f>
        <v>31.63</v>
      </c>
      <c r="F948" s="4">
        <f>CHOOSE( CONTROL!$C$32, 32.3418, 32.3382) * CHOOSE(CONTROL!$C$15, $D$11, 100%, $F$11)</f>
        <v>32.341799999999999</v>
      </c>
      <c r="G948" s="8">
        <f>CHOOSE( CONTROL!$C$32, 31.2355, 31.2319) * CHOOSE( CONTROL!$C$15, $D$11, 100%, $F$11)</f>
        <v>31.235499999999998</v>
      </c>
      <c r="H948" s="4">
        <f>CHOOSE( CONTROL!$C$32, 32.2097, 32.2061) * CHOOSE(CONTROL!$C$15, $D$11, 100%, $F$11)</f>
        <v>32.209699999999998</v>
      </c>
      <c r="I948" s="8">
        <f>CHOOSE( CONTROL!$C$32, 30.8152, 30.8117) * CHOOSE(CONTROL!$C$15, $D$11, 100%, $F$11)</f>
        <v>30.815200000000001</v>
      </c>
      <c r="J948" s="4">
        <f>CHOOSE( CONTROL!$C$32, 30.6558, 30.6523) * CHOOSE(CONTROL!$C$15, $D$11, 100%, $F$11)</f>
        <v>30.655799999999999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30.9372, 30.9336) * CHOOSE(CONTROL!$C$15, $D$11, 100%, $F$11)</f>
        <v>30.937200000000001</v>
      </c>
      <c r="C949" s="8">
        <f>CHOOSE( CONTROL!$C$32, 30.9452, 30.9416) * CHOOSE(CONTROL!$C$15, $D$11, 100%, $F$11)</f>
        <v>30.9452</v>
      </c>
      <c r="D949" s="8">
        <f>CHOOSE( CONTROL!$C$32, 30.9834, 30.9798) * CHOOSE( CONTROL!$C$15, $D$11, 100%, $F$11)</f>
        <v>30.9834</v>
      </c>
      <c r="E949" s="12">
        <f>CHOOSE( CONTROL!$C$32, 30.9683, 30.9647) * CHOOSE( CONTROL!$C$15, $D$11, 100%, $F$11)</f>
        <v>30.968299999999999</v>
      </c>
      <c r="F949" s="4">
        <f>CHOOSE( CONTROL!$C$32, 31.6802, 31.6766) * CHOOSE(CONTROL!$C$15, $D$11, 100%, $F$11)</f>
        <v>31.680199999999999</v>
      </c>
      <c r="G949" s="8">
        <f>CHOOSE( CONTROL!$C$32, 30.5815, 30.5779) * CHOOSE( CONTROL!$C$15, $D$11, 100%, $F$11)</f>
        <v>30.581499999999998</v>
      </c>
      <c r="H949" s="4">
        <f>CHOOSE( CONTROL!$C$32, 31.5559, 31.5523) * CHOOSE(CONTROL!$C$15, $D$11, 100%, $F$11)</f>
        <v>31.555900000000001</v>
      </c>
      <c r="I949" s="8">
        <f>CHOOSE( CONTROL!$C$32, 30.1724, 30.1689) * CHOOSE(CONTROL!$C$15, $D$11, 100%, $F$11)</f>
        <v>30.1724</v>
      </c>
      <c r="J949" s="4">
        <f>CHOOSE( CONTROL!$C$32, 30.0138, 30.0102) * CHOOSE(CONTROL!$C$15, $D$11, 100%, $F$11)</f>
        <v>30.0138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32.3056 * CHOOSE(CONTROL!$C$15, $D$11, 100%, $F$11)</f>
        <v>32.305599999999998</v>
      </c>
      <c r="C950" s="8">
        <f>32.3109 * CHOOSE(CONTROL!$C$15, $D$11, 100%, $F$11)</f>
        <v>32.310899999999997</v>
      </c>
      <c r="D950" s="8">
        <f>32.3544 * CHOOSE( CONTROL!$C$15, $D$11, 100%, $F$11)</f>
        <v>32.354399999999998</v>
      </c>
      <c r="E950" s="12">
        <f>32.3395 * CHOOSE( CONTROL!$C$15, $D$11, 100%, $F$11)</f>
        <v>32.339500000000001</v>
      </c>
      <c r="F950" s="4">
        <f>33.0503 * CHOOSE(CONTROL!$C$15, $D$11, 100%, $F$11)</f>
        <v>33.0503</v>
      </c>
      <c r="G950" s="8">
        <f>31.935 * CHOOSE( CONTROL!$C$15, $D$11, 100%, $F$11)</f>
        <v>31.934999999999999</v>
      </c>
      <c r="H950" s="4">
        <f>32.9099 * CHOOSE(CONTROL!$C$15, $D$11, 100%, $F$11)</f>
        <v>32.9099</v>
      </c>
      <c r="I950" s="8">
        <f>31.5035 * CHOOSE(CONTROL!$C$15, $D$11, 100%, $F$11)</f>
        <v>31.503499999999999</v>
      </c>
      <c r="J950" s="4">
        <f>31.3434 * CHOOSE(CONTROL!$C$15, $D$11, 100%, $F$11)</f>
        <v>31.343399999999999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34.8407 * CHOOSE(CONTROL!$C$15, $D$11, 100%, $F$11)</f>
        <v>34.840699999999998</v>
      </c>
      <c r="C951" s="8">
        <f>34.8458 * CHOOSE(CONTROL!$C$15, $D$11, 100%, $F$11)</f>
        <v>34.845799999999997</v>
      </c>
      <c r="D951" s="8">
        <f>34.8294 * CHOOSE( CONTROL!$C$15, $D$11, 100%, $F$11)</f>
        <v>34.8294</v>
      </c>
      <c r="E951" s="12">
        <f>34.8349 * CHOOSE( CONTROL!$C$15, $D$11, 100%, $F$11)</f>
        <v>34.834899999999998</v>
      </c>
      <c r="F951" s="4">
        <f>35.506 * CHOOSE(CONTROL!$C$15, $D$11, 100%, $F$11)</f>
        <v>35.506</v>
      </c>
      <c r="G951" s="8">
        <f>34.4414 * CHOOSE( CONTROL!$C$15, $D$11, 100%, $F$11)</f>
        <v>34.441400000000002</v>
      </c>
      <c r="H951" s="4">
        <f>35.3368 * CHOOSE(CONTROL!$C$15, $D$11, 100%, $F$11)</f>
        <v>35.336799999999997</v>
      </c>
      <c r="I951" s="8">
        <f>33.9655 * CHOOSE(CONTROL!$C$15, $D$11, 100%, $F$11)</f>
        <v>33.965499999999999</v>
      </c>
      <c r="J951" s="4">
        <f>33.8041 * CHOOSE(CONTROL!$C$15, $D$11, 100%, $F$11)</f>
        <v>33.804099999999998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34.7773 * CHOOSE(CONTROL!$C$15, $D$11, 100%, $F$11)</f>
        <v>34.777299999999997</v>
      </c>
      <c r="C952" s="8">
        <f>34.7824 * CHOOSE(CONTROL!$C$15, $D$11, 100%, $F$11)</f>
        <v>34.782400000000003</v>
      </c>
      <c r="D952" s="8">
        <f>34.7678 * CHOOSE( CONTROL!$C$15, $D$11, 100%, $F$11)</f>
        <v>34.767800000000001</v>
      </c>
      <c r="E952" s="12">
        <f>34.7726 * CHOOSE( CONTROL!$C$15, $D$11, 100%, $F$11)</f>
        <v>34.772599999999997</v>
      </c>
      <c r="F952" s="4">
        <f>35.4426 * CHOOSE(CONTROL!$C$15, $D$11, 100%, $F$11)</f>
        <v>35.442599999999999</v>
      </c>
      <c r="G952" s="8">
        <f>34.3801 * CHOOSE( CONTROL!$C$15, $D$11, 100%, $F$11)</f>
        <v>34.380099999999999</v>
      </c>
      <c r="H952" s="4">
        <f>35.2742 * CHOOSE(CONTROL!$C$15, $D$11, 100%, $F$11)</f>
        <v>35.2742</v>
      </c>
      <c r="I952" s="8">
        <f>33.9094 * CHOOSE(CONTROL!$C$15, $D$11, 100%, $F$11)</f>
        <v>33.909399999999998</v>
      </c>
      <c r="J952" s="4">
        <f>33.7427 * CHOOSE(CONTROL!$C$15, $D$11, 100%, $F$11)</f>
        <v>33.742699999999999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35.8029 * CHOOSE(CONTROL!$C$15, $D$11, 100%, $F$11)</f>
        <v>35.802900000000001</v>
      </c>
      <c r="C953" s="8">
        <f>35.808 * CHOOSE(CONTROL!$C$15, $D$11, 100%, $F$11)</f>
        <v>35.808</v>
      </c>
      <c r="D953" s="8">
        <f>35.7791 * CHOOSE( CONTROL!$C$15, $D$11, 100%, $F$11)</f>
        <v>35.7791</v>
      </c>
      <c r="E953" s="12">
        <f>35.7891 * CHOOSE( CONTROL!$C$15, $D$11, 100%, $F$11)</f>
        <v>35.789099999999998</v>
      </c>
      <c r="F953" s="4">
        <f>36.4682 * CHOOSE(CONTROL!$C$15, $D$11, 100%, $F$11)</f>
        <v>36.468200000000003</v>
      </c>
      <c r="G953" s="8">
        <f>35.3833 * CHOOSE( CONTROL!$C$15, $D$11, 100%, $F$11)</f>
        <v>35.383299999999998</v>
      </c>
      <c r="H953" s="4">
        <f>36.2878 * CHOOSE(CONTROL!$C$15, $D$11, 100%, $F$11)</f>
        <v>36.287799999999997</v>
      </c>
      <c r="I953" s="8">
        <f>34.8998 * CHOOSE(CONTROL!$C$15, $D$11, 100%, $F$11)</f>
        <v>34.899799999999999</v>
      </c>
      <c r="J953" s="4">
        <f>34.738 * CHOOSE(CONTROL!$C$15, $D$11, 100%, $F$11)</f>
        <v>34.738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33.4889 * CHOOSE(CONTROL!$C$15, $D$11, 100%, $F$11)</f>
        <v>33.488900000000001</v>
      </c>
      <c r="C954" s="8">
        <f>33.494 * CHOOSE(CONTROL!$C$15, $D$11, 100%, $F$11)</f>
        <v>33.494</v>
      </c>
      <c r="D954" s="8">
        <f>33.4651 * CHOOSE( CONTROL!$C$15, $D$11, 100%, $F$11)</f>
        <v>33.4651</v>
      </c>
      <c r="E954" s="12">
        <f>33.4751 * CHOOSE( CONTROL!$C$15, $D$11, 100%, $F$11)</f>
        <v>33.475099999999998</v>
      </c>
      <c r="F954" s="4">
        <f>34.1542 * CHOOSE(CONTROL!$C$15, $D$11, 100%, $F$11)</f>
        <v>34.154200000000003</v>
      </c>
      <c r="G954" s="8">
        <f>33.0964 * CHOOSE( CONTROL!$C$15, $D$11, 100%, $F$11)</f>
        <v>33.096400000000003</v>
      </c>
      <c r="H954" s="4">
        <f>34.0008 * CHOOSE(CONTROL!$C$15, $D$11, 100%, $F$11)</f>
        <v>34.000799999999998</v>
      </c>
      <c r="I954" s="8">
        <f>32.6529 * CHOOSE(CONTROL!$C$15, $D$11, 100%, $F$11)</f>
        <v>32.652900000000002</v>
      </c>
      <c r="J954" s="4">
        <f>32.4922 * CHOOSE(CONTROL!$C$15, $D$11, 100%, $F$11)</f>
        <v>32.492199999999997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32.7762 * CHOOSE(CONTROL!$C$15, $D$11, 100%, $F$11)</f>
        <v>32.776200000000003</v>
      </c>
      <c r="C955" s="8">
        <f>32.7813 * CHOOSE(CONTROL!$C$15, $D$11, 100%, $F$11)</f>
        <v>32.781300000000002</v>
      </c>
      <c r="D955" s="8">
        <f>32.752 * CHOOSE( CONTROL!$C$15, $D$11, 100%, $F$11)</f>
        <v>32.752000000000002</v>
      </c>
      <c r="E955" s="12">
        <f>32.7622 * CHOOSE( CONTROL!$C$15, $D$11, 100%, $F$11)</f>
        <v>32.7622</v>
      </c>
      <c r="F955" s="4">
        <f>33.4415 * CHOOSE(CONTROL!$C$15, $D$11, 100%, $F$11)</f>
        <v>33.441499999999998</v>
      </c>
      <c r="G955" s="8">
        <f>32.3918 * CHOOSE( CONTROL!$C$15, $D$11, 100%, $F$11)</f>
        <v>32.391800000000003</v>
      </c>
      <c r="H955" s="4">
        <f>33.2965 * CHOOSE(CONTROL!$C$15, $D$11, 100%, $F$11)</f>
        <v>33.296500000000002</v>
      </c>
      <c r="I955" s="8">
        <f>31.9597 * CHOOSE(CONTROL!$C$15, $D$11, 100%, $F$11)</f>
        <v>31.959700000000002</v>
      </c>
      <c r="J955" s="4">
        <f>31.8005 * CHOOSE(CONTROL!$C$15, $D$11, 100%, $F$11)</f>
        <v>31.8005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33.275 * CHOOSE(CONTROL!$C$15, $D$11, 100%, $F$11)</f>
        <v>33.274999999999999</v>
      </c>
      <c r="C956" s="8">
        <f>33.2795 * CHOOSE(CONTROL!$C$15, $D$11, 100%, $F$11)</f>
        <v>33.279499999999999</v>
      </c>
      <c r="D956" s="8">
        <f>33.3229 * CHOOSE( CONTROL!$C$15, $D$11, 100%, $F$11)</f>
        <v>33.322899999999997</v>
      </c>
      <c r="E956" s="12">
        <f>33.3081 * CHOOSE( CONTROL!$C$15, $D$11, 100%, $F$11)</f>
        <v>33.308100000000003</v>
      </c>
      <c r="F956" s="4">
        <f>34.0193 * CHOOSE(CONTROL!$C$15, $D$11, 100%, $F$11)</f>
        <v>34.019300000000001</v>
      </c>
      <c r="G956" s="8">
        <f>32.8917 * CHOOSE( CONTROL!$C$15, $D$11, 100%, $F$11)</f>
        <v>32.8917</v>
      </c>
      <c r="H956" s="4">
        <f>33.8676 * CHOOSE(CONTROL!$C$15, $D$11, 100%, $F$11)</f>
        <v>33.867600000000003</v>
      </c>
      <c r="I956" s="8">
        <f>32.4414 * CHOOSE(CONTROL!$C$15, $D$11, 100%, $F$11)</f>
        <v>32.441400000000002</v>
      </c>
      <c r="J956" s="4">
        <f>32.2839 * CHOOSE(CONTROL!$C$15, $D$11, 100%, $F$11)</f>
        <v>32.283900000000003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34.1663, 34.1627) * CHOOSE(CONTROL!$C$15, $D$11, 100%, $F$11)</f>
        <v>34.1663</v>
      </c>
      <c r="C957" s="8">
        <f>CHOOSE( CONTROL!$C$32, 34.1743, 34.1707) * CHOOSE(CONTROL!$C$15, $D$11, 100%, $F$11)</f>
        <v>34.174300000000002</v>
      </c>
      <c r="D957" s="8">
        <f>CHOOSE( CONTROL!$C$32, 34.2121, 34.2084) * CHOOSE( CONTROL!$C$15, $D$11, 100%, $F$11)</f>
        <v>34.2121</v>
      </c>
      <c r="E957" s="12">
        <f>CHOOSE( CONTROL!$C$32, 34.1972, 34.1935) * CHOOSE( CONTROL!$C$15, $D$11, 100%, $F$11)</f>
        <v>34.197200000000002</v>
      </c>
      <c r="F957" s="4">
        <f>CHOOSE( CONTROL!$C$32, 34.9094, 34.9057) * CHOOSE(CONTROL!$C$15, $D$11, 100%, $F$11)</f>
        <v>34.909399999999998</v>
      </c>
      <c r="G957" s="8">
        <f>CHOOSE( CONTROL!$C$32, 33.7721, 33.7685) * CHOOSE( CONTROL!$C$15, $D$11, 100%, $F$11)</f>
        <v>33.772100000000002</v>
      </c>
      <c r="H957" s="4">
        <f>CHOOSE( CONTROL!$C$32, 34.7472, 34.7436) * CHOOSE(CONTROL!$C$15, $D$11, 100%, $F$11)</f>
        <v>34.747199999999999</v>
      </c>
      <c r="I957" s="8">
        <f>CHOOSE( CONTROL!$C$32, 33.3058, 33.3022) * CHOOSE(CONTROL!$C$15, $D$11, 100%, $F$11)</f>
        <v>33.305799999999998</v>
      </c>
      <c r="J957" s="4">
        <f>CHOOSE( CONTROL!$C$32, 33.1476, 33.1441) * CHOOSE(CONTROL!$C$15, $D$11, 100%, $F$11)</f>
        <v>33.147599999999997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33.6173, 33.6136) * CHOOSE(CONTROL!$C$15, $D$11, 100%, $F$11)</f>
        <v>33.6173</v>
      </c>
      <c r="C958" s="8">
        <f>CHOOSE( CONTROL!$C$32, 33.6252, 33.6216) * CHOOSE(CONTROL!$C$15, $D$11, 100%, $F$11)</f>
        <v>33.6252</v>
      </c>
      <c r="D958" s="8">
        <f>CHOOSE( CONTROL!$C$32, 33.6632, 33.6596) * CHOOSE( CONTROL!$C$15, $D$11, 100%, $F$11)</f>
        <v>33.663200000000003</v>
      </c>
      <c r="E958" s="12">
        <f>CHOOSE( CONTROL!$C$32, 33.6482, 33.6446) * CHOOSE( CONTROL!$C$15, $D$11, 100%, $F$11)</f>
        <v>33.648200000000003</v>
      </c>
      <c r="F958" s="4">
        <f>CHOOSE( CONTROL!$C$32, 34.3603, 34.3566) * CHOOSE(CONTROL!$C$15, $D$11, 100%, $F$11)</f>
        <v>34.360300000000002</v>
      </c>
      <c r="G958" s="8">
        <f>CHOOSE( CONTROL!$C$32, 33.2298, 33.2262) * CHOOSE( CONTROL!$C$15, $D$11, 100%, $F$11)</f>
        <v>33.229799999999997</v>
      </c>
      <c r="H958" s="4">
        <f>CHOOSE( CONTROL!$C$32, 34.2045, 34.2009) * CHOOSE(CONTROL!$C$15, $D$11, 100%, $F$11)</f>
        <v>34.204500000000003</v>
      </c>
      <c r="I958" s="8">
        <f>CHOOSE( CONTROL!$C$32, 32.7737, 32.7701) * CHOOSE(CONTROL!$C$15, $D$11, 100%, $F$11)</f>
        <v>32.773699999999998</v>
      </c>
      <c r="J958" s="4">
        <f>CHOOSE( CONTROL!$C$32, 32.6147, 32.6112) * CHOOSE(CONTROL!$C$15, $D$11, 100%, $F$11)</f>
        <v>32.614699999999999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35.0632, 35.0596) * CHOOSE(CONTROL!$C$15, $D$11, 100%, $F$11)</f>
        <v>35.063200000000002</v>
      </c>
      <c r="C959" s="8">
        <f>CHOOSE( CONTROL!$C$32, 35.0712, 35.0675) * CHOOSE(CONTROL!$C$15, $D$11, 100%, $F$11)</f>
        <v>35.071199999999997</v>
      </c>
      <c r="D959" s="8">
        <f>CHOOSE( CONTROL!$C$32, 35.1094, 35.1057) * CHOOSE( CONTROL!$C$15, $D$11, 100%, $F$11)</f>
        <v>35.109400000000001</v>
      </c>
      <c r="E959" s="12">
        <f>CHOOSE( CONTROL!$C$32, 35.0943, 35.0907) * CHOOSE( CONTROL!$C$15, $D$11, 100%, $F$11)</f>
        <v>35.094299999999997</v>
      </c>
      <c r="F959" s="4">
        <f>CHOOSE( CONTROL!$C$32, 35.8062, 35.8026) * CHOOSE(CONTROL!$C$15, $D$11, 100%, $F$11)</f>
        <v>35.806199999999997</v>
      </c>
      <c r="G959" s="8">
        <f>CHOOSE( CONTROL!$C$32, 34.6592, 34.6556) * CHOOSE( CONTROL!$C$15, $D$11, 100%, $F$11)</f>
        <v>34.659199999999998</v>
      </c>
      <c r="H959" s="4">
        <f>CHOOSE( CONTROL!$C$32, 35.6335, 35.6299) * CHOOSE(CONTROL!$C$15, $D$11, 100%, $F$11)</f>
        <v>35.633499999999998</v>
      </c>
      <c r="I959" s="8">
        <f>CHOOSE( CONTROL!$C$32, 34.1787, 34.1752) * CHOOSE(CONTROL!$C$15, $D$11, 100%, $F$11)</f>
        <v>34.178699999999999</v>
      </c>
      <c r="J959" s="4">
        <f>CHOOSE( CONTROL!$C$32, 34.018, 34.0145) * CHOOSE(CONTROL!$C$15, $D$11, 100%, $F$11)</f>
        <v>34.018000000000001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32.3577, 32.3541) * CHOOSE(CONTROL!$C$15, $D$11, 100%, $F$11)</f>
        <v>32.357700000000001</v>
      </c>
      <c r="C960" s="8">
        <f>CHOOSE( CONTROL!$C$32, 32.3657, 32.362) * CHOOSE(CONTROL!$C$15, $D$11, 100%, $F$11)</f>
        <v>32.365699999999997</v>
      </c>
      <c r="D960" s="8">
        <f>CHOOSE( CONTROL!$C$32, 32.404, 32.4003) * CHOOSE( CONTROL!$C$15, $D$11, 100%, $F$11)</f>
        <v>32.404000000000003</v>
      </c>
      <c r="E960" s="12">
        <f>CHOOSE( CONTROL!$C$32, 32.3889, 32.3852) * CHOOSE( CONTROL!$C$15, $D$11, 100%, $F$11)</f>
        <v>32.3889</v>
      </c>
      <c r="F960" s="4">
        <f>CHOOSE( CONTROL!$C$32, 33.1007, 33.0971) * CHOOSE(CONTROL!$C$15, $D$11, 100%, $F$11)</f>
        <v>33.100700000000003</v>
      </c>
      <c r="G960" s="8">
        <f>CHOOSE( CONTROL!$C$32, 31.9855, 31.9819) * CHOOSE( CONTROL!$C$15, $D$11, 100%, $F$11)</f>
        <v>31.985499999999998</v>
      </c>
      <c r="H960" s="4">
        <f>CHOOSE( CONTROL!$C$32, 32.9597, 32.9561) * CHOOSE(CONTROL!$C$15, $D$11, 100%, $F$11)</f>
        <v>32.959699999999998</v>
      </c>
      <c r="I960" s="8">
        <f>CHOOSE( CONTROL!$C$32, 31.5521, 31.5485) * CHOOSE(CONTROL!$C$15, $D$11, 100%, $F$11)</f>
        <v>31.552099999999999</v>
      </c>
      <c r="J960" s="4">
        <f>CHOOSE( CONTROL!$C$32, 31.3923, 31.3888) * CHOOSE(CONTROL!$C$15, $D$11, 100%, $F$11)</f>
        <v>31.392299999999999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31.6802, 31.6766) * CHOOSE(CONTROL!$C$15, $D$11, 100%, $F$11)</f>
        <v>31.680199999999999</v>
      </c>
      <c r="C961" s="8">
        <f>CHOOSE( CONTROL!$C$32, 31.6882, 31.6846) * CHOOSE(CONTROL!$C$15, $D$11, 100%, $F$11)</f>
        <v>31.688199999999998</v>
      </c>
      <c r="D961" s="8">
        <f>CHOOSE( CONTROL!$C$32, 31.7264, 31.7227) * CHOOSE( CONTROL!$C$15, $D$11, 100%, $F$11)</f>
        <v>31.726400000000002</v>
      </c>
      <c r="E961" s="12">
        <f>CHOOSE( CONTROL!$C$32, 31.7113, 31.7077) * CHOOSE( CONTROL!$C$15, $D$11, 100%, $F$11)</f>
        <v>31.711300000000001</v>
      </c>
      <c r="F961" s="4">
        <f>CHOOSE( CONTROL!$C$32, 32.4232, 32.4196) * CHOOSE(CONTROL!$C$15, $D$11, 100%, $F$11)</f>
        <v>32.423200000000001</v>
      </c>
      <c r="G961" s="8">
        <f>CHOOSE( CONTROL!$C$32, 31.3158, 31.3122) * CHOOSE( CONTROL!$C$15, $D$11, 100%, $F$11)</f>
        <v>31.315799999999999</v>
      </c>
      <c r="H961" s="4">
        <f>CHOOSE( CONTROL!$C$32, 32.2902, 32.2866) * CHOOSE(CONTROL!$C$15, $D$11, 100%, $F$11)</f>
        <v>32.290199999999999</v>
      </c>
      <c r="I961" s="8">
        <f>CHOOSE( CONTROL!$C$32, 30.8939, 30.8903) * CHOOSE(CONTROL!$C$15, $D$11, 100%, $F$11)</f>
        <v>30.893899999999999</v>
      </c>
      <c r="J961" s="4">
        <f>CHOOSE( CONTROL!$C$32, 30.7348, 30.7313) * CHOOSE(CONTROL!$C$15, $D$11, 100%, $F$11)</f>
        <v>30.7348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33.0816 * CHOOSE(CONTROL!$C$15, $D$11, 100%, $F$11)</f>
        <v>33.081600000000002</v>
      </c>
      <c r="C962" s="8">
        <f>33.0869 * CHOOSE(CONTROL!$C$15, $D$11, 100%, $F$11)</f>
        <v>33.0869</v>
      </c>
      <c r="D962" s="8">
        <f>33.1304 * CHOOSE( CONTROL!$C$15, $D$11, 100%, $F$11)</f>
        <v>33.130400000000002</v>
      </c>
      <c r="E962" s="12">
        <f>33.1155 * CHOOSE( CONTROL!$C$15, $D$11, 100%, $F$11)</f>
        <v>33.115499999999997</v>
      </c>
      <c r="F962" s="4">
        <f>33.8263 * CHOOSE(CONTROL!$C$15, $D$11, 100%, $F$11)</f>
        <v>33.826300000000003</v>
      </c>
      <c r="G962" s="8">
        <f>32.7019 * CHOOSE( CONTROL!$C$15, $D$11, 100%, $F$11)</f>
        <v>32.701900000000002</v>
      </c>
      <c r="H962" s="4">
        <f>33.6768 * CHOOSE(CONTROL!$C$15, $D$11, 100%, $F$11)</f>
        <v>33.6768</v>
      </c>
      <c r="I962" s="8">
        <f>32.2569 * CHOOSE(CONTROL!$C$15, $D$11, 100%, $F$11)</f>
        <v>32.256900000000002</v>
      </c>
      <c r="J962" s="4">
        <f>32.0965 * CHOOSE(CONTROL!$C$15, $D$11, 100%, $F$11)</f>
        <v>32.096499999999999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35.6776 * CHOOSE(CONTROL!$C$15, $D$11, 100%, $F$11)</f>
        <v>35.677599999999998</v>
      </c>
      <c r="C963" s="8">
        <f>35.6827 * CHOOSE(CONTROL!$C$15, $D$11, 100%, $F$11)</f>
        <v>35.682699999999997</v>
      </c>
      <c r="D963" s="8">
        <f>35.6663 * CHOOSE( CONTROL!$C$15, $D$11, 100%, $F$11)</f>
        <v>35.6663</v>
      </c>
      <c r="E963" s="12">
        <f>35.6718 * CHOOSE( CONTROL!$C$15, $D$11, 100%, $F$11)</f>
        <v>35.671799999999998</v>
      </c>
      <c r="F963" s="4">
        <f>36.3429 * CHOOSE(CONTROL!$C$15, $D$11, 100%, $F$11)</f>
        <v>36.3429</v>
      </c>
      <c r="G963" s="8">
        <f>35.2685 * CHOOSE( CONTROL!$C$15, $D$11, 100%, $F$11)</f>
        <v>35.268500000000003</v>
      </c>
      <c r="H963" s="4">
        <f>36.1639 * CHOOSE(CONTROL!$C$15, $D$11, 100%, $F$11)</f>
        <v>36.163899999999998</v>
      </c>
      <c r="I963" s="8">
        <f>34.7782 * CHOOSE(CONTROL!$C$15, $D$11, 100%, $F$11)</f>
        <v>34.778199999999998</v>
      </c>
      <c r="J963" s="4">
        <f>34.6164 * CHOOSE(CONTROL!$C$15, $D$11, 100%, $F$11)</f>
        <v>34.616399999999999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35.6127 * CHOOSE(CONTROL!$C$15, $D$11, 100%, $F$11)</f>
        <v>35.612699999999997</v>
      </c>
      <c r="C964" s="8">
        <f>35.6178 * CHOOSE(CONTROL!$C$15, $D$11, 100%, $F$11)</f>
        <v>35.617800000000003</v>
      </c>
      <c r="D964" s="8">
        <f>35.6032 * CHOOSE( CONTROL!$C$15, $D$11, 100%, $F$11)</f>
        <v>35.603200000000001</v>
      </c>
      <c r="E964" s="12">
        <f>35.608 * CHOOSE( CONTROL!$C$15, $D$11, 100%, $F$11)</f>
        <v>35.607999999999997</v>
      </c>
      <c r="F964" s="4">
        <f>36.278 * CHOOSE(CONTROL!$C$15, $D$11, 100%, $F$11)</f>
        <v>36.277999999999999</v>
      </c>
      <c r="G964" s="8">
        <f>35.2057 * CHOOSE( CONTROL!$C$15, $D$11, 100%, $F$11)</f>
        <v>35.2057</v>
      </c>
      <c r="H964" s="4">
        <f>36.0998 * CHOOSE(CONTROL!$C$15, $D$11, 100%, $F$11)</f>
        <v>36.099800000000002</v>
      </c>
      <c r="I964" s="8">
        <f>34.7206 * CHOOSE(CONTROL!$C$15, $D$11, 100%, $F$11)</f>
        <v>34.720599999999997</v>
      </c>
      <c r="J964" s="4">
        <f>34.5534 * CHOOSE(CONTROL!$C$15, $D$11, 100%, $F$11)</f>
        <v>34.553400000000003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36.6629 * CHOOSE(CONTROL!$C$15, $D$11, 100%, $F$11)</f>
        <v>36.6629</v>
      </c>
      <c r="C965" s="8">
        <f>36.668 * CHOOSE(CONTROL!$C$15, $D$11, 100%, $F$11)</f>
        <v>36.667999999999999</v>
      </c>
      <c r="D965" s="8">
        <f>36.6391 * CHOOSE( CONTROL!$C$15, $D$11, 100%, $F$11)</f>
        <v>36.639099999999999</v>
      </c>
      <c r="E965" s="12">
        <f>36.6491 * CHOOSE( CONTROL!$C$15, $D$11, 100%, $F$11)</f>
        <v>36.649099999999997</v>
      </c>
      <c r="F965" s="4">
        <f>37.3282 * CHOOSE(CONTROL!$C$15, $D$11, 100%, $F$11)</f>
        <v>37.328200000000002</v>
      </c>
      <c r="G965" s="8">
        <f>36.2333 * CHOOSE( CONTROL!$C$15, $D$11, 100%, $F$11)</f>
        <v>36.2333</v>
      </c>
      <c r="H965" s="4">
        <f>37.1377 * CHOOSE(CONTROL!$C$15, $D$11, 100%, $F$11)</f>
        <v>37.137700000000002</v>
      </c>
      <c r="I965" s="8">
        <f>35.7349 * CHOOSE(CONTROL!$C$15, $D$11, 100%, $F$11)</f>
        <v>35.734900000000003</v>
      </c>
      <c r="J965" s="4">
        <f>35.5726 * CHOOSE(CONTROL!$C$15, $D$11, 100%, $F$11)</f>
        <v>35.572600000000001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34.2933 * CHOOSE(CONTROL!$C$15, $D$11, 100%, $F$11)</f>
        <v>34.293300000000002</v>
      </c>
      <c r="C966" s="8">
        <f>34.2984 * CHOOSE(CONTROL!$C$15, $D$11, 100%, $F$11)</f>
        <v>34.298400000000001</v>
      </c>
      <c r="D966" s="8">
        <f>34.2695 * CHOOSE( CONTROL!$C$15, $D$11, 100%, $F$11)</f>
        <v>34.269500000000001</v>
      </c>
      <c r="E966" s="12">
        <f>34.2795 * CHOOSE( CONTROL!$C$15, $D$11, 100%, $F$11)</f>
        <v>34.279499999999999</v>
      </c>
      <c r="F966" s="4">
        <f>34.9586 * CHOOSE(CONTROL!$C$15, $D$11, 100%, $F$11)</f>
        <v>34.958599999999997</v>
      </c>
      <c r="G966" s="8">
        <f>33.8914 * CHOOSE( CONTROL!$C$15, $D$11, 100%, $F$11)</f>
        <v>33.891399999999997</v>
      </c>
      <c r="H966" s="4">
        <f>34.7959 * CHOOSE(CONTROL!$C$15, $D$11, 100%, $F$11)</f>
        <v>34.795900000000003</v>
      </c>
      <c r="I966" s="8">
        <f>33.434 * CHOOSE(CONTROL!$C$15, $D$11, 100%, $F$11)</f>
        <v>33.433999999999997</v>
      </c>
      <c r="J966" s="4">
        <f>33.2729 * CHOOSE(CONTROL!$C$15, $D$11, 100%, $F$11)</f>
        <v>33.2729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33.5635 * CHOOSE(CONTROL!$C$15, $D$11, 100%, $F$11)</f>
        <v>33.563499999999998</v>
      </c>
      <c r="C967" s="8">
        <f>33.5686 * CHOOSE(CONTROL!$C$15, $D$11, 100%, $F$11)</f>
        <v>33.568600000000004</v>
      </c>
      <c r="D967" s="8">
        <f>33.5393 * CHOOSE( CONTROL!$C$15, $D$11, 100%, $F$11)</f>
        <v>33.539299999999997</v>
      </c>
      <c r="E967" s="12">
        <f>33.5495 * CHOOSE( CONTROL!$C$15, $D$11, 100%, $F$11)</f>
        <v>33.549500000000002</v>
      </c>
      <c r="F967" s="4">
        <f>34.2288 * CHOOSE(CONTROL!$C$15, $D$11, 100%, $F$11)</f>
        <v>34.2288</v>
      </c>
      <c r="G967" s="8">
        <f>33.1698 * CHOOSE( CONTROL!$C$15, $D$11, 100%, $F$11)</f>
        <v>33.169800000000002</v>
      </c>
      <c r="H967" s="4">
        <f>34.0746 * CHOOSE(CONTROL!$C$15, $D$11, 100%, $F$11)</f>
        <v>34.074599999999997</v>
      </c>
      <c r="I967" s="8">
        <f>32.7241 * CHOOSE(CONTROL!$C$15, $D$11, 100%, $F$11)</f>
        <v>32.7241</v>
      </c>
      <c r="J967" s="4">
        <f>32.5646 * CHOOSE(CONTROL!$C$15, $D$11, 100%, $F$11)</f>
        <v>32.564599999999999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34.0742 * CHOOSE(CONTROL!$C$15, $D$11, 100%, $F$11)</f>
        <v>34.074199999999998</v>
      </c>
      <c r="C968" s="8">
        <f>34.0788 * CHOOSE(CONTROL!$C$15, $D$11, 100%, $F$11)</f>
        <v>34.078800000000001</v>
      </c>
      <c r="D968" s="8">
        <f>34.1221 * CHOOSE( CONTROL!$C$15, $D$11, 100%, $F$11)</f>
        <v>34.122100000000003</v>
      </c>
      <c r="E968" s="12">
        <f>34.1073 * CHOOSE( CONTROL!$C$15, $D$11, 100%, $F$11)</f>
        <v>34.107300000000002</v>
      </c>
      <c r="F968" s="4">
        <f>34.8186 * CHOOSE(CONTROL!$C$15, $D$11, 100%, $F$11)</f>
        <v>34.818600000000004</v>
      </c>
      <c r="G968" s="8">
        <f>33.6817 * CHOOSE( CONTROL!$C$15, $D$11, 100%, $F$11)</f>
        <v>33.681699999999999</v>
      </c>
      <c r="H968" s="4">
        <f>34.6575 * CHOOSE(CONTROL!$C$15, $D$11, 100%, $F$11)</f>
        <v>34.657499999999999</v>
      </c>
      <c r="I968" s="8">
        <f>33.2175 * CHOOSE(CONTROL!$C$15, $D$11, 100%, $F$11)</f>
        <v>33.217500000000001</v>
      </c>
      <c r="J968" s="4">
        <f>33.0596 * CHOOSE(CONTROL!$C$15, $D$11, 100%, $F$11)</f>
        <v>33.059600000000003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34.9869, 34.9833) * CHOOSE(CONTROL!$C$15, $D$11, 100%, $F$11)</f>
        <v>34.986899999999999</v>
      </c>
      <c r="C969" s="8">
        <f>CHOOSE( CONTROL!$C$32, 34.9949, 34.9913) * CHOOSE(CONTROL!$C$15, $D$11, 100%, $F$11)</f>
        <v>34.994900000000001</v>
      </c>
      <c r="D969" s="8">
        <f>CHOOSE( CONTROL!$C$32, 35.0326, 35.029) * CHOOSE( CONTROL!$C$15, $D$11, 100%, $F$11)</f>
        <v>35.032600000000002</v>
      </c>
      <c r="E969" s="12">
        <f>CHOOSE( CONTROL!$C$32, 35.0177, 35.0141) * CHOOSE( CONTROL!$C$15, $D$11, 100%, $F$11)</f>
        <v>35.017699999999998</v>
      </c>
      <c r="F969" s="4">
        <f>CHOOSE( CONTROL!$C$32, 35.7299, 35.7263) * CHOOSE(CONTROL!$C$15, $D$11, 100%, $F$11)</f>
        <v>35.729900000000001</v>
      </c>
      <c r="G969" s="8">
        <f>CHOOSE( CONTROL!$C$32, 34.5831, 34.5795) * CHOOSE( CONTROL!$C$15, $D$11, 100%, $F$11)</f>
        <v>34.583100000000002</v>
      </c>
      <c r="H969" s="4">
        <f>CHOOSE( CONTROL!$C$32, 35.5581, 35.5545) * CHOOSE(CONTROL!$C$15, $D$11, 100%, $F$11)</f>
        <v>35.558100000000003</v>
      </c>
      <c r="I969" s="8">
        <f>CHOOSE( CONTROL!$C$32, 34.1025, 34.099) * CHOOSE(CONTROL!$C$15, $D$11, 100%, $F$11)</f>
        <v>34.102499999999999</v>
      </c>
      <c r="J969" s="4">
        <f>CHOOSE( CONTROL!$C$32, 33.944, 33.9405) * CHOOSE(CONTROL!$C$15, $D$11, 100%, $F$11)</f>
        <v>33.944000000000003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34.4247, 34.421) * CHOOSE(CONTROL!$C$15, $D$11, 100%, $F$11)</f>
        <v>34.424700000000001</v>
      </c>
      <c r="C970" s="8">
        <f>CHOOSE( CONTROL!$C$32, 34.4326, 34.429) * CHOOSE(CONTROL!$C$15, $D$11, 100%, $F$11)</f>
        <v>34.432600000000001</v>
      </c>
      <c r="D970" s="8">
        <f>CHOOSE( CONTROL!$C$32, 34.4706, 34.4669) * CHOOSE( CONTROL!$C$15, $D$11, 100%, $F$11)</f>
        <v>34.470599999999997</v>
      </c>
      <c r="E970" s="12">
        <f>CHOOSE( CONTROL!$C$32, 34.4556, 34.4519) * CHOOSE( CONTROL!$C$15, $D$11, 100%, $F$11)</f>
        <v>34.455599999999997</v>
      </c>
      <c r="F970" s="4">
        <f>CHOOSE( CONTROL!$C$32, 35.1677, 35.164) * CHOOSE(CONTROL!$C$15, $D$11, 100%, $F$11)</f>
        <v>35.167700000000004</v>
      </c>
      <c r="G970" s="8">
        <f>CHOOSE( CONTROL!$C$32, 34.0277, 34.0241) * CHOOSE( CONTROL!$C$15, $D$11, 100%, $F$11)</f>
        <v>34.027700000000003</v>
      </c>
      <c r="H970" s="4">
        <f>CHOOSE( CONTROL!$C$32, 35.0025, 34.9989) * CHOOSE(CONTROL!$C$15, $D$11, 100%, $F$11)</f>
        <v>35.002499999999998</v>
      </c>
      <c r="I970" s="8">
        <f>CHOOSE( CONTROL!$C$32, 33.5576, 33.5541) * CHOOSE(CONTROL!$C$15, $D$11, 100%, $F$11)</f>
        <v>33.557600000000001</v>
      </c>
      <c r="J970" s="4">
        <f>CHOOSE( CONTROL!$C$32, 33.3983, 33.3948) * CHOOSE(CONTROL!$C$15, $D$11, 100%, $F$11)</f>
        <v>33.398299999999999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35.9053, 35.9017) * CHOOSE(CONTROL!$C$15, $D$11, 100%, $F$11)</f>
        <v>35.905299999999997</v>
      </c>
      <c r="C971" s="8">
        <f>CHOOSE( CONTROL!$C$32, 35.9133, 35.9097) * CHOOSE(CONTROL!$C$15, $D$11, 100%, $F$11)</f>
        <v>35.9133</v>
      </c>
      <c r="D971" s="8">
        <f>CHOOSE( CONTROL!$C$32, 35.9515, 35.9479) * CHOOSE( CONTROL!$C$15, $D$11, 100%, $F$11)</f>
        <v>35.951500000000003</v>
      </c>
      <c r="E971" s="12">
        <f>CHOOSE( CONTROL!$C$32, 35.9364, 35.9328) * CHOOSE( CONTROL!$C$15, $D$11, 100%, $F$11)</f>
        <v>35.936399999999999</v>
      </c>
      <c r="F971" s="4">
        <f>CHOOSE( CONTROL!$C$32, 36.6483, 36.6447) * CHOOSE(CONTROL!$C$15, $D$11, 100%, $F$11)</f>
        <v>36.648299999999999</v>
      </c>
      <c r="G971" s="8">
        <f>CHOOSE( CONTROL!$C$32, 35.4914, 35.4878) * CHOOSE( CONTROL!$C$15, $D$11, 100%, $F$11)</f>
        <v>35.491399999999999</v>
      </c>
      <c r="H971" s="4">
        <f>CHOOSE( CONTROL!$C$32, 36.4658, 36.4622) * CHOOSE(CONTROL!$C$15, $D$11, 100%, $F$11)</f>
        <v>36.465800000000002</v>
      </c>
      <c r="I971" s="8">
        <f>CHOOSE( CONTROL!$C$32, 34.9964, 34.9929) * CHOOSE(CONTROL!$C$15, $D$11, 100%, $F$11)</f>
        <v>34.996400000000001</v>
      </c>
      <c r="J971" s="4">
        <f>CHOOSE( CONTROL!$C$32, 34.8353, 34.8318) * CHOOSE(CONTROL!$C$15, $D$11, 100%, $F$11)</f>
        <v>34.835299999999997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33.1348, 33.1312) * CHOOSE(CONTROL!$C$15, $D$11, 100%, $F$11)</f>
        <v>33.134799999999998</v>
      </c>
      <c r="C972" s="8">
        <f>CHOOSE( CONTROL!$C$32, 33.1428, 33.1392) * CHOOSE(CONTROL!$C$15, $D$11, 100%, $F$11)</f>
        <v>33.142800000000001</v>
      </c>
      <c r="D972" s="8">
        <f>CHOOSE( CONTROL!$C$32, 33.1811, 33.1774) * CHOOSE( CONTROL!$C$15, $D$11, 100%, $F$11)</f>
        <v>33.181100000000001</v>
      </c>
      <c r="E972" s="12">
        <f>CHOOSE( CONTROL!$C$32, 33.166, 33.1623) * CHOOSE( CONTROL!$C$15, $D$11, 100%, $F$11)</f>
        <v>33.165999999999997</v>
      </c>
      <c r="F972" s="4">
        <f>CHOOSE( CONTROL!$C$32, 33.8778, 33.8742) * CHOOSE(CONTROL!$C$15, $D$11, 100%, $F$11)</f>
        <v>33.877800000000001</v>
      </c>
      <c r="G972" s="8">
        <f>CHOOSE( CONTROL!$C$32, 32.7535, 32.7499) * CHOOSE( CONTROL!$C$15, $D$11, 100%, $F$11)</f>
        <v>32.753500000000003</v>
      </c>
      <c r="H972" s="4">
        <f>CHOOSE( CONTROL!$C$32, 33.7277, 33.7241) * CHOOSE(CONTROL!$C$15, $D$11, 100%, $F$11)</f>
        <v>33.727699999999999</v>
      </c>
      <c r="I972" s="8">
        <f>CHOOSE( CONTROL!$C$32, 32.3066, 32.3031) * CHOOSE(CONTROL!$C$15, $D$11, 100%, $F$11)</f>
        <v>32.306600000000003</v>
      </c>
      <c r="J972" s="4">
        <f>CHOOSE( CONTROL!$C$32, 32.1465, 32.143) * CHOOSE(CONTROL!$C$15, $D$11, 100%, $F$11)</f>
        <v>32.146500000000003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32.4411, 32.4374) * CHOOSE(CONTROL!$C$15, $D$11, 100%, $F$11)</f>
        <v>32.441099999999999</v>
      </c>
      <c r="C973" s="8">
        <f>CHOOSE( CONTROL!$C$32, 32.449, 32.4454) * CHOOSE(CONTROL!$C$15, $D$11, 100%, $F$11)</f>
        <v>32.448999999999998</v>
      </c>
      <c r="D973" s="8">
        <f>CHOOSE( CONTROL!$C$32, 32.4872, 32.4836) * CHOOSE( CONTROL!$C$15, $D$11, 100%, $F$11)</f>
        <v>32.487200000000001</v>
      </c>
      <c r="E973" s="12">
        <f>CHOOSE( CONTROL!$C$32, 32.4722, 32.4685) * CHOOSE( CONTROL!$C$15, $D$11, 100%, $F$11)</f>
        <v>32.472200000000001</v>
      </c>
      <c r="F973" s="4">
        <f>CHOOSE( CONTROL!$C$32, 33.1841, 33.1804) * CHOOSE(CONTROL!$C$15, $D$11, 100%, $F$11)</f>
        <v>33.184100000000001</v>
      </c>
      <c r="G973" s="8">
        <f>CHOOSE( CONTROL!$C$32, 32.0677, 32.0641) * CHOOSE( CONTROL!$C$15, $D$11, 100%, $F$11)</f>
        <v>32.067700000000002</v>
      </c>
      <c r="H973" s="4">
        <f>CHOOSE( CONTROL!$C$32, 33.0421, 33.0385) * CHOOSE(CONTROL!$C$15, $D$11, 100%, $F$11)</f>
        <v>33.042099999999998</v>
      </c>
      <c r="I973" s="8">
        <f>CHOOSE( CONTROL!$C$32, 31.6326, 31.6291) * CHOOSE(CONTROL!$C$15, $D$11, 100%, $F$11)</f>
        <v>31.6326</v>
      </c>
      <c r="J973" s="4">
        <f>CHOOSE( CONTROL!$C$32, 31.4732, 31.4697) * CHOOSE(CONTROL!$C$15, $D$11, 100%, $F$11)</f>
        <v>31.473199999999999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33.8762 * CHOOSE(CONTROL!$C$15, $D$11, 100%, $F$11)</f>
        <v>33.876199999999997</v>
      </c>
      <c r="C974" s="8">
        <f>33.8815 * CHOOSE(CONTROL!$C$15, $D$11, 100%, $F$11)</f>
        <v>33.881500000000003</v>
      </c>
      <c r="D974" s="8">
        <f>33.925 * CHOOSE( CONTROL!$C$15, $D$11, 100%, $F$11)</f>
        <v>33.924999999999997</v>
      </c>
      <c r="E974" s="12">
        <f>33.9101 * CHOOSE( CONTROL!$C$15, $D$11, 100%, $F$11)</f>
        <v>33.9101</v>
      </c>
      <c r="F974" s="4">
        <f>34.6209 * CHOOSE(CONTROL!$C$15, $D$11, 100%, $F$11)</f>
        <v>34.620899999999999</v>
      </c>
      <c r="G974" s="8">
        <f>33.4872 * CHOOSE( CONTROL!$C$15, $D$11, 100%, $F$11)</f>
        <v>33.487200000000001</v>
      </c>
      <c r="H974" s="4">
        <f>34.4621 * CHOOSE(CONTROL!$C$15, $D$11, 100%, $F$11)</f>
        <v>34.4621</v>
      </c>
      <c r="I974" s="8">
        <f>33.0285 * CHOOSE(CONTROL!$C$15, $D$11, 100%, $F$11)</f>
        <v>33.028500000000001</v>
      </c>
      <c r="J974" s="4">
        <f>32.8677 * CHOOSE(CONTROL!$C$15, $D$11, 100%, $F$11)</f>
        <v>32.867699999999999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36.5346 * CHOOSE(CONTROL!$C$15, $D$11, 100%, $F$11)</f>
        <v>36.534599999999998</v>
      </c>
      <c r="C975" s="8">
        <f>36.5397 * CHOOSE(CONTROL!$C$15, $D$11, 100%, $F$11)</f>
        <v>36.539700000000003</v>
      </c>
      <c r="D975" s="8">
        <f>36.5234 * CHOOSE( CONTROL!$C$15, $D$11, 100%, $F$11)</f>
        <v>36.523400000000002</v>
      </c>
      <c r="E975" s="12">
        <f>36.5288 * CHOOSE( CONTROL!$C$15, $D$11, 100%, $F$11)</f>
        <v>36.528799999999997</v>
      </c>
      <c r="F975" s="4">
        <f>37.1999 * CHOOSE(CONTROL!$C$15, $D$11, 100%, $F$11)</f>
        <v>37.1999</v>
      </c>
      <c r="G975" s="8">
        <f>36.1155 * CHOOSE( CONTROL!$C$15, $D$11, 100%, $F$11)</f>
        <v>36.115499999999997</v>
      </c>
      <c r="H975" s="4">
        <f>37.0109 * CHOOSE(CONTROL!$C$15, $D$11, 100%, $F$11)</f>
        <v>37.010899999999999</v>
      </c>
      <c r="I975" s="8">
        <f>35.6103 * CHOOSE(CONTROL!$C$15, $D$11, 100%, $F$11)</f>
        <v>35.610300000000002</v>
      </c>
      <c r="J975" s="4">
        <f>35.4481 * CHOOSE(CONTROL!$C$15, $D$11, 100%, $F$11)</f>
        <v>35.448099999999997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36.4682 * CHOOSE(CONTROL!$C$15, $D$11, 100%, $F$11)</f>
        <v>36.468200000000003</v>
      </c>
      <c r="C976" s="8">
        <f>36.4733 * CHOOSE(CONTROL!$C$15, $D$11, 100%, $F$11)</f>
        <v>36.473300000000002</v>
      </c>
      <c r="D976" s="8">
        <f>36.4587 * CHOOSE( CONTROL!$C$15, $D$11, 100%, $F$11)</f>
        <v>36.4587</v>
      </c>
      <c r="E976" s="12">
        <f>36.4635 * CHOOSE( CONTROL!$C$15, $D$11, 100%, $F$11)</f>
        <v>36.463500000000003</v>
      </c>
      <c r="F976" s="4">
        <f>37.1335 * CHOOSE(CONTROL!$C$15, $D$11, 100%, $F$11)</f>
        <v>37.133499999999998</v>
      </c>
      <c r="G976" s="8">
        <f>36.0511 * CHOOSE( CONTROL!$C$15, $D$11, 100%, $F$11)</f>
        <v>36.051099999999998</v>
      </c>
      <c r="H976" s="4">
        <f>36.9453 * CHOOSE(CONTROL!$C$15, $D$11, 100%, $F$11)</f>
        <v>36.945300000000003</v>
      </c>
      <c r="I976" s="8">
        <f>35.5512 * CHOOSE(CONTROL!$C$15, $D$11, 100%, $F$11)</f>
        <v>35.551200000000001</v>
      </c>
      <c r="J976" s="4">
        <f>35.3836 * CHOOSE(CONTROL!$C$15, $D$11, 100%, $F$11)</f>
        <v>35.383600000000001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37.5436 * CHOOSE(CONTROL!$C$15, $D$11, 100%, $F$11)</f>
        <v>37.543599999999998</v>
      </c>
      <c r="C977" s="8">
        <f>37.5487 * CHOOSE(CONTROL!$C$15, $D$11, 100%, $F$11)</f>
        <v>37.548699999999997</v>
      </c>
      <c r="D977" s="8">
        <f>37.5198 * CHOOSE( CONTROL!$C$15, $D$11, 100%, $F$11)</f>
        <v>37.519799999999996</v>
      </c>
      <c r="E977" s="12">
        <f>37.5298 * CHOOSE( CONTROL!$C$15, $D$11, 100%, $F$11)</f>
        <v>37.529800000000002</v>
      </c>
      <c r="F977" s="4">
        <f>38.2089 * CHOOSE(CONTROL!$C$15, $D$11, 100%, $F$11)</f>
        <v>38.2089</v>
      </c>
      <c r="G977" s="8">
        <f>37.1037 * CHOOSE( CONTROL!$C$15, $D$11, 100%, $F$11)</f>
        <v>37.103700000000003</v>
      </c>
      <c r="H977" s="4">
        <f>38.0081 * CHOOSE(CONTROL!$C$15, $D$11, 100%, $F$11)</f>
        <v>38.008099999999999</v>
      </c>
      <c r="I977" s="8">
        <f>36.5901 * CHOOSE(CONTROL!$C$15, $D$11, 100%, $F$11)</f>
        <v>36.5901</v>
      </c>
      <c r="J977" s="4">
        <f>36.4273 * CHOOSE(CONTROL!$C$15, $D$11, 100%, $F$11)</f>
        <v>36.427300000000002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35.1171 * CHOOSE(CONTROL!$C$15, $D$11, 100%, $F$11)</f>
        <v>35.117100000000001</v>
      </c>
      <c r="C978" s="8">
        <f>35.1222 * CHOOSE(CONTROL!$C$15, $D$11, 100%, $F$11)</f>
        <v>35.122199999999999</v>
      </c>
      <c r="D978" s="8">
        <f>35.0933 * CHOOSE( CONTROL!$C$15, $D$11, 100%, $F$11)</f>
        <v>35.093299999999999</v>
      </c>
      <c r="E978" s="12">
        <f>35.1033 * CHOOSE( CONTROL!$C$15, $D$11, 100%, $F$11)</f>
        <v>35.103299999999997</v>
      </c>
      <c r="F978" s="4">
        <f>35.7824 * CHOOSE(CONTROL!$C$15, $D$11, 100%, $F$11)</f>
        <v>35.782400000000003</v>
      </c>
      <c r="G978" s="8">
        <f>34.7055 * CHOOSE( CONTROL!$C$15, $D$11, 100%, $F$11)</f>
        <v>34.705500000000001</v>
      </c>
      <c r="H978" s="4">
        <f>35.61 * CHOOSE(CONTROL!$C$15, $D$11, 100%, $F$11)</f>
        <v>35.61</v>
      </c>
      <c r="I978" s="8">
        <f>34.2339 * CHOOSE(CONTROL!$C$15, $D$11, 100%, $F$11)</f>
        <v>34.233899999999998</v>
      </c>
      <c r="J978" s="4">
        <f>34.0724 * CHOOSE(CONTROL!$C$15, $D$11, 100%, $F$11)</f>
        <v>34.072400000000002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34.3697 * CHOOSE(CONTROL!$C$15, $D$11, 100%, $F$11)</f>
        <v>34.369700000000002</v>
      </c>
      <c r="C979" s="8">
        <f>34.3748 * CHOOSE(CONTROL!$C$15, $D$11, 100%, $F$11)</f>
        <v>34.3748</v>
      </c>
      <c r="D979" s="8">
        <f>34.3455 * CHOOSE( CONTROL!$C$15, $D$11, 100%, $F$11)</f>
        <v>34.345500000000001</v>
      </c>
      <c r="E979" s="12">
        <f>34.3557 * CHOOSE( CONTROL!$C$15, $D$11, 100%, $F$11)</f>
        <v>34.355699999999999</v>
      </c>
      <c r="F979" s="4">
        <f>35.035 * CHOOSE(CONTROL!$C$15, $D$11, 100%, $F$11)</f>
        <v>35.034999999999997</v>
      </c>
      <c r="G979" s="8">
        <f>33.9666 * CHOOSE( CONTROL!$C$15, $D$11, 100%, $F$11)</f>
        <v>33.9666</v>
      </c>
      <c r="H979" s="4">
        <f>34.8714 * CHOOSE(CONTROL!$C$15, $D$11, 100%, $F$11)</f>
        <v>34.871400000000001</v>
      </c>
      <c r="I979" s="8">
        <f>33.507 * CHOOSE(CONTROL!$C$15, $D$11, 100%, $F$11)</f>
        <v>33.506999999999998</v>
      </c>
      <c r="J979" s="4">
        <f>33.3471 * CHOOSE(CONTROL!$C$15, $D$11, 100%, $F$11)</f>
        <v>33.347099999999998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34.8927 * CHOOSE(CONTROL!$C$15, $D$11, 100%, $F$11)</f>
        <v>34.892699999999998</v>
      </c>
      <c r="C980" s="8">
        <f>34.8972 * CHOOSE(CONTROL!$C$15, $D$11, 100%, $F$11)</f>
        <v>34.897199999999998</v>
      </c>
      <c r="D980" s="8">
        <f>34.9406 * CHOOSE( CONTROL!$C$15, $D$11, 100%, $F$11)</f>
        <v>34.940600000000003</v>
      </c>
      <c r="E980" s="12">
        <f>34.9258 * CHOOSE( CONTROL!$C$15, $D$11, 100%, $F$11)</f>
        <v>34.925800000000002</v>
      </c>
      <c r="F980" s="4">
        <f>35.6371 * CHOOSE(CONTROL!$C$15, $D$11, 100%, $F$11)</f>
        <v>35.637099999999997</v>
      </c>
      <c r="G980" s="8">
        <f>34.4906 * CHOOSE( CONTROL!$C$15, $D$11, 100%, $F$11)</f>
        <v>34.490600000000001</v>
      </c>
      <c r="H980" s="4">
        <f>35.4664 * CHOOSE(CONTROL!$C$15, $D$11, 100%, $F$11)</f>
        <v>35.4664</v>
      </c>
      <c r="I980" s="8">
        <f>34.0122 * CHOOSE(CONTROL!$C$15, $D$11, 100%, $F$11)</f>
        <v>34.0122</v>
      </c>
      <c r="J980" s="4">
        <f>33.8539 * CHOOSE(CONTROL!$C$15, $D$11, 100%, $F$11)</f>
        <v>33.853900000000003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35.8272, 35.8236) * CHOOSE(CONTROL!$C$15, $D$11, 100%, $F$11)</f>
        <v>35.827199999999998</v>
      </c>
      <c r="C981" s="8">
        <f>CHOOSE( CONTROL!$C$32, 35.8352, 35.8315) * CHOOSE(CONTROL!$C$15, $D$11, 100%, $F$11)</f>
        <v>35.8352</v>
      </c>
      <c r="D981" s="8">
        <f>CHOOSE( CONTROL!$C$32, 35.8729, 35.8693) * CHOOSE( CONTROL!$C$15, $D$11, 100%, $F$11)</f>
        <v>35.872900000000001</v>
      </c>
      <c r="E981" s="12">
        <f>CHOOSE( CONTROL!$C$32, 35.858, 35.8544) * CHOOSE( CONTROL!$C$15, $D$11, 100%, $F$11)</f>
        <v>35.857999999999997</v>
      </c>
      <c r="F981" s="4">
        <f>CHOOSE( CONTROL!$C$32, 36.5702, 36.5666) * CHOOSE(CONTROL!$C$15, $D$11, 100%, $F$11)</f>
        <v>36.5702</v>
      </c>
      <c r="G981" s="8">
        <f>CHOOSE( CONTROL!$C$32, 35.4135, 35.4099) * CHOOSE( CONTROL!$C$15, $D$11, 100%, $F$11)</f>
        <v>35.413499999999999</v>
      </c>
      <c r="H981" s="4">
        <f>CHOOSE( CONTROL!$C$32, 36.3886, 36.385) * CHOOSE(CONTROL!$C$15, $D$11, 100%, $F$11)</f>
        <v>36.388599999999997</v>
      </c>
      <c r="I981" s="8">
        <f>CHOOSE( CONTROL!$C$32, 34.9184, 34.9149) * CHOOSE(CONTROL!$C$15, $D$11, 100%, $F$11)</f>
        <v>34.918399999999998</v>
      </c>
      <c r="J981" s="4">
        <f>CHOOSE( CONTROL!$C$32, 34.7595, 34.756) * CHOOSE(CONTROL!$C$15, $D$11, 100%, $F$11)</f>
        <v>34.759500000000003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35.2514, 35.2478) * CHOOSE(CONTROL!$C$15, $D$11, 100%, $F$11)</f>
        <v>35.251399999999997</v>
      </c>
      <c r="C982" s="8">
        <f>CHOOSE( CONTROL!$C$32, 35.2594, 35.2558) * CHOOSE(CONTROL!$C$15, $D$11, 100%, $F$11)</f>
        <v>35.259399999999999</v>
      </c>
      <c r="D982" s="8">
        <f>CHOOSE( CONTROL!$C$32, 35.2974, 35.2937) * CHOOSE( CONTROL!$C$15, $D$11, 100%, $F$11)</f>
        <v>35.297400000000003</v>
      </c>
      <c r="E982" s="12">
        <f>CHOOSE( CONTROL!$C$32, 35.2824, 35.2787) * CHOOSE( CONTROL!$C$15, $D$11, 100%, $F$11)</f>
        <v>35.282400000000003</v>
      </c>
      <c r="F982" s="4">
        <f>CHOOSE( CONTROL!$C$32, 35.9944, 35.9908) * CHOOSE(CONTROL!$C$15, $D$11, 100%, $F$11)</f>
        <v>35.994399999999999</v>
      </c>
      <c r="G982" s="8">
        <f>CHOOSE( CONTROL!$C$32, 34.8448, 34.8412) * CHOOSE( CONTROL!$C$15, $D$11, 100%, $F$11)</f>
        <v>34.844799999999999</v>
      </c>
      <c r="H982" s="4">
        <f>CHOOSE( CONTROL!$C$32, 35.8196, 35.816) * CHOOSE(CONTROL!$C$15, $D$11, 100%, $F$11)</f>
        <v>35.819600000000001</v>
      </c>
      <c r="I982" s="8">
        <f>CHOOSE( CONTROL!$C$32, 34.3604, 34.3569) * CHOOSE(CONTROL!$C$15, $D$11, 100%, $F$11)</f>
        <v>34.360399999999998</v>
      </c>
      <c r="J982" s="4">
        <f>CHOOSE( CONTROL!$C$32, 34.2007, 34.1972) * CHOOSE(CONTROL!$C$15, $D$11, 100%, $F$11)</f>
        <v>34.200699999999998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36.7677, 36.764) * CHOOSE(CONTROL!$C$15, $D$11, 100%, $F$11)</f>
        <v>36.767699999999998</v>
      </c>
      <c r="C983" s="8">
        <f>CHOOSE( CONTROL!$C$32, 36.7757, 36.772) * CHOOSE(CONTROL!$C$15, $D$11, 100%, $F$11)</f>
        <v>36.775700000000001</v>
      </c>
      <c r="D983" s="8">
        <f>CHOOSE( CONTROL!$C$32, 36.8139, 36.8102) * CHOOSE( CONTROL!$C$15, $D$11, 100%, $F$11)</f>
        <v>36.813899999999997</v>
      </c>
      <c r="E983" s="12">
        <f>CHOOSE( CONTROL!$C$32, 36.7988, 36.7951) * CHOOSE( CONTROL!$C$15, $D$11, 100%, $F$11)</f>
        <v>36.7988</v>
      </c>
      <c r="F983" s="4">
        <f>CHOOSE( CONTROL!$C$32, 37.5107, 37.507) * CHOOSE(CONTROL!$C$15, $D$11, 100%, $F$11)</f>
        <v>37.5107</v>
      </c>
      <c r="G983" s="8">
        <f>CHOOSE( CONTROL!$C$32, 36.3437, 36.3401) * CHOOSE( CONTROL!$C$15, $D$11, 100%, $F$11)</f>
        <v>36.343699999999998</v>
      </c>
      <c r="H983" s="4">
        <f>CHOOSE( CONTROL!$C$32, 37.318, 37.3144) * CHOOSE(CONTROL!$C$15, $D$11, 100%, $F$11)</f>
        <v>37.317999999999998</v>
      </c>
      <c r="I983" s="8">
        <f>CHOOSE( CONTROL!$C$32, 35.8338, 35.8302) * CHOOSE(CONTROL!$C$15, $D$11, 100%, $F$11)</f>
        <v>35.833799999999997</v>
      </c>
      <c r="J983" s="4">
        <f>CHOOSE( CONTROL!$C$32, 35.6722, 35.6687) * CHOOSE(CONTROL!$C$15, $D$11, 100%, $F$11)</f>
        <v>35.672199999999997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33.9306, 33.927) * CHOOSE(CONTROL!$C$15, $D$11, 100%, $F$11)</f>
        <v>33.930599999999998</v>
      </c>
      <c r="C984" s="8">
        <f>CHOOSE( CONTROL!$C$32, 33.9386, 33.935) * CHOOSE(CONTROL!$C$15, $D$11, 100%, $F$11)</f>
        <v>33.938600000000001</v>
      </c>
      <c r="D984" s="8">
        <f>CHOOSE( CONTROL!$C$32, 33.9769, 33.9732) * CHOOSE( CONTROL!$C$15, $D$11, 100%, $F$11)</f>
        <v>33.976900000000001</v>
      </c>
      <c r="E984" s="12">
        <f>CHOOSE( CONTROL!$C$32, 33.9618, 33.9581) * CHOOSE( CONTROL!$C$15, $D$11, 100%, $F$11)</f>
        <v>33.961799999999997</v>
      </c>
      <c r="F984" s="4">
        <f>CHOOSE( CONTROL!$C$32, 34.6736, 34.67) * CHOOSE(CONTROL!$C$15, $D$11, 100%, $F$11)</f>
        <v>34.6736</v>
      </c>
      <c r="G984" s="8">
        <f>CHOOSE( CONTROL!$C$32, 33.5399, 33.5363) * CHOOSE( CONTROL!$C$15, $D$11, 100%, $F$11)</f>
        <v>33.539900000000003</v>
      </c>
      <c r="H984" s="4">
        <f>CHOOSE( CONTROL!$C$32, 34.5142, 34.5106) * CHOOSE(CONTROL!$C$15, $D$11, 100%, $F$11)</f>
        <v>34.514200000000002</v>
      </c>
      <c r="I984" s="8">
        <f>CHOOSE( CONTROL!$C$32, 33.0793, 33.0758) * CHOOSE(CONTROL!$C$15, $D$11, 100%, $F$11)</f>
        <v>33.079300000000003</v>
      </c>
      <c r="J984" s="4">
        <f>CHOOSE( CONTROL!$C$32, 32.9189, 32.9153) * CHOOSE(CONTROL!$C$15, $D$11, 100%, $F$11)</f>
        <v>32.918900000000001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33.2202, 33.2165) * CHOOSE(CONTROL!$C$15, $D$11, 100%, $F$11)</f>
        <v>33.220199999999998</v>
      </c>
      <c r="C985" s="8">
        <f>CHOOSE( CONTROL!$C$32, 33.2282, 33.2245) * CHOOSE(CONTROL!$C$15, $D$11, 100%, $F$11)</f>
        <v>33.228200000000001</v>
      </c>
      <c r="D985" s="8">
        <f>CHOOSE( CONTROL!$C$32, 33.2663, 33.2627) * CHOOSE( CONTROL!$C$15, $D$11, 100%, $F$11)</f>
        <v>33.266300000000001</v>
      </c>
      <c r="E985" s="12">
        <f>CHOOSE( CONTROL!$C$32, 33.2513, 33.2476) * CHOOSE( CONTROL!$C$15, $D$11, 100%, $F$11)</f>
        <v>33.251300000000001</v>
      </c>
      <c r="F985" s="4">
        <f>CHOOSE( CONTROL!$C$32, 33.9632, 33.9596) * CHOOSE(CONTROL!$C$15, $D$11, 100%, $F$11)</f>
        <v>33.963200000000001</v>
      </c>
      <c r="G985" s="8">
        <f>CHOOSE( CONTROL!$C$32, 32.8377, 32.8341) * CHOOSE( CONTROL!$C$15, $D$11, 100%, $F$11)</f>
        <v>32.837699999999998</v>
      </c>
      <c r="H985" s="4">
        <f>CHOOSE( CONTROL!$C$32, 33.8121, 33.8085) * CHOOSE(CONTROL!$C$15, $D$11, 100%, $F$11)</f>
        <v>33.812100000000001</v>
      </c>
      <c r="I985" s="8">
        <f>CHOOSE( CONTROL!$C$32, 32.3891, 32.3856) * CHOOSE(CONTROL!$C$15, $D$11, 100%, $F$11)</f>
        <v>32.389099999999999</v>
      </c>
      <c r="J985" s="4">
        <f>CHOOSE( CONTROL!$C$32, 32.2294, 32.2258) * CHOOSE(CONTROL!$C$15, $D$11, 100%, $F$11)</f>
        <v>32.229399999999998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34.6899 * CHOOSE(CONTROL!$C$15, $D$11, 100%, $F$11)</f>
        <v>34.689900000000002</v>
      </c>
      <c r="C986" s="8">
        <f>34.6953 * CHOOSE(CONTROL!$C$15, $D$11, 100%, $F$11)</f>
        <v>34.695300000000003</v>
      </c>
      <c r="D986" s="8">
        <f>34.7388 * CHOOSE( CONTROL!$C$15, $D$11, 100%, $F$11)</f>
        <v>34.738799999999998</v>
      </c>
      <c r="E986" s="12">
        <f>34.7239 * CHOOSE( CONTROL!$C$15, $D$11, 100%, $F$11)</f>
        <v>34.7239</v>
      </c>
      <c r="F986" s="4">
        <f>35.4347 * CHOOSE(CONTROL!$C$15, $D$11, 100%, $F$11)</f>
        <v>35.434699999999999</v>
      </c>
      <c r="G986" s="8">
        <f>34.2914 * CHOOSE( CONTROL!$C$15, $D$11, 100%, $F$11)</f>
        <v>34.291400000000003</v>
      </c>
      <c r="H986" s="4">
        <f>35.2663 * CHOOSE(CONTROL!$C$15, $D$11, 100%, $F$11)</f>
        <v>35.266300000000001</v>
      </c>
      <c r="I986" s="8">
        <f>33.8186 * CHOOSE(CONTROL!$C$15, $D$11, 100%, $F$11)</f>
        <v>33.818600000000004</v>
      </c>
      <c r="J986" s="4">
        <f>33.6574 * CHOOSE(CONTROL!$C$15, $D$11, 100%, $F$11)</f>
        <v>33.657400000000003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37.4123 * CHOOSE(CONTROL!$C$15, $D$11, 100%, $F$11)</f>
        <v>37.412300000000002</v>
      </c>
      <c r="C987" s="8">
        <f>37.4173 * CHOOSE(CONTROL!$C$15, $D$11, 100%, $F$11)</f>
        <v>37.417299999999997</v>
      </c>
      <c r="D987" s="8">
        <f>37.401 * CHOOSE( CONTROL!$C$15, $D$11, 100%, $F$11)</f>
        <v>37.401000000000003</v>
      </c>
      <c r="E987" s="12">
        <f>37.4064 * CHOOSE( CONTROL!$C$15, $D$11, 100%, $F$11)</f>
        <v>37.406399999999998</v>
      </c>
      <c r="F987" s="4">
        <f>38.0775 * CHOOSE(CONTROL!$C$15, $D$11, 100%, $F$11)</f>
        <v>38.077500000000001</v>
      </c>
      <c r="G987" s="8">
        <f>36.9829 * CHOOSE( CONTROL!$C$15, $D$11, 100%, $F$11)</f>
        <v>36.982900000000001</v>
      </c>
      <c r="H987" s="4">
        <f>37.8783 * CHOOSE(CONTROL!$C$15, $D$11, 100%, $F$11)</f>
        <v>37.878300000000003</v>
      </c>
      <c r="I987" s="8">
        <f>36.4625 * CHOOSE(CONTROL!$C$15, $D$11, 100%, $F$11)</f>
        <v>36.462499999999999</v>
      </c>
      <c r="J987" s="4">
        <f>36.2998 * CHOOSE(CONTROL!$C$15, $D$11, 100%, $F$11)</f>
        <v>36.299799999999998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37.3442 * CHOOSE(CONTROL!$C$15, $D$11, 100%, $F$11)</f>
        <v>37.344200000000001</v>
      </c>
      <c r="C988" s="8">
        <f>37.3493 * CHOOSE(CONTROL!$C$15, $D$11, 100%, $F$11)</f>
        <v>37.349299999999999</v>
      </c>
      <c r="D988" s="8">
        <f>37.3347 * CHOOSE( CONTROL!$C$15, $D$11, 100%, $F$11)</f>
        <v>37.334699999999998</v>
      </c>
      <c r="E988" s="12">
        <f>37.3395 * CHOOSE( CONTROL!$C$15, $D$11, 100%, $F$11)</f>
        <v>37.339500000000001</v>
      </c>
      <c r="F988" s="4">
        <f>38.0095 * CHOOSE(CONTROL!$C$15, $D$11, 100%, $F$11)</f>
        <v>38.009500000000003</v>
      </c>
      <c r="G988" s="8">
        <f>36.9169 * CHOOSE( CONTROL!$C$15, $D$11, 100%, $F$11)</f>
        <v>36.916899999999998</v>
      </c>
      <c r="H988" s="4">
        <f>37.811 * CHOOSE(CONTROL!$C$15, $D$11, 100%, $F$11)</f>
        <v>37.811</v>
      </c>
      <c r="I988" s="8">
        <f>36.4018 * CHOOSE(CONTROL!$C$15, $D$11, 100%, $F$11)</f>
        <v>36.401800000000001</v>
      </c>
      <c r="J988" s="4">
        <f>36.2338 * CHOOSE(CONTROL!$C$15, $D$11, 100%, $F$11)</f>
        <v>36.233800000000002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38.4455 * CHOOSE(CONTROL!$C$15, $D$11, 100%, $F$11)</f>
        <v>38.445500000000003</v>
      </c>
      <c r="C989" s="8">
        <f>38.4506 * CHOOSE(CONTROL!$C$15, $D$11, 100%, $F$11)</f>
        <v>38.450600000000001</v>
      </c>
      <c r="D989" s="8">
        <f>38.4217 * CHOOSE( CONTROL!$C$15, $D$11, 100%, $F$11)</f>
        <v>38.421700000000001</v>
      </c>
      <c r="E989" s="12">
        <f>38.4317 * CHOOSE( CONTROL!$C$15, $D$11, 100%, $F$11)</f>
        <v>38.431699999999999</v>
      </c>
      <c r="F989" s="4">
        <f>39.1108 * CHOOSE(CONTROL!$C$15, $D$11, 100%, $F$11)</f>
        <v>39.110799999999998</v>
      </c>
      <c r="G989" s="8">
        <f>37.995 * CHOOSE( CONTROL!$C$15, $D$11, 100%, $F$11)</f>
        <v>37.994999999999997</v>
      </c>
      <c r="H989" s="4">
        <f>38.8994 * CHOOSE(CONTROL!$C$15, $D$11, 100%, $F$11)</f>
        <v>38.8994</v>
      </c>
      <c r="I989" s="8">
        <f>37.4658 * CHOOSE(CONTROL!$C$15, $D$11, 100%, $F$11)</f>
        <v>37.465800000000002</v>
      </c>
      <c r="J989" s="4">
        <f>37.3026 * CHOOSE(CONTROL!$C$15, $D$11, 100%, $F$11)</f>
        <v>37.302599999999998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35.9606 * CHOOSE(CONTROL!$C$15, $D$11, 100%, $F$11)</f>
        <v>35.960599999999999</v>
      </c>
      <c r="C990" s="8">
        <f>35.9657 * CHOOSE(CONTROL!$C$15, $D$11, 100%, $F$11)</f>
        <v>35.965699999999998</v>
      </c>
      <c r="D990" s="8">
        <f>35.9368 * CHOOSE( CONTROL!$C$15, $D$11, 100%, $F$11)</f>
        <v>35.936799999999998</v>
      </c>
      <c r="E990" s="12">
        <f>35.9468 * CHOOSE( CONTROL!$C$15, $D$11, 100%, $F$11)</f>
        <v>35.946800000000003</v>
      </c>
      <c r="F990" s="4">
        <f>36.6259 * CHOOSE(CONTROL!$C$15, $D$11, 100%, $F$11)</f>
        <v>36.625900000000001</v>
      </c>
      <c r="G990" s="8">
        <f>35.5392 * CHOOSE( CONTROL!$C$15, $D$11, 100%, $F$11)</f>
        <v>35.539200000000001</v>
      </c>
      <c r="H990" s="4">
        <f>36.4436 * CHOOSE(CONTROL!$C$15, $D$11, 100%, $F$11)</f>
        <v>36.443600000000004</v>
      </c>
      <c r="I990" s="8">
        <f>35.053 * CHOOSE(CONTROL!$C$15, $D$11, 100%, $F$11)</f>
        <v>35.052999999999997</v>
      </c>
      <c r="J990" s="4">
        <f>34.8911 * CHOOSE(CONTROL!$C$15, $D$11, 100%, $F$11)</f>
        <v>34.891100000000002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35.1953 * CHOOSE(CONTROL!$C$15, $D$11, 100%, $F$11)</f>
        <v>35.195300000000003</v>
      </c>
      <c r="C991" s="8">
        <f>35.2004 * CHOOSE(CONTROL!$C$15, $D$11, 100%, $F$11)</f>
        <v>35.200400000000002</v>
      </c>
      <c r="D991" s="8">
        <f>35.1711 * CHOOSE( CONTROL!$C$15, $D$11, 100%, $F$11)</f>
        <v>35.171100000000003</v>
      </c>
      <c r="E991" s="12">
        <f>35.1813 * CHOOSE( CONTROL!$C$15, $D$11, 100%, $F$11)</f>
        <v>35.1813</v>
      </c>
      <c r="F991" s="4">
        <f>35.8606 * CHOOSE(CONTROL!$C$15, $D$11, 100%, $F$11)</f>
        <v>35.860599999999998</v>
      </c>
      <c r="G991" s="8">
        <f>34.7826 * CHOOSE( CONTROL!$C$15, $D$11, 100%, $F$11)</f>
        <v>34.782600000000002</v>
      </c>
      <c r="H991" s="4">
        <f>35.6873 * CHOOSE(CONTROL!$C$15, $D$11, 100%, $F$11)</f>
        <v>35.6873</v>
      </c>
      <c r="I991" s="8">
        <f>34.3086 * CHOOSE(CONTROL!$C$15, $D$11, 100%, $F$11)</f>
        <v>34.308599999999998</v>
      </c>
      <c r="J991" s="4">
        <f>34.1483 * CHOOSE(CONTROL!$C$15, $D$11, 100%, $F$11)</f>
        <v>34.148299999999999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35.7309 * CHOOSE(CONTROL!$C$15, $D$11, 100%, $F$11)</f>
        <v>35.730899999999998</v>
      </c>
      <c r="C992" s="8">
        <f>35.7354 * CHOOSE(CONTROL!$C$15, $D$11, 100%, $F$11)</f>
        <v>35.735399999999998</v>
      </c>
      <c r="D992" s="8">
        <f>35.7788 * CHOOSE( CONTROL!$C$15, $D$11, 100%, $F$11)</f>
        <v>35.778799999999997</v>
      </c>
      <c r="E992" s="12">
        <f>35.764 * CHOOSE( CONTROL!$C$15, $D$11, 100%, $F$11)</f>
        <v>35.764000000000003</v>
      </c>
      <c r="F992" s="4">
        <f>36.4753 * CHOOSE(CONTROL!$C$15, $D$11, 100%, $F$11)</f>
        <v>36.475299999999997</v>
      </c>
      <c r="G992" s="8">
        <f>35.3189 * CHOOSE( CONTROL!$C$15, $D$11, 100%, $F$11)</f>
        <v>35.318899999999999</v>
      </c>
      <c r="H992" s="4">
        <f>36.2947 * CHOOSE(CONTROL!$C$15, $D$11, 100%, $F$11)</f>
        <v>36.294699999999999</v>
      </c>
      <c r="I992" s="8">
        <f>34.8261 * CHOOSE(CONTROL!$C$15, $D$11, 100%, $F$11)</f>
        <v>34.826099999999997</v>
      </c>
      <c r="J992" s="4">
        <f>34.6673 * CHOOSE(CONTROL!$C$15, $D$11, 100%, $F$11)</f>
        <v>34.667299999999997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36.6877, 36.6841) * CHOOSE(CONTROL!$C$15, $D$11, 100%, $F$11)</f>
        <v>36.6877</v>
      </c>
      <c r="C993" s="8">
        <f>CHOOSE( CONTROL!$C$32, 36.6957, 36.692) * CHOOSE(CONTROL!$C$15, $D$11, 100%, $F$11)</f>
        <v>36.695700000000002</v>
      </c>
      <c r="D993" s="8">
        <f>CHOOSE( CONTROL!$C$32, 36.7334, 36.7298) * CHOOSE( CONTROL!$C$15, $D$11, 100%, $F$11)</f>
        <v>36.733400000000003</v>
      </c>
      <c r="E993" s="12">
        <f>CHOOSE( CONTROL!$C$32, 36.7185, 36.7149) * CHOOSE( CONTROL!$C$15, $D$11, 100%, $F$11)</f>
        <v>36.718499999999999</v>
      </c>
      <c r="F993" s="4">
        <f>CHOOSE( CONTROL!$C$32, 37.4307, 37.4271) * CHOOSE(CONTROL!$C$15, $D$11, 100%, $F$11)</f>
        <v>37.430700000000002</v>
      </c>
      <c r="G993" s="8">
        <f>CHOOSE( CONTROL!$C$32, 36.264, 36.2604) * CHOOSE( CONTROL!$C$15, $D$11, 100%, $F$11)</f>
        <v>36.264000000000003</v>
      </c>
      <c r="H993" s="4">
        <f>CHOOSE( CONTROL!$C$32, 37.239, 37.2354) * CHOOSE(CONTROL!$C$15, $D$11, 100%, $F$11)</f>
        <v>37.238999999999997</v>
      </c>
      <c r="I993" s="8">
        <f>CHOOSE( CONTROL!$C$32, 35.754, 35.7504) * CHOOSE(CONTROL!$C$15, $D$11, 100%, $F$11)</f>
        <v>35.753999999999998</v>
      </c>
      <c r="J993" s="4">
        <f>CHOOSE( CONTROL!$C$32, 35.5946, 35.5911) * CHOOSE(CONTROL!$C$15, $D$11, 100%, $F$11)</f>
        <v>35.5946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36.0981, 36.0944) * CHOOSE(CONTROL!$C$15, $D$11, 100%, $F$11)</f>
        <v>36.098100000000002</v>
      </c>
      <c r="C994" s="8">
        <f>CHOOSE( CONTROL!$C$32, 36.1061, 36.1024) * CHOOSE(CONTROL!$C$15, $D$11, 100%, $F$11)</f>
        <v>36.106099999999998</v>
      </c>
      <c r="D994" s="8">
        <f>CHOOSE( CONTROL!$C$32, 36.144, 36.1404) * CHOOSE( CONTROL!$C$15, $D$11, 100%, $F$11)</f>
        <v>36.143999999999998</v>
      </c>
      <c r="E994" s="12">
        <f>CHOOSE( CONTROL!$C$32, 36.129, 36.1254) * CHOOSE( CONTROL!$C$15, $D$11, 100%, $F$11)</f>
        <v>36.128999999999998</v>
      </c>
      <c r="F994" s="4">
        <f>CHOOSE( CONTROL!$C$32, 36.8411, 36.8374) * CHOOSE(CONTROL!$C$15, $D$11, 100%, $F$11)</f>
        <v>36.841099999999997</v>
      </c>
      <c r="G994" s="8">
        <f>CHOOSE( CONTROL!$C$32, 35.6816, 35.678) * CHOOSE( CONTROL!$C$15, $D$11, 100%, $F$11)</f>
        <v>35.681600000000003</v>
      </c>
      <c r="H994" s="4">
        <f>CHOOSE( CONTROL!$C$32, 36.6563, 36.6527) * CHOOSE(CONTROL!$C$15, $D$11, 100%, $F$11)</f>
        <v>36.656300000000002</v>
      </c>
      <c r="I994" s="8">
        <f>CHOOSE( CONTROL!$C$32, 35.1825, 35.1789) * CHOOSE(CONTROL!$C$15, $D$11, 100%, $F$11)</f>
        <v>35.182499999999997</v>
      </c>
      <c r="J994" s="4">
        <f>CHOOSE( CONTROL!$C$32, 35.0224, 35.0188) * CHOOSE(CONTROL!$C$15, $D$11, 100%, $F$11)</f>
        <v>35.022399999999998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37.6508, 37.6471) * CHOOSE(CONTROL!$C$15, $D$11, 100%, $F$11)</f>
        <v>37.650799999999997</v>
      </c>
      <c r="C995" s="8">
        <f>CHOOSE( CONTROL!$C$32, 37.6587, 37.6551) * CHOOSE(CONTROL!$C$15, $D$11, 100%, $F$11)</f>
        <v>37.658700000000003</v>
      </c>
      <c r="D995" s="8">
        <f>CHOOSE( CONTROL!$C$32, 37.6969, 37.6933) * CHOOSE( CONTROL!$C$15, $D$11, 100%, $F$11)</f>
        <v>37.696899999999999</v>
      </c>
      <c r="E995" s="12">
        <f>CHOOSE( CONTROL!$C$32, 37.6819, 37.6782) * CHOOSE( CONTROL!$C$15, $D$11, 100%, $F$11)</f>
        <v>37.681899999999999</v>
      </c>
      <c r="F995" s="4">
        <f>CHOOSE( CONTROL!$C$32, 38.3938, 38.3901) * CHOOSE(CONTROL!$C$15, $D$11, 100%, $F$11)</f>
        <v>38.393799999999999</v>
      </c>
      <c r="G995" s="8">
        <f>CHOOSE( CONTROL!$C$32, 37.2164, 37.2128) * CHOOSE( CONTROL!$C$15, $D$11, 100%, $F$11)</f>
        <v>37.2164</v>
      </c>
      <c r="H995" s="4">
        <f>CHOOSE( CONTROL!$C$32, 38.1908, 38.1872) * CHOOSE(CONTROL!$C$15, $D$11, 100%, $F$11)</f>
        <v>38.190800000000003</v>
      </c>
      <c r="I995" s="8">
        <f>CHOOSE( CONTROL!$C$32, 36.6912, 36.6877) * CHOOSE(CONTROL!$C$15, $D$11, 100%, $F$11)</f>
        <v>36.691200000000002</v>
      </c>
      <c r="J995" s="4">
        <f>CHOOSE( CONTROL!$C$32, 36.5292, 36.5257) * CHOOSE(CONTROL!$C$15, $D$11, 100%, $F$11)</f>
        <v>36.529200000000003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34.7455, 34.7419) * CHOOSE(CONTROL!$C$15, $D$11, 100%, $F$11)</f>
        <v>34.7455</v>
      </c>
      <c r="C996" s="8">
        <f>CHOOSE( CONTROL!$C$32, 34.7535, 34.7499) * CHOOSE(CONTROL!$C$15, $D$11, 100%, $F$11)</f>
        <v>34.753500000000003</v>
      </c>
      <c r="D996" s="8">
        <f>CHOOSE( CONTROL!$C$32, 34.7918, 34.7881) * CHOOSE( CONTROL!$C$15, $D$11, 100%, $F$11)</f>
        <v>34.791800000000002</v>
      </c>
      <c r="E996" s="12">
        <f>CHOOSE( CONTROL!$C$32, 34.7767, 34.773) * CHOOSE( CONTROL!$C$15, $D$11, 100%, $F$11)</f>
        <v>34.776699999999998</v>
      </c>
      <c r="F996" s="4">
        <f>CHOOSE( CONTROL!$C$32, 35.4885, 35.4849) * CHOOSE(CONTROL!$C$15, $D$11, 100%, $F$11)</f>
        <v>35.488500000000002</v>
      </c>
      <c r="G996" s="8">
        <f>CHOOSE( CONTROL!$C$32, 34.3453, 34.3417) * CHOOSE( CONTROL!$C$15, $D$11, 100%, $F$11)</f>
        <v>34.345300000000002</v>
      </c>
      <c r="H996" s="4">
        <f>CHOOSE( CONTROL!$C$32, 35.3196, 35.316) * CHOOSE(CONTROL!$C$15, $D$11, 100%, $F$11)</f>
        <v>35.319600000000001</v>
      </c>
      <c r="I996" s="8">
        <f>CHOOSE( CONTROL!$C$32, 33.8706, 33.8671) * CHOOSE(CONTROL!$C$15, $D$11, 100%, $F$11)</f>
        <v>33.870600000000003</v>
      </c>
      <c r="J996" s="4">
        <f>CHOOSE( CONTROL!$C$32, 33.7097, 33.7062) * CHOOSE(CONTROL!$C$15, $D$11, 100%, $F$11)</f>
        <v>33.709699999999998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34.018, 34.0144) * CHOOSE(CONTROL!$C$15, $D$11, 100%, $F$11)</f>
        <v>34.018000000000001</v>
      </c>
      <c r="C997" s="8">
        <f>CHOOSE( CONTROL!$C$32, 34.026, 34.0224) * CHOOSE(CONTROL!$C$15, $D$11, 100%, $F$11)</f>
        <v>34.026000000000003</v>
      </c>
      <c r="D997" s="8">
        <f>CHOOSE( CONTROL!$C$32, 34.0642, 34.0605) * CHOOSE( CONTROL!$C$15, $D$11, 100%, $F$11)</f>
        <v>34.0642</v>
      </c>
      <c r="E997" s="12">
        <f>CHOOSE( CONTROL!$C$32, 34.0491, 34.0455) * CHOOSE( CONTROL!$C$15, $D$11, 100%, $F$11)</f>
        <v>34.049100000000003</v>
      </c>
      <c r="F997" s="4">
        <f>CHOOSE( CONTROL!$C$32, 34.761, 34.7574) * CHOOSE(CONTROL!$C$15, $D$11, 100%, $F$11)</f>
        <v>34.761000000000003</v>
      </c>
      <c r="G997" s="8">
        <f>CHOOSE( CONTROL!$C$32, 33.6262, 33.6226) * CHOOSE( CONTROL!$C$15, $D$11, 100%, $F$11)</f>
        <v>33.626199999999997</v>
      </c>
      <c r="H997" s="4">
        <f>CHOOSE( CONTROL!$C$32, 34.6006, 34.597) * CHOOSE(CONTROL!$C$15, $D$11, 100%, $F$11)</f>
        <v>34.6006</v>
      </c>
      <c r="I997" s="8">
        <f>CHOOSE( CONTROL!$C$32, 33.1638, 33.1603) * CHOOSE(CONTROL!$C$15, $D$11, 100%, $F$11)</f>
        <v>33.163800000000002</v>
      </c>
      <c r="J997" s="4">
        <f>CHOOSE( CONTROL!$C$32, 33.0037, 33.0001) * CHOOSE(CONTROL!$C$15, $D$11, 100%, $F$11)</f>
        <v>33.003700000000002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35.5232 * CHOOSE(CONTROL!$C$15, $D$11, 100%, $F$11)</f>
        <v>35.523200000000003</v>
      </c>
      <c r="C998" s="8">
        <f>35.5285 * CHOOSE(CONTROL!$C$15, $D$11, 100%, $F$11)</f>
        <v>35.528500000000001</v>
      </c>
      <c r="D998" s="8">
        <f>35.5721 * CHOOSE( CONTROL!$C$15, $D$11, 100%, $F$11)</f>
        <v>35.572099999999999</v>
      </c>
      <c r="E998" s="12">
        <f>35.5571 * CHOOSE( CONTROL!$C$15, $D$11, 100%, $F$11)</f>
        <v>35.557099999999998</v>
      </c>
      <c r="F998" s="4">
        <f>36.2679 * CHOOSE(CONTROL!$C$15, $D$11, 100%, $F$11)</f>
        <v>36.267899999999997</v>
      </c>
      <c r="G998" s="8">
        <f>35.115 * CHOOSE( CONTROL!$C$15, $D$11, 100%, $F$11)</f>
        <v>35.115000000000002</v>
      </c>
      <c r="H998" s="4">
        <f>36.0899 * CHOOSE(CONTROL!$C$15, $D$11, 100%, $F$11)</f>
        <v>36.0899</v>
      </c>
      <c r="I998" s="8">
        <f>34.6277 * CHOOSE(CONTROL!$C$15, $D$11, 100%, $F$11)</f>
        <v>34.627699999999997</v>
      </c>
      <c r="J998" s="4">
        <f>34.4661 * CHOOSE(CONTROL!$C$15, $D$11, 100%, $F$11)</f>
        <v>34.466099999999997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38.311 * CHOOSE(CONTROL!$C$15, $D$11, 100%, $F$11)</f>
        <v>38.311</v>
      </c>
      <c r="C999" s="8">
        <f>38.316 * CHOOSE(CONTROL!$C$15, $D$11, 100%, $F$11)</f>
        <v>38.316000000000003</v>
      </c>
      <c r="D999" s="8">
        <f>38.2997 * CHOOSE( CONTROL!$C$15, $D$11, 100%, $F$11)</f>
        <v>38.299700000000001</v>
      </c>
      <c r="E999" s="12">
        <f>38.3051 * CHOOSE( CONTROL!$C$15, $D$11, 100%, $F$11)</f>
        <v>38.305100000000003</v>
      </c>
      <c r="F999" s="4">
        <f>38.9762 * CHOOSE(CONTROL!$C$15, $D$11, 100%, $F$11)</f>
        <v>38.976199999999999</v>
      </c>
      <c r="G999" s="8">
        <f>37.871 * CHOOSE( CONTROL!$C$15, $D$11, 100%, $F$11)</f>
        <v>37.871000000000002</v>
      </c>
      <c r="H999" s="4">
        <f>38.7664 * CHOOSE(CONTROL!$C$15, $D$11, 100%, $F$11)</f>
        <v>38.766399999999997</v>
      </c>
      <c r="I999" s="8">
        <f>37.3351 * CHOOSE(CONTROL!$C$15, $D$11, 100%, $F$11)</f>
        <v>37.335099999999997</v>
      </c>
      <c r="J999" s="4">
        <f>37.172 * CHOOSE(CONTROL!$C$15, $D$11, 100%, $F$11)</f>
        <v>37.171999999999997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38.2413 * CHOOSE(CONTROL!$C$15, $D$11, 100%, $F$11)</f>
        <v>38.241300000000003</v>
      </c>
      <c r="C1000" s="8">
        <f>38.2464 * CHOOSE(CONTROL!$C$15, $D$11, 100%, $F$11)</f>
        <v>38.246400000000001</v>
      </c>
      <c r="D1000" s="8">
        <f>38.2317 * CHOOSE( CONTROL!$C$15, $D$11, 100%, $F$11)</f>
        <v>38.231699999999996</v>
      </c>
      <c r="E1000" s="12">
        <f>38.2365 * CHOOSE( CONTROL!$C$15, $D$11, 100%, $F$11)</f>
        <v>38.236499999999999</v>
      </c>
      <c r="F1000" s="4">
        <f>38.9066 * CHOOSE(CONTROL!$C$15, $D$11, 100%, $F$11)</f>
        <v>38.906599999999997</v>
      </c>
      <c r="G1000" s="8">
        <f>37.8034 * CHOOSE( CONTROL!$C$15, $D$11, 100%, $F$11)</f>
        <v>37.803400000000003</v>
      </c>
      <c r="H1000" s="4">
        <f>38.6976 * CHOOSE(CONTROL!$C$15, $D$11, 100%, $F$11)</f>
        <v>38.697600000000001</v>
      </c>
      <c r="I1000" s="8">
        <f>37.2729 * CHOOSE(CONTROL!$C$15, $D$11, 100%, $F$11)</f>
        <v>37.2729</v>
      </c>
      <c r="J1000" s="4">
        <f>37.1044 * CHOOSE(CONTROL!$C$15, $D$11, 100%, $F$11)</f>
        <v>37.104399999999998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39.369 * CHOOSE(CONTROL!$C$15, $D$11, 100%, $F$11)</f>
        <v>39.369</v>
      </c>
      <c r="C1001" s="8">
        <f>39.3741 * CHOOSE(CONTROL!$C$15, $D$11, 100%, $F$11)</f>
        <v>39.374099999999999</v>
      </c>
      <c r="D1001" s="8">
        <f>39.3452 * CHOOSE( CONTROL!$C$15, $D$11, 100%, $F$11)</f>
        <v>39.345199999999998</v>
      </c>
      <c r="E1001" s="12">
        <f>39.3552 * CHOOSE( CONTROL!$C$15, $D$11, 100%, $F$11)</f>
        <v>39.355200000000004</v>
      </c>
      <c r="F1001" s="4">
        <f>40.0343 * CHOOSE(CONTROL!$C$15, $D$11, 100%, $F$11)</f>
        <v>40.034300000000002</v>
      </c>
      <c r="G1001" s="8">
        <f>38.9077 * CHOOSE( CONTROL!$C$15, $D$11, 100%, $F$11)</f>
        <v>38.907699999999998</v>
      </c>
      <c r="H1001" s="4">
        <f>39.8121 * CHOOSE(CONTROL!$C$15, $D$11, 100%, $F$11)</f>
        <v>39.812100000000001</v>
      </c>
      <c r="I1001" s="8">
        <f>38.3625 * CHOOSE(CONTROL!$C$15, $D$11, 100%, $F$11)</f>
        <v>38.362499999999997</v>
      </c>
      <c r="J1001" s="4">
        <f>38.1989 * CHOOSE(CONTROL!$C$15, $D$11, 100%, $F$11)</f>
        <v>38.198900000000002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36.8245 * CHOOSE(CONTROL!$C$15, $D$11, 100%, $F$11)</f>
        <v>36.8245</v>
      </c>
      <c r="C1002" s="8">
        <f>36.8295 * CHOOSE(CONTROL!$C$15, $D$11, 100%, $F$11)</f>
        <v>36.829500000000003</v>
      </c>
      <c r="D1002" s="8">
        <f>36.8007 * CHOOSE( CONTROL!$C$15, $D$11, 100%, $F$11)</f>
        <v>36.800699999999999</v>
      </c>
      <c r="E1002" s="12">
        <f>36.8107 * CHOOSE( CONTROL!$C$15, $D$11, 100%, $F$11)</f>
        <v>36.810699999999997</v>
      </c>
      <c r="F1002" s="4">
        <f>37.4898 * CHOOSE(CONTROL!$C$15, $D$11, 100%, $F$11)</f>
        <v>37.489800000000002</v>
      </c>
      <c r="G1002" s="8">
        <f>36.3929 * CHOOSE( CONTROL!$C$15, $D$11, 100%, $F$11)</f>
        <v>36.392899999999997</v>
      </c>
      <c r="H1002" s="4">
        <f>37.2974 * CHOOSE(CONTROL!$C$15, $D$11, 100%, $F$11)</f>
        <v>37.297400000000003</v>
      </c>
      <c r="I1002" s="8">
        <f>35.8917 * CHOOSE(CONTROL!$C$15, $D$11, 100%, $F$11)</f>
        <v>35.8917</v>
      </c>
      <c r="J1002" s="4">
        <f>35.7294 * CHOOSE(CONTROL!$C$15, $D$11, 100%, $F$11)</f>
        <v>35.729399999999998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36.0408 * CHOOSE(CONTROL!$C$15, $D$11, 100%, $F$11)</f>
        <v>36.040799999999997</v>
      </c>
      <c r="C1003" s="8">
        <f>36.0458 * CHOOSE(CONTROL!$C$15, $D$11, 100%, $F$11)</f>
        <v>36.0458</v>
      </c>
      <c r="D1003" s="8">
        <f>36.0165 * CHOOSE( CONTROL!$C$15, $D$11, 100%, $F$11)</f>
        <v>36.016500000000001</v>
      </c>
      <c r="E1003" s="12">
        <f>36.0267 * CHOOSE( CONTROL!$C$15, $D$11, 100%, $F$11)</f>
        <v>36.026699999999998</v>
      </c>
      <c r="F1003" s="4">
        <f>36.706 * CHOOSE(CONTROL!$C$15, $D$11, 100%, $F$11)</f>
        <v>36.706000000000003</v>
      </c>
      <c r="G1003" s="8">
        <f>35.6181 * CHOOSE( CONTROL!$C$15, $D$11, 100%, $F$11)</f>
        <v>35.618099999999998</v>
      </c>
      <c r="H1003" s="4">
        <f>36.5228 * CHOOSE(CONTROL!$C$15, $D$11, 100%, $F$11)</f>
        <v>36.522799999999997</v>
      </c>
      <c r="I1003" s="8">
        <f>35.1295 * CHOOSE(CONTROL!$C$15, $D$11, 100%, $F$11)</f>
        <v>35.1295</v>
      </c>
      <c r="J1003" s="4">
        <f>34.9688 * CHOOSE(CONTROL!$C$15, $D$11, 100%, $F$11)</f>
        <v>34.968800000000002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36.5892 * CHOOSE(CONTROL!$C$15, $D$11, 100%, $F$11)</f>
        <v>36.589199999999998</v>
      </c>
      <c r="C1004" s="8">
        <f>36.5937 * CHOOSE(CONTROL!$C$15, $D$11, 100%, $F$11)</f>
        <v>36.593699999999998</v>
      </c>
      <c r="D1004" s="8">
        <f>36.637 * CHOOSE( CONTROL!$C$15, $D$11, 100%, $F$11)</f>
        <v>36.637</v>
      </c>
      <c r="E1004" s="12">
        <f>36.6222 * CHOOSE( CONTROL!$C$15, $D$11, 100%, $F$11)</f>
        <v>36.622199999999999</v>
      </c>
      <c r="F1004" s="4">
        <f>37.3335 * CHOOSE(CONTROL!$C$15, $D$11, 100%, $F$11)</f>
        <v>37.333500000000001</v>
      </c>
      <c r="G1004" s="8">
        <f>36.1671 * CHOOSE( CONTROL!$C$15, $D$11, 100%, $F$11)</f>
        <v>36.167099999999998</v>
      </c>
      <c r="H1004" s="4">
        <f>37.143 * CHOOSE(CONTROL!$C$15, $D$11, 100%, $F$11)</f>
        <v>37.143000000000001</v>
      </c>
      <c r="I1004" s="8">
        <f>35.6595 * CHOOSE(CONTROL!$C$15, $D$11, 100%, $F$11)</f>
        <v>35.659500000000001</v>
      </c>
      <c r="J1004" s="4">
        <f>35.5003 * CHOOSE(CONTROL!$C$15, $D$11, 100%, $F$11)</f>
        <v>35.500300000000003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37.5689, 37.5652) * CHOOSE(CONTROL!$C$15, $D$11, 100%, $F$11)</f>
        <v>37.568899999999999</v>
      </c>
      <c r="C1005" s="8">
        <f>CHOOSE( CONTROL!$C$32, 37.5768, 37.5732) * CHOOSE(CONTROL!$C$15, $D$11, 100%, $F$11)</f>
        <v>37.576799999999999</v>
      </c>
      <c r="D1005" s="8">
        <f>CHOOSE( CONTROL!$C$32, 37.6146, 37.6109) * CHOOSE( CONTROL!$C$15, $D$11, 100%, $F$11)</f>
        <v>37.614600000000003</v>
      </c>
      <c r="E1005" s="12">
        <f>CHOOSE( CONTROL!$C$32, 37.5997, 37.596) * CHOOSE( CONTROL!$C$15, $D$11, 100%, $F$11)</f>
        <v>37.599699999999999</v>
      </c>
      <c r="F1005" s="4">
        <f>CHOOSE( CONTROL!$C$32, 38.3119, 38.3082) * CHOOSE(CONTROL!$C$15, $D$11, 100%, $F$11)</f>
        <v>38.311900000000001</v>
      </c>
      <c r="G1005" s="8">
        <f>CHOOSE( CONTROL!$C$32, 37.1348, 37.1312) * CHOOSE( CONTROL!$C$15, $D$11, 100%, $F$11)</f>
        <v>37.134799999999998</v>
      </c>
      <c r="H1005" s="4">
        <f>CHOOSE( CONTROL!$C$32, 38.1098, 38.1062) * CHOOSE(CONTROL!$C$15, $D$11, 100%, $F$11)</f>
        <v>38.1098</v>
      </c>
      <c r="I1005" s="8">
        <f>CHOOSE( CONTROL!$C$32, 36.6095, 36.606) * CHOOSE(CONTROL!$C$15, $D$11, 100%, $F$11)</f>
        <v>36.609499999999997</v>
      </c>
      <c r="J1005" s="4">
        <f>CHOOSE( CONTROL!$C$32, 36.4498, 36.4462) * CHOOSE(CONTROL!$C$15, $D$11, 100%, $F$11)</f>
        <v>36.449800000000003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36.9651, 36.9614) * CHOOSE(CONTROL!$C$15, $D$11, 100%, $F$11)</f>
        <v>36.9651</v>
      </c>
      <c r="C1006" s="8">
        <f>CHOOSE( CONTROL!$C$32, 36.973, 36.9694) * CHOOSE(CONTROL!$C$15, $D$11, 100%, $F$11)</f>
        <v>36.972999999999999</v>
      </c>
      <c r="D1006" s="8">
        <f>CHOOSE( CONTROL!$C$32, 37.011, 37.0074) * CHOOSE( CONTROL!$C$15, $D$11, 100%, $F$11)</f>
        <v>37.011000000000003</v>
      </c>
      <c r="E1006" s="12">
        <f>CHOOSE( CONTROL!$C$32, 36.996, 36.9924) * CHOOSE( CONTROL!$C$15, $D$11, 100%, $F$11)</f>
        <v>36.996000000000002</v>
      </c>
      <c r="F1006" s="4">
        <f>CHOOSE( CONTROL!$C$32, 37.7081, 37.7044) * CHOOSE(CONTROL!$C$15, $D$11, 100%, $F$11)</f>
        <v>37.708100000000002</v>
      </c>
      <c r="G1006" s="8">
        <f>CHOOSE( CONTROL!$C$32, 36.5384, 36.5348) * CHOOSE( CONTROL!$C$15, $D$11, 100%, $F$11)</f>
        <v>36.538400000000003</v>
      </c>
      <c r="H1006" s="4">
        <f>CHOOSE( CONTROL!$C$32, 37.5131, 37.5095) * CHOOSE(CONTROL!$C$15, $D$11, 100%, $F$11)</f>
        <v>37.513100000000001</v>
      </c>
      <c r="I1006" s="8">
        <f>CHOOSE( CONTROL!$C$32, 36.0243, 36.0208) * CHOOSE(CONTROL!$C$15, $D$11, 100%, $F$11)</f>
        <v>36.024299999999997</v>
      </c>
      <c r="J1006" s="4">
        <f>CHOOSE( CONTROL!$C$32, 35.8638, 35.8602) * CHOOSE(CONTROL!$C$15, $D$11, 100%, $F$11)</f>
        <v>35.863799999999998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38.5551, 38.5514) * CHOOSE(CONTROL!$C$15, $D$11, 100%, $F$11)</f>
        <v>38.555100000000003</v>
      </c>
      <c r="C1007" s="8">
        <f>CHOOSE( CONTROL!$C$32, 38.563, 38.5594) * CHOOSE(CONTROL!$C$15, $D$11, 100%, $F$11)</f>
        <v>38.563000000000002</v>
      </c>
      <c r="D1007" s="8">
        <f>CHOOSE( CONTROL!$C$32, 38.6012, 38.5976) * CHOOSE( CONTROL!$C$15, $D$11, 100%, $F$11)</f>
        <v>38.601199999999999</v>
      </c>
      <c r="E1007" s="12">
        <f>CHOOSE( CONTROL!$C$32, 38.5862, 38.5825) * CHOOSE( CONTROL!$C$15, $D$11, 100%, $F$11)</f>
        <v>38.586199999999998</v>
      </c>
      <c r="F1007" s="4">
        <f>CHOOSE( CONTROL!$C$32, 39.2981, 39.2944) * CHOOSE(CONTROL!$C$15, $D$11, 100%, $F$11)</f>
        <v>39.298099999999998</v>
      </c>
      <c r="G1007" s="8">
        <f>CHOOSE( CONTROL!$C$32, 38.1101, 38.1065) * CHOOSE( CONTROL!$C$15, $D$11, 100%, $F$11)</f>
        <v>38.110100000000003</v>
      </c>
      <c r="H1007" s="4">
        <f>CHOOSE( CONTROL!$C$32, 39.0845, 39.0809) * CHOOSE(CONTROL!$C$15, $D$11, 100%, $F$11)</f>
        <v>39.084499999999998</v>
      </c>
      <c r="I1007" s="8">
        <f>CHOOSE( CONTROL!$C$32, 37.5693, 37.5658) * CHOOSE(CONTROL!$C$15, $D$11, 100%, $F$11)</f>
        <v>37.569299999999998</v>
      </c>
      <c r="J1007" s="4">
        <f>CHOOSE( CONTROL!$C$32, 37.4069, 37.4033) * CHOOSE(CONTROL!$C$15, $D$11, 100%, $F$11)</f>
        <v>37.4069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35.58, 35.5764) * CHOOSE(CONTROL!$C$15, $D$11, 100%, $F$11)</f>
        <v>35.58</v>
      </c>
      <c r="C1008" s="8">
        <f>CHOOSE( CONTROL!$C$32, 35.588, 35.5844) * CHOOSE(CONTROL!$C$15, $D$11, 100%, $F$11)</f>
        <v>35.588000000000001</v>
      </c>
      <c r="D1008" s="8">
        <f>CHOOSE( CONTROL!$C$32, 35.6263, 35.6226) * CHOOSE( CONTROL!$C$15, $D$11, 100%, $F$11)</f>
        <v>35.626300000000001</v>
      </c>
      <c r="E1008" s="12">
        <f>CHOOSE( CONTROL!$C$32, 35.6112, 35.6075) * CHOOSE( CONTROL!$C$15, $D$11, 100%, $F$11)</f>
        <v>35.611199999999997</v>
      </c>
      <c r="F1008" s="4">
        <f>CHOOSE( CONTROL!$C$32, 36.323, 36.3194) * CHOOSE(CONTROL!$C$15, $D$11, 100%, $F$11)</f>
        <v>36.323</v>
      </c>
      <c r="G1008" s="8">
        <f>CHOOSE( CONTROL!$C$32, 35.17, 35.1664) * CHOOSE( CONTROL!$C$15, $D$11, 100%, $F$11)</f>
        <v>35.17</v>
      </c>
      <c r="H1008" s="4">
        <f>CHOOSE( CONTROL!$C$32, 36.1443, 36.1407) * CHOOSE(CONTROL!$C$15, $D$11, 100%, $F$11)</f>
        <v>36.144300000000001</v>
      </c>
      <c r="I1008" s="8">
        <f>CHOOSE( CONTROL!$C$32, 34.6809, 34.6773) * CHOOSE(CONTROL!$C$15, $D$11, 100%, $F$11)</f>
        <v>34.680900000000001</v>
      </c>
      <c r="J1008" s="4">
        <f>CHOOSE( CONTROL!$C$32, 34.5196, 34.5161) * CHOOSE(CONTROL!$C$15, $D$11, 100%, $F$11)</f>
        <v>34.519599999999997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34.835, 34.8314) * CHOOSE(CONTROL!$C$15, $D$11, 100%, $F$11)</f>
        <v>34.835000000000001</v>
      </c>
      <c r="C1009" s="8">
        <f>CHOOSE( CONTROL!$C$32, 34.843, 34.8394) * CHOOSE(CONTROL!$C$15, $D$11, 100%, $F$11)</f>
        <v>34.843000000000004</v>
      </c>
      <c r="D1009" s="8">
        <f>CHOOSE( CONTROL!$C$32, 34.8812, 34.8776) * CHOOSE( CONTROL!$C$15, $D$11, 100%, $F$11)</f>
        <v>34.8812</v>
      </c>
      <c r="E1009" s="12">
        <f>CHOOSE( CONTROL!$C$32, 34.8661, 34.8625) * CHOOSE( CONTROL!$C$15, $D$11, 100%, $F$11)</f>
        <v>34.866100000000003</v>
      </c>
      <c r="F1009" s="4">
        <f>CHOOSE( CONTROL!$C$32, 35.5781, 35.5744) * CHOOSE(CONTROL!$C$15, $D$11, 100%, $F$11)</f>
        <v>35.578099999999999</v>
      </c>
      <c r="G1009" s="8">
        <f>CHOOSE( CONTROL!$C$32, 34.4337, 34.4301) * CHOOSE( CONTROL!$C$15, $D$11, 100%, $F$11)</f>
        <v>34.433700000000002</v>
      </c>
      <c r="H1009" s="4">
        <f>CHOOSE( CONTROL!$C$32, 35.408, 35.4044) * CHOOSE(CONTROL!$C$15, $D$11, 100%, $F$11)</f>
        <v>35.408000000000001</v>
      </c>
      <c r="I1009" s="8">
        <f>CHOOSE( CONTROL!$C$32, 33.9571, 33.9536) * CHOOSE(CONTROL!$C$15, $D$11, 100%, $F$11)</f>
        <v>33.957099999999997</v>
      </c>
      <c r="J1009" s="4">
        <f>CHOOSE( CONTROL!$C$32, 33.7966, 33.7931) * CHOOSE(CONTROL!$C$15, $D$11, 100%, $F$11)</f>
        <v>33.796599999999998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36.3765 * CHOOSE(CONTROL!$C$15, $D$11, 100%, $F$11)</f>
        <v>36.3765</v>
      </c>
      <c r="C1010" s="8">
        <f>36.3818 * CHOOSE(CONTROL!$C$15, $D$11, 100%, $F$11)</f>
        <v>36.381799999999998</v>
      </c>
      <c r="D1010" s="8">
        <f>36.4254 * CHOOSE( CONTROL!$C$15, $D$11, 100%, $F$11)</f>
        <v>36.425400000000003</v>
      </c>
      <c r="E1010" s="12">
        <f>36.4104 * CHOOSE( CONTROL!$C$15, $D$11, 100%, $F$11)</f>
        <v>36.410400000000003</v>
      </c>
      <c r="F1010" s="4">
        <f>37.1212 * CHOOSE(CONTROL!$C$15, $D$11, 100%, $F$11)</f>
        <v>37.121200000000002</v>
      </c>
      <c r="G1010" s="8">
        <f>35.9583 * CHOOSE( CONTROL!$C$15, $D$11, 100%, $F$11)</f>
        <v>35.958300000000001</v>
      </c>
      <c r="H1010" s="4">
        <f>36.9332 * CHOOSE(CONTROL!$C$15, $D$11, 100%, $F$11)</f>
        <v>36.933199999999999</v>
      </c>
      <c r="I1010" s="8">
        <f>35.4563 * CHOOSE(CONTROL!$C$15, $D$11, 100%, $F$11)</f>
        <v>35.456299999999999</v>
      </c>
      <c r="J1010" s="4">
        <f>35.2943 * CHOOSE(CONTROL!$C$15, $D$11, 100%, $F$11)</f>
        <v>35.2943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39.2313 * CHOOSE(CONTROL!$C$15, $D$11, 100%, $F$11)</f>
        <v>39.231299999999997</v>
      </c>
      <c r="C1011" s="8">
        <f>39.2363 * CHOOSE(CONTROL!$C$15, $D$11, 100%, $F$11)</f>
        <v>39.2363</v>
      </c>
      <c r="D1011" s="8">
        <f>39.22 * CHOOSE( CONTROL!$C$15, $D$11, 100%, $F$11)</f>
        <v>39.22</v>
      </c>
      <c r="E1011" s="12">
        <f>39.2254 * CHOOSE( CONTROL!$C$15, $D$11, 100%, $F$11)</f>
        <v>39.2254</v>
      </c>
      <c r="F1011" s="4">
        <f>39.8965 * CHOOSE(CONTROL!$C$15, $D$11, 100%, $F$11)</f>
        <v>39.896500000000003</v>
      </c>
      <c r="G1011" s="8">
        <f>38.7806 * CHOOSE( CONTROL!$C$15, $D$11, 100%, $F$11)</f>
        <v>38.7806</v>
      </c>
      <c r="H1011" s="4">
        <f>39.676 * CHOOSE(CONTROL!$C$15, $D$11, 100%, $F$11)</f>
        <v>39.676000000000002</v>
      </c>
      <c r="I1011" s="8">
        <f>38.2287 * CHOOSE(CONTROL!$C$15, $D$11, 100%, $F$11)</f>
        <v>38.228700000000003</v>
      </c>
      <c r="J1011" s="4">
        <f>38.0652 * CHOOSE(CONTROL!$C$15, $D$11, 100%, $F$11)</f>
        <v>38.065199999999997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39.1599 * CHOOSE(CONTROL!$C$15, $D$11, 100%, $F$11)</f>
        <v>39.1599</v>
      </c>
      <c r="C1012" s="8">
        <f>39.165 * CHOOSE(CONTROL!$C$15, $D$11, 100%, $F$11)</f>
        <v>39.164999999999999</v>
      </c>
      <c r="D1012" s="8">
        <f>39.1504 * CHOOSE( CONTROL!$C$15, $D$11, 100%, $F$11)</f>
        <v>39.150399999999998</v>
      </c>
      <c r="E1012" s="12">
        <f>39.1552 * CHOOSE( CONTROL!$C$15, $D$11, 100%, $F$11)</f>
        <v>39.155200000000001</v>
      </c>
      <c r="F1012" s="4">
        <f>39.8252 * CHOOSE(CONTROL!$C$15, $D$11, 100%, $F$11)</f>
        <v>39.825200000000002</v>
      </c>
      <c r="G1012" s="8">
        <f>38.7113 * CHOOSE( CONTROL!$C$15, $D$11, 100%, $F$11)</f>
        <v>38.711300000000001</v>
      </c>
      <c r="H1012" s="4">
        <f>39.6055 * CHOOSE(CONTROL!$C$15, $D$11, 100%, $F$11)</f>
        <v>39.605499999999999</v>
      </c>
      <c r="I1012" s="8">
        <f>38.1648 * CHOOSE(CONTROL!$C$15, $D$11, 100%, $F$11)</f>
        <v>38.1648</v>
      </c>
      <c r="J1012" s="4">
        <f>37.996 * CHOOSE(CONTROL!$C$15, $D$11, 100%, $F$11)</f>
        <v>37.996000000000002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40.3148 * CHOOSE(CONTROL!$C$15, $D$11, 100%, $F$11)</f>
        <v>40.314799999999998</v>
      </c>
      <c r="C1013" s="8">
        <f>40.3198 * CHOOSE(CONTROL!$C$15, $D$11, 100%, $F$11)</f>
        <v>40.319800000000001</v>
      </c>
      <c r="D1013" s="8">
        <f>40.2909 * CHOOSE( CONTROL!$C$15, $D$11, 100%, $F$11)</f>
        <v>40.290900000000001</v>
      </c>
      <c r="E1013" s="12">
        <f>40.3009 * CHOOSE( CONTROL!$C$15, $D$11, 100%, $F$11)</f>
        <v>40.300899999999999</v>
      </c>
      <c r="F1013" s="4">
        <f>40.98 * CHOOSE(CONTROL!$C$15, $D$11, 100%, $F$11)</f>
        <v>40.98</v>
      </c>
      <c r="G1013" s="8">
        <f>39.8423 * CHOOSE( CONTROL!$C$15, $D$11, 100%, $F$11)</f>
        <v>39.842300000000002</v>
      </c>
      <c r="H1013" s="4">
        <f>40.7468 * CHOOSE(CONTROL!$C$15, $D$11, 100%, $F$11)</f>
        <v>40.7468</v>
      </c>
      <c r="I1013" s="8">
        <f>39.2808 * CHOOSE(CONTROL!$C$15, $D$11, 100%, $F$11)</f>
        <v>39.280799999999999</v>
      </c>
      <c r="J1013" s="4">
        <f>39.1167 * CHOOSE(CONTROL!$C$15, $D$11, 100%, $F$11)</f>
        <v>39.116700000000002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37.7091 * CHOOSE(CONTROL!$C$15, $D$11, 100%, $F$11)</f>
        <v>37.709099999999999</v>
      </c>
      <c r="C1014" s="8">
        <f>37.7141 * CHOOSE(CONTROL!$C$15, $D$11, 100%, $F$11)</f>
        <v>37.714100000000002</v>
      </c>
      <c r="D1014" s="8">
        <f>37.6852 * CHOOSE( CONTROL!$C$15, $D$11, 100%, $F$11)</f>
        <v>37.685200000000002</v>
      </c>
      <c r="E1014" s="12">
        <f>37.6952 * CHOOSE( CONTROL!$C$15, $D$11, 100%, $F$11)</f>
        <v>37.6952</v>
      </c>
      <c r="F1014" s="4">
        <f>38.3743 * CHOOSE(CONTROL!$C$15, $D$11, 100%, $F$11)</f>
        <v>38.374299999999998</v>
      </c>
      <c r="G1014" s="8">
        <f>37.2671 * CHOOSE( CONTROL!$C$15, $D$11, 100%, $F$11)</f>
        <v>37.267099999999999</v>
      </c>
      <c r="H1014" s="4">
        <f>38.1716 * CHOOSE(CONTROL!$C$15, $D$11, 100%, $F$11)</f>
        <v>38.171599999999998</v>
      </c>
      <c r="I1014" s="8">
        <f>36.7506 * CHOOSE(CONTROL!$C$15, $D$11, 100%, $F$11)</f>
        <v>36.750599999999999</v>
      </c>
      <c r="J1014" s="4">
        <f>36.5879 * CHOOSE(CONTROL!$C$15, $D$11, 100%, $F$11)</f>
        <v>36.587899999999998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36.9065 * CHOOSE(CONTROL!$C$15, $D$11, 100%, $F$11)</f>
        <v>36.906500000000001</v>
      </c>
      <c r="C1015" s="8">
        <f>36.9116 * CHOOSE(CONTROL!$C$15, $D$11, 100%, $F$11)</f>
        <v>36.9116</v>
      </c>
      <c r="D1015" s="8">
        <f>36.8823 * CHOOSE( CONTROL!$C$15, $D$11, 100%, $F$11)</f>
        <v>36.882300000000001</v>
      </c>
      <c r="E1015" s="12">
        <f>36.8925 * CHOOSE( CONTROL!$C$15, $D$11, 100%, $F$11)</f>
        <v>36.892499999999998</v>
      </c>
      <c r="F1015" s="4">
        <f>37.5718 * CHOOSE(CONTROL!$C$15, $D$11, 100%, $F$11)</f>
        <v>37.571800000000003</v>
      </c>
      <c r="G1015" s="8">
        <f>36.4737 * CHOOSE( CONTROL!$C$15, $D$11, 100%, $F$11)</f>
        <v>36.473700000000001</v>
      </c>
      <c r="H1015" s="4">
        <f>37.3784 * CHOOSE(CONTROL!$C$15, $D$11, 100%, $F$11)</f>
        <v>37.378399999999999</v>
      </c>
      <c r="I1015" s="8">
        <f>35.9701 * CHOOSE(CONTROL!$C$15, $D$11, 100%, $F$11)</f>
        <v>35.970100000000002</v>
      </c>
      <c r="J1015" s="4">
        <f>35.809 * CHOOSE(CONTROL!$C$15, $D$11, 100%, $F$11)</f>
        <v>35.808999999999997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37.4681 * CHOOSE(CONTROL!$C$15, $D$11, 100%, $F$11)</f>
        <v>37.4681</v>
      </c>
      <c r="C1016" s="8">
        <f>37.4726 * CHOOSE(CONTROL!$C$15, $D$11, 100%, $F$11)</f>
        <v>37.4726</v>
      </c>
      <c r="D1016" s="8">
        <f>37.516 * CHOOSE( CONTROL!$C$15, $D$11, 100%, $F$11)</f>
        <v>37.515999999999998</v>
      </c>
      <c r="E1016" s="12">
        <f>37.5012 * CHOOSE( CONTROL!$C$15, $D$11, 100%, $F$11)</f>
        <v>37.501199999999997</v>
      </c>
      <c r="F1016" s="4">
        <f>38.2124 * CHOOSE(CONTROL!$C$15, $D$11, 100%, $F$11)</f>
        <v>38.212400000000002</v>
      </c>
      <c r="G1016" s="8">
        <f>37.0357 * CHOOSE( CONTROL!$C$15, $D$11, 100%, $F$11)</f>
        <v>37.035699999999999</v>
      </c>
      <c r="H1016" s="4">
        <f>38.0116 * CHOOSE(CONTROL!$C$15, $D$11, 100%, $F$11)</f>
        <v>38.011600000000001</v>
      </c>
      <c r="I1016" s="8">
        <f>36.5129 * CHOOSE(CONTROL!$C$15, $D$11, 100%, $F$11)</f>
        <v>36.512900000000002</v>
      </c>
      <c r="J1016" s="4">
        <f>36.3533 * CHOOSE(CONTROL!$C$15, $D$11, 100%, $F$11)</f>
        <v>36.353299999999997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38.4712, 38.4675) * CHOOSE(CONTROL!$C$15, $D$11, 100%, $F$11)</f>
        <v>38.471200000000003</v>
      </c>
      <c r="C1017" s="8">
        <f>CHOOSE( CONTROL!$C$32, 38.4792, 38.4755) * CHOOSE(CONTROL!$C$15, $D$11, 100%, $F$11)</f>
        <v>38.479199999999999</v>
      </c>
      <c r="D1017" s="8">
        <f>CHOOSE( CONTROL!$C$32, 38.5169, 38.5133) * CHOOSE( CONTROL!$C$15, $D$11, 100%, $F$11)</f>
        <v>38.5169</v>
      </c>
      <c r="E1017" s="12">
        <f>CHOOSE( CONTROL!$C$32, 38.502, 38.4984) * CHOOSE( CONTROL!$C$15, $D$11, 100%, $F$11)</f>
        <v>38.502000000000002</v>
      </c>
      <c r="F1017" s="4">
        <f>CHOOSE( CONTROL!$C$32, 39.2142, 39.2105) * CHOOSE(CONTROL!$C$15, $D$11, 100%, $F$11)</f>
        <v>39.214199999999998</v>
      </c>
      <c r="G1017" s="8">
        <f>CHOOSE( CONTROL!$C$32, 38.0266, 38.023) * CHOOSE( CONTROL!$C$15, $D$11, 100%, $F$11)</f>
        <v>38.026600000000002</v>
      </c>
      <c r="H1017" s="4">
        <f>CHOOSE( CONTROL!$C$32, 39.0016, 38.998) * CHOOSE(CONTROL!$C$15, $D$11, 100%, $F$11)</f>
        <v>39.001600000000003</v>
      </c>
      <c r="I1017" s="8">
        <f>CHOOSE( CONTROL!$C$32, 37.4857, 37.4822) * CHOOSE(CONTROL!$C$15, $D$11, 100%, $F$11)</f>
        <v>37.485700000000001</v>
      </c>
      <c r="J1017" s="4">
        <f>CHOOSE( CONTROL!$C$32, 37.3255, 37.3219) * CHOOSE(CONTROL!$C$15, $D$11, 100%, $F$11)</f>
        <v>37.325499999999998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37.8529, 37.8492) * CHOOSE(CONTROL!$C$15, $D$11, 100%, $F$11)</f>
        <v>37.852899999999998</v>
      </c>
      <c r="C1018" s="8">
        <f>CHOOSE( CONTROL!$C$32, 37.8609, 37.8572) * CHOOSE(CONTROL!$C$15, $D$11, 100%, $F$11)</f>
        <v>37.860900000000001</v>
      </c>
      <c r="D1018" s="8">
        <f>CHOOSE( CONTROL!$C$32, 37.8988, 37.8952) * CHOOSE( CONTROL!$C$15, $D$11, 100%, $F$11)</f>
        <v>37.898800000000001</v>
      </c>
      <c r="E1018" s="12">
        <f>CHOOSE( CONTROL!$C$32, 37.8838, 37.8802) * CHOOSE( CONTROL!$C$15, $D$11, 100%, $F$11)</f>
        <v>37.883800000000001</v>
      </c>
      <c r="F1018" s="4">
        <f>CHOOSE( CONTROL!$C$32, 38.5959, 38.5923) * CHOOSE(CONTROL!$C$15, $D$11, 100%, $F$11)</f>
        <v>38.5959</v>
      </c>
      <c r="G1018" s="8">
        <f>CHOOSE( CONTROL!$C$32, 37.4158, 37.4122) * CHOOSE( CONTROL!$C$15, $D$11, 100%, $F$11)</f>
        <v>37.415799999999997</v>
      </c>
      <c r="H1018" s="4">
        <f>CHOOSE( CONTROL!$C$32, 38.3906, 38.387) * CHOOSE(CONTROL!$C$15, $D$11, 100%, $F$11)</f>
        <v>38.390599999999999</v>
      </c>
      <c r="I1018" s="8">
        <f>CHOOSE( CONTROL!$C$32, 36.8864, 36.8828) * CHOOSE(CONTROL!$C$15, $D$11, 100%, $F$11)</f>
        <v>36.886400000000002</v>
      </c>
      <c r="J1018" s="4">
        <f>CHOOSE( CONTROL!$C$32, 36.7254, 36.7219) * CHOOSE(CONTROL!$C$15, $D$11, 100%, $F$11)</f>
        <v>36.7254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39.4811, 39.4774) * CHOOSE(CONTROL!$C$15, $D$11, 100%, $F$11)</f>
        <v>39.481099999999998</v>
      </c>
      <c r="C1019" s="8">
        <f>CHOOSE( CONTROL!$C$32, 39.4891, 39.4854) * CHOOSE(CONTROL!$C$15, $D$11, 100%, $F$11)</f>
        <v>39.489100000000001</v>
      </c>
      <c r="D1019" s="8">
        <f>CHOOSE( CONTROL!$C$32, 39.5273, 39.5236) * CHOOSE( CONTROL!$C$15, $D$11, 100%, $F$11)</f>
        <v>39.527299999999997</v>
      </c>
      <c r="E1019" s="12">
        <f>CHOOSE( CONTROL!$C$32, 39.5122, 39.5085) * CHOOSE( CONTROL!$C$15, $D$11, 100%, $F$11)</f>
        <v>39.5122</v>
      </c>
      <c r="F1019" s="4">
        <f>CHOOSE( CONTROL!$C$32, 40.2241, 40.2204) * CHOOSE(CONTROL!$C$15, $D$11, 100%, $F$11)</f>
        <v>40.2241</v>
      </c>
      <c r="G1019" s="8">
        <f>CHOOSE( CONTROL!$C$32, 39.0253, 39.0217) * CHOOSE( CONTROL!$C$15, $D$11, 100%, $F$11)</f>
        <v>39.025300000000001</v>
      </c>
      <c r="H1019" s="4">
        <f>CHOOSE( CONTROL!$C$32, 39.9997, 39.9961) * CHOOSE(CONTROL!$C$15, $D$11, 100%, $F$11)</f>
        <v>39.999699999999997</v>
      </c>
      <c r="I1019" s="8">
        <f>CHOOSE( CONTROL!$C$32, 38.4684, 38.4649) * CHOOSE(CONTROL!$C$15, $D$11, 100%, $F$11)</f>
        <v>38.468400000000003</v>
      </c>
      <c r="J1019" s="4">
        <f>CHOOSE( CONTROL!$C$32, 38.3056, 38.302) * CHOOSE(CONTROL!$C$15, $D$11, 100%, $F$11)</f>
        <v>38.305599999999998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36.4346, 36.4309) * CHOOSE(CONTROL!$C$15, $D$11, 100%, $F$11)</f>
        <v>36.434600000000003</v>
      </c>
      <c r="C1020" s="8">
        <f>CHOOSE( CONTROL!$C$32, 36.4425, 36.4389) * CHOOSE(CONTROL!$C$15, $D$11, 100%, $F$11)</f>
        <v>36.442500000000003</v>
      </c>
      <c r="D1020" s="8">
        <f>CHOOSE( CONTROL!$C$32, 36.4808, 36.4772) * CHOOSE( CONTROL!$C$15, $D$11, 100%, $F$11)</f>
        <v>36.480800000000002</v>
      </c>
      <c r="E1020" s="12">
        <f>CHOOSE( CONTROL!$C$32, 36.4657, 36.4621) * CHOOSE( CONTROL!$C$15, $D$11, 100%, $F$11)</f>
        <v>36.465699999999998</v>
      </c>
      <c r="F1020" s="4">
        <f>CHOOSE( CONTROL!$C$32, 37.1776, 37.1739) * CHOOSE(CONTROL!$C$15, $D$11, 100%, $F$11)</f>
        <v>37.177599999999998</v>
      </c>
      <c r="G1020" s="8">
        <f>CHOOSE( CONTROL!$C$32, 36.0146, 36.011) * CHOOSE( CONTROL!$C$15, $D$11, 100%, $F$11)</f>
        <v>36.014600000000002</v>
      </c>
      <c r="H1020" s="4">
        <f>CHOOSE( CONTROL!$C$32, 36.9888, 36.9852) * CHOOSE(CONTROL!$C$15, $D$11, 100%, $F$11)</f>
        <v>36.988799999999998</v>
      </c>
      <c r="I1020" s="8">
        <f>CHOOSE( CONTROL!$C$32, 35.5106, 35.5071) * CHOOSE(CONTROL!$C$15, $D$11, 100%, $F$11)</f>
        <v>35.510599999999997</v>
      </c>
      <c r="J1020" s="4">
        <f>CHOOSE( CONTROL!$C$32, 35.3489, 35.3454) * CHOOSE(CONTROL!$C$15, $D$11, 100%, $F$11)</f>
        <v>35.3489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35.6717, 35.668) * CHOOSE(CONTROL!$C$15, $D$11, 100%, $F$11)</f>
        <v>35.671700000000001</v>
      </c>
      <c r="C1021" s="8">
        <f>CHOOSE( CONTROL!$C$32, 35.6797, 35.676) * CHOOSE(CONTROL!$C$15, $D$11, 100%, $F$11)</f>
        <v>35.679699999999997</v>
      </c>
      <c r="D1021" s="8">
        <f>CHOOSE( CONTROL!$C$32, 35.7178, 35.7142) * CHOOSE( CONTROL!$C$15, $D$11, 100%, $F$11)</f>
        <v>35.717799999999997</v>
      </c>
      <c r="E1021" s="12">
        <f>CHOOSE( CONTROL!$C$32, 35.7028, 35.6991) * CHOOSE( CONTROL!$C$15, $D$11, 100%, $F$11)</f>
        <v>35.702800000000003</v>
      </c>
      <c r="F1021" s="4">
        <f>CHOOSE( CONTROL!$C$32, 36.4147, 36.4111) * CHOOSE(CONTROL!$C$15, $D$11, 100%, $F$11)</f>
        <v>36.414700000000003</v>
      </c>
      <c r="G1021" s="8">
        <f>CHOOSE( CONTROL!$C$32, 35.2605, 35.2569) * CHOOSE( CONTROL!$C$15, $D$11, 100%, $F$11)</f>
        <v>35.2605</v>
      </c>
      <c r="H1021" s="4">
        <f>CHOOSE( CONTROL!$C$32, 36.2349, 36.2313) * CHOOSE(CONTROL!$C$15, $D$11, 100%, $F$11)</f>
        <v>36.234900000000003</v>
      </c>
      <c r="I1021" s="8">
        <f>CHOOSE( CONTROL!$C$32, 34.7695, 34.766) * CHOOSE(CONTROL!$C$15, $D$11, 100%, $F$11)</f>
        <v>34.769500000000001</v>
      </c>
      <c r="J1021" s="4">
        <f>CHOOSE( CONTROL!$C$32, 34.6086, 34.605) * CHOOSE(CONTROL!$C$15, $D$11, 100%, $F$11)</f>
        <v>34.608600000000003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37.2503 * CHOOSE(CONTROL!$C$15, $D$11, 100%, $F$11)</f>
        <v>37.250300000000003</v>
      </c>
      <c r="C1022" s="8">
        <f>37.2557 * CHOOSE(CONTROL!$C$15, $D$11, 100%, $F$11)</f>
        <v>37.255699999999997</v>
      </c>
      <c r="D1022" s="8">
        <f>37.2992 * CHOOSE( CONTROL!$C$15, $D$11, 100%, $F$11)</f>
        <v>37.299199999999999</v>
      </c>
      <c r="E1022" s="12">
        <f>37.2843 * CHOOSE( CONTROL!$C$15, $D$11, 100%, $F$11)</f>
        <v>37.284300000000002</v>
      </c>
      <c r="F1022" s="4">
        <f>37.9951 * CHOOSE(CONTROL!$C$15, $D$11, 100%, $F$11)</f>
        <v>37.995100000000001</v>
      </c>
      <c r="G1022" s="8">
        <f>36.8218 * CHOOSE( CONTROL!$C$15, $D$11, 100%, $F$11)</f>
        <v>36.821800000000003</v>
      </c>
      <c r="H1022" s="4">
        <f>37.7967 * CHOOSE(CONTROL!$C$15, $D$11, 100%, $F$11)</f>
        <v>37.796700000000001</v>
      </c>
      <c r="I1022" s="8">
        <f>36.3048 * CHOOSE(CONTROL!$C$15, $D$11, 100%, $F$11)</f>
        <v>36.3048</v>
      </c>
      <c r="J1022" s="4">
        <f>36.1423 * CHOOSE(CONTROL!$C$15, $D$11, 100%, $F$11)</f>
        <v>36.142299999999999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40.1737 * CHOOSE(CONTROL!$C$15, $D$11, 100%, $F$11)</f>
        <v>40.173699999999997</v>
      </c>
      <c r="C1023" s="8">
        <f>40.1787 * CHOOSE(CONTROL!$C$15, $D$11, 100%, $F$11)</f>
        <v>40.178699999999999</v>
      </c>
      <c r="D1023" s="8">
        <f>40.1624 * CHOOSE( CONTROL!$C$15, $D$11, 100%, $F$11)</f>
        <v>40.162399999999998</v>
      </c>
      <c r="E1023" s="12">
        <f>40.1678 * CHOOSE( CONTROL!$C$15, $D$11, 100%, $F$11)</f>
        <v>40.1678</v>
      </c>
      <c r="F1023" s="4">
        <f>40.839 * CHOOSE(CONTROL!$C$15, $D$11, 100%, $F$11)</f>
        <v>40.838999999999999</v>
      </c>
      <c r="G1023" s="8">
        <f>39.7119 * CHOOSE( CONTROL!$C$15, $D$11, 100%, $F$11)</f>
        <v>39.7119</v>
      </c>
      <c r="H1023" s="4">
        <f>40.6073 * CHOOSE(CONTROL!$C$15, $D$11, 100%, $F$11)</f>
        <v>40.607300000000002</v>
      </c>
      <c r="I1023" s="8">
        <f>39.1438 * CHOOSE(CONTROL!$C$15, $D$11, 100%, $F$11)</f>
        <v>39.143799999999999</v>
      </c>
      <c r="J1023" s="4">
        <f>38.9798 * CHOOSE(CONTROL!$C$15, $D$11, 100%, $F$11)</f>
        <v>38.979799999999997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40.1006 * CHOOSE(CONTROL!$C$15, $D$11, 100%, $F$11)</f>
        <v>40.1006</v>
      </c>
      <c r="C1024" s="8">
        <f>40.1057 * CHOOSE(CONTROL!$C$15, $D$11, 100%, $F$11)</f>
        <v>40.105699999999999</v>
      </c>
      <c r="D1024" s="8">
        <f>40.0911 * CHOOSE( CONTROL!$C$15, $D$11, 100%, $F$11)</f>
        <v>40.091099999999997</v>
      </c>
      <c r="E1024" s="12">
        <f>40.0959 * CHOOSE( CONTROL!$C$15, $D$11, 100%, $F$11)</f>
        <v>40.0959</v>
      </c>
      <c r="F1024" s="4">
        <f>40.7659 * CHOOSE(CONTROL!$C$15, $D$11, 100%, $F$11)</f>
        <v>40.765900000000002</v>
      </c>
      <c r="G1024" s="8">
        <f>39.641 * CHOOSE( CONTROL!$C$15, $D$11, 100%, $F$11)</f>
        <v>39.640999999999998</v>
      </c>
      <c r="H1024" s="4">
        <f>40.5351 * CHOOSE(CONTROL!$C$15, $D$11, 100%, $F$11)</f>
        <v>40.5351</v>
      </c>
      <c r="I1024" s="8">
        <f>39.0782 * CHOOSE(CONTROL!$C$15, $D$11, 100%, $F$11)</f>
        <v>39.078200000000002</v>
      </c>
      <c r="J1024" s="4">
        <f>38.9089 * CHOOSE(CONTROL!$C$15, $D$11, 100%, $F$11)</f>
        <v>38.908900000000003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41.2832 * CHOOSE(CONTROL!$C$15, $D$11, 100%, $F$11)</f>
        <v>41.283200000000001</v>
      </c>
      <c r="C1025" s="8">
        <f>41.2883 * CHOOSE(CONTROL!$C$15, $D$11, 100%, $F$11)</f>
        <v>41.2883</v>
      </c>
      <c r="D1025" s="8">
        <f>41.2594 * CHOOSE( CONTROL!$C$15, $D$11, 100%, $F$11)</f>
        <v>41.259399999999999</v>
      </c>
      <c r="E1025" s="12">
        <f>41.2694 * CHOOSE( CONTROL!$C$15, $D$11, 100%, $F$11)</f>
        <v>41.269399999999997</v>
      </c>
      <c r="F1025" s="4">
        <f>41.9485 * CHOOSE(CONTROL!$C$15, $D$11, 100%, $F$11)</f>
        <v>41.948500000000003</v>
      </c>
      <c r="G1025" s="8">
        <f>40.7994 * CHOOSE( CONTROL!$C$15, $D$11, 100%, $F$11)</f>
        <v>40.799399999999999</v>
      </c>
      <c r="H1025" s="4">
        <f>41.7039 * CHOOSE(CONTROL!$C$15, $D$11, 100%, $F$11)</f>
        <v>41.703899999999997</v>
      </c>
      <c r="I1025" s="8">
        <f>40.2211 * CHOOSE(CONTROL!$C$15, $D$11, 100%, $F$11)</f>
        <v>40.2211</v>
      </c>
      <c r="J1025" s="4">
        <f>40.0566 * CHOOSE(CONTROL!$C$15, $D$11, 100%, $F$11)</f>
        <v>40.056600000000003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38.6149 * CHOOSE(CONTROL!$C$15, $D$11, 100%, $F$11)</f>
        <v>38.614899999999999</v>
      </c>
      <c r="C1026" s="8">
        <f>38.62 * CHOOSE(CONTROL!$C$15, $D$11, 100%, $F$11)</f>
        <v>38.619999999999997</v>
      </c>
      <c r="D1026" s="8">
        <f>38.5911 * CHOOSE( CONTROL!$C$15, $D$11, 100%, $F$11)</f>
        <v>38.591099999999997</v>
      </c>
      <c r="E1026" s="12">
        <f>38.6011 * CHOOSE( CONTROL!$C$15, $D$11, 100%, $F$11)</f>
        <v>38.601100000000002</v>
      </c>
      <c r="F1026" s="4">
        <f>39.2802 * CHOOSE(CONTROL!$C$15, $D$11, 100%, $F$11)</f>
        <v>39.280200000000001</v>
      </c>
      <c r="G1026" s="8">
        <f>38.1624 * CHOOSE( CONTROL!$C$15, $D$11, 100%, $F$11)</f>
        <v>38.162399999999998</v>
      </c>
      <c r="H1026" s="4">
        <f>39.0668 * CHOOSE(CONTROL!$C$15, $D$11, 100%, $F$11)</f>
        <v>39.066800000000001</v>
      </c>
      <c r="I1026" s="8">
        <f>37.6302 * CHOOSE(CONTROL!$C$15, $D$11, 100%, $F$11)</f>
        <v>37.630200000000002</v>
      </c>
      <c r="J1026" s="4">
        <f>37.467 * CHOOSE(CONTROL!$C$15, $D$11, 100%, $F$11)</f>
        <v>37.466999999999999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37.7931 * CHOOSE(CONTROL!$C$15, $D$11, 100%, $F$11)</f>
        <v>37.793100000000003</v>
      </c>
      <c r="C1027" s="8">
        <f>37.7981 * CHOOSE(CONTROL!$C$15, $D$11, 100%, $F$11)</f>
        <v>37.798099999999998</v>
      </c>
      <c r="D1027" s="8">
        <f>37.7688 * CHOOSE( CONTROL!$C$15, $D$11, 100%, $F$11)</f>
        <v>37.768799999999999</v>
      </c>
      <c r="E1027" s="12">
        <f>37.779 * CHOOSE( CONTROL!$C$15, $D$11, 100%, $F$11)</f>
        <v>37.779000000000003</v>
      </c>
      <c r="F1027" s="4">
        <f>38.4583 * CHOOSE(CONTROL!$C$15, $D$11, 100%, $F$11)</f>
        <v>38.458300000000001</v>
      </c>
      <c r="G1027" s="8">
        <f>37.3499 * CHOOSE( CONTROL!$C$15, $D$11, 100%, $F$11)</f>
        <v>37.349899999999998</v>
      </c>
      <c r="H1027" s="4">
        <f>38.2546 * CHOOSE(CONTROL!$C$15, $D$11, 100%, $F$11)</f>
        <v>38.254600000000003</v>
      </c>
      <c r="I1027" s="8">
        <f>36.831 * CHOOSE(CONTROL!$C$15, $D$11, 100%, $F$11)</f>
        <v>36.831000000000003</v>
      </c>
      <c r="J1027" s="4">
        <f>36.6694 * CHOOSE(CONTROL!$C$15, $D$11, 100%, $F$11)</f>
        <v>36.669400000000003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38.3681 * CHOOSE(CONTROL!$C$15, $D$11, 100%, $F$11)</f>
        <v>38.368099999999998</v>
      </c>
      <c r="C1028" s="8">
        <f>38.3726 * CHOOSE(CONTROL!$C$15, $D$11, 100%, $F$11)</f>
        <v>38.372599999999998</v>
      </c>
      <c r="D1028" s="8">
        <f>38.416 * CHOOSE( CONTROL!$C$15, $D$11, 100%, $F$11)</f>
        <v>38.415999999999997</v>
      </c>
      <c r="E1028" s="12">
        <f>38.4012 * CHOOSE( CONTROL!$C$15, $D$11, 100%, $F$11)</f>
        <v>38.401200000000003</v>
      </c>
      <c r="F1028" s="4">
        <f>39.1125 * CHOOSE(CONTROL!$C$15, $D$11, 100%, $F$11)</f>
        <v>39.112499999999997</v>
      </c>
      <c r="G1028" s="8">
        <f>37.9252 * CHOOSE( CONTROL!$C$15, $D$11, 100%, $F$11)</f>
        <v>37.925199999999997</v>
      </c>
      <c r="H1028" s="4">
        <f>38.9011 * CHOOSE(CONTROL!$C$15, $D$11, 100%, $F$11)</f>
        <v>38.9011</v>
      </c>
      <c r="I1028" s="8">
        <f>37.3868 * CHOOSE(CONTROL!$C$15, $D$11, 100%, $F$11)</f>
        <v>37.386800000000001</v>
      </c>
      <c r="J1028" s="4">
        <f>37.2267 * CHOOSE(CONTROL!$C$15, $D$11, 100%, $F$11)</f>
        <v>37.226700000000001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39.3952, 39.3915) * CHOOSE(CONTROL!$C$15, $D$11, 100%, $F$11)</f>
        <v>39.395200000000003</v>
      </c>
      <c r="C1029" s="8">
        <f>CHOOSE( CONTROL!$C$32, 39.4032, 39.3995) * CHOOSE(CONTROL!$C$15, $D$11, 100%, $F$11)</f>
        <v>39.403199999999998</v>
      </c>
      <c r="D1029" s="8">
        <f>CHOOSE( CONTROL!$C$32, 39.4409, 39.4373) * CHOOSE( CONTROL!$C$15, $D$11, 100%, $F$11)</f>
        <v>39.440899999999999</v>
      </c>
      <c r="E1029" s="12">
        <f>CHOOSE( CONTROL!$C$32, 39.426, 39.4224) * CHOOSE( CONTROL!$C$15, $D$11, 100%, $F$11)</f>
        <v>39.426000000000002</v>
      </c>
      <c r="F1029" s="4">
        <f>CHOOSE( CONTROL!$C$32, 40.1382, 40.1346) * CHOOSE(CONTROL!$C$15, $D$11, 100%, $F$11)</f>
        <v>40.138199999999998</v>
      </c>
      <c r="G1029" s="8">
        <f>CHOOSE( CONTROL!$C$32, 38.9397, 38.9361) * CHOOSE( CONTROL!$C$15, $D$11, 100%, $F$11)</f>
        <v>38.939700000000002</v>
      </c>
      <c r="H1029" s="4">
        <f>CHOOSE( CONTROL!$C$32, 39.9148, 39.9112) * CHOOSE(CONTROL!$C$15, $D$11, 100%, $F$11)</f>
        <v>39.9148</v>
      </c>
      <c r="I1029" s="8">
        <f>CHOOSE( CONTROL!$C$32, 38.3829, 38.3794) * CHOOSE(CONTROL!$C$15, $D$11, 100%, $F$11)</f>
        <v>38.382899999999999</v>
      </c>
      <c r="J1029" s="4">
        <f>CHOOSE( CONTROL!$C$32, 38.2222, 38.2187) * CHOOSE(CONTROL!$C$15, $D$11, 100%, $F$11)</f>
        <v>38.222200000000001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38.762, 38.7584) * CHOOSE(CONTROL!$C$15, $D$11, 100%, $F$11)</f>
        <v>38.762</v>
      </c>
      <c r="C1030" s="8">
        <f>CHOOSE( CONTROL!$C$32, 38.77, 38.7664) * CHOOSE(CONTROL!$C$15, $D$11, 100%, $F$11)</f>
        <v>38.770000000000003</v>
      </c>
      <c r="D1030" s="8">
        <f>CHOOSE( CONTROL!$C$32, 38.808, 38.8043) * CHOOSE( CONTROL!$C$15, $D$11, 100%, $F$11)</f>
        <v>38.808</v>
      </c>
      <c r="E1030" s="12">
        <f>CHOOSE( CONTROL!$C$32, 38.793, 38.7893) * CHOOSE( CONTROL!$C$15, $D$11, 100%, $F$11)</f>
        <v>38.792999999999999</v>
      </c>
      <c r="F1030" s="4">
        <f>CHOOSE( CONTROL!$C$32, 39.5051, 39.5014) * CHOOSE(CONTROL!$C$15, $D$11, 100%, $F$11)</f>
        <v>39.505099999999999</v>
      </c>
      <c r="G1030" s="8">
        <f>CHOOSE( CONTROL!$C$32, 38.3143, 38.3107) * CHOOSE( CONTROL!$C$15, $D$11, 100%, $F$11)</f>
        <v>38.314300000000003</v>
      </c>
      <c r="H1030" s="4">
        <f>CHOOSE( CONTROL!$C$32, 39.2891, 39.2855) * CHOOSE(CONTROL!$C$15, $D$11, 100%, $F$11)</f>
        <v>39.289099999999998</v>
      </c>
      <c r="I1030" s="8">
        <f>CHOOSE( CONTROL!$C$32, 37.7692, 37.7656) * CHOOSE(CONTROL!$C$15, $D$11, 100%, $F$11)</f>
        <v>37.769199999999998</v>
      </c>
      <c r="J1030" s="4">
        <f>CHOOSE( CONTROL!$C$32, 37.6077, 37.6042) * CHOOSE(CONTROL!$C$15, $D$11, 100%, $F$11)</f>
        <v>37.607700000000001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40.4294, 40.4257) * CHOOSE(CONTROL!$C$15, $D$11, 100%, $F$11)</f>
        <v>40.429400000000001</v>
      </c>
      <c r="C1031" s="8">
        <f>CHOOSE( CONTROL!$C$32, 40.4373, 40.4337) * CHOOSE(CONTROL!$C$15, $D$11, 100%, $F$11)</f>
        <v>40.4373</v>
      </c>
      <c r="D1031" s="8">
        <f>CHOOSE( CONTROL!$C$32, 40.4755, 40.4719) * CHOOSE( CONTROL!$C$15, $D$11, 100%, $F$11)</f>
        <v>40.475499999999997</v>
      </c>
      <c r="E1031" s="12">
        <f>CHOOSE( CONTROL!$C$32, 40.4605, 40.4568) * CHOOSE( CONTROL!$C$15, $D$11, 100%, $F$11)</f>
        <v>40.460500000000003</v>
      </c>
      <c r="F1031" s="4">
        <f>CHOOSE( CONTROL!$C$32, 41.1724, 41.1687) * CHOOSE(CONTROL!$C$15, $D$11, 100%, $F$11)</f>
        <v>41.172400000000003</v>
      </c>
      <c r="G1031" s="8">
        <f>CHOOSE( CONTROL!$C$32, 39.9625, 39.9589) * CHOOSE( CONTROL!$C$15, $D$11, 100%, $F$11)</f>
        <v>39.962499999999999</v>
      </c>
      <c r="H1031" s="4">
        <f>CHOOSE( CONTROL!$C$32, 40.9368, 40.9332) * CHOOSE(CONTROL!$C$15, $D$11, 100%, $F$11)</f>
        <v>40.936799999999998</v>
      </c>
      <c r="I1031" s="8">
        <f>CHOOSE( CONTROL!$C$32, 39.3892, 39.3857) * CHOOSE(CONTROL!$C$15, $D$11, 100%, $F$11)</f>
        <v>39.389200000000002</v>
      </c>
      <c r="J1031" s="4">
        <f>CHOOSE( CONTROL!$C$32, 39.2259, 39.2223) * CHOOSE(CONTROL!$C$15, $D$11, 100%, $F$11)</f>
        <v>39.225900000000003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37.3096, 37.306) * CHOOSE(CONTROL!$C$15, $D$11, 100%, $F$11)</f>
        <v>37.309600000000003</v>
      </c>
      <c r="C1032" s="8">
        <f>CHOOSE( CONTROL!$C$32, 37.3176, 37.314) * CHOOSE(CONTROL!$C$15, $D$11, 100%, $F$11)</f>
        <v>37.317599999999999</v>
      </c>
      <c r="D1032" s="8">
        <f>CHOOSE( CONTROL!$C$32, 37.3559, 37.3522) * CHOOSE( CONTROL!$C$15, $D$11, 100%, $F$11)</f>
        <v>37.355899999999998</v>
      </c>
      <c r="E1032" s="12">
        <f>CHOOSE( CONTROL!$C$32, 37.3408, 37.3371) * CHOOSE( CONTROL!$C$15, $D$11, 100%, $F$11)</f>
        <v>37.340800000000002</v>
      </c>
      <c r="F1032" s="4">
        <f>CHOOSE( CONTROL!$C$32, 38.0526, 38.049) * CHOOSE(CONTROL!$C$15, $D$11, 100%, $F$11)</f>
        <v>38.052599999999998</v>
      </c>
      <c r="G1032" s="8">
        <f>CHOOSE( CONTROL!$C$32, 36.8794, 36.8758) * CHOOSE( CONTROL!$C$15, $D$11, 100%, $F$11)</f>
        <v>36.879399999999997</v>
      </c>
      <c r="H1032" s="4">
        <f>CHOOSE( CONTROL!$C$32, 37.8537, 37.8501) * CHOOSE(CONTROL!$C$15, $D$11, 100%, $F$11)</f>
        <v>37.853700000000003</v>
      </c>
      <c r="I1032" s="8">
        <f>CHOOSE( CONTROL!$C$32, 36.3603, 36.3568) * CHOOSE(CONTROL!$C$15, $D$11, 100%, $F$11)</f>
        <v>36.360300000000002</v>
      </c>
      <c r="J1032" s="4">
        <f>CHOOSE( CONTROL!$C$32, 36.1982, 36.1947) * CHOOSE(CONTROL!$C$15, $D$11, 100%, $F$11)</f>
        <v>36.1982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36.5284, 36.5248) * CHOOSE(CONTROL!$C$15, $D$11, 100%, $F$11)</f>
        <v>36.528399999999998</v>
      </c>
      <c r="C1033" s="8">
        <f>CHOOSE( CONTROL!$C$32, 36.5364, 36.5328) * CHOOSE(CONTROL!$C$15, $D$11, 100%, $F$11)</f>
        <v>36.5364</v>
      </c>
      <c r="D1033" s="8">
        <f>CHOOSE( CONTROL!$C$32, 36.5746, 36.5709) * CHOOSE( CONTROL!$C$15, $D$11, 100%, $F$11)</f>
        <v>36.574599999999997</v>
      </c>
      <c r="E1033" s="12">
        <f>CHOOSE( CONTROL!$C$32, 36.5595, 36.5559) * CHOOSE( CONTROL!$C$15, $D$11, 100%, $F$11)</f>
        <v>36.5595</v>
      </c>
      <c r="F1033" s="4">
        <f>CHOOSE( CONTROL!$C$32, 37.2714, 37.2678) * CHOOSE(CONTROL!$C$15, $D$11, 100%, $F$11)</f>
        <v>37.2714</v>
      </c>
      <c r="G1033" s="8">
        <f>CHOOSE( CONTROL!$C$32, 36.1072, 36.1036) * CHOOSE( CONTROL!$C$15, $D$11, 100%, $F$11)</f>
        <v>36.107199999999999</v>
      </c>
      <c r="H1033" s="4">
        <f>CHOOSE( CONTROL!$C$32, 37.0816, 37.078) * CHOOSE(CONTROL!$C$15, $D$11, 100%, $F$11)</f>
        <v>37.081600000000002</v>
      </c>
      <c r="I1033" s="8">
        <f>CHOOSE( CONTROL!$C$32, 35.6014, 35.5978) * CHOOSE(CONTROL!$C$15, $D$11, 100%, $F$11)</f>
        <v>35.601399999999998</v>
      </c>
      <c r="J1033" s="4">
        <f>CHOOSE( CONTROL!$C$32, 35.44, 35.4365) * CHOOSE(CONTROL!$C$15, $D$11, 100%, $F$11)</f>
        <v>35.44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38.1451 * CHOOSE(CONTROL!$C$15, $D$11, 100%, $F$11)</f>
        <v>38.145099999999999</v>
      </c>
      <c r="C1034" s="8">
        <f>38.1505 * CHOOSE(CONTROL!$C$15, $D$11, 100%, $F$11)</f>
        <v>38.150500000000001</v>
      </c>
      <c r="D1034" s="8">
        <f>38.194 * CHOOSE( CONTROL!$C$15, $D$11, 100%, $F$11)</f>
        <v>38.194000000000003</v>
      </c>
      <c r="E1034" s="12">
        <f>38.1791 * CHOOSE( CONTROL!$C$15, $D$11, 100%, $F$11)</f>
        <v>38.179099999999998</v>
      </c>
      <c r="F1034" s="4">
        <f>38.8899 * CHOOSE(CONTROL!$C$15, $D$11, 100%, $F$11)</f>
        <v>38.889899999999997</v>
      </c>
      <c r="G1034" s="8">
        <f>37.7062 * CHOOSE( CONTROL!$C$15, $D$11, 100%, $F$11)</f>
        <v>37.706200000000003</v>
      </c>
      <c r="H1034" s="4">
        <f>38.6811 * CHOOSE(CONTROL!$C$15, $D$11, 100%, $F$11)</f>
        <v>38.681100000000001</v>
      </c>
      <c r="I1034" s="8">
        <f>37.1736 * CHOOSE(CONTROL!$C$15, $D$11, 100%, $F$11)</f>
        <v>37.1736</v>
      </c>
      <c r="J1034" s="4">
        <f>37.0107 * CHOOSE(CONTROL!$C$15, $D$11, 100%, $F$11)</f>
        <v>37.0107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41.1387 * CHOOSE(CONTROL!$C$15, $D$11, 100%, $F$11)</f>
        <v>41.1387</v>
      </c>
      <c r="C1035" s="8">
        <f>41.1438 * CHOOSE(CONTROL!$C$15, $D$11, 100%, $F$11)</f>
        <v>41.143799999999999</v>
      </c>
      <c r="D1035" s="8">
        <f>41.1274 * CHOOSE( CONTROL!$C$15, $D$11, 100%, $F$11)</f>
        <v>41.127400000000002</v>
      </c>
      <c r="E1035" s="12">
        <f>41.1329 * CHOOSE( CONTROL!$C$15, $D$11, 100%, $F$11)</f>
        <v>41.132899999999999</v>
      </c>
      <c r="F1035" s="4">
        <f>41.804 * CHOOSE(CONTROL!$C$15, $D$11, 100%, $F$11)</f>
        <v>41.804000000000002</v>
      </c>
      <c r="G1035" s="8">
        <f>40.6657 * CHOOSE( CONTROL!$C$15, $D$11, 100%, $F$11)</f>
        <v>40.665700000000001</v>
      </c>
      <c r="H1035" s="4">
        <f>41.5611 * CHOOSE(CONTROL!$C$15, $D$11, 100%, $F$11)</f>
        <v>41.561100000000003</v>
      </c>
      <c r="I1035" s="8">
        <f>40.0808 * CHOOSE(CONTROL!$C$15, $D$11, 100%, $F$11)</f>
        <v>40.080800000000004</v>
      </c>
      <c r="J1035" s="4">
        <f>39.9164 * CHOOSE(CONTROL!$C$15, $D$11, 100%, $F$11)</f>
        <v>39.916400000000003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41.0639 * CHOOSE(CONTROL!$C$15, $D$11, 100%, $F$11)</f>
        <v>41.063899999999997</v>
      </c>
      <c r="C1036" s="8">
        <f>41.069 * CHOOSE(CONTROL!$C$15, $D$11, 100%, $F$11)</f>
        <v>41.069000000000003</v>
      </c>
      <c r="D1036" s="8">
        <f>41.0544 * CHOOSE( CONTROL!$C$15, $D$11, 100%, $F$11)</f>
        <v>41.054400000000001</v>
      </c>
      <c r="E1036" s="12">
        <f>41.0592 * CHOOSE( CONTROL!$C$15, $D$11, 100%, $F$11)</f>
        <v>41.059199999999997</v>
      </c>
      <c r="F1036" s="4">
        <f>41.7292 * CHOOSE(CONTROL!$C$15, $D$11, 100%, $F$11)</f>
        <v>41.729199999999999</v>
      </c>
      <c r="G1036" s="8">
        <f>40.593 * CHOOSE( CONTROL!$C$15, $D$11, 100%, $F$11)</f>
        <v>40.593000000000004</v>
      </c>
      <c r="H1036" s="4">
        <f>41.4872 * CHOOSE(CONTROL!$C$15, $D$11, 100%, $F$11)</f>
        <v>41.487200000000001</v>
      </c>
      <c r="I1036" s="8">
        <f>40.0136 * CHOOSE(CONTROL!$C$15, $D$11, 100%, $F$11)</f>
        <v>40.013599999999997</v>
      </c>
      <c r="J1036" s="4">
        <f>39.8438 * CHOOSE(CONTROL!$C$15, $D$11, 100%, $F$11)</f>
        <v>39.843800000000002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42.2749 * CHOOSE(CONTROL!$C$15, $D$11, 100%, $F$11)</f>
        <v>42.274900000000002</v>
      </c>
      <c r="C1037" s="8">
        <f>42.28 * CHOOSE(CONTROL!$C$15, $D$11, 100%, $F$11)</f>
        <v>42.28</v>
      </c>
      <c r="D1037" s="8">
        <f>42.2511 * CHOOSE( CONTROL!$C$15, $D$11, 100%, $F$11)</f>
        <v>42.251100000000001</v>
      </c>
      <c r="E1037" s="12">
        <f>42.2611 * CHOOSE( CONTROL!$C$15, $D$11, 100%, $F$11)</f>
        <v>42.261099999999999</v>
      </c>
      <c r="F1037" s="4">
        <f>42.9402 * CHOOSE(CONTROL!$C$15, $D$11, 100%, $F$11)</f>
        <v>42.940199999999997</v>
      </c>
      <c r="G1037" s="8">
        <f>41.7795 * CHOOSE( CONTROL!$C$15, $D$11, 100%, $F$11)</f>
        <v>41.779499999999999</v>
      </c>
      <c r="H1037" s="4">
        <f>42.684 * CHOOSE(CONTROL!$C$15, $D$11, 100%, $F$11)</f>
        <v>42.683999999999997</v>
      </c>
      <c r="I1037" s="8">
        <f>41.1841 * CHOOSE(CONTROL!$C$15, $D$11, 100%, $F$11)</f>
        <v>41.184100000000001</v>
      </c>
      <c r="J1037" s="4">
        <f>41.019 * CHOOSE(CONTROL!$C$15, $D$11, 100%, $F$11)</f>
        <v>41.018999999999998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39.5425 * CHOOSE(CONTROL!$C$15, $D$11, 100%, $F$11)</f>
        <v>39.542499999999997</v>
      </c>
      <c r="C1038" s="8">
        <f>39.5476 * CHOOSE(CONTROL!$C$15, $D$11, 100%, $F$11)</f>
        <v>39.547600000000003</v>
      </c>
      <c r="D1038" s="8">
        <f>39.5187 * CHOOSE( CONTROL!$C$15, $D$11, 100%, $F$11)</f>
        <v>39.518700000000003</v>
      </c>
      <c r="E1038" s="12">
        <f>39.5287 * CHOOSE( CONTROL!$C$15, $D$11, 100%, $F$11)</f>
        <v>39.528700000000001</v>
      </c>
      <c r="F1038" s="4">
        <f>40.2078 * CHOOSE(CONTROL!$C$15, $D$11, 100%, $F$11)</f>
        <v>40.207799999999999</v>
      </c>
      <c r="G1038" s="8">
        <f>39.0791 * CHOOSE( CONTROL!$C$15, $D$11, 100%, $F$11)</f>
        <v>39.079099999999997</v>
      </c>
      <c r="H1038" s="4">
        <f>39.9835 * CHOOSE(CONTROL!$C$15, $D$11, 100%, $F$11)</f>
        <v>39.983499999999999</v>
      </c>
      <c r="I1038" s="8">
        <f>38.5309 * CHOOSE(CONTROL!$C$15, $D$11, 100%, $F$11)</f>
        <v>38.530900000000003</v>
      </c>
      <c r="J1038" s="4">
        <f>38.3672 * CHOOSE(CONTROL!$C$15, $D$11, 100%, $F$11)</f>
        <v>38.367199999999997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38.7009 * CHOOSE(CONTROL!$C$15, $D$11, 100%, $F$11)</f>
        <v>38.700899999999997</v>
      </c>
      <c r="C1039" s="8">
        <f>38.706 * CHOOSE(CONTROL!$C$15, $D$11, 100%, $F$11)</f>
        <v>38.706000000000003</v>
      </c>
      <c r="D1039" s="8">
        <f>38.6767 * CHOOSE( CONTROL!$C$15, $D$11, 100%, $F$11)</f>
        <v>38.676699999999997</v>
      </c>
      <c r="E1039" s="12">
        <f>38.6869 * CHOOSE( CONTROL!$C$15, $D$11, 100%, $F$11)</f>
        <v>38.686900000000001</v>
      </c>
      <c r="F1039" s="4">
        <f>39.3662 * CHOOSE(CONTROL!$C$15, $D$11, 100%, $F$11)</f>
        <v>39.366199999999999</v>
      </c>
      <c r="G1039" s="8">
        <f>38.2471 * CHOOSE( CONTROL!$C$15, $D$11, 100%, $F$11)</f>
        <v>38.247100000000003</v>
      </c>
      <c r="H1039" s="4">
        <f>39.1518 * CHOOSE(CONTROL!$C$15, $D$11, 100%, $F$11)</f>
        <v>39.151800000000001</v>
      </c>
      <c r="I1039" s="8">
        <f>37.7125 * CHOOSE(CONTROL!$C$15, $D$11, 100%, $F$11)</f>
        <v>37.712499999999999</v>
      </c>
      <c r="J1039" s="4">
        <f>37.5505 * CHOOSE(CONTROL!$C$15, $D$11, 100%, $F$11)</f>
        <v>37.5505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39.2898 * CHOOSE(CONTROL!$C$15, $D$11, 100%, $F$11)</f>
        <v>39.2898</v>
      </c>
      <c r="C1040" s="8">
        <f>39.2943 * CHOOSE(CONTROL!$C$15, $D$11, 100%, $F$11)</f>
        <v>39.2943</v>
      </c>
      <c r="D1040" s="8">
        <f>39.3376 * CHOOSE( CONTROL!$C$15, $D$11, 100%, $F$11)</f>
        <v>39.337600000000002</v>
      </c>
      <c r="E1040" s="12">
        <f>39.3228 * CHOOSE( CONTROL!$C$15, $D$11, 100%, $F$11)</f>
        <v>39.322800000000001</v>
      </c>
      <c r="F1040" s="4">
        <f>40.0341 * CHOOSE(CONTROL!$C$15, $D$11, 100%, $F$11)</f>
        <v>40.034100000000002</v>
      </c>
      <c r="G1040" s="8">
        <f>38.8361 * CHOOSE( CONTROL!$C$15, $D$11, 100%, $F$11)</f>
        <v>38.836100000000002</v>
      </c>
      <c r="H1040" s="4">
        <f>39.8119 * CHOOSE(CONTROL!$C$15, $D$11, 100%, $F$11)</f>
        <v>39.811900000000001</v>
      </c>
      <c r="I1040" s="8">
        <f>38.2817 * CHOOSE(CONTROL!$C$15, $D$11, 100%, $F$11)</f>
        <v>38.281700000000001</v>
      </c>
      <c r="J1040" s="4">
        <f>38.1212 * CHOOSE(CONTROL!$C$15, $D$11, 100%, $F$11)</f>
        <v>38.121200000000002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40.3414, 40.3378) * CHOOSE(CONTROL!$C$15, $D$11, 100%, $F$11)</f>
        <v>40.3414</v>
      </c>
      <c r="C1041" s="8">
        <f>CHOOSE( CONTROL!$C$32, 40.3494, 40.3457) * CHOOSE(CONTROL!$C$15, $D$11, 100%, $F$11)</f>
        <v>40.349400000000003</v>
      </c>
      <c r="D1041" s="8">
        <f>CHOOSE( CONTROL!$C$32, 40.3871, 40.3835) * CHOOSE( CONTROL!$C$15, $D$11, 100%, $F$11)</f>
        <v>40.387099999999997</v>
      </c>
      <c r="E1041" s="12">
        <f>CHOOSE( CONTROL!$C$32, 40.3722, 40.3686) * CHOOSE( CONTROL!$C$15, $D$11, 100%, $F$11)</f>
        <v>40.372199999999999</v>
      </c>
      <c r="F1041" s="4">
        <f>CHOOSE( CONTROL!$C$32, 41.0844, 41.0808) * CHOOSE(CONTROL!$C$15, $D$11, 100%, $F$11)</f>
        <v>41.084400000000002</v>
      </c>
      <c r="G1041" s="8">
        <f>CHOOSE( CONTROL!$C$32, 39.8749, 39.8713) * CHOOSE( CONTROL!$C$15, $D$11, 100%, $F$11)</f>
        <v>39.874899999999997</v>
      </c>
      <c r="H1041" s="4">
        <f>CHOOSE( CONTROL!$C$32, 40.8499, 40.8463) * CHOOSE(CONTROL!$C$15, $D$11, 100%, $F$11)</f>
        <v>40.849899999999998</v>
      </c>
      <c r="I1041" s="8">
        <f>CHOOSE( CONTROL!$C$32, 39.3016, 39.2981) * CHOOSE(CONTROL!$C$15, $D$11, 100%, $F$11)</f>
        <v>39.301600000000001</v>
      </c>
      <c r="J1041" s="4">
        <f>CHOOSE( CONTROL!$C$32, 39.1405, 39.137) * CHOOSE(CONTROL!$C$15, $D$11, 100%, $F$11)</f>
        <v>39.140500000000003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39.693, 39.6894) * CHOOSE(CONTROL!$C$15, $D$11, 100%, $F$11)</f>
        <v>39.692999999999998</v>
      </c>
      <c r="C1042" s="8">
        <f>CHOOSE( CONTROL!$C$32, 39.701, 39.6974) * CHOOSE(CONTROL!$C$15, $D$11, 100%, $F$11)</f>
        <v>39.701000000000001</v>
      </c>
      <c r="D1042" s="8">
        <f>CHOOSE( CONTROL!$C$32, 39.739, 39.7353) * CHOOSE( CONTROL!$C$15, $D$11, 100%, $F$11)</f>
        <v>39.738999999999997</v>
      </c>
      <c r="E1042" s="12">
        <f>CHOOSE( CONTROL!$C$32, 39.724, 39.7203) * CHOOSE( CONTROL!$C$15, $D$11, 100%, $F$11)</f>
        <v>39.723999999999997</v>
      </c>
      <c r="F1042" s="4">
        <f>CHOOSE( CONTROL!$C$32, 40.436, 40.4324) * CHOOSE(CONTROL!$C$15, $D$11, 100%, $F$11)</f>
        <v>40.436</v>
      </c>
      <c r="G1042" s="8">
        <f>CHOOSE( CONTROL!$C$32, 39.2344, 39.2308) * CHOOSE( CONTROL!$C$15, $D$11, 100%, $F$11)</f>
        <v>39.234400000000001</v>
      </c>
      <c r="H1042" s="4">
        <f>CHOOSE( CONTROL!$C$32, 40.2092, 40.2056) * CHOOSE(CONTROL!$C$15, $D$11, 100%, $F$11)</f>
        <v>40.209200000000003</v>
      </c>
      <c r="I1042" s="8">
        <f>CHOOSE( CONTROL!$C$32, 38.6731, 38.6696) * CHOOSE(CONTROL!$C$15, $D$11, 100%, $F$11)</f>
        <v>38.673099999999998</v>
      </c>
      <c r="J1042" s="4">
        <f>CHOOSE( CONTROL!$C$32, 38.5113, 38.5077) * CHOOSE(CONTROL!$C$15, $D$11, 100%, $F$11)</f>
        <v>38.511299999999999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41.4004, 41.3968) * CHOOSE(CONTROL!$C$15, $D$11, 100%, $F$11)</f>
        <v>41.400399999999998</v>
      </c>
      <c r="C1043" s="8">
        <f>CHOOSE( CONTROL!$C$32, 41.4084, 41.4047) * CHOOSE(CONTROL!$C$15, $D$11, 100%, $F$11)</f>
        <v>41.4084</v>
      </c>
      <c r="D1043" s="8">
        <f>CHOOSE( CONTROL!$C$32, 41.4466, 41.4429) * CHOOSE( CONTROL!$C$15, $D$11, 100%, $F$11)</f>
        <v>41.446599999999997</v>
      </c>
      <c r="E1043" s="12">
        <f>CHOOSE( CONTROL!$C$32, 41.4315, 41.4279) * CHOOSE( CONTROL!$C$15, $D$11, 100%, $F$11)</f>
        <v>41.4315</v>
      </c>
      <c r="F1043" s="4">
        <f>CHOOSE( CONTROL!$C$32, 42.1434, 42.1398) * CHOOSE(CONTROL!$C$15, $D$11, 100%, $F$11)</f>
        <v>42.1434</v>
      </c>
      <c r="G1043" s="8">
        <f>CHOOSE( CONTROL!$C$32, 40.9222, 40.9186) * CHOOSE( CONTROL!$C$15, $D$11, 100%, $F$11)</f>
        <v>40.922199999999997</v>
      </c>
      <c r="H1043" s="4">
        <f>CHOOSE( CONTROL!$C$32, 41.8965, 41.8929) * CHOOSE(CONTROL!$C$15, $D$11, 100%, $F$11)</f>
        <v>41.896500000000003</v>
      </c>
      <c r="I1043" s="8">
        <f>CHOOSE( CONTROL!$C$32, 40.3321, 40.3286) * CHOOSE(CONTROL!$C$15, $D$11, 100%, $F$11)</f>
        <v>40.332099999999997</v>
      </c>
      <c r="J1043" s="4">
        <f>CHOOSE( CONTROL!$C$32, 40.1683, 40.1647) * CHOOSE(CONTROL!$C$15, $D$11, 100%, $F$11)</f>
        <v>40.168300000000002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38.2057, 38.2021) * CHOOSE(CONTROL!$C$15, $D$11, 100%, $F$11)</f>
        <v>38.2057</v>
      </c>
      <c r="C1044" s="8">
        <f>CHOOSE( CONTROL!$C$32, 38.2137, 38.2101) * CHOOSE(CONTROL!$C$15, $D$11, 100%, $F$11)</f>
        <v>38.213700000000003</v>
      </c>
      <c r="D1044" s="8">
        <f>CHOOSE( CONTROL!$C$32, 38.252, 38.2483) * CHOOSE( CONTROL!$C$15, $D$11, 100%, $F$11)</f>
        <v>38.252000000000002</v>
      </c>
      <c r="E1044" s="12">
        <f>CHOOSE( CONTROL!$C$32, 38.2369, 38.2332) * CHOOSE( CONTROL!$C$15, $D$11, 100%, $F$11)</f>
        <v>38.236899999999999</v>
      </c>
      <c r="F1044" s="4">
        <f>CHOOSE( CONTROL!$C$32, 38.9488, 38.9451) * CHOOSE(CONTROL!$C$15, $D$11, 100%, $F$11)</f>
        <v>38.948799999999999</v>
      </c>
      <c r="G1044" s="8">
        <f>CHOOSE( CONTROL!$C$32, 37.765, 37.7614) * CHOOSE( CONTROL!$C$15, $D$11, 100%, $F$11)</f>
        <v>37.765000000000001</v>
      </c>
      <c r="H1044" s="4">
        <f>CHOOSE( CONTROL!$C$32, 38.7393, 38.7357) * CHOOSE(CONTROL!$C$15, $D$11, 100%, $F$11)</f>
        <v>38.7393</v>
      </c>
      <c r="I1044" s="8">
        <f>CHOOSE( CONTROL!$C$32, 37.2304, 37.2269) * CHOOSE(CONTROL!$C$15, $D$11, 100%, $F$11)</f>
        <v>37.230400000000003</v>
      </c>
      <c r="J1044" s="4">
        <f>CHOOSE( CONTROL!$C$32, 37.0679, 37.0643) * CHOOSE(CONTROL!$C$15, $D$11, 100%, $F$11)</f>
        <v>37.067900000000002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37.4058, 37.4021) * CHOOSE(CONTROL!$C$15, $D$11, 100%, $F$11)</f>
        <v>37.405799999999999</v>
      </c>
      <c r="C1045" s="8">
        <f>CHOOSE( CONTROL!$C$32, 37.4137, 37.4101) * CHOOSE(CONTROL!$C$15, $D$11, 100%, $F$11)</f>
        <v>37.413699999999999</v>
      </c>
      <c r="D1045" s="8">
        <f>CHOOSE( CONTROL!$C$32, 37.4519, 37.4483) * CHOOSE( CONTROL!$C$15, $D$11, 100%, $F$11)</f>
        <v>37.451900000000002</v>
      </c>
      <c r="E1045" s="12">
        <f>CHOOSE( CONTROL!$C$32, 37.4369, 37.4332) * CHOOSE( CONTROL!$C$15, $D$11, 100%, $F$11)</f>
        <v>37.436900000000001</v>
      </c>
      <c r="F1045" s="4">
        <f>CHOOSE( CONTROL!$C$32, 38.1488, 38.1451) * CHOOSE(CONTROL!$C$15, $D$11, 100%, $F$11)</f>
        <v>38.148800000000001</v>
      </c>
      <c r="G1045" s="8">
        <f>CHOOSE( CONTROL!$C$32, 36.9743, 36.9707) * CHOOSE( CONTROL!$C$15, $D$11, 100%, $F$11)</f>
        <v>36.974299999999999</v>
      </c>
      <c r="H1045" s="4">
        <f>CHOOSE( CONTROL!$C$32, 37.9487, 37.9451) * CHOOSE(CONTROL!$C$15, $D$11, 100%, $F$11)</f>
        <v>37.948700000000002</v>
      </c>
      <c r="I1045" s="8">
        <f>CHOOSE( CONTROL!$C$32, 36.4533, 36.4497) * CHOOSE(CONTROL!$C$15, $D$11, 100%, $F$11)</f>
        <v>36.453299999999999</v>
      </c>
      <c r="J1045" s="4">
        <f>CHOOSE( CONTROL!$C$32, 36.2915, 36.2879) * CHOOSE(CONTROL!$C$15, $D$11, 100%, $F$11)</f>
        <v>36.291499999999999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39.0614 * CHOOSE(CONTROL!$C$15, $D$11, 100%, $F$11)</f>
        <v>39.061399999999999</v>
      </c>
      <c r="C1046" s="8">
        <f>39.0668 * CHOOSE(CONTROL!$C$15, $D$11, 100%, $F$11)</f>
        <v>39.066800000000001</v>
      </c>
      <c r="D1046" s="8">
        <f>39.1103 * CHOOSE( CONTROL!$C$15, $D$11, 100%, $F$11)</f>
        <v>39.110300000000002</v>
      </c>
      <c r="E1046" s="12">
        <f>39.0954 * CHOOSE( CONTROL!$C$15, $D$11, 100%, $F$11)</f>
        <v>39.095399999999998</v>
      </c>
      <c r="F1046" s="4">
        <f>39.8062 * CHOOSE(CONTROL!$C$15, $D$11, 100%, $F$11)</f>
        <v>39.806199999999997</v>
      </c>
      <c r="G1046" s="8">
        <f>38.6117 * CHOOSE( CONTROL!$C$15, $D$11, 100%, $F$11)</f>
        <v>38.611699999999999</v>
      </c>
      <c r="H1046" s="4">
        <f>39.5866 * CHOOSE(CONTROL!$C$15, $D$11, 100%, $F$11)</f>
        <v>39.586599999999997</v>
      </c>
      <c r="I1046" s="8">
        <f>38.0633 * CHOOSE(CONTROL!$C$15, $D$11, 100%, $F$11)</f>
        <v>38.063299999999998</v>
      </c>
      <c r="J1046" s="4">
        <f>37.9 * CHOOSE(CONTROL!$C$15, $D$11, 100%, $F$11)</f>
        <v>37.9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42.127 * CHOOSE(CONTROL!$C$15, $D$11, 100%, $F$11)</f>
        <v>42.127000000000002</v>
      </c>
      <c r="C1047" s="8">
        <f>42.132 * CHOOSE(CONTROL!$C$15, $D$11, 100%, $F$11)</f>
        <v>42.131999999999998</v>
      </c>
      <c r="D1047" s="8">
        <f>42.1157 * CHOOSE( CONTROL!$C$15, $D$11, 100%, $F$11)</f>
        <v>42.115699999999997</v>
      </c>
      <c r="E1047" s="12">
        <f>42.1211 * CHOOSE( CONTROL!$C$15, $D$11, 100%, $F$11)</f>
        <v>42.121099999999998</v>
      </c>
      <c r="F1047" s="4">
        <f>42.7922 * CHOOSE(CONTROL!$C$15, $D$11, 100%, $F$11)</f>
        <v>42.792200000000001</v>
      </c>
      <c r="G1047" s="8">
        <f>41.6424 * CHOOSE( CONTROL!$C$15, $D$11, 100%, $F$11)</f>
        <v>41.642400000000002</v>
      </c>
      <c r="H1047" s="4">
        <f>42.5378 * CHOOSE(CONTROL!$C$15, $D$11, 100%, $F$11)</f>
        <v>42.537799999999997</v>
      </c>
      <c r="I1047" s="8">
        <f>41.0404 * CHOOSE(CONTROL!$C$15, $D$11, 100%, $F$11)</f>
        <v>41.040399999999998</v>
      </c>
      <c r="J1047" s="4">
        <f>40.8755 * CHOOSE(CONTROL!$C$15, $D$11, 100%, $F$11)</f>
        <v>40.875500000000002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42.0504 * CHOOSE(CONTROL!$C$15, $D$11, 100%, $F$11)</f>
        <v>42.050400000000003</v>
      </c>
      <c r="C1048" s="8">
        <f>42.0554 * CHOOSE(CONTROL!$C$15, $D$11, 100%, $F$11)</f>
        <v>42.055399999999999</v>
      </c>
      <c r="D1048" s="8">
        <f>42.0408 * CHOOSE( CONTROL!$C$15, $D$11, 100%, $F$11)</f>
        <v>42.040799999999997</v>
      </c>
      <c r="E1048" s="12">
        <f>42.0456 * CHOOSE( CONTROL!$C$15, $D$11, 100%, $F$11)</f>
        <v>42.0456</v>
      </c>
      <c r="F1048" s="4">
        <f>42.7156 * CHOOSE(CONTROL!$C$15, $D$11, 100%, $F$11)</f>
        <v>42.715600000000002</v>
      </c>
      <c r="G1048" s="8">
        <f>41.5679 * CHOOSE( CONTROL!$C$15, $D$11, 100%, $F$11)</f>
        <v>41.567900000000002</v>
      </c>
      <c r="H1048" s="4">
        <f>42.4621 * CHOOSE(CONTROL!$C$15, $D$11, 100%, $F$11)</f>
        <v>42.4621</v>
      </c>
      <c r="I1048" s="8">
        <f>40.9714 * CHOOSE(CONTROL!$C$15, $D$11, 100%, $F$11)</f>
        <v>40.971400000000003</v>
      </c>
      <c r="J1048" s="4">
        <f>40.8011 * CHOOSE(CONTROL!$C$15, $D$11, 100%, $F$11)</f>
        <v>40.801099999999998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1">AVERAGE(B17:B28)</f>
        <v>2.9512499999999999</v>
      </c>
      <c r="C1050" s="8">
        <f t="shared" si="1"/>
        <v>2.9574999999999996</v>
      </c>
      <c r="D1050" s="8">
        <f t="shared" si="1"/>
        <v>2.9387666666666665</v>
      </c>
      <c r="E1050" s="8">
        <f t="shared" si="1"/>
        <v>2.9445250000000005</v>
      </c>
      <c r="F1050" s="4">
        <f t="shared" si="1"/>
        <v>3.6357166666666672</v>
      </c>
      <c r="G1050" s="8">
        <f t="shared" si="1"/>
        <v>2.9090000000000003</v>
      </c>
      <c r="H1050" s="4">
        <f t="shared" si="1"/>
        <v>3.8397749999999999</v>
      </c>
      <c r="I1050" s="8"/>
      <c r="J1050" s="4">
        <f>AVERAGE(J17:J28)</f>
        <v>2.8544583333333331</v>
      </c>
      <c r="K1050" s="4">
        <f>AVERAGE(K17:K28)</f>
        <v>2.9157083333333333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2">AVERAGE(B29:B40)</f>
        <v>3.3500166666666669</v>
      </c>
      <c r="C1051" s="8">
        <f t="shared" si="2"/>
        <v>3.3562583333333329</v>
      </c>
      <c r="D1051" s="8">
        <f t="shared" si="2"/>
        <v>3.3552</v>
      </c>
      <c r="E1051" s="8">
        <f t="shared" si="2"/>
        <v>3.355083333333333</v>
      </c>
      <c r="F1051" s="4">
        <f t="shared" si="2"/>
        <v>4.0608750000000002</v>
      </c>
      <c r="G1051" s="8">
        <f t="shared" si="2"/>
        <v>3.316533333333334</v>
      </c>
      <c r="H1051" s="4">
        <f t="shared" si="2"/>
        <v>4.2599833333333335</v>
      </c>
      <c r="I1051" s="8"/>
      <c r="J1051" s="4">
        <f>AVERAGE(J29:J40)</f>
        <v>3.2414583333333336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3.5999999999999992</v>
      </c>
      <c r="S1051" s="5"/>
    </row>
    <row r="1052" spans="1:19" ht="15" customHeight="1">
      <c r="A1052" s="3">
        <v>2017</v>
      </c>
      <c r="B1052" s="8">
        <f t="shared" ref="B1052:J1052" si="3">AVERAGE(B41:B52)</f>
        <v>3.6575749999999996</v>
      </c>
      <c r="C1052" s="8">
        <f t="shared" si="3"/>
        <v>3.6638416666666669</v>
      </c>
      <c r="D1052" s="8">
        <f t="shared" si="3"/>
        <v>3.6601416666666662</v>
      </c>
      <c r="E1052" s="8">
        <f t="shared" si="3"/>
        <v>3.6607500000000002</v>
      </c>
      <c r="F1052" s="4">
        <f t="shared" si="3"/>
        <v>4.3684583333333338</v>
      </c>
      <c r="G1052" s="8">
        <f t="shared" si="3"/>
        <v>3.6200666666666668</v>
      </c>
      <c r="H1052" s="4">
        <f t="shared" si="3"/>
        <v>4.5639583333333338</v>
      </c>
      <c r="I1052" s="8">
        <f t="shared" si="3"/>
        <v>3.6857250000000001</v>
      </c>
      <c r="J1052" s="4">
        <f t="shared" si="3"/>
        <v>3.5399583333333329</v>
      </c>
      <c r="K1052" s="4"/>
      <c r="L1052" s="5">
        <f t="shared" ref="L1052:Q1052" si="4">SUM(L41:L52)</f>
        <v>355.53689999999995</v>
      </c>
      <c r="M1052" s="5">
        <f t="shared" si="4"/>
        <v>142.0401</v>
      </c>
      <c r="N1052" s="5">
        <f t="shared" si="4"/>
        <v>58.217499999999994</v>
      </c>
      <c r="O1052" s="5">
        <f t="shared" si="4"/>
        <v>4.4046000000000003</v>
      </c>
      <c r="P1052" s="5">
        <f t="shared" si="4"/>
        <v>20.805900000000001</v>
      </c>
      <c r="Q1052" s="5">
        <f t="shared" si="4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5">AVERAGE(B53:B64)</f>
        <v>4.0760583333333331</v>
      </c>
      <c r="C1053" s="8">
        <f t="shared" si="5"/>
        <v>4.0823083333333336</v>
      </c>
      <c r="D1053" s="8">
        <f t="shared" si="5"/>
        <v>4.0955750000000002</v>
      </c>
      <c r="E1053" s="8">
        <f t="shared" si="5"/>
        <v>4.0902000000000003</v>
      </c>
      <c r="F1053" s="4">
        <f t="shared" si="5"/>
        <v>4.7869416666666673</v>
      </c>
      <c r="G1053" s="8">
        <f t="shared" si="5"/>
        <v>4.0336333333333334</v>
      </c>
      <c r="H1053" s="4">
        <f t="shared" si="5"/>
        <v>4.9775333333333327</v>
      </c>
      <c r="I1053" s="8">
        <f t="shared" si="5"/>
        <v>4.0920749999999995</v>
      </c>
      <c r="J1053" s="4">
        <f t="shared" si="5"/>
        <v>3.9461083333333336</v>
      </c>
      <c r="K1053" s="4"/>
      <c r="L1053" s="5">
        <f t="shared" ref="L1053:Q1053" si="6">SUM(L53:L64)</f>
        <v>355.53689999999995</v>
      </c>
      <c r="M1053" s="5">
        <f t="shared" si="6"/>
        <v>142.0401</v>
      </c>
      <c r="N1053" s="5">
        <f t="shared" si="6"/>
        <v>58.217499999999994</v>
      </c>
      <c r="O1053" s="5">
        <f t="shared" si="6"/>
        <v>4.4046000000000003</v>
      </c>
      <c r="P1053" s="5">
        <f t="shared" si="6"/>
        <v>14.707600000000001</v>
      </c>
      <c r="Q1053" s="5">
        <f t="shared" si="6"/>
        <v>293.19730000000004</v>
      </c>
      <c r="R1053" s="5"/>
      <c r="S1053" s="4"/>
    </row>
    <row r="1054" spans="1:19" ht="15.75" customHeight="1">
      <c r="A1054" s="3">
        <v>2019</v>
      </c>
      <c r="B1054" s="8">
        <f t="shared" ref="B1054:J1054" si="7">AVERAGE(B65:B76)</f>
        <v>4.2958916666666669</v>
      </c>
      <c r="C1054" s="8">
        <f t="shared" si="7"/>
        <v>4.3021500000000001</v>
      </c>
      <c r="D1054" s="8">
        <f t="shared" si="7"/>
        <v>4.3154166666666667</v>
      </c>
      <c r="E1054" s="8">
        <f t="shared" si="7"/>
        <v>4.3100416666666668</v>
      </c>
      <c r="F1054" s="4">
        <f t="shared" si="7"/>
        <v>5.0067666666666675</v>
      </c>
      <c r="G1054" s="8">
        <f t="shared" si="7"/>
        <v>4.2508999999999997</v>
      </c>
      <c r="H1054" s="4">
        <f t="shared" si="7"/>
        <v>5.1947666666666672</v>
      </c>
      <c r="I1054" s="8">
        <f t="shared" si="7"/>
        <v>4.3054999999999994</v>
      </c>
      <c r="J1054" s="4">
        <f t="shared" si="7"/>
        <v>4.1594583333333333</v>
      </c>
      <c r="K1054" s="4"/>
      <c r="L1054" s="5">
        <f t="shared" ref="L1054:Q1054" si="8">SUM(L65:L76)</f>
        <v>355.53689999999995</v>
      </c>
      <c r="M1054" s="5">
        <f t="shared" si="8"/>
        <v>142.0401</v>
      </c>
      <c r="N1054" s="5">
        <f t="shared" si="8"/>
        <v>58.217499999999994</v>
      </c>
      <c r="O1054" s="5">
        <f t="shared" si="8"/>
        <v>4.4046000000000003</v>
      </c>
      <c r="P1054" s="5">
        <f t="shared" si="8"/>
        <v>14.707600000000001</v>
      </c>
      <c r="Q1054" s="5">
        <f t="shared" si="8"/>
        <v>290.24799999999999</v>
      </c>
      <c r="R1054" s="5"/>
      <c r="S1054" s="4"/>
    </row>
    <row r="1055" spans="1:19" ht="15.75" customHeight="1">
      <c r="A1055" s="3">
        <v>2020</v>
      </c>
      <c r="B1055" s="8">
        <f t="shared" ref="B1055:J1055" si="9">AVERAGE(B77:B88)</f>
        <v>5.1632916666666668</v>
      </c>
      <c r="C1055" s="8">
        <f t="shared" si="9"/>
        <v>5.1695333333333329</v>
      </c>
      <c r="D1055" s="8">
        <f t="shared" si="9"/>
        <v>5.182808333333333</v>
      </c>
      <c r="E1055" s="8">
        <f t="shared" si="9"/>
        <v>5.177433333333334</v>
      </c>
      <c r="F1055" s="4">
        <f t="shared" si="9"/>
        <v>5.8741500000000002</v>
      </c>
      <c r="G1055" s="8">
        <f t="shared" si="9"/>
        <v>5.108133333333333</v>
      </c>
      <c r="H1055" s="4">
        <f t="shared" si="9"/>
        <v>6.0520083333333332</v>
      </c>
      <c r="I1055" s="8">
        <f t="shared" si="9"/>
        <v>5.1477333333333331</v>
      </c>
      <c r="J1055" s="4">
        <f t="shared" si="9"/>
        <v>5.0012333333333334</v>
      </c>
      <c r="K1055" s="4"/>
      <c r="L1055" s="5">
        <f t="shared" ref="L1055:Q1055" si="10">SUM(L77:L88)</f>
        <v>356.48229999999995</v>
      </c>
      <c r="M1055" s="5">
        <f t="shared" si="10"/>
        <v>142.42920000000001</v>
      </c>
      <c r="N1055" s="5">
        <f t="shared" si="10"/>
        <v>58.377000000000002</v>
      </c>
      <c r="O1055" s="5">
        <f t="shared" si="10"/>
        <v>4.4165999999999999</v>
      </c>
      <c r="P1055" s="5">
        <f t="shared" si="10"/>
        <v>14.7493</v>
      </c>
      <c r="Q1055" s="5">
        <f t="shared" si="10"/>
        <v>349.04309999999998</v>
      </c>
      <c r="R1055" s="5"/>
      <c r="S1055" s="4"/>
    </row>
    <row r="1056" spans="1:19" ht="15.75" customHeight="1">
      <c r="A1056" s="3">
        <v>2021</v>
      </c>
      <c r="B1056" s="8">
        <f t="shared" ref="B1056:J1056" si="11">AVERAGE(B89:B100)</f>
        <v>5.5681083333333339</v>
      </c>
      <c r="C1056" s="8">
        <f t="shared" si="11"/>
        <v>5.5743666666666662</v>
      </c>
      <c r="D1056" s="8">
        <f t="shared" si="11"/>
        <v>5.5876333333333328</v>
      </c>
      <c r="E1056" s="8">
        <f t="shared" si="11"/>
        <v>5.5822583333333329</v>
      </c>
      <c r="F1056" s="4">
        <f t="shared" si="11"/>
        <v>6.2789833333333327</v>
      </c>
      <c r="G1056" s="8">
        <f t="shared" si="11"/>
        <v>5.5081999999999995</v>
      </c>
      <c r="H1056" s="4">
        <f t="shared" si="11"/>
        <v>6.4520833333333334</v>
      </c>
      <c r="I1056" s="8">
        <f t="shared" si="11"/>
        <v>5.5408166666666672</v>
      </c>
      <c r="J1056" s="4">
        <f t="shared" si="11"/>
        <v>5.3941249999999989</v>
      </c>
      <c r="K1056" s="4"/>
      <c r="L1056" s="5">
        <f t="shared" ref="L1056:Q1056" si="12">SUM(L89:L100)</f>
        <v>355.53689999999995</v>
      </c>
      <c r="M1056" s="5">
        <f t="shared" si="12"/>
        <v>142.0401</v>
      </c>
      <c r="N1056" s="5">
        <f t="shared" si="12"/>
        <v>58.217499999999994</v>
      </c>
      <c r="O1056" s="5">
        <f t="shared" si="12"/>
        <v>4.4046000000000003</v>
      </c>
      <c r="P1056" s="5">
        <f t="shared" si="12"/>
        <v>14.707600000000001</v>
      </c>
      <c r="Q1056" s="5">
        <f t="shared" si="12"/>
        <v>388.68129999999996</v>
      </c>
      <c r="R1056" s="5"/>
      <c r="S1056" s="4"/>
    </row>
    <row r="1057" spans="1:19" ht="15.75" customHeight="1">
      <c r="A1057" s="3">
        <v>2022</v>
      </c>
      <c r="B1057" s="8">
        <f t="shared" ref="B1057:J1057" si="13">AVERAGE(B101:B112)</f>
        <v>5.870000000000001</v>
      </c>
      <c r="C1057" s="8">
        <f t="shared" si="13"/>
        <v>5.8762583333333334</v>
      </c>
      <c r="D1057" s="8">
        <f t="shared" si="13"/>
        <v>5.889524999999999</v>
      </c>
      <c r="E1057" s="8">
        <f t="shared" si="13"/>
        <v>5.8841583333333345</v>
      </c>
      <c r="F1057" s="4">
        <f t="shared" si="13"/>
        <v>6.5808749999999998</v>
      </c>
      <c r="G1057" s="8">
        <f t="shared" si="13"/>
        <v>5.806566666666666</v>
      </c>
      <c r="H1057" s="4">
        <f t="shared" si="13"/>
        <v>6.7504749999999989</v>
      </c>
      <c r="I1057" s="8">
        <f t="shared" si="13"/>
        <v>5.8339583333333342</v>
      </c>
      <c r="J1057" s="4">
        <f t="shared" si="13"/>
        <v>5.6871333333333327</v>
      </c>
      <c r="K1057" s="4"/>
      <c r="L1057" s="5">
        <f t="shared" ref="L1057:Q1057" si="14">SUM(L101:L112)</f>
        <v>355.53689999999995</v>
      </c>
      <c r="M1057" s="5">
        <f t="shared" si="14"/>
        <v>142.0401</v>
      </c>
      <c r="N1057" s="5">
        <f t="shared" si="14"/>
        <v>58.217499999999994</v>
      </c>
      <c r="O1057" s="5">
        <f t="shared" si="14"/>
        <v>4.4046000000000003</v>
      </c>
      <c r="P1057" s="5">
        <f t="shared" si="14"/>
        <v>14.707600000000001</v>
      </c>
      <c r="Q1057" s="5">
        <f t="shared" si="14"/>
        <v>386.33820000000003</v>
      </c>
      <c r="R1057" s="5"/>
      <c r="S1057" s="4"/>
    </row>
    <row r="1058" spans="1:19" ht="15.75" customHeight="1">
      <c r="A1058" s="3">
        <v>2023</v>
      </c>
      <c r="B1058" s="8">
        <f t="shared" ref="B1058:J1058" si="15">AVERAGE(B113:B124)</f>
        <v>6.114325</v>
      </c>
      <c r="C1058" s="8">
        <f t="shared" si="15"/>
        <v>6.1205749999999997</v>
      </c>
      <c r="D1058" s="8">
        <f t="shared" si="15"/>
        <v>6.1338499999999989</v>
      </c>
      <c r="E1058" s="8">
        <f t="shared" si="15"/>
        <v>6.1284833333333326</v>
      </c>
      <c r="F1058" s="4">
        <f t="shared" si="15"/>
        <v>6.8251999999999997</v>
      </c>
      <c r="G1058" s="8">
        <f t="shared" si="15"/>
        <v>6.0480166666666655</v>
      </c>
      <c r="H1058" s="4">
        <f t="shared" si="15"/>
        <v>6.9919083333333338</v>
      </c>
      <c r="I1058" s="8">
        <f t="shared" si="15"/>
        <v>6.0711833333333338</v>
      </c>
      <c r="J1058" s="4">
        <f t="shared" si="15"/>
        <v>5.9242249999999999</v>
      </c>
      <c r="K1058" s="4"/>
      <c r="L1058" s="5">
        <f t="shared" ref="L1058:Q1058" si="16">SUM(L113:L124)</f>
        <v>355.53689999999995</v>
      </c>
      <c r="M1058" s="5">
        <f t="shared" si="16"/>
        <v>142.0401</v>
      </c>
      <c r="N1058" s="5">
        <f t="shared" si="16"/>
        <v>58.217499999999994</v>
      </c>
      <c r="O1058" s="5">
        <f t="shared" si="16"/>
        <v>4.4046000000000003</v>
      </c>
      <c r="P1058" s="5">
        <f t="shared" si="16"/>
        <v>14.707600000000001</v>
      </c>
      <c r="Q1058" s="5">
        <f t="shared" si="16"/>
        <v>384.12599999999998</v>
      </c>
      <c r="R1058" s="5"/>
      <c r="S1058" s="4"/>
    </row>
    <row r="1059" spans="1:19" ht="15.75" customHeight="1">
      <c r="A1059" s="3">
        <v>2024</v>
      </c>
      <c r="B1059" s="8">
        <f t="shared" ref="B1059:J1059" si="17">AVERAGE(B125:B136)</f>
        <v>6.3012083333333342</v>
      </c>
      <c r="C1059" s="8">
        <f t="shared" si="17"/>
        <v>6.3074750000000002</v>
      </c>
      <c r="D1059" s="8">
        <f t="shared" si="17"/>
        <v>6.3207250000000004</v>
      </c>
      <c r="E1059" s="8">
        <f t="shared" si="17"/>
        <v>6.3153666666666668</v>
      </c>
      <c r="F1059" s="4">
        <f t="shared" si="17"/>
        <v>7.0120916666666666</v>
      </c>
      <c r="G1059" s="8">
        <f t="shared" si="17"/>
        <v>6.2327249999999994</v>
      </c>
      <c r="H1059" s="4">
        <f t="shared" si="17"/>
        <v>7.1766166666666669</v>
      </c>
      <c r="I1059" s="8">
        <f t="shared" si="17"/>
        <v>6.2526666666666664</v>
      </c>
      <c r="J1059" s="4">
        <f t="shared" si="17"/>
        <v>6.1056166666666654</v>
      </c>
      <c r="K1059" s="4"/>
      <c r="L1059" s="5">
        <f t="shared" ref="L1059:Q1059" si="18">SUM(L125:L136)</f>
        <v>356.48229999999995</v>
      </c>
      <c r="M1059" s="5">
        <f t="shared" si="18"/>
        <v>142.42920000000001</v>
      </c>
      <c r="N1059" s="5">
        <f t="shared" si="18"/>
        <v>58.377000000000002</v>
      </c>
      <c r="O1059" s="5">
        <f t="shared" si="18"/>
        <v>4.4165999999999999</v>
      </c>
      <c r="P1059" s="5">
        <f t="shared" si="18"/>
        <v>14.7493</v>
      </c>
      <c r="Q1059" s="5">
        <f t="shared" si="18"/>
        <v>383.00459999999998</v>
      </c>
      <c r="R1059" s="5"/>
      <c r="S1059" s="4"/>
    </row>
    <row r="1060" spans="1:19" ht="15.75" customHeight="1">
      <c r="A1060" s="3">
        <v>2025</v>
      </c>
      <c r="B1060" s="8">
        <f t="shared" ref="B1060:J1060" si="19">AVERAGE(B137:B148)</f>
        <v>6.4931583333333336</v>
      </c>
      <c r="C1060" s="8">
        <f t="shared" si="19"/>
        <v>6.4993916666666678</v>
      </c>
      <c r="D1060" s="8">
        <f t="shared" si="19"/>
        <v>6.512666666666667</v>
      </c>
      <c r="E1060" s="8">
        <f t="shared" si="19"/>
        <v>6.5072999999999999</v>
      </c>
      <c r="F1060" s="4">
        <f t="shared" si="19"/>
        <v>7.2040250000000006</v>
      </c>
      <c r="G1060" s="8">
        <f t="shared" si="19"/>
        <v>6.4224000000000006</v>
      </c>
      <c r="H1060" s="4">
        <f t="shared" si="19"/>
        <v>7.3663166666666671</v>
      </c>
      <c r="I1060" s="8">
        <f t="shared" si="19"/>
        <v>6.4390166666666673</v>
      </c>
      <c r="J1060" s="4">
        <f t="shared" si="19"/>
        <v>6.2918916666666673</v>
      </c>
      <c r="K1060" s="4"/>
      <c r="L1060" s="5">
        <f t="shared" ref="L1060:Q1060" si="20">SUM(L137:L148)</f>
        <v>355.53689999999995</v>
      </c>
      <c r="M1060" s="5">
        <f t="shared" si="20"/>
        <v>142.0401</v>
      </c>
      <c r="N1060" s="5">
        <f t="shared" si="20"/>
        <v>58.217499999999994</v>
      </c>
      <c r="O1060" s="5">
        <f t="shared" si="20"/>
        <v>4.4046000000000003</v>
      </c>
      <c r="P1060" s="5">
        <f t="shared" si="20"/>
        <v>14.707600000000001</v>
      </c>
      <c r="Q1060" s="5">
        <f t="shared" si="20"/>
        <v>379.76819999999998</v>
      </c>
      <c r="R1060" s="5"/>
      <c r="S1060" s="4"/>
    </row>
    <row r="1061" spans="1:19" ht="15.75" customHeight="1">
      <c r="A1061" s="3">
        <v>2026</v>
      </c>
      <c r="B1061" s="8">
        <f t="shared" ref="B1061:J1061" si="21">AVERAGE(B149:B160)</f>
        <v>6.6902416666666662</v>
      </c>
      <c r="C1061" s="8">
        <f t="shared" si="21"/>
        <v>6.6964916666666667</v>
      </c>
      <c r="D1061" s="8">
        <f t="shared" si="21"/>
        <v>6.7097499999999997</v>
      </c>
      <c r="E1061" s="8">
        <f t="shared" si="21"/>
        <v>6.704391666666667</v>
      </c>
      <c r="F1061" s="4">
        <f t="shared" si="21"/>
        <v>7.4011166666666677</v>
      </c>
      <c r="G1061" s="8">
        <f t="shared" si="21"/>
        <v>6.6171916666666668</v>
      </c>
      <c r="H1061" s="4">
        <f t="shared" si="21"/>
        <v>7.5610916666666661</v>
      </c>
      <c r="I1061" s="8">
        <f t="shared" si="21"/>
        <v>6.6304000000000016</v>
      </c>
      <c r="J1061" s="4">
        <f t="shared" si="21"/>
        <v>6.4831666666666683</v>
      </c>
      <c r="K1061" s="4"/>
      <c r="L1061" s="5">
        <f t="shared" ref="L1061:Q1061" si="22">SUM(L149:L160)</f>
        <v>355.53689999999995</v>
      </c>
      <c r="M1061" s="5">
        <f t="shared" si="22"/>
        <v>142.0401</v>
      </c>
      <c r="N1061" s="5">
        <f t="shared" si="22"/>
        <v>58.217499999999994</v>
      </c>
      <c r="O1061" s="5">
        <f t="shared" si="22"/>
        <v>4.4046000000000003</v>
      </c>
      <c r="P1061" s="5">
        <f t="shared" si="22"/>
        <v>14.707600000000001</v>
      </c>
      <c r="Q1061" s="5">
        <f t="shared" si="22"/>
        <v>377.59969999999987</v>
      </c>
      <c r="R1061" s="5"/>
      <c r="S1061" s="4"/>
    </row>
    <row r="1062" spans="1:19" ht="15.75" customHeight="1">
      <c r="A1062" s="3">
        <v>2027</v>
      </c>
      <c r="B1062" s="8">
        <f t="shared" ref="B1062:J1062" si="23">AVERAGE(B161:B172)</f>
        <v>6.8926249999999998</v>
      </c>
      <c r="C1062" s="8">
        <f t="shared" si="23"/>
        <v>6.898883333333333</v>
      </c>
      <c r="D1062" s="8">
        <f t="shared" si="23"/>
        <v>6.9121333333333332</v>
      </c>
      <c r="E1062" s="8">
        <f t="shared" si="23"/>
        <v>6.9067666666666661</v>
      </c>
      <c r="F1062" s="4">
        <f t="shared" si="23"/>
        <v>7.6035000000000004</v>
      </c>
      <c r="G1062" s="8">
        <f t="shared" si="23"/>
        <v>6.8172083333333333</v>
      </c>
      <c r="H1062" s="4">
        <f t="shared" si="23"/>
        <v>7.7610999999999999</v>
      </c>
      <c r="I1062" s="8">
        <f t="shared" si="23"/>
        <v>6.8269166666666665</v>
      </c>
      <c r="J1062" s="4">
        <f t="shared" si="23"/>
        <v>6.6795833333333334</v>
      </c>
      <c r="K1062" s="4"/>
      <c r="L1062" s="5">
        <f t="shared" ref="L1062:Q1062" si="24">SUM(L161:L172)</f>
        <v>355.53689999999995</v>
      </c>
      <c r="M1062" s="5">
        <f t="shared" si="24"/>
        <v>142.0401</v>
      </c>
      <c r="N1062" s="5">
        <f t="shared" si="24"/>
        <v>58.217499999999994</v>
      </c>
      <c r="O1062" s="5">
        <f t="shared" si="24"/>
        <v>4.4046000000000003</v>
      </c>
      <c r="P1062" s="5">
        <f t="shared" si="24"/>
        <v>14.707600000000001</v>
      </c>
      <c r="Q1062" s="5">
        <f t="shared" si="24"/>
        <v>375.43180000000001</v>
      </c>
      <c r="R1062" s="5"/>
      <c r="S1062" s="4"/>
    </row>
    <row r="1063" spans="1:19" ht="15.75" customHeight="1">
      <c r="A1063" s="3">
        <v>2028</v>
      </c>
      <c r="B1063" s="8">
        <f t="shared" ref="B1063:J1063" si="25">AVERAGE(B173:B184)</f>
        <v>7.1004333333333349</v>
      </c>
      <c r="C1063" s="8">
        <f t="shared" si="25"/>
        <v>7.1066916666666673</v>
      </c>
      <c r="D1063" s="8">
        <f t="shared" si="25"/>
        <v>7.1199583333333329</v>
      </c>
      <c r="E1063" s="8">
        <f t="shared" si="25"/>
        <v>7.1146000000000003</v>
      </c>
      <c r="F1063" s="4">
        <f t="shared" si="25"/>
        <v>7.8113250000000001</v>
      </c>
      <c r="G1063" s="8">
        <f t="shared" si="25"/>
        <v>7.022591666666667</v>
      </c>
      <c r="H1063" s="4">
        <f t="shared" si="25"/>
        <v>7.9664833333333336</v>
      </c>
      <c r="I1063" s="8">
        <f t="shared" si="25"/>
        <v>7.0286916666666661</v>
      </c>
      <c r="J1063" s="4">
        <f t="shared" si="25"/>
        <v>6.881266666666666</v>
      </c>
      <c r="K1063" s="4"/>
      <c r="L1063" s="5">
        <f t="shared" ref="L1063:Q1063" si="26">SUM(L173:L184)</f>
        <v>356.48229999999995</v>
      </c>
      <c r="M1063" s="5">
        <f t="shared" si="26"/>
        <v>142.42920000000001</v>
      </c>
      <c r="N1063" s="5">
        <f t="shared" si="26"/>
        <v>58.377000000000002</v>
      </c>
      <c r="O1063" s="5">
        <f t="shared" si="26"/>
        <v>4.4165999999999999</v>
      </c>
      <c r="P1063" s="5">
        <f t="shared" si="26"/>
        <v>14.7493</v>
      </c>
      <c r="Q1063" s="5">
        <f t="shared" si="26"/>
        <v>374.28599999999994</v>
      </c>
      <c r="R1063" s="5"/>
      <c r="S1063" s="4"/>
    </row>
    <row r="1064" spans="1:19" ht="15.75" customHeight="1">
      <c r="A1064" s="3">
        <v>2029</v>
      </c>
      <c r="B1064" s="8">
        <f t="shared" ref="B1064:J1064" si="27">AVERAGE(B185:B196)</f>
        <v>7.3138083333333341</v>
      </c>
      <c r="C1064" s="8">
        <f t="shared" si="27"/>
        <v>7.3200583333333329</v>
      </c>
      <c r="D1064" s="8">
        <f t="shared" si="27"/>
        <v>7.333333333333333</v>
      </c>
      <c r="E1064" s="8">
        <f t="shared" si="27"/>
        <v>7.3279500000000004</v>
      </c>
      <c r="F1064" s="4">
        <f t="shared" si="27"/>
        <v>8.0246833333333338</v>
      </c>
      <c r="G1064" s="8">
        <f t="shared" si="27"/>
        <v>7.233458333333334</v>
      </c>
      <c r="H1064" s="4">
        <f t="shared" si="27"/>
        <v>8.177341666666667</v>
      </c>
      <c r="I1064" s="8">
        <f t="shared" si="27"/>
        <v>7.2358666666666673</v>
      </c>
      <c r="J1064" s="4">
        <f t="shared" si="27"/>
        <v>7.0883499999999993</v>
      </c>
      <c r="K1064" s="4"/>
      <c r="L1064" s="5">
        <f t="shared" ref="L1064:Q1064" si="28">SUM(L185:L196)</f>
        <v>355.53689999999995</v>
      </c>
      <c r="M1064" s="5">
        <f t="shared" si="28"/>
        <v>142.0401</v>
      </c>
      <c r="N1064" s="5">
        <f t="shared" si="28"/>
        <v>58.217499999999994</v>
      </c>
      <c r="O1064" s="5">
        <f t="shared" si="28"/>
        <v>4.4046000000000003</v>
      </c>
      <c r="P1064" s="5">
        <f t="shared" si="28"/>
        <v>14.707600000000001</v>
      </c>
      <c r="Q1064" s="5">
        <f t="shared" si="28"/>
        <v>371.09549999999996</v>
      </c>
      <c r="R1064" s="5"/>
      <c r="S1064" s="4"/>
    </row>
    <row r="1065" spans="1:19" ht="15.75" customHeight="1">
      <c r="A1065" s="3">
        <v>2030</v>
      </c>
      <c r="B1065" s="8">
        <f t="shared" ref="B1065:J1065" si="29">AVERAGE(B197:B208)</f>
        <v>7.5328750000000015</v>
      </c>
      <c r="C1065" s="8">
        <f t="shared" si="29"/>
        <v>7.5391166666666658</v>
      </c>
      <c r="D1065" s="8">
        <f t="shared" si="29"/>
        <v>7.5524083333333332</v>
      </c>
      <c r="E1065" s="8">
        <f t="shared" si="29"/>
        <v>7.5470250000000005</v>
      </c>
      <c r="F1065" s="4">
        <f t="shared" si="29"/>
        <v>8.2437500000000004</v>
      </c>
      <c r="G1065" s="8">
        <f t="shared" si="29"/>
        <v>7.4499666666666675</v>
      </c>
      <c r="H1065" s="4">
        <f t="shared" si="29"/>
        <v>8.3938416666666651</v>
      </c>
      <c r="I1065" s="8">
        <f t="shared" si="29"/>
        <v>7.4485750000000008</v>
      </c>
      <c r="J1065" s="4">
        <f t="shared" si="29"/>
        <v>7.3009333333333339</v>
      </c>
      <c r="K1065" s="4"/>
      <c r="L1065" s="5">
        <f t="shared" ref="L1065:Q1065" si="30">SUM(L197:L208)</f>
        <v>355.53689999999995</v>
      </c>
      <c r="M1065" s="5">
        <f t="shared" si="30"/>
        <v>142.0401</v>
      </c>
      <c r="N1065" s="5">
        <f t="shared" si="30"/>
        <v>58.217499999999994</v>
      </c>
      <c r="O1065" s="5">
        <f t="shared" si="30"/>
        <v>4.4046000000000003</v>
      </c>
      <c r="P1065" s="5">
        <f t="shared" si="30"/>
        <v>14.707600000000001</v>
      </c>
      <c r="Q1065" s="5">
        <f t="shared" si="30"/>
        <v>368.9276999999999</v>
      </c>
      <c r="R1065" s="5"/>
      <c r="S1065" s="4"/>
    </row>
    <row r="1066" spans="1:19" ht="15.75" customHeight="1">
      <c r="A1066" s="3">
        <v>2031</v>
      </c>
      <c r="B1066" s="8">
        <f t="shared" ref="B1066:J1066" si="31">AVERAGE(B209:B220)</f>
        <v>7.7577916666666669</v>
      </c>
      <c r="C1066" s="8">
        <f t="shared" si="31"/>
        <v>7.7640250000000011</v>
      </c>
      <c r="D1066" s="8">
        <f t="shared" si="31"/>
        <v>7.777283333333334</v>
      </c>
      <c r="E1066" s="8">
        <f t="shared" si="31"/>
        <v>7.7719166666666668</v>
      </c>
      <c r="F1066" s="4">
        <f t="shared" si="31"/>
        <v>8.4686416666666648</v>
      </c>
      <c r="G1066" s="8">
        <f t="shared" si="31"/>
        <v>7.6722500000000009</v>
      </c>
      <c r="H1066" s="4">
        <f t="shared" si="31"/>
        <v>8.6161083333333313</v>
      </c>
      <c r="I1066" s="8">
        <f t="shared" si="31"/>
        <v>7.666949999999999</v>
      </c>
      <c r="J1066" s="4">
        <f t="shared" si="31"/>
        <v>7.5192250000000014</v>
      </c>
      <c r="K1066" s="4"/>
      <c r="L1066" s="5">
        <f t="shared" ref="L1066:Q1066" si="32">SUM(L209:L220)</f>
        <v>355.53689999999995</v>
      </c>
      <c r="M1066" s="5">
        <f t="shared" si="32"/>
        <v>142.0401</v>
      </c>
      <c r="N1066" s="5">
        <f t="shared" si="32"/>
        <v>58.217499999999994</v>
      </c>
      <c r="O1066" s="5">
        <f t="shared" si="32"/>
        <v>4.4046000000000003</v>
      </c>
      <c r="P1066" s="5">
        <f t="shared" si="32"/>
        <v>14.707600000000001</v>
      </c>
      <c r="Q1066" s="5">
        <f t="shared" si="32"/>
        <v>365.31420000000003</v>
      </c>
      <c r="R1066" s="5"/>
      <c r="S1066" s="4"/>
    </row>
    <row r="1067" spans="1:19" ht="15.75" customHeight="1">
      <c r="A1067" s="3">
        <v>2032</v>
      </c>
      <c r="B1067" s="8">
        <f t="shared" ref="B1067:J1067" si="33">AVERAGE(B221:B232)</f>
        <v>7.9886833333333334</v>
      </c>
      <c r="C1067" s="8">
        <f t="shared" si="33"/>
        <v>7.9949333333333348</v>
      </c>
      <c r="D1067" s="8">
        <f t="shared" si="33"/>
        <v>8.008208333333334</v>
      </c>
      <c r="E1067" s="8">
        <f t="shared" si="33"/>
        <v>8.0028416666666669</v>
      </c>
      <c r="F1067" s="4">
        <f t="shared" si="33"/>
        <v>8.6995500000000021</v>
      </c>
      <c r="G1067" s="8">
        <f t="shared" si="33"/>
        <v>7.900433333333333</v>
      </c>
      <c r="H1067" s="4">
        <f t="shared" si="33"/>
        <v>8.8443333333333332</v>
      </c>
      <c r="I1067" s="8">
        <f t="shared" si="33"/>
        <v>7.8911500000000006</v>
      </c>
      <c r="J1067" s="4">
        <f t="shared" si="33"/>
        <v>7.743316666666666</v>
      </c>
      <c r="K1067" s="4"/>
      <c r="L1067" s="5">
        <f t="shared" ref="L1067:Q1067" si="34">SUM(L221:L232)</f>
        <v>356.48229999999995</v>
      </c>
      <c r="M1067" s="5">
        <f t="shared" si="34"/>
        <v>142.42920000000001</v>
      </c>
      <c r="N1067" s="5">
        <f t="shared" si="34"/>
        <v>58.377000000000002</v>
      </c>
      <c r="O1067" s="5">
        <f t="shared" si="34"/>
        <v>4.4165999999999999</v>
      </c>
      <c r="P1067" s="5">
        <f t="shared" si="34"/>
        <v>14.7493</v>
      </c>
      <c r="Q1067" s="5">
        <f t="shared" si="34"/>
        <v>364.46999999999997</v>
      </c>
      <c r="R1067" s="5"/>
      <c r="S1067" s="4"/>
    </row>
    <row r="1068" spans="1:19" ht="15.75" customHeight="1">
      <c r="A1068" s="3">
        <v>2033</v>
      </c>
      <c r="B1068" s="8">
        <f t="shared" ref="B1068:J1068" si="35">AVERAGE(B233:B244)</f>
        <v>8.2257083333333352</v>
      </c>
      <c r="C1068" s="8">
        <f t="shared" si="35"/>
        <v>8.2319666666666667</v>
      </c>
      <c r="D1068" s="8">
        <f t="shared" si="35"/>
        <v>8.2452416666666668</v>
      </c>
      <c r="E1068" s="8">
        <f t="shared" si="35"/>
        <v>8.239866666666666</v>
      </c>
      <c r="F1068" s="4">
        <f t="shared" si="35"/>
        <v>8.9365749999999995</v>
      </c>
      <c r="G1068" s="8">
        <f t="shared" si="35"/>
        <v>8.1347000000000005</v>
      </c>
      <c r="H1068" s="4">
        <f t="shared" si="35"/>
        <v>9.0785750000000007</v>
      </c>
      <c r="I1068" s="8">
        <f t="shared" si="35"/>
        <v>8.1213249999999988</v>
      </c>
      <c r="J1068" s="4">
        <f t="shared" si="35"/>
        <v>7.9733500000000008</v>
      </c>
      <c r="K1068" s="4"/>
      <c r="L1068" s="5">
        <f t="shared" ref="L1068:Q1068" si="36">SUM(L233:L244)</f>
        <v>355.53689999999995</v>
      </c>
      <c r="M1068" s="5">
        <f t="shared" si="36"/>
        <v>142.0401</v>
      </c>
      <c r="N1068" s="5">
        <f t="shared" si="36"/>
        <v>58.217499999999994</v>
      </c>
      <c r="O1068" s="5">
        <f t="shared" si="36"/>
        <v>4.4046000000000003</v>
      </c>
      <c r="P1068" s="5">
        <f t="shared" si="36"/>
        <v>14.707600000000001</v>
      </c>
      <c r="Q1068" s="5">
        <f t="shared" si="36"/>
        <v>362.33550000000002</v>
      </c>
      <c r="R1068" s="5"/>
      <c r="S1068" s="4"/>
    </row>
    <row r="1069" spans="1:19" ht="15.75" customHeight="1">
      <c r="A1069" s="3">
        <v>2034</v>
      </c>
      <c r="B1069" s="8">
        <f t="shared" ref="B1069:J1069" si="37">AVERAGE(B245:B256)</f>
        <v>8.3900083333333342</v>
      </c>
      <c r="C1069" s="8">
        <f t="shared" si="37"/>
        <v>8.3962416666666666</v>
      </c>
      <c r="D1069" s="8">
        <f t="shared" si="37"/>
        <v>8.4095250000000004</v>
      </c>
      <c r="E1069" s="8">
        <f t="shared" si="37"/>
        <v>8.404141666666666</v>
      </c>
      <c r="F1069" s="4">
        <f t="shared" si="37"/>
        <v>9.1008666666666667</v>
      </c>
      <c r="G1069" s="8">
        <f t="shared" si="37"/>
        <v>8.2970583333333323</v>
      </c>
      <c r="H1069" s="4">
        <f t="shared" si="37"/>
        <v>9.2409499999999998</v>
      </c>
      <c r="I1069" s="8">
        <f t="shared" si="37"/>
        <v>8.2808250000000001</v>
      </c>
      <c r="J1069" s="4">
        <f t="shared" si="37"/>
        <v>8.1327750000000005</v>
      </c>
      <c r="K1069" s="4"/>
      <c r="L1069" s="5">
        <f t="shared" ref="L1069:Q1069" si="38">SUM(L245:L256)</f>
        <v>355.53689999999995</v>
      </c>
      <c r="M1069" s="5">
        <f t="shared" si="38"/>
        <v>142.0401</v>
      </c>
      <c r="N1069" s="5">
        <f t="shared" si="38"/>
        <v>58.217499999999994</v>
      </c>
      <c r="O1069" s="5">
        <f t="shared" si="38"/>
        <v>4.4046000000000003</v>
      </c>
      <c r="P1069" s="5">
        <f t="shared" si="38"/>
        <v>14.707600000000001</v>
      </c>
      <c r="Q1069" s="5">
        <f t="shared" si="38"/>
        <v>361.59120000000007</v>
      </c>
      <c r="R1069" s="5"/>
      <c r="S1069" s="4"/>
    </row>
    <row r="1070" spans="1:19" ht="15.75" customHeight="1">
      <c r="A1070" s="3">
        <v>2035</v>
      </c>
      <c r="B1070" s="8">
        <f t="shared" ref="B1070:J1070" si="39">AVERAGE(B257:B268)</f>
        <v>8.5575666666666681</v>
      </c>
      <c r="C1070" s="8">
        <f t="shared" si="39"/>
        <v>8.5638249999999996</v>
      </c>
      <c r="D1070" s="8">
        <f t="shared" si="39"/>
        <v>8.5770833333333343</v>
      </c>
      <c r="E1070" s="8">
        <f t="shared" si="39"/>
        <v>8.5717166666666653</v>
      </c>
      <c r="F1070" s="4">
        <f t="shared" si="39"/>
        <v>9.268441666666666</v>
      </c>
      <c r="G1070" s="8">
        <f t="shared" si="39"/>
        <v>8.4626666666666654</v>
      </c>
      <c r="H1070" s="4">
        <f t="shared" si="39"/>
        <v>9.4065500000000011</v>
      </c>
      <c r="I1070" s="8">
        <f t="shared" si="39"/>
        <v>8.4435500000000001</v>
      </c>
      <c r="J1070" s="4">
        <f t="shared" si="39"/>
        <v>8.2954083333333344</v>
      </c>
      <c r="K1070" s="4"/>
      <c r="L1070" s="5">
        <f t="shared" ref="L1070:Q1070" si="40">SUM(L257:L268)</f>
        <v>355.53689999999995</v>
      </c>
      <c r="M1070" s="5">
        <f t="shared" si="40"/>
        <v>142.0401</v>
      </c>
      <c r="N1070" s="5">
        <f t="shared" si="40"/>
        <v>58.217499999999994</v>
      </c>
      <c r="O1070" s="5">
        <f t="shared" si="40"/>
        <v>4.4046000000000003</v>
      </c>
      <c r="P1070" s="5">
        <f t="shared" si="40"/>
        <v>14.707600000000001</v>
      </c>
      <c r="Q1070" s="5">
        <f t="shared" si="40"/>
        <v>360.82469999999995</v>
      </c>
      <c r="R1070" s="5"/>
      <c r="S1070" s="4"/>
    </row>
    <row r="1071" spans="1:19" ht="15.75" customHeight="1">
      <c r="A1071" s="3">
        <v>2036</v>
      </c>
      <c r="B1071" s="8">
        <f t="shared" ref="B1071:J1071" si="41">AVERAGE(B269:B280)</f>
        <v>8.7629000000000001</v>
      </c>
      <c r="C1071" s="8">
        <f t="shared" si="41"/>
        <v>8.7691583333333316</v>
      </c>
      <c r="D1071" s="8">
        <f t="shared" si="41"/>
        <v>8.7824333333333335</v>
      </c>
      <c r="E1071" s="8">
        <f t="shared" si="41"/>
        <v>8.7770500000000009</v>
      </c>
      <c r="F1071" s="4">
        <f t="shared" si="41"/>
        <v>9.4737833333333317</v>
      </c>
      <c r="G1071" s="8">
        <f t="shared" si="41"/>
        <v>8.6655916666666659</v>
      </c>
      <c r="H1071" s="4">
        <f t="shared" si="41"/>
        <v>9.6094833333333316</v>
      </c>
      <c r="I1071" s="8">
        <f t="shared" si="41"/>
        <v>8.6429166666666664</v>
      </c>
      <c r="J1071" s="4">
        <f t="shared" si="41"/>
        <v>8.4946833333333327</v>
      </c>
      <c r="K1071" s="4"/>
      <c r="L1071" s="5">
        <f t="shared" ref="L1071:Q1071" si="42">SUM(L269:L280)</f>
        <v>356.48229999999995</v>
      </c>
      <c r="M1071" s="5">
        <f t="shared" si="42"/>
        <v>142.42920000000001</v>
      </c>
      <c r="N1071" s="5">
        <f t="shared" si="42"/>
        <v>58.377000000000002</v>
      </c>
      <c r="O1071" s="5">
        <f t="shared" si="42"/>
        <v>4.4165999999999999</v>
      </c>
      <c r="P1071" s="5">
        <f t="shared" si="42"/>
        <v>14.7493</v>
      </c>
      <c r="Q1071" s="5">
        <f t="shared" si="42"/>
        <v>361.0446</v>
      </c>
      <c r="R1071" s="5"/>
      <c r="S1071" s="4"/>
    </row>
    <row r="1072" spans="1:19" ht="15.75" customHeight="1">
      <c r="A1072" s="3">
        <v>2037</v>
      </c>
      <c r="B1072" s="8">
        <f t="shared" ref="B1072:J1072" si="43">AVERAGE(B281:B292)</f>
        <v>8.9731916666666667</v>
      </c>
      <c r="C1072" s="8">
        <f t="shared" si="43"/>
        <v>8.9794333333333309</v>
      </c>
      <c r="D1072" s="8">
        <f t="shared" si="43"/>
        <v>8.9927083333333329</v>
      </c>
      <c r="E1072" s="8">
        <f t="shared" si="43"/>
        <v>8.9873333333333338</v>
      </c>
      <c r="F1072" s="4">
        <f t="shared" si="43"/>
        <v>9.6840666666666664</v>
      </c>
      <c r="G1072" s="8">
        <f t="shared" si="43"/>
        <v>8.8734000000000002</v>
      </c>
      <c r="H1072" s="4">
        <f t="shared" si="43"/>
        <v>9.8172916666666676</v>
      </c>
      <c r="I1072" s="8">
        <f t="shared" si="43"/>
        <v>8.8470999999999993</v>
      </c>
      <c r="J1072" s="4">
        <f t="shared" si="43"/>
        <v>8.6987749999999995</v>
      </c>
      <c r="K1072" s="4"/>
      <c r="L1072" s="5">
        <f t="shared" ref="L1072:Q1072" si="44">SUM(L281:L292)</f>
        <v>355.53689999999995</v>
      </c>
      <c r="M1072" s="5">
        <f t="shared" si="44"/>
        <v>142.0401</v>
      </c>
      <c r="N1072" s="5">
        <f t="shared" si="44"/>
        <v>58.217499999999994</v>
      </c>
      <c r="O1072" s="5">
        <f t="shared" si="44"/>
        <v>4.4046000000000003</v>
      </c>
      <c r="P1072" s="5">
        <f t="shared" si="44"/>
        <v>14.707600000000001</v>
      </c>
      <c r="Q1072" s="5">
        <f t="shared" si="44"/>
        <v>359.29169999999999</v>
      </c>
      <c r="R1072" s="5"/>
      <c r="S1072" s="4"/>
    </row>
    <row r="1073" spans="1:19" ht="15.75" customHeight="1">
      <c r="A1073" s="3">
        <f t="shared" ref="A1073:A1104" si="45">A1072+1</f>
        <v>2038</v>
      </c>
      <c r="B1073" s="8">
        <f t="shared" ref="B1073:J1073" si="46">AVERAGE(B293:B304)</f>
        <v>9.1885083333333313</v>
      </c>
      <c r="C1073" s="8">
        <f t="shared" si="46"/>
        <v>9.1947583333333327</v>
      </c>
      <c r="D1073" s="8">
        <f t="shared" si="46"/>
        <v>9.208025000000001</v>
      </c>
      <c r="E1073" s="8">
        <f t="shared" si="46"/>
        <v>9.2026666666666674</v>
      </c>
      <c r="F1073" s="4">
        <f t="shared" si="46"/>
        <v>9.8993833333333345</v>
      </c>
      <c r="G1073" s="8">
        <f t="shared" si="46"/>
        <v>9.0862166666666653</v>
      </c>
      <c r="H1073" s="4">
        <f t="shared" si="46"/>
        <v>10.030099999999999</v>
      </c>
      <c r="I1073" s="8">
        <f t="shared" si="46"/>
        <v>9.056183333333335</v>
      </c>
      <c r="J1073" s="4">
        <f t="shared" si="46"/>
        <v>8.9077500000000001</v>
      </c>
      <c r="K1073" s="4"/>
      <c r="L1073" s="5">
        <f t="shared" ref="L1073:Q1073" si="47">SUM(L293:L304)</f>
        <v>355.53689999999995</v>
      </c>
      <c r="M1073" s="5">
        <f t="shared" si="47"/>
        <v>142.0401</v>
      </c>
      <c r="N1073" s="5">
        <f t="shared" si="47"/>
        <v>58.217499999999994</v>
      </c>
      <c r="O1073" s="5">
        <f t="shared" si="47"/>
        <v>4.4046000000000003</v>
      </c>
      <c r="P1073" s="5">
        <f t="shared" si="47"/>
        <v>14.707600000000001</v>
      </c>
      <c r="Q1073" s="5">
        <f t="shared" si="47"/>
        <v>358.54670000000004</v>
      </c>
      <c r="R1073" s="5"/>
      <c r="S1073" s="4"/>
    </row>
    <row r="1074" spans="1:19" ht="15.75" customHeight="1">
      <c r="A1074" s="3">
        <f t="shared" si="45"/>
        <v>2039</v>
      </c>
      <c r="B1074" s="8">
        <f t="shared" ref="B1074:J1074" si="48">AVERAGE(B305:B316)</f>
        <v>9.4090083333333343</v>
      </c>
      <c r="C1074" s="8">
        <f t="shared" si="48"/>
        <v>9.4152666666666658</v>
      </c>
      <c r="D1074" s="8">
        <f t="shared" si="48"/>
        <v>9.4285333333333323</v>
      </c>
      <c r="E1074" s="8">
        <f t="shared" si="48"/>
        <v>9.4231666666666651</v>
      </c>
      <c r="F1074" s="4">
        <f t="shared" si="48"/>
        <v>10.119875</v>
      </c>
      <c r="G1074" s="8">
        <f t="shared" si="48"/>
        <v>9.3041249999999991</v>
      </c>
      <c r="H1074" s="4">
        <f t="shared" si="48"/>
        <v>10.248016666666667</v>
      </c>
      <c r="I1074" s="8">
        <f t="shared" si="48"/>
        <v>9.2702833333333334</v>
      </c>
      <c r="J1074" s="4">
        <f t="shared" si="48"/>
        <v>9.121716666666666</v>
      </c>
      <c r="K1074" s="7"/>
      <c r="L1074" s="5">
        <f t="shared" ref="L1074:Q1074" si="49">SUM(L305:L316)</f>
        <v>355.53689999999995</v>
      </c>
      <c r="M1074" s="5">
        <f t="shared" si="49"/>
        <v>142.0401</v>
      </c>
      <c r="N1074" s="5">
        <f t="shared" si="49"/>
        <v>58.217499999999994</v>
      </c>
      <c r="O1074" s="5">
        <f t="shared" si="49"/>
        <v>4.4046000000000003</v>
      </c>
      <c r="P1074" s="5">
        <f t="shared" si="49"/>
        <v>14.707600000000001</v>
      </c>
      <c r="Q1074" s="5">
        <f t="shared" si="49"/>
        <v>357.78019999999998</v>
      </c>
      <c r="R1074" s="5"/>
      <c r="S1074" s="6"/>
    </row>
    <row r="1075" spans="1:19" ht="15.75" customHeight="1">
      <c r="A1075" s="3">
        <f t="shared" si="45"/>
        <v>2040</v>
      </c>
      <c r="B1075" s="8">
        <f t="shared" ref="B1075:J1075" si="50">AVERAGE(B317:B328)</f>
        <v>9.6348166666666657</v>
      </c>
      <c r="C1075" s="8">
        <f t="shared" si="50"/>
        <v>9.6410416666666663</v>
      </c>
      <c r="D1075" s="8">
        <f t="shared" si="50"/>
        <v>9.6543250000000018</v>
      </c>
      <c r="E1075" s="8">
        <f t="shared" si="50"/>
        <v>9.648950000000001</v>
      </c>
      <c r="F1075" s="4">
        <f t="shared" si="50"/>
        <v>10.345674999999998</v>
      </c>
      <c r="G1075" s="8">
        <f t="shared" si="50"/>
        <v>9.5272916666666667</v>
      </c>
      <c r="H1075" s="4">
        <f t="shared" si="50"/>
        <v>10.47115</v>
      </c>
      <c r="I1075" s="8">
        <f t="shared" si="50"/>
        <v>9.4895166666666668</v>
      </c>
      <c r="J1075" s="4">
        <f t="shared" si="50"/>
        <v>9.3408666666666686</v>
      </c>
      <c r="K1075" s="7"/>
      <c r="L1075" s="5">
        <f t="shared" ref="L1075:Q1075" si="51">SUM(L317:L328)</f>
        <v>356.48229999999995</v>
      </c>
      <c r="M1075" s="5">
        <f t="shared" si="51"/>
        <v>142.42920000000001</v>
      </c>
      <c r="N1075" s="5">
        <f t="shared" si="51"/>
        <v>58.377000000000002</v>
      </c>
      <c r="O1075" s="5">
        <f t="shared" si="51"/>
        <v>4.4165999999999999</v>
      </c>
      <c r="P1075" s="5">
        <f t="shared" si="51"/>
        <v>14.7493</v>
      </c>
      <c r="Q1075" s="5">
        <f t="shared" si="51"/>
        <v>357.99180000000001</v>
      </c>
      <c r="R1075" s="5"/>
      <c r="S1075" s="6"/>
    </row>
    <row r="1076" spans="1:19" ht="15.75" customHeight="1">
      <c r="A1076" s="3">
        <f t="shared" si="45"/>
        <v>2041</v>
      </c>
      <c r="B1076" s="8">
        <f t="shared" ref="B1076:J1076" si="52">AVERAGE(B329:B340)</f>
        <v>9.8660166666666669</v>
      </c>
      <c r="C1076" s="8">
        <f t="shared" si="52"/>
        <v>9.8722916666666674</v>
      </c>
      <c r="D1076" s="8">
        <f t="shared" si="52"/>
        <v>9.8855416666666667</v>
      </c>
      <c r="E1076" s="8">
        <f t="shared" si="52"/>
        <v>9.8801833333333331</v>
      </c>
      <c r="F1076" s="4">
        <f t="shared" si="52"/>
        <v>10.576908333333336</v>
      </c>
      <c r="G1076" s="8">
        <f t="shared" si="52"/>
        <v>9.7557916666666671</v>
      </c>
      <c r="H1076" s="4">
        <f t="shared" si="52"/>
        <v>10.699683333333335</v>
      </c>
      <c r="I1076" s="8">
        <f t="shared" si="52"/>
        <v>9.7140416666666649</v>
      </c>
      <c r="J1076" s="4">
        <f t="shared" si="52"/>
        <v>9.5652666666666679</v>
      </c>
      <c r="K1076" s="7"/>
      <c r="L1076" s="5">
        <f t="shared" ref="L1076:Q1076" si="53">SUM(L329:L340)</f>
        <v>355.53689999999995</v>
      </c>
      <c r="M1076" s="5">
        <f t="shared" si="53"/>
        <v>142.0401</v>
      </c>
      <c r="N1076" s="5">
        <f t="shared" si="53"/>
        <v>58.217499999999994</v>
      </c>
      <c r="O1076" s="5">
        <f t="shared" si="53"/>
        <v>4.4046000000000003</v>
      </c>
      <c r="P1076" s="5">
        <f t="shared" si="53"/>
        <v>14.707600000000001</v>
      </c>
      <c r="Q1076" s="5">
        <f t="shared" si="53"/>
        <v>356.26930000000004</v>
      </c>
      <c r="R1076" s="5"/>
      <c r="S1076" s="6"/>
    </row>
    <row r="1077" spans="1:19" ht="15.75" customHeight="1">
      <c r="A1077" s="3">
        <f t="shared" si="45"/>
        <v>2042</v>
      </c>
      <c r="B1077" s="8">
        <f t="shared" ref="B1077:J1077" si="54">AVERAGE(B341:B352)</f>
        <v>10.102783333333331</v>
      </c>
      <c r="C1077" s="8">
        <f t="shared" si="54"/>
        <v>10.109066666666667</v>
      </c>
      <c r="D1077" s="8">
        <f t="shared" si="54"/>
        <v>10.122308333333335</v>
      </c>
      <c r="E1077" s="8">
        <f t="shared" si="54"/>
        <v>10.116941666666667</v>
      </c>
      <c r="F1077" s="4">
        <f t="shared" si="54"/>
        <v>10.813675000000002</v>
      </c>
      <c r="G1077" s="8">
        <f t="shared" si="54"/>
        <v>9.9898000000000007</v>
      </c>
      <c r="H1077" s="4">
        <f t="shared" si="54"/>
        <v>10.933683333333335</v>
      </c>
      <c r="I1077" s="8">
        <f t="shared" si="54"/>
        <v>9.9439499999999992</v>
      </c>
      <c r="J1077" s="4">
        <f t="shared" si="54"/>
        <v>9.795066666666667</v>
      </c>
      <c r="K1077" s="7"/>
      <c r="L1077" s="5">
        <f t="shared" ref="L1077:Q1077" si="55">SUM(L341:L352)</f>
        <v>355.53689999999995</v>
      </c>
      <c r="M1077" s="5">
        <f t="shared" si="55"/>
        <v>142.0401</v>
      </c>
      <c r="N1077" s="5">
        <f t="shared" si="55"/>
        <v>58.217499999999994</v>
      </c>
      <c r="O1077" s="5">
        <f t="shared" si="55"/>
        <v>4.4046000000000003</v>
      </c>
      <c r="P1077" s="5">
        <f t="shared" si="55"/>
        <v>14.707600000000001</v>
      </c>
      <c r="Q1077" s="5">
        <f t="shared" si="55"/>
        <v>242.47669999999997</v>
      </c>
      <c r="R1077" s="5"/>
      <c r="S1077" s="6"/>
    </row>
    <row r="1078" spans="1:19" ht="15.75" customHeight="1">
      <c r="A1078" s="3">
        <f t="shared" si="45"/>
        <v>2043</v>
      </c>
      <c r="B1078" s="8">
        <f t="shared" ref="B1078:J1078" si="56">AVERAGE(B353:B364)</f>
        <v>10.345274999999999</v>
      </c>
      <c r="C1078" s="8">
        <f t="shared" si="56"/>
        <v>10.351525000000001</v>
      </c>
      <c r="D1078" s="8">
        <f t="shared" si="56"/>
        <v>10.364808333333331</v>
      </c>
      <c r="E1078" s="8">
        <f t="shared" si="56"/>
        <v>10.359416666666666</v>
      </c>
      <c r="F1078" s="4">
        <f t="shared" si="56"/>
        <v>11.056133333333335</v>
      </c>
      <c r="G1078" s="8">
        <f t="shared" si="56"/>
        <v>10.229433333333331</v>
      </c>
      <c r="H1078" s="4">
        <f t="shared" si="56"/>
        <v>11.173316666666667</v>
      </c>
      <c r="I1078" s="8">
        <f t="shared" si="56"/>
        <v>10.179383333333334</v>
      </c>
      <c r="J1078" s="4">
        <f t="shared" si="56"/>
        <v>10.030375000000001</v>
      </c>
      <c r="K1078" s="7"/>
      <c r="L1078" s="5">
        <f t="shared" ref="L1078:Q1078" si="57">SUM(L353:L364)</f>
        <v>355.53689999999995</v>
      </c>
      <c r="M1078" s="5">
        <f t="shared" si="57"/>
        <v>142.0401</v>
      </c>
      <c r="N1078" s="5">
        <f t="shared" si="57"/>
        <v>58.217499999999994</v>
      </c>
      <c r="O1078" s="5">
        <f t="shared" si="57"/>
        <v>4.4046000000000003</v>
      </c>
      <c r="P1078" s="5">
        <f t="shared" si="57"/>
        <v>14.707600000000001</v>
      </c>
      <c r="Q1078" s="5">
        <f t="shared" si="57"/>
        <v>241.71019999999996</v>
      </c>
      <c r="R1078" s="5"/>
      <c r="S1078" s="6"/>
    </row>
    <row r="1079" spans="1:19" ht="15.75" customHeight="1">
      <c r="A1079" s="3">
        <f t="shared" si="45"/>
        <v>2044</v>
      </c>
      <c r="B1079" s="8">
        <f t="shared" ref="B1079:J1079" si="58">AVERAGE(B365:B376)</f>
        <v>10.593549999999999</v>
      </c>
      <c r="C1079" s="8">
        <f t="shared" si="58"/>
        <v>10.599816666666664</v>
      </c>
      <c r="D1079" s="8">
        <f t="shared" si="58"/>
        <v>10.613091666666667</v>
      </c>
      <c r="E1079" s="8">
        <f t="shared" si="58"/>
        <v>10.607716666666667</v>
      </c>
      <c r="F1079" s="4">
        <f t="shared" si="58"/>
        <v>11.304425</v>
      </c>
      <c r="G1079" s="8">
        <f t="shared" si="58"/>
        <v>10.474816666666667</v>
      </c>
      <c r="H1079" s="4">
        <f t="shared" si="58"/>
        <v>11.418699999999999</v>
      </c>
      <c r="I1079" s="8">
        <f t="shared" si="58"/>
        <v>10.420475</v>
      </c>
      <c r="J1079" s="4">
        <f t="shared" si="58"/>
        <v>10.271358333333334</v>
      </c>
      <c r="K1079" s="7"/>
      <c r="L1079" s="5">
        <f t="shared" ref="L1079:Q1079" si="59">SUM(L365:L376)</f>
        <v>356.48229999999995</v>
      </c>
      <c r="M1079" s="5">
        <f t="shared" si="59"/>
        <v>142.42920000000001</v>
      </c>
      <c r="N1079" s="5">
        <f t="shared" si="59"/>
        <v>58.377000000000002</v>
      </c>
      <c r="O1079" s="5">
        <f t="shared" si="59"/>
        <v>4.4165999999999999</v>
      </c>
      <c r="P1079" s="5">
        <f t="shared" si="59"/>
        <v>14.7493</v>
      </c>
      <c r="Q1079" s="5">
        <f t="shared" si="59"/>
        <v>241.58220000000006</v>
      </c>
      <c r="R1079" s="5"/>
      <c r="S1079" s="6"/>
    </row>
    <row r="1080" spans="1:19" ht="15.75" customHeight="1">
      <c r="A1080" s="3">
        <f t="shared" si="45"/>
        <v>2045</v>
      </c>
      <c r="B1080" s="8">
        <f t="shared" ref="B1080:J1080" si="60">AVERAGE(B377:B388)</f>
        <v>10.847808333333333</v>
      </c>
      <c r="C1080" s="8">
        <f t="shared" si="60"/>
        <v>10.854075000000002</v>
      </c>
      <c r="D1080" s="8">
        <f t="shared" si="60"/>
        <v>10.867350000000002</v>
      </c>
      <c r="E1080" s="8">
        <f t="shared" si="60"/>
        <v>10.861966666666667</v>
      </c>
      <c r="F1080" s="4">
        <f t="shared" si="60"/>
        <v>11.558683333333333</v>
      </c>
      <c r="G1080" s="8">
        <f t="shared" si="60"/>
        <v>10.726091666666667</v>
      </c>
      <c r="H1080" s="4">
        <f t="shared" si="60"/>
        <v>11.669983333333333</v>
      </c>
      <c r="I1080" s="8">
        <f t="shared" si="60"/>
        <v>10.667366666666668</v>
      </c>
      <c r="J1080" s="4">
        <f t="shared" si="60"/>
        <v>10.518116666666668</v>
      </c>
      <c r="K1080" s="7"/>
      <c r="L1080" s="5">
        <f t="shared" ref="L1080:Q1080" si="61">SUM(L377:L388)</f>
        <v>355.53689999999995</v>
      </c>
      <c r="M1080" s="5">
        <f t="shared" si="61"/>
        <v>142.0401</v>
      </c>
      <c r="N1080" s="5">
        <f t="shared" si="61"/>
        <v>58.217499999999994</v>
      </c>
      <c r="O1080" s="5">
        <f t="shared" si="61"/>
        <v>4.4046000000000003</v>
      </c>
      <c r="P1080" s="5">
        <f t="shared" si="61"/>
        <v>14.707600000000001</v>
      </c>
      <c r="Q1080" s="5">
        <f t="shared" si="61"/>
        <v>240.15570000000002</v>
      </c>
      <c r="R1080" s="5"/>
      <c r="S1080" s="6"/>
    </row>
    <row r="1081" spans="1:19" ht="15.75" customHeight="1">
      <c r="A1081" s="3">
        <f t="shared" si="45"/>
        <v>2046</v>
      </c>
      <c r="B1081" s="8">
        <f t="shared" ref="B1081:J1081" si="62">AVERAGE(B389:B400)</f>
        <v>11.108174999999997</v>
      </c>
      <c r="C1081" s="8">
        <f t="shared" si="62"/>
        <v>11.114458333333333</v>
      </c>
      <c r="D1081" s="8">
        <f t="shared" si="62"/>
        <v>11.127716666666666</v>
      </c>
      <c r="E1081" s="8">
        <f t="shared" si="62"/>
        <v>11.122341666666669</v>
      </c>
      <c r="F1081" s="4">
        <f t="shared" si="62"/>
        <v>11.819075</v>
      </c>
      <c r="G1081" s="8">
        <f t="shared" si="62"/>
        <v>10.983408333333335</v>
      </c>
      <c r="H1081" s="4">
        <f t="shared" si="62"/>
        <v>11.927299999999997</v>
      </c>
      <c r="I1081" s="8">
        <f t="shared" si="62"/>
        <v>10.920158333333333</v>
      </c>
      <c r="J1081" s="4">
        <f t="shared" si="62"/>
        <v>10.770800000000001</v>
      </c>
      <c r="K1081" s="7"/>
      <c r="L1081" s="5">
        <f t="shared" ref="L1081:Q1081" si="63">SUM(L389:L400)</f>
        <v>355.53689999999995</v>
      </c>
      <c r="M1081" s="5">
        <f t="shared" si="63"/>
        <v>142.0401</v>
      </c>
      <c r="N1081" s="5">
        <f t="shared" si="63"/>
        <v>58.217499999999994</v>
      </c>
      <c r="O1081" s="5">
        <f t="shared" si="63"/>
        <v>4.4046000000000003</v>
      </c>
      <c r="P1081" s="5">
        <f t="shared" si="63"/>
        <v>14.707600000000001</v>
      </c>
      <c r="Q1081" s="5">
        <f t="shared" si="63"/>
        <v>239.38920000000005</v>
      </c>
      <c r="R1081" s="5"/>
      <c r="S1081" s="6"/>
    </row>
    <row r="1082" spans="1:19" ht="15.75" customHeight="1">
      <c r="A1082" s="3">
        <f t="shared" si="45"/>
        <v>2047</v>
      </c>
      <c r="B1082" s="8">
        <f t="shared" ref="B1082:J1082" si="64">AVERAGE(B401:B412)</f>
        <v>11.3748</v>
      </c>
      <c r="C1082" s="8">
        <f t="shared" si="64"/>
        <v>11.381075000000001</v>
      </c>
      <c r="D1082" s="8">
        <f t="shared" si="64"/>
        <v>11.394341666666667</v>
      </c>
      <c r="E1082" s="8">
        <f t="shared" si="64"/>
        <v>11.388975</v>
      </c>
      <c r="F1082" s="4">
        <f t="shared" si="64"/>
        <v>12.085699999999997</v>
      </c>
      <c r="G1082" s="8">
        <f t="shared" si="64"/>
        <v>11.246908333333332</v>
      </c>
      <c r="H1082" s="4">
        <f t="shared" si="64"/>
        <v>12.190808333333331</v>
      </c>
      <c r="I1082" s="8">
        <f t="shared" si="64"/>
        <v>11.179050000000002</v>
      </c>
      <c r="J1082" s="4">
        <f t="shared" si="64"/>
        <v>11.02955</v>
      </c>
      <c r="K1082" s="7"/>
      <c r="L1082" s="5">
        <f t="shared" ref="L1082:Q1082" si="65">SUM(L401:L412)</f>
        <v>355.53689999999995</v>
      </c>
      <c r="M1082" s="5">
        <f t="shared" si="65"/>
        <v>142.0401</v>
      </c>
      <c r="N1082" s="5">
        <f t="shared" si="65"/>
        <v>58.217499999999994</v>
      </c>
      <c r="O1082" s="5">
        <f t="shared" si="65"/>
        <v>4.4046000000000003</v>
      </c>
      <c r="P1082" s="5">
        <f t="shared" si="65"/>
        <v>14.707600000000001</v>
      </c>
      <c r="Q1082" s="5">
        <f t="shared" si="65"/>
        <v>238.62270000000004</v>
      </c>
      <c r="R1082" s="5"/>
      <c r="S1082" s="6"/>
    </row>
    <row r="1083" spans="1:19" ht="15.75" customHeight="1">
      <c r="A1083" s="3">
        <f t="shared" si="45"/>
        <v>2048</v>
      </c>
      <c r="B1083" s="8">
        <f t="shared" ref="B1083:J1083" si="66">AVERAGE(B413:B424)</f>
        <v>11.647841666666666</v>
      </c>
      <c r="C1083" s="8">
        <f t="shared" si="66"/>
        <v>11.6541</v>
      </c>
      <c r="D1083" s="8">
        <f t="shared" si="66"/>
        <v>11.667366666666666</v>
      </c>
      <c r="E1083" s="8">
        <f t="shared" si="66"/>
        <v>11.661999999999999</v>
      </c>
      <c r="F1083" s="4">
        <f t="shared" si="66"/>
        <v>12.358716666666666</v>
      </c>
      <c r="G1083" s="8">
        <f t="shared" si="66"/>
        <v>11.51675</v>
      </c>
      <c r="H1083" s="4">
        <f t="shared" si="66"/>
        <v>12.460641666666668</v>
      </c>
      <c r="I1083" s="8">
        <f t="shared" si="66"/>
        <v>11.444175</v>
      </c>
      <c r="J1083" s="4">
        <f t="shared" si="66"/>
        <v>11.294533333333334</v>
      </c>
      <c r="K1083" s="7"/>
      <c r="L1083" s="5">
        <f t="shared" ref="L1083:Q1083" si="67">SUM(L413:L424)</f>
        <v>356.48229999999995</v>
      </c>
      <c r="M1083" s="5">
        <f t="shared" si="67"/>
        <v>142.42920000000001</v>
      </c>
      <c r="N1083" s="5">
        <f t="shared" si="67"/>
        <v>58.377000000000002</v>
      </c>
      <c r="O1083" s="5">
        <f t="shared" si="67"/>
        <v>4.4165999999999999</v>
      </c>
      <c r="P1083" s="5">
        <f t="shared" si="67"/>
        <v>14.7493</v>
      </c>
      <c r="Q1083" s="5">
        <f t="shared" si="67"/>
        <v>238.50780000000003</v>
      </c>
      <c r="R1083" s="5"/>
      <c r="S1083" s="6"/>
    </row>
    <row r="1084" spans="1:19" ht="15.75" customHeight="1">
      <c r="A1084" s="3">
        <f t="shared" si="45"/>
        <v>2049</v>
      </c>
      <c r="B1084" s="8">
        <f t="shared" ref="B1084:J1084" si="68">AVERAGE(B425:B436)</f>
        <v>11.927424999999999</v>
      </c>
      <c r="C1084" s="8">
        <f t="shared" si="68"/>
        <v>11.933683333333333</v>
      </c>
      <c r="D1084" s="8">
        <f t="shared" si="68"/>
        <v>11.946966666666663</v>
      </c>
      <c r="E1084" s="8">
        <f t="shared" si="68"/>
        <v>11.941591666666666</v>
      </c>
      <c r="F1084" s="4">
        <f t="shared" si="68"/>
        <v>12.638308333333333</v>
      </c>
      <c r="G1084" s="8">
        <f t="shared" si="68"/>
        <v>11.793075</v>
      </c>
      <c r="H1084" s="4">
        <f t="shared" si="68"/>
        <v>12.736958333333334</v>
      </c>
      <c r="I1084" s="8">
        <f t="shared" si="68"/>
        <v>11.715641666666668</v>
      </c>
      <c r="J1084" s="4">
        <f t="shared" si="68"/>
        <v>11.565891666666666</v>
      </c>
      <c r="K1084" s="7"/>
      <c r="L1084" s="5">
        <f t="shared" ref="L1084:Q1084" si="69">SUM(L425:L436)</f>
        <v>355.53689999999995</v>
      </c>
      <c r="M1084" s="5">
        <f t="shared" si="69"/>
        <v>142.0401</v>
      </c>
      <c r="N1084" s="5">
        <f t="shared" si="69"/>
        <v>58.217499999999994</v>
      </c>
      <c r="O1084" s="5">
        <f t="shared" si="69"/>
        <v>4.4046000000000003</v>
      </c>
      <c r="P1084" s="5">
        <f t="shared" si="69"/>
        <v>14.707600000000001</v>
      </c>
      <c r="Q1084" s="5">
        <f t="shared" si="69"/>
        <v>237.08969999999999</v>
      </c>
      <c r="R1084" s="5"/>
      <c r="S1084" s="6"/>
    </row>
    <row r="1085" spans="1:19" ht="15.75" customHeight="1">
      <c r="A1085" s="3">
        <f t="shared" si="45"/>
        <v>2050</v>
      </c>
      <c r="B1085" s="8">
        <f t="shared" ref="B1085:J1085" si="70">AVERAGE(B437:B448)</f>
        <v>12.213758333333331</v>
      </c>
      <c r="C1085" s="8">
        <f t="shared" si="70"/>
        <v>12.220016666666666</v>
      </c>
      <c r="D1085" s="8">
        <f t="shared" si="70"/>
        <v>12.233266666666667</v>
      </c>
      <c r="E1085" s="8">
        <f t="shared" si="70"/>
        <v>12.2279</v>
      </c>
      <c r="F1085" s="4">
        <f t="shared" si="70"/>
        <v>12.924633333333331</v>
      </c>
      <c r="G1085" s="8">
        <f t="shared" si="70"/>
        <v>12.076025000000001</v>
      </c>
      <c r="H1085" s="4">
        <f t="shared" si="70"/>
        <v>13.019908333333333</v>
      </c>
      <c r="I1085" s="8">
        <f t="shared" si="70"/>
        <v>11.993641666666667</v>
      </c>
      <c r="J1085" s="4">
        <f t="shared" si="70"/>
        <v>11.843741666666666</v>
      </c>
      <c r="K1085" s="7"/>
      <c r="L1085" s="5">
        <f t="shared" ref="L1085:Q1085" si="71">SUM(L437:L448)</f>
        <v>355.53689999999995</v>
      </c>
      <c r="M1085" s="5">
        <f t="shared" si="71"/>
        <v>142.0401</v>
      </c>
      <c r="N1085" s="5">
        <f t="shared" si="71"/>
        <v>58.217499999999994</v>
      </c>
      <c r="O1085" s="5">
        <f t="shared" si="71"/>
        <v>4.4046000000000003</v>
      </c>
      <c r="P1085" s="5">
        <f t="shared" si="71"/>
        <v>14.707600000000001</v>
      </c>
      <c r="Q1085" s="5">
        <f t="shared" si="71"/>
        <v>236.32320000000004</v>
      </c>
      <c r="R1085" s="5"/>
      <c r="S1085" s="6"/>
    </row>
    <row r="1086" spans="1:19" ht="15.75" customHeight="1">
      <c r="A1086" s="3">
        <f t="shared" si="45"/>
        <v>2051</v>
      </c>
      <c r="B1086" s="8">
        <f t="shared" ref="B1086:J1086" si="72">AVERAGE(B449:B460)</f>
        <v>12.506941666666668</v>
      </c>
      <c r="C1086" s="8">
        <f t="shared" si="72"/>
        <v>12.513191666666669</v>
      </c>
      <c r="D1086" s="8">
        <f t="shared" si="72"/>
        <v>12.526441666666669</v>
      </c>
      <c r="E1086" s="8">
        <f t="shared" si="72"/>
        <v>12.521091666666665</v>
      </c>
      <c r="F1086" s="4">
        <f t="shared" si="72"/>
        <v>13.217816666666669</v>
      </c>
      <c r="G1086" s="8">
        <f t="shared" si="72"/>
        <v>12.365791666666668</v>
      </c>
      <c r="H1086" s="4">
        <f t="shared" si="72"/>
        <v>13.309675</v>
      </c>
      <c r="I1086" s="8">
        <f t="shared" si="72"/>
        <v>12.278325000000001</v>
      </c>
      <c r="J1086" s="4">
        <f t="shared" si="72"/>
        <v>12.128275</v>
      </c>
      <c r="K1086" s="7"/>
      <c r="L1086" s="5">
        <f t="shared" ref="L1086:Q1086" si="73">SUM(L449:L460)</f>
        <v>355.53689999999995</v>
      </c>
      <c r="M1086" s="5">
        <f t="shared" si="73"/>
        <v>142.0401</v>
      </c>
      <c r="N1086" s="5">
        <f t="shared" si="73"/>
        <v>58.217499999999994</v>
      </c>
      <c r="O1086" s="5">
        <f t="shared" si="73"/>
        <v>4.4046000000000003</v>
      </c>
      <c r="P1086" s="5">
        <f t="shared" si="73"/>
        <v>14.707600000000001</v>
      </c>
      <c r="Q1086" s="5">
        <f t="shared" si="73"/>
        <v>235.57820000000007</v>
      </c>
      <c r="R1086" s="5"/>
      <c r="S1086" s="6"/>
    </row>
    <row r="1087" spans="1:19" ht="15.75" customHeight="1">
      <c r="A1087" s="3">
        <f t="shared" si="45"/>
        <v>2052</v>
      </c>
      <c r="B1087" s="8">
        <f t="shared" ref="B1087:J1087" si="74">AVERAGE(B461:B472)</f>
        <v>12.807166666666667</v>
      </c>
      <c r="C1087" s="8">
        <f t="shared" si="74"/>
        <v>12.813433333333334</v>
      </c>
      <c r="D1087" s="8">
        <f t="shared" si="74"/>
        <v>12.826691666666667</v>
      </c>
      <c r="E1087" s="8">
        <f t="shared" si="74"/>
        <v>12.821324999999996</v>
      </c>
      <c r="F1087" s="4">
        <f t="shared" si="74"/>
        <v>13.518050000000001</v>
      </c>
      <c r="G1087" s="8">
        <f t="shared" si="74"/>
        <v>12.6625</v>
      </c>
      <c r="H1087" s="4">
        <f t="shared" si="74"/>
        <v>13.606383333333333</v>
      </c>
      <c r="I1087" s="8">
        <f t="shared" si="74"/>
        <v>12.569849999999997</v>
      </c>
      <c r="J1087" s="4">
        <f t="shared" si="74"/>
        <v>12.419649999999999</v>
      </c>
      <c r="K1087" s="7"/>
      <c r="L1087" s="5">
        <f t="shared" ref="L1087:Q1087" si="75">SUM(L461:L472)</f>
        <v>356.48229999999995</v>
      </c>
      <c r="M1087" s="5">
        <f t="shared" si="75"/>
        <v>142.42920000000001</v>
      </c>
      <c r="N1087" s="5">
        <f t="shared" si="75"/>
        <v>58.377000000000002</v>
      </c>
      <c r="O1087" s="5">
        <f t="shared" si="75"/>
        <v>4.4165999999999999</v>
      </c>
      <c r="P1087" s="5">
        <f t="shared" si="75"/>
        <v>14.7493</v>
      </c>
      <c r="Q1087" s="5">
        <f t="shared" si="75"/>
        <v>235.45500000000004</v>
      </c>
      <c r="R1087" s="5"/>
      <c r="S1087" s="6"/>
    </row>
    <row r="1088" spans="1:19" ht="15.75" customHeight="1">
      <c r="A1088" s="3">
        <f t="shared" si="45"/>
        <v>2053</v>
      </c>
      <c r="B1088" s="8">
        <f t="shared" ref="B1088:J1088" si="76">AVERAGE(B473:B484)</f>
        <v>13.114624999999998</v>
      </c>
      <c r="C1088" s="8">
        <f t="shared" si="76"/>
        <v>13.120875</v>
      </c>
      <c r="D1088" s="8">
        <f t="shared" si="76"/>
        <v>13.134133333333333</v>
      </c>
      <c r="E1088" s="8">
        <f t="shared" si="76"/>
        <v>13.128783333333333</v>
      </c>
      <c r="F1088" s="4">
        <f t="shared" si="76"/>
        <v>13.825508333333334</v>
      </c>
      <c r="G1088" s="8">
        <f t="shared" si="76"/>
        <v>12.966333333333331</v>
      </c>
      <c r="H1088" s="4">
        <f t="shared" si="76"/>
        <v>13.910233333333331</v>
      </c>
      <c r="I1088" s="8">
        <f t="shared" si="76"/>
        <v>12.868366666666669</v>
      </c>
      <c r="J1088" s="4">
        <f t="shared" si="76"/>
        <v>12.718016666666669</v>
      </c>
      <c r="K1088" s="7"/>
      <c r="L1088" s="5">
        <f t="shared" ref="L1088:Q1088" si="77">SUM(L473:L484)</f>
        <v>355.53689999999995</v>
      </c>
      <c r="M1088" s="5">
        <f t="shared" si="77"/>
        <v>142.0401</v>
      </c>
      <c r="N1088" s="5">
        <f t="shared" si="77"/>
        <v>58.217499999999994</v>
      </c>
      <c r="O1088" s="5">
        <f t="shared" si="77"/>
        <v>4.4046000000000003</v>
      </c>
      <c r="P1088" s="5">
        <f t="shared" si="77"/>
        <v>14.707600000000001</v>
      </c>
      <c r="Q1088" s="5">
        <f t="shared" si="77"/>
        <v>234.04520000000002</v>
      </c>
      <c r="R1088" s="5"/>
      <c r="S1088" s="6"/>
    </row>
    <row r="1089" spans="1:19" ht="15.75" customHeight="1">
      <c r="A1089" s="3">
        <f t="shared" si="45"/>
        <v>2054</v>
      </c>
      <c r="B1089" s="8">
        <f t="shared" ref="B1089:J1089" si="78">AVERAGE(B485:B496)</f>
        <v>13.429449999999997</v>
      </c>
      <c r="C1089" s="8">
        <f t="shared" si="78"/>
        <v>13.435699999999999</v>
      </c>
      <c r="D1089" s="8">
        <f t="shared" si="78"/>
        <v>13.448991666666666</v>
      </c>
      <c r="E1089" s="8">
        <f t="shared" si="78"/>
        <v>13.443608333333335</v>
      </c>
      <c r="F1089" s="4">
        <f t="shared" si="78"/>
        <v>14.140325000000002</v>
      </c>
      <c r="G1089" s="8">
        <f t="shared" si="78"/>
        <v>13.277474999999997</v>
      </c>
      <c r="H1089" s="4">
        <f t="shared" si="78"/>
        <v>14.221375</v>
      </c>
      <c r="I1089" s="8">
        <f t="shared" si="78"/>
        <v>13.174075</v>
      </c>
      <c r="J1089" s="4">
        <f t="shared" si="78"/>
        <v>13.023583333333333</v>
      </c>
      <c r="K1089" s="7"/>
      <c r="L1089" s="5">
        <f t="shared" ref="L1089:Q1089" si="79">SUM(L485:L496)</f>
        <v>355.53689999999995</v>
      </c>
      <c r="M1089" s="5">
        <f t="shared" si="79"/>
        <v>142.0401</v>
      </c>
      <c r="N1089" s="5">
        <f t="shared" si="79"/>
        <v>58.217499999999994</v>
      </c>
      <c r="O1089" s="5">
        <f t="shared" si="79"/>
        <v>4.4046000000000003</v>
      </c>
      <c r="P1089" s="5">
        <f t="shared" si="79"/>
        <v>14.707600000000001</v>
      </c>
      <c r="Q1089" s="5">
        <f t="shared" si="79"/>
        <v>233.30079999999998</v>
      </c>
      <c r="R1089" s="5"/>
      <c r="S1089" s="6"/>
    </row>
    <row r="1090" spans="1:19" ht="15.75" customHeight="1">
      <c r="A1090" s="3">
        <f t="shared" si="45"/>
        <v>2055</v>
      </c>
      <c r="B1090" s="8">
        <f t="shared" ref="B1090:J1090" si="80">AVERAGE(B497:B508)</f>
        <v>13.751849999999997</v>
      </c>
      <c r="C1090" s="8">
        <f t="shared" si="80"/>
        <v>13.758108333333331</v>
      </c>
      <c r="D1090" s="8">
        <f t="shared" si="80"/>
        <v>13.771383333333334</v>
      </c>
      <c r="E1090" s="8">
        <f t="shared" si="80"/>
        <v>13.766008333333334</v>
      </c>
      <c r="F1090" s="4">
        <f t="shared" si="80"/>
        <v>14.462708333333332</v>
      </c>
      <c r="G1090" s="8">
        <f t="shared" si="80"/>
        <v>13.596116666666665</v>
      </c>
      <c r="H1090" s="4">
        <f t="shared" si="80"/>
        <v>14.539991666666667</v>
      </c>
      <c r="I1090" s="8">
        <f t="shared" si="80"/>
        <v>13.487124999999997</v>
      </c>
      <c r="J1090" s="4">
        <f t="shared" si="80"/>
        <v>13.336466666666666</v>
      </c>
      <c r="K1090" s="7"/>
      <c r="L1090" s="5">
        <f t="shared" ref="L1090:Q1090" si="81">SUM(L497:L508)</f>
        <v>355.53689999999995</v>
      </c>
      <c r="M1090" s="5">
        <f t="shared" si="81"/>
        <v>142.0401</v>
      </c>
      <c r="N1090" s="5">
        <f t="shared" si="81"/>
        <v>58.217499999999994</v>
      </c>
      <c r="O1090" s="5">
        <f t="shared" si="81"/>
        <v>4.4046000000000003</v>
      </c>
      <c r="P1090" s="5">
        <f t="shared" si="81"/>
        <v>14.707600000000001</v>
      </c>
      <c r="Q1090" s="5">
        <f t="shared" si="81"/>
        <v>232.55579999999998</v>
      </c>
      <c r="R1090" s="5"/>
      <c r="S1090" s="6"/>
    </row>
    <row r="1091" spans="1:19" ht="15.75" customHeight="1">
      <c r="A1091" s="3">
        <f t="shared" si="45"/>
        <v>2056</v>
      </c>
      <c r="B1091" s="8">
        <f t="shared" ref="B1091:J1091" si="82">AVERAGE(B509:B520)</f>
        <v>14.081991666666665</v>
      </c>
      <c r="C1091" s="8">
        <f t="shared" si="82"/>
        <v>14.088258333333334</v>
      </c>
      <c r="D1091" s="8">
        <f t="shared" si="82"/>
        <v>14.101516666666669</v>
      </c>
      <c r="E1091" s="8">
        <f t="shared" si="82"/>
        <v>14.096149999999996</v>
      </c>
      <c r="F1091" s="4">
        <f t="shared" si="82"/>
        <v>14.792875</v>
      </c>
      <c r="G1091" s="8">
        <f t="shared" si="82"/>
        <v>13.92239166666667</v>
      </c>
      <c r="H1091" s="4">
        <f t="shared" si="82"/>
        <v>14.866275</v>
      </c>
      <c r="I1091" s="8">
        <f t="shared" si="82"/>
        <v>13.807699999999997</v>
      </c>
      <c r="J1091" s="4">
        <f t="shared" si="82"/>
        <v>13.656866666666668</v>
      </c>
      <c r="K1091" s="7"/>
      <c r="L1091" s="5">
        <f t="shared" ref="L1091:Q1091" si="83">SUM(L509:L520)</f>
        <v>356.48229999999995</v>
      </c>
      <c r="M1091" s="5">
        <f t="shared" si="83"/>
        <v>142.42920000000001</v>
      </c>
      <c r="N1091" s="5">
        <f t="shared" si="83"/>
        <v>58.377000000000002</v>
      </c>
      <c r="O1091" s="5">
        <f t="shared" si="83"/>
        <v>4.4165999999999999</v>
      </c>
      <c r="P1091" s="5">
        <f t="shared" si="83"/>
        <v>14.7493</v>
      </c>
      <c r="Q1091" s="5">
        <f t="shared" si="83"/>
        <v>232.44659999999996</v>
      </c>
      <c r="R1091" s="5"/>
      <c r="S1091" s="6"/>
    </row>
    <row r="1092" spans="1:19" ht="15.75" customHeight="1">
      <c r="A1092" s="3">
        <f t="shared" si="45"/>
        <v>2057</v>
      </c>
      <c r="B1092" s="8">
        <f t="shared" ref="B1092:J1092" si="84">AVERAGE(B521:B532)</f>
        <v>14.420083333333336</v>
      </c>
      <c r="C1092" s="8">
        <f t="shared" si="84"/>
        <v>14.426333333333334</v>
      </c>
      <c r="D1092" s="8">
        <f t="shared" si="84"/>
        <v>14.4396</v>
      </c>
      <c r="E1092" s="8">
        <f t="shared" si="84"/>
        <v>14.434233333333333</v>
      </c>
      <c r="F1092" s="4">
        <f t="shared" si="84"/>
        <v>15.130958333333332</v>
      </c>
      <c r="G1092" s="8">
        <f t="shared" si="84"/>
        <v>14.256516666666665</v>
      </c>
      <c r="H1092" s="4">
        <f t="shared" si="84"/>
        <v>15.2004</v>
      </c>
      <c r="I1092" s="8">
        <f t="shared" si="84"/>
        <v>14.135958333333337</v>
      </c>
      <c r="J1092" s="4">
        <f t="shared" si="84"/>
        <v>13.984983333333332</v>
      </c>
      <c r="K1092" s="7"/>
      <c r="L1092" s="5">
        <f t="shared" ref="L1092:Q1092" si="85">SUM(L521:L532)</f>
        <v>355.53689999999995</v>
      </c>
      <c r="M1092" s="5">
        <f t="shared" si="85"/>
        <v>142.0401</v>
      </c>
      <c r="N1092" s="5">
        <f t="shared" si="85"/>
        <v>58.217499999999994</v>
      </c>
      <c r="O1092" s="5">
        <f t="shared" si="85"/>
        <v>4.4046000000000003</v>
      </c>
      <c r="P1092" s="5">
        <f t="shared" si="85"/>
        <v>14.707600000000001</v>
      </c>
      <c r="Q1092" s="5">
        <f t="shared" si="85"/>
        <v>231.81149999999997</v>
      </c>
      <c r="R1092" s="5"/>
      <c r="S1092" s="6"/>
    </row>
    <row r="1093" spans="1:19" ht="15.75" customHeight="1">
      <c r="A1093" s="3">
        <f t="shared" si="45"/>
        <v>2058</v>
      </c>
      <c r="B1093" s="8">
        <f t="shared" ref="B1093:J1093" si="86">AVERAGE(B533:B544)</f>
        <v>14.766283333333334</v>
      </c>
      <c r="C1093" s="8">
        <f t="shared" si="86"/>
        <v>14.772533333333334</v>
      </c>
      <c r="D1093" s="8">
        <f t="shared" si="86"/>
        <v>14.7858</v>
      </c>
      <c r="E1093" s="8">
        <f t="shared" si="86"/>
        <v>14.780441666666666</v>
      </c>
      <c r="F1093" s="4">
        <f t="shared" si="86"/>
        <v>15.477158333333334</v>
      </c>
      <c r="G1093" s="8">
        <f t="shared" si="86"/>
        <v>14.598666666666665</v>
      </c>
      <c r="H1093" s="4">
        <f t="shared" si="86"/>
        <v>15.542558333333334</v>
      </c>
      <c r="I1093" s="8">
        <f t="shared" si="86"/>
        <v>14.472108333333333</v>
      </c>
      <c r="J1093" s="4">
        <f t="shared" si="86"/>
        <v>14.320958333333335</v>
      </c>
      <c r="K1093" s="7"/>
      <c r="L1093" s="5">
        <f t="shared" ref="L1093:Q1093" si="87">SUM(L533:L544)</f>
        <v>355.53689999999995</v>
      </c>
      <c r="M1093" s="5">
        <f t="shared" si="87"/>
        <v>142.0401</v>
      </c>
      <c r="N1093" s="5">
        <f t="shared" si="87"/>
        <v>58.217499999999994</v>
      </c>
      <c r="O1093" s="5">
        <f t="shared" si="87"/>
        <v>4.4046000000000003</v>
      </c>
      <c r="P1093" s="5">
        <f t="shared" si="87"/>
        <v>14.707600000000001</v>
      </c>
      <c r="Q1093" s="5">
        <f t="shared" si="87"/>
        <v>231.81149999999997</v>
      </c>
      <c r="R1093" s="5"/>
      <c r="S1093" s="6"/>
    </row>
    <row r="1094" spans="1:19" ht="15.75" customHeight="1">
      <c r="A1094" s="3">
        <f t="shared" si="45"/>
        <v>2059</v>
      </c>
      <c r="B1094" s="8">
        <f t="shared" ref="B1094:J1094" si="88">AVERAGE(B545:B556)</f>
        <v>15.120808333333335</v>
      </c>
      <c r="C1094" s="8">
        <f t="shared" si="88"/>
        <v>15.127050000000004</v>
      </c>
      <c r="D1094" s="8">
        <f t="shared" si="88"/>
        <v>15.140316666666665</v>
      </c>
      <c r="E1094" s="8">
        <f t="shared" si="88"/>
        <v>15.134958333333332</v>
      </c>
      <c r="F1094" s="4">
        <f t="shared" si="88"/>
        <v>15.831666666666669</v>
      </c>
      <c r="G1094" s="8">
        <f t="shared" si="88"/>
        <v>14.949024999999999</v>
      </c>
      <c r="H1094" s="4">
        <f t="shared" si="88"/>
        <v>15.892908333333333</v>
      </c>
      <c r="I1094" s="8">
        <f t="shared" si="88"/>
        <v>14.81635</v>
      </c>
      <c r="J1094" s="4">
        <f t="shared" si="88"/>
        <v>14.665016666666666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.75" customHeight="1">
      <c r="A1095" s="3">
        <f t="shared" si="45"/>
        <v>2060</v>
      </c>
      <c r="B1095" s="8">
        <f t="shared" ref="B1095:J1095" si="89">AVERAGE(B557:B568)</f>
        <v>15.483833333333335</v>
      </c>
      <c r="C1095" s="8">
        <f t="shared" si="89"/>
        <v>15.490083333333333</v>
      </c>
      <c r="D1095" s="8">
        <f t="shared" si="89"/>
        <v>15.503341666666666</v>
      </c>
      <c r="E1095" s="8">
        <f t="shared" si="89"/>
        <v>15.497991666666666</v>
      </c>
      <c r="F1095" s="4">
        <f t="shared" si="89"/>
        <v>16.194708333333331</v>
      </c>
      <c r="G1095" s="8">
        <f t="shared" si="89"/>
        <v>15.307816666666669</v>
      </c>
      <c r="H1095" s="4">
        <f t="shared" si="89"/>
        <v>16.251699999999996</v>
      </c>
      <c r="I1095" s="8">
        <f t="shared" si="89"/>
        <v>15.168849999999999</v>
      </c>
      <c r="J1095" s="4">
        <f t="shared" si="89"/>
        <v>15.017341666666669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.75" customHeight="1">
      <c r="A1096" s="3">
        <f t="shared" si="45"/>
        <v>2061</v>
      </c>
      <c r="B1096" s="8">
        <f t="shared" ref="B1096:J1096" si="90">AVERAGE(B569:B580)</f>
        <v>15.85558333333333</v>
      </c>
      <c r="C1096" s="8">
        <f t="shared" si="90"/>
        <v>15.861858333333332</v>
      </c>
      <c r="D1096" s="8">
        <f t="shared" si="90"/>
        <v>15.875125000000002</v>
      </c>
      <c r="E1096" s="8">
        <f t="shared" si="90"/>
        <v>15.869758333333335</v>
      </c>
      <c r="F1096" s="4">
        <f t="shared" si="90"/>
        <v>16.566475000000001</v>
      </c>
      <c r="G1096" s="8">
        <f t="shared" si="90"/>
        <v>15.675216666666669</v>
      </c>
      <c r="H1096" s="4">
        <f t="shared" si="90"/>
        <v>16.619091666666666</v>
      </c>
      <c r="I1096" s="8">
        <f t="shared" si="90"/>
        <v>15.529825000000001</v>
      </c>
      <c r="J1096" s="4">
        <f t="shared" si="90"/>
        <v>15.378158333333333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.75" customHeight="1">
      <c r="A1097" s="3">
        <f t="shared" si="45"/>
        <v>2062</v>
      </c>
      <c r="B1097" s="4">
        <f t="shared" ref="B1097:J1106" ca="1" si="91">AVERAGE(OFFSET(B$581,($A1097-$A$1097)*12,0,12,1))</f>
        <v>16.236308333333337</v>
      </c>
      <c r="C1097" s="4">
        <f t="shared" ca="1" si="91"/>
        <v>16.242533333333334</v>
      </c>
      <c r="D1097" s="4">
        <f t="shared" ca="1" si="91"/>
        <v>16.255816666666668</v>
      </c>
      <c r="E1097" s="4">
        <f t="shared" ca="1" si="91"/>
        <v>16.250441666666664</v>
      </c>
      <c r="F1097" s="4">
        <f t="shared" ca="1" si="91"/>
        <v>16.947166666666671</v>
      </c>
      <c r="G1097" s="4">
        <f t="shared" ca="1" si="91"/>
        <v>16.051450000000003</v>
      </c>
      <c r="H1097" s="4">
        <f t="shared" ca="1" si="91"/>
        <v>16.995349999999998</v>
      </c>
      <c r="I1097" s="4">
        <f t="shared" ca="1" si="91"/>
        <v>15.899474999999997</v>
      </c>
      <c r="J1097" s="4">
        <f t="shared" ca="1" si="91"/>
        <v>15.7476</v>
      </c>
      <c r="K1097" s="4"/>
      <c r="L1097" s="5">
        <f t="shared" ref="L1097:Q1106" ca="1" si="92">SUM(OFFSET(L$581,($A1097-$A$1097)*12,0,12,1))</f>
        <v>355.53689999999995</v>
      </c>
      <c r="M1097" s="5">
        <f t="shared" ca="1" si="92"/>
        <v>142.0401</v>
      </c>
      <c r="N1097" s="5">
        <f t="shared" ca="1" si="92"/>
        <v>58.217499999999994</v>
      </c>
      <c r="O1097" s="5">
        <f t="shared" ca="1" si="92"/>
        <v>4.4046000000000003</v>
      </c>
      <c r="P1097" s="5">
        <f t="shared" ca="1" si="92"/>
        <v>14.707600000000001</v>
      </c>
      <c r="Q1097" s="5">
        <f t="shared" ca="1" si="92"/>
        <v>231.81149999999997</v>
      </c>
      <c r="R1097" s="4"/>
      <c r="S1097" s="4"/>
    </row>
    <row r="1098" spans="1:19" ht="15.75" customHeight="1">
      <c r="A1098" s="3">
        <f t="shared" si="45"/>
        <v>2063</v>
      </c>
      <c r="B1098" s="4">
        <f t="shared" ca="1" si="91"/>
        <v>16.626124999999998</v>
      </c>
      <c r="C1098" s="4">
        <f t="shared" ca="1" si="91"/>
        <v>16.632383333333333</v>
      </c>
      <c r="D1098" s="4">
        <f t="shared" ca="1" si="91"/>
        <v>16.645633333333333</v>
      </c>
      <c r="E1098" s="4">
        <f t="shared" ca="1" si="91"/>
        <v>16.640275000000003</v>
      </c>
      <c r="F1098" s="4">
        <f t="shared" ca="1" si="91"/>
        <v>17.337008333333333</v>
      </c>
      <c r="G1098" s="4">
        <f t="shared" ca="1" si="91"/>
        <v>16.436724999999999</v>
      </c>
      <c r="H1098" s="4">
        <f t="shared" ca="1" si="91"/>
        <v>17.380624999999998</v>
      </c>
      <c r="I1098" s="4">
        <f t="shared" ca="1" si="91"/>
        <v>16.277991666666669</v>
      </c>
      <c r="J1098" s="4">
        <f t="shared" ca="1" si="91"/>
        <v>16.125941666666666</v>
      </c>
      <c r="K1098" s="4"/>
      <c r="L1098" s="5">
        <f t="shared" ca="1" si="92"/>
        <v>355.53689999999995</v>
      </c>
      <c r="M1098" s="5">
        <f t="shared" ca="1" si="92"/>
        <v>142.0401</v>
      </c>
      <c r="N1098" s="5">
        <f t="shared" ca="1" si="92"/>
        <v>58.217499999999994</v>
      </c>
      <c r="O1098" s="5">
        <f t="shared" ca="1" si="92"/>
        <v>4.4046000000000003</v>
      </c>
      <c r="P1098" s="5">
        <f t="shared" ca="1" si="92"/>
        <v>14.707600000000001</v>
      </c>
      <c r="Q1098" s="5">
        <f t="shared" ca="1" si="92"/>
        <v>231.81149999999997</v>
      </c>
      <c r="R1098" s="4"/>
      <c r="S1098" s="4"/>
    </row>
    <row r="1099" spans="1:19" ht="15.75" customHeight="1">
      <c r="A1099" s="3">
        <f t="shared" si="45"/>
        <v>2064</v>
      </c>
      <c r="B1099" s="4">
        <f t="shared" ca="1" si="91"/>
        <v>17.025341666666666</v>
      </c>
      <c r="C1099" s="4">
        <f t="shared" ca="1" si="91"/>
        <v>17.031583333333334</v>
      </c>
      <c r="D1099" s="4">
        <f t="shared" ca="1" si="91"/>
        <v>17.044858333333334</v>
      </c>
      <c r="E1099" s="4">
        <f t="shared" ca="1" si="91"/>
        <v>17.039491666666667</v>
      </c>
      <c r="F1099" s="4">
        <f t="shared" ca="1" si="91"/>
        <v>17.736224999999997</v>
      </c>
      <c r="G1099" s="4">
        <f t="shared" ca="1" si="91"/>
        <v>16.831266666666664</v>
      </c>
      <c r="H1099" s="4">
        <f t="shared" ca="1" si="91"/>
        <v>17.775158333333334</v>
      </c>
      <c r="I1099" s="4">
        <f t="shared" ca="1" si="91"/>
        <v>16.665608333333331</v>
      </c>
      <c r="J1099" s="4">
        <f t="shared" ca="1" si="91"/>
        <v>16.513374999999996</v>
      </c>
      <c r="K1099" s="4"/>
      <c r="L1099" s="5">
        <f t="shared" ca="1" si="92"/>
        <v>356.48229999999995</v>
      </c>
      <c r="M1099" s="5">
        <f t="shared" ca="1" si="92"/>
        <v>142.42920000000001</v>
      </c>
      <c r="N1099" s="5">
        <f t="shared" ca="1" si="92"/>
        <v>58.377000000000002</v>
      </c>
      <c r="O1099" s="5">
        <f t="shared" ca="1" si="92"/>
        <v>4.4165999999999999</v>
      </c>
      <c r="P1099" s="5">
        <f t="shared" ca="1" si="92"/>
        <v>14.7493</v>
      </c>
      <c r="Q1099" s="5">
        <f t="shared" ca="1" si="92"/>
        <v>232.44659999999996</v>
      </c>
      <c r="R1099" s="4"/>
      <c r="S1099" s="4"/>
    </row>
    <row r="1100" spans="1:19" ht="15.75" customHeight="1">
      <c r="A1100" s="3">
        <f t="shared" si="45"/>
        <v>2065</v>
      </c>
      <c r="B1100" s="4">
        <f t="shared" ca="1" si="91"/>
        <v>17.434125000000002</v>
      </c>
      <c r="C1100" s="4">
        <f t="shared" ca="1" si="91"/>
        <v>17.440391666666667</v>
      </c>
      <c r="D1100" s="4">
        <f t="shared" ca="1" si="91"/>
        <v>17.45365</v>
      </c>
      <c r="E1100" s="4">
        <f t="shared" ca="1" si="91"/>
        <v>17.448266666666665</v>
      </c>
      <c r="F1100" s="4">
        <f t="shared" ca="1" si="91"/>
        <v>18.145</v>
      </c>
      <c r="G1100" s="4">
        <f t="shared" ca="1" si="91"/>
        <v>17.235266666666664</v>
      </c>
      <c r="H1100" s="4">
        <f t="shared" ca="1" si="91"/>
        <v>18.179158333333334</v>
      </c>
      <c r="I1100" s="4">
        <f t="shared" ca="1" si="91"/>
        <v>17.062558333333332</v>
      </c>
      <c r="J1100" s="4">
        <f t="shared" ca="1" si="91"/>
        <v>16.9101</v>
      </c>
      <c r="K1100" s="4"/>
      <c r="L1100" s="5">
        <f t="shared" ca="1" si="92"/>
        <v>355.53689999999995</v>
      </c>
      <c r="M1100" s="5">
        <f t="shared" ca="1" si="92"/>
        <v>142.0401</v>
      </c>
      <c r="N1100" s="5">
        <f t="shared" ca="1" si="92"/>
        <v>58.217499999999994</v>
      </c>
      <c r="O1100" s="5">
        <f t="shared" ca="1" si="92"/>
        <v>4.4046000000000003</v>
      </c>
      <c r="P1100" s="5">
        <f t="shared" ca="1" si="92"/>
        <v>14.707600000000001</v>
      </c>
      <c r="Q1100" s="5">
        <f t="shared" ca="1" si="92"/>
        <v>231.81149999999997</v>
      </c>
      <c r="R1100" s="4"/>
      <c r="S1100" s="4"/>
    </row>
    <row r="1101" spans="1:19" ht="15.75" customHeight="1">
      <c r="A1101" s="3">
        <f t="shared" si="45"/>
        <v>2066</v>
      </c>
      <c r="B1101" s="4">
        <f t="shared" ca="1" si="91"/>
        <v>17.85275833333333</v>
      </c>
      <c r="C1101" s="4">
        <f t="shared" ca="1" si="91"/>
        <v>17.859024999999999</v>
      </c>
      <c r="D1101" s="4">
        <f t="shared" ca="1" si="91"/>
        <v>17.872283333333332</v>
      </c>
      <c r="E1101" s="4">
        <f t="shared" ca="1" si="91"/>
        <v>17.866924999999998</v>
      </c>
      <c r="F1101" s="4">
        <f t="shared" ca="1" si="91"/>
        <v>18.563641666666669</v>
      </c>
      <c r="G1101" s="4">
        <f t="shared" ca="1" si="91"/>
        <v>17.648991666666664</v>
      </c>
      <c r="H1101" s="4">
        <f t="shared" ca="1" si="91"/>
        <v>18.592874999999999</v>
      </c>
      <c r="I1101" s="4">
        <f t="shared" ca="1" si="91"/>
        <v>17.469024999999998</v>
      </c>
      <c r="J1101" s="4">
        <f t="shared" ca="1" si="91"/>
        <v>17.316383333333331</v>
      </c>
      <c r="K1101" s="4"/>
      <c r="L1101" s="5">
        <f t="shared" ca="1" si="92"/>
        <v>355.53689999999995</v>
      </c>
      <c r="M1101" s="5">
        <f t="shared" ca="1" si="92"/>
        <v>142.0401</v>
      </c>
      <c r="N1101" s="5">
        <f t="shared" ca="1" si="92"/>
        <v>58.217499999999994</v>
      </c>
      <c r="O1101" s="5">
        <f t="shared" ca="1" si="92"/>
        <v>4.4046000000000003</v>
      </c>
      <c r="P1101" s="5">
        <f t="shared" ca="1" si="92"/>
        <v>14.707600000000001</v>
      </c>
      <c r="Q1101" s="5">
        <f t="shared" ca="1" si="92"/>
        <v>231.81149999999997</v>
      </c>
      <c r="R1101" s="4"/>
      <c r="S1101" s="4"/>
    </row>
    <row r="1102" spans="1:19" ht="15.75" customHeight="1">
      <c r="A1102" s="3">
        <f t="shared" si="45"/>
        <v>2067</v>
      </c>
      <c r="B1102" s="4">
        <f t="shared" ca="1" si="91"/>
        <v>18.281425000000002</v>
      </c>
      <c r="C1102" s="4">
        <f t="shared" ca="1" si="91"/>
        <v>18.28768333333333</v>
      </c>
      <c r="D1102" s="4">
        <f t="shared" ca="1" si="91"/>
        <v>18.30095833333333</v>
      </c>
      <c r="E1102" s="4">
        <f t="shared" ca="1" si="91"/>
        <v>18.295591666666667</v>
      </c>
      <c r="F1102" s="4">
        <f t="shared" ca="1" si="91"/>
        <v>18.992316666666667</v>
      </c>
      <c r="G1102" s="4">
        <f t="shared" ca="1" si="91"/>
        <v>18.072641666666669</v>
      </c>
      <c r="H1102" s="4">
        <f t="shared" ca="1" si="91"/>
        <v>19.016541666666665</v>
      </c>
      <c r="I1102" s="4">
        <f t="shared" ca="1" si="91"/>
        <v>17.885266666666666</v>
      </c>
      <c r="J1102" s="4">
        <f t="shared" ca="1" si="91"/>
        <v>17.732416666666666</v>
      </c>
      <c r="K1102" s="4"/>
      <c r="L1102" s="5">
        <f t="shared" ca="1" si="92"/>
        <v>355.53689999999995</v>
      </c>
      <c r="M1102" s="5">
        <f t="shared" ca="1" si="92"/>
        <v>142.0401</v>
      </c>
      <c r="N1102" s="5">
        <f t="shared" ca="1" si="92"/>
        <v>58.217499999999994</v>
      </c>
      <c r="O1102" s="5">
        <f t="shared" ca="1" si="92"/>
        <v>4.4046000000000003</v>
      </c>
      <c r="P1102" s="5">
        <f t="shared" ca="1" si="92"/>
        <v>14.707600000000001</v>
      </c>
      <c r="Q1102" s="5">
        <f t="shared" ca="1" si="92"/>
        <v>231.81149999999997</v>
      </c>
      <c r="R1102" s="4"/>
      <c r="S1102" s="4"/>
    </row>
    <row r="1103" spans="1:19" ht="15.75" customHeight="1">
      <c r="A1103" s="3">
        <f t="shared" si="45"/>
        <v>2068</v>
      </c>
      <c r="B1103" s="4">
        <f t="shared" ca="1" si="91"/>
        <v>18.720399999999998</v>
      </c>
      <c r="C1103" s="4">
        <f t="shared" ca="1" si="91"/>
        <v>18.726666666666667</v>
      </c>
      <c r="D1103" s="4">
        <f t="shared" ca="1" si="91"/>
        <v>18.73995</v>
      </c>
      <c r="E1103" s="4">
        <f t="shared" ca="1" si="91"/>
        <v>18.734575</v>
      </c>
      <c r="F1103" s="4">
        <f t="shared" ca="1" si="91"/>
        <v>19.431283333333329</v>
      </c>
      <c r="G1103" s="4">
        <f t="shared" ca="1" si="91"/>
        <v>18.506475000000005</v>
      </c>
      <c r="H1103" s="4">
        <f t="shared" ca="1" si="91"/>
        <v>19.450383333333335</v>
      </c>
      <c r="I1103" s="4">
        <f t="shared" ca="1" si="91"/>
        <v>18.311516666666666</v>
      </c>
      <c r="J1103" s="4">
        <f t="shared" ca="1" si="91"/>
        <v>18.158449999999998</v>
      </c>
      <c r="K1103" s="4"/>
      <c r="L1103" s="5">
        <f t="shared" ca="1" si="92"/>
        <v>356.48229999999995</v>
      </c>
      <c r="M1103" s="5">
        <f t="shared" ca="1" si="92"/>
        <v>142.42920000000001</v>
      </c>
      <c r="N1103" s="5">
        <f t="shared" ca="1" si="92"/>
        <v>58.377000000000002</v>
      </c>
      <c r="O1103" s="5">
        <f t="shared" ca="1" si="92"/>
        <v>4.4165999999999999</v>
      </c>
      <c r="P1103" s="5">
        <f t="shared" ca="1" si="92"/>
        <v>14.7493</v>
      </c>
      <c r="Q1103" s="5">
        <f t="shared" ca="1" si="92"/>
        <v>232.44659999999996</v>
      </c>
      <c r="R1103" s="4"/>
      <c r="S1103" s="4"/>
    </row>
    <row r="1104" spans="1:19" ht="15.75" customHeight="1">
      <c r="A1104" s="3">
        <f t="shared" si="45"/>
        <v>2069</v>
      </c>
      <c r="B1104" s="4">
        <f t="shared" ca="1" si="91"/>
        <v>19.169933333333333</v>
      </c>
      <c r="C1104" s="4">
        <f t="shared" ca="1" si="91"/>
        <v>19.176183333333331</v>
      </c>
      <c r="D1104" s="4">
        <f t="shared" ca="1" si="91"/>
        <v>19.189458333333331</v>
      </c>
      <c r="E1104" s="4">
        <f t="shared" ca="1" si="91"/>
        <v>19.184091666666667</v>
      </c>
      <c r="F1104" s="4">
        <f t="shared" ca="1" si="91"/>
        <v>19.880816666666664</v>
      </c>
      <c r="G1104" s="4">
        <f t="shared" ca="1" si="91"/>
        <v>18.950749999999999</v>
      </c>
      <c r="H1104" s="4">
        <f t="shared" ca="1" si="91"/>
        <v>19.894616666666664</v>
      </c>
      <c r="I1104" s="4">
        <f t="shared" ca="1" si="91"/>
        <v>18.748016666666668</v>
      </c>
      <c r="J1104" s="4">
        <f t="shared" ca="1" si="91"/>
        <v>18.59473333333333</v>
      </c>
      <c r="K1104" s="4"/>
      <c r="L1104" s="5">
        <f t="shared" ca="1" si="92"/>
        <v>355.53689999999995</v>
      </c>
      <c r="M1104" s="5">
        <f t="shared" ca="1" si="92"/>
        <v>142.0401</v>
      </c>
      <c r="N1104" s="5">
        <f t="shared" ca="1" si="92"/>
        <v>58.217499999999994</v>
      </c>
      <c r="O1104" s="5">
        <f t="shared" ca="1" si="92"/>
        <v>4.4046000000000003</v>
      </c>
      <c r="P1104" s="5">
        <f t="shared" ca="1" si="92"/>
        <v>14.707600000000001</v>
      </c>
      <c r="Q1104" s="5">
        <f t="shared" ca="1" si="92"/>
        <v>231.81149999999997</v>
      </c>
      <c r="R1104" s="4"/>
      <c r="S1104" s="4"/>
    </row>
    <row r="1105" spans="1:19" ht="15.75" customHeight="1">
      <c r="A1105" s="3">
        <f t="shared" ref="A1105:A1135" si="93">A1104+1</f>
        <v>2070</v>
      </c>
      <c r="B1105" s="4">
        <f t="shared" ca="1" si="91"/>
        <v>19.630274999999997</v>
      </c>
      <c r="C1105" s="4">
        <f t="shared" ca="1" si="91"/>
        <v>19.636516666666665</v>
      </c>
      <c r="D1105" s="4">
        <f t="shared" ca="1" si="91"/>
        <v>19.649791666666665</v>
      </c>
      <c r="E1105" s="4">
        <f t="shared" ca="1" si="91"/>
        <v>19.644416666666668</v>
      </c>
      <c r="F1105" s="4">
        <f t="shared" ca="1" si="91"/>
        <v>20.341133333333335</v>
      </c>
      <c r="G1105" s="4">
        <f t="shared" ca="1" si="91"/>
        <v>19.405691666666666</v>
      </c>
      <c r="H1105" s="4">
        <f t="shared" ca="1" si="91"/>
        <v>20.349566666666668</v>
      </c>
      <c r="I1105" s="4">
        <f t="shared" ca="1" si="91"/>
        <v>19.194974999999999</v>
      </c>
      <c r="J1105" s="4">
        <f t="shared" ca="1" si="91"/>
        <v>19.041450000000001</v>
      </c>
      <c r="K1105" s="4"/>
      <c r="L1105" s="5">
        <f t="shared" ca="1" si="92"/>
        <v>355.53689999999995</v>
      </c>
      <c r="M1105" s="5">
        <f t="shared" ca="1" si="92"/>
        <v>142.0401</v>
      </c>
      <c r="N1105" s="5">
        <f t="shared" ca="1" si="92"/>
        <v>58.217499999999994</v>
      </c>
      <c r="O1105" s="5">
        <f t="shared" ca="1" si="92"/>
        <v>4.4046000000000003</v>
      </c>
      <c r="P1105" s="5">
        <f t="shared" ca="1" si="92"/>
        <v>14.707600000000001</v>
      </c>
      <c r="Q1105" s="5">
        <f t="shared" ca="1" si="92"/>
        <v>231.81149999999997</v>
      </c>
      <c r="R1105" s="4"/>
      <c r="S1105" s="4"/>
    </row>
    <row r="1106" spans="1:19" ht="15.75" customHeight="1">
      <c r="A1106" s="3">
        <f t="shared" si="93"/>
        <v>2071</v>
      </c>
      <c r="B1106" s="4">
        <f t="shared" ca="1" si="91"/>
        <v>20.101658333333333</v>
      </c>
      <c r="C1106" s="4">
        <f t="shared" ca="1" si="91"/>
        <v>20.107925000000002</v>
      </c>
      <c r="D1106" s="4">
        <f t="shared" ca="1" si="91"/>
        <v>20.121183333333335</v>
      </c>
      <c r="E1106" s="4">
        <f t="shared" ca="1" si="91"/>
        <v>20.115824999999997</v>
      </c>
      <c r="F1106" s="4">
        <f t="shared" ca="1" si="91"/>
        <v>20.812541666666664</v>
      </c>
      <c r="G1106" s="4">
        <f t="shared" ca="1" si="91"/>
        <v>19.871558333333333</v>
      </c>
      <c r="H1106" s="4">
        <f t="shared" ca="1" si="91"/>
        <v>20.815441666666661</v>
      </c>
      <c r="I1106" s="4">
        <f t="shared" ca="1" si="91"/>
        <v>19.652691666666666</v>
      </c>
      <c r="J1106" s="4">
        <f t="shared" ca="1" si="91"/>
        <v>19.498958333333334</v>
      </c>
      <c r="K1106" s="4"/>
      <c r="L1106" s="5">
        <f t="shared" ca="1" si="92"/>
        <v>355.53689999999995</v>
      </c>
      <c r="M1106" s="5">
        <f t="shared" ca="1" si="92"/>
        <v>142.0401</v>
      </c>
      <c r="N1106" s="5">
        <f t="shared" ca="1" si="92"/>
        <v>58.217499999999994</v>
      </c>
      <c r="O1106" s="5">
        <f t="shared" ca="1" si="92"/>
        <v>4.4046000000000003</v>
      </c>
      <c r="P1106" s="5">
        <f t="shared" ca="1" si="92"/>
        <v>14.707600000000001</v>
      </c>
      <c r="Q1106" s="5">
        <f t="shared" ca="1" si="92"/>
        <v>231.81149999999997</v>
      </c>
      <c r="R1106" s="4"/>
      <c r="S1106" s="4"/>
    </row>
    <row r="1107" spans="1:19" ht="15.75" customHeight="1">
      <c r="A1107" s="3">
        <f t="shared" si="93"/>
        <v>2072</v>
      </c>
      <c r="B1107" s="4">
        <f t="shared" ref="B1107:J1116" ca="1" si="94">AVERAGE(OFFSET(B$581,($A1107-$A$1097)*12,0,12,1))</f>
        <v>20.584375000000001</v>
      </c>
      <c r="C1107" s="4">
        <f t="shared" ca="1" si="94"/>
        <v>20.590616666666669</v>
      </c>
      <c r="D1107" s="4">
        <f t="shared" ca="1" si="94"/>
        <v>20.603883333333332</v>
      </c>
      <c r="E1107" s="4">
        <f t="shared" ca="1" si="94"/>
        <v>20.598525000000002</v>
      </c>
      <c r="F1107" s="4">
        <f t="shared" ca="1" si="94"/>
        <v>21.295258333333333</v>
      </c>
      <c r="G1107" s="4">
        <f t="shared" ca="1" si="94"/>
        <v>20.348608333333331</v>
      </c>
      <c r="H1107" s="4">
        <f t="shared" ca="1" si="94"/>
        <v>21.2925</v>
      </c>
      <c r="I1107" s="4">
        <f t="shared" ca="1" si="94"/>
        <v>20.121383333333334</v>
      </c>
      <c r="J1107" s="4">
        <f t="shared" ca="1" si="94"/>
        <v>19.967416666666669</v>
      </c>
      <c r="K1107" s="4"/>
      <c r="L1107" s="5">
        <f t="shared" ref="L1107:Q1116" ca="1" si="95">SUM(OFFSET(L$581,($A1107-$A$1097)*12,0,12,1))</f>
        <v>356.48229999999995</v>
      </c>
      <c r="M1107" s="5">
        <f t="shared" ca="1" si="95"/>
        <v>142.42920000000001</v>
      </c>
      <c r="N1107" s="5">
        <f t="shared" ca="1" si="95"/>
        <v>58.377000000000002</v>
      </c>
      <c r="O1107" s="5">
        <f t="shared" ca="1" si="95"/>
        <v>4.4165999999999999</v>
      </c>
      <c r="P1107" s="5">
        <f t="shared" ca="1" si="95"/>
        <v>14.7493</v>
      </c>
      <c r="Q1107" s="5">
        <f t="shared" ca="1" si="95"/>
        <v>232.44659999999996</v>
      </c>
      <c r="R1107" s="4"/>
      <c r="S1107" s="4"/>
    </row>
    <row r="1108" spans="1:19" ht="15.75" customHeight="1">
      <c r="A1108" s="3">
        <f t="shared" si="93"/>
        <v>2073</v>
      </c>
      <c r="B1108" s="4">
        <f t="shared" ca="1" si="94"/>
        <v>21.078691666666671</v>
      </c>
      <c r="C1108" s="4">
        <f t="shared" ca="1" si="94"/>
        <v>21.084933333333336</v>
      </c>
      <c r="D1108" s="4">
        <f t="shared" ca="1" si="94"/>
        <v>21.098199999999999</v>
      </c>
      <c r="E1108" s="4">
        <f t="shared" ca="1" si="94"/>
        <v>21.092841666666668</v>
      </c>
      <c r="F1108" s="4">
        <f t="shared" ca="1" si="94"/>
        <v>21.789566666666669</v>
      </c>
      <c r="G1108" s="4">
        <f t="shared" ca="1" si="94"/>
        <v>20.837150000000001</v>
      </c>
      <c r="H1108" s="4">
        <f t="shared" ca="1" si="94"/>
        <v>21.78103333333333</v>
      </c>
      <c r="I1108" s="4">
        <f t="shared" ca="1" si="94"/>
        <v>20.601366666666667</v>
      </c>
      <c r="J1108" s="4">
        <f t="shared" ca="1" si="94"/>
        <v>20.447149999999997</v>
      </c>
      <c r="K1108" s="4"/>
      <c r="L1108" s="5">
        <f t="shared" ca="1" si="95"/>
        <v>355.53689999999995</v>
      </c>
      <c r="M1108" s="5">
        <f t="shared" ca="1" si="95"/>
        <v>142.0401</v>
      </c>
      <c r="N1108" s="5">
        <f t="shared" ca="1" si="95"/>
        <v>58.217499999999994</v>
      </c>
      <c r="O1108" s="5">
        <f t="shared" ca="1" si="95"/>
        <v>4.4046000000000003</v>
      </c>
      <c r="P1108" s="5">
        <f t="shared" ca="1" si="95"/>
        <v>14.707600000000001</v>
      </c>
      <c r="Q1108" s="5">
        <f t="shared" ca="1" si="95"/>
        <v>231.81149999999997</v>
      </c>
      <c r="R1108" s="4"/>
      <c r="S1108" s="4"/>
    </row>
    <row r="1109" spans="1:19" ht="15.75" customHeight="1">
      <c r="A1109" s="3">
        <f t="shared" si="93"/>
        <v>2074</v>
      </c>
      <c r="B1109" s="4">
        <f t="shared" ca="1" si="94"/>
        <v>21.584874999999997</v>
      </c>
      <c r="C1109" s="4">
        <f t="shared" ca="1" si="94"/>
        <v>21.591133333333335</v>
      </c>
      <c r="D1109" s="4">
        <f t="shared" ca="1" si="94"/>
        <v>21.604391666666661</v>
      </c>
      <c r="E1109" s="4">
        <f t="shared" ca="1" si="94"/>
        <v>21.599025000000001</v>
      </c>
      <c r="F1109" s="4">
        <f t="shared" ca="1" si="94"/>
        <v>22.295749999999998</v>
      </c>
      <c r="G1109" s="4">
        <f t="shared" ca="1" si="94"/>
        <v>21.337391666666672</v>
      </c>
      <c r="H1109" s="4">
        <f t="shared" ca="1" si="94"/>
        <v>22.281291666666664</v>
      </c>
      <c r="I1109" s="4">
        <f t="shared" ca="1" si="94"/>
        <v>21.092874999999996</v>
      </c>
      <c r="J1109" s="4">
        <f t="shared" ca="1" si="94"/>
        <v>20.938416666666665</v>
      </c>
      <c r="K1109" s="4"/>
      <c r="L1109" s="5">
        <f t="shared" ca="1" si="95"/>
        <v>355.53689999999995</v>
      </c>
      <c r="M1109" s="5">
        <f t="shared" ca="1" si="95"/>
        <v>142.0401</v>
      </c>
      <c r="N1109" s="5">
        <f t="shared" ca="1" si="95"/>
        <v>58.217499999999994</v>
      </c>
      <c r="O1109" s="5">
        <f t="shared" ca="1" si="95"/>
        <v>4.4046000000000003</v>
      </c>
      <c r="P1109" s="5">
        <f t="shared" ca="1" si="95"/>
        <v>14.707600000000001</v>
      </c>
      <c r="Q1109" s="5">
        <f t="shared" ca="1" si="95"/>
        <v>231.81149999999997</v>
      </c>
      <c r="R1109" s="4"/>
      <c r="S1109" s="4"/>
    </row>
    <row r="1110" spans="1:19" ht="15.75" customHeight="1">
      <c r="A1110" s="3">
        <f t="shared" si="93"/>
        <v>2075</v>
      </c>
      <c r="B1110" s="4">
        <f t="shared" ca="1" si="94"/>
        <v>22.103233333333332</v>
      </c>
      <c r="C1110" s="4">
        <f t="shared" ca="1" si="94"/>
        <v>22.109475000000003</v>
      </c>
      <c r="D1110" s="4">
        <f t="shared" ca="1" si="94"/>
        <v>22.122741666666666</v>
      </c>
      <c r="E1110" s="4">
        <f t="shared" ca="1" si="94"/>
        <v>22.117374999999999</v>
      </c>
      <c r="F1110" s="4">
        <f t="shared" ca="1" si="94"/>
        <v>22.814108333333333</v>
      </c>
      <c r="G1110" s="4">
        <f t="shared" ca="1" si="94"/>
        <v>21.849683333333331</v>
      </c>
      <c r="H1110" s="4">
        <f t="shared" ca="1" si="94"/>
        <v>22.793574999999993</v>
      </c>
      <c r="I1110" s="4">
        <f t="shared" ca="1" si="94"/>
        <v>21.596183333333332</v>
      </c>
      <c r="J1110" s="4">
        <f t="shared" ca="1" si="94"/>
        <v>21.44145833333333</v>
      </c>
      <c r="K1110" s="4"/>
      <c r="L1110" s="5">
        <f t="shared" ca="1" si="95"/>
        <v>355.53689999999995</v>
      </c>
      <c r="M1110" s="5">
        <f t="shared" ca="1" si="95"/>
        <v>142.0401</v>
      </c>
      <c r="N1110" s="5">
        <f t="shared" ca="1" si="95"/>
        <v>58.217499999999994</v>
      </c>
      <c r="O1110" s="5">
        <f t="shared" ca="1" si="95"/>
        <v>4.4046000000000003</v>
      </c>
      <c r="P1110" s="5">
        <f t="shared" ca="1" si="95"/>
        <v>14.707600000000001</v>
      </c>
      <c r="Q1110" s="5">
        <f t="shared" ca="1" si="95"/>
        <v>231.81149999999997</v>
      </c>
      <c r="R1110" s="4"/>
      <c r="S1110" s="4"/>
    </row>
    <row r="1111" spans="1:19" ht="15.75" customHeight="1">
      <c r="A1111" s="3">
        <f t="shared" si="93"/>
        <v>2076</v>
      </c>
      <c r="B1111" s="4">
        <f t="shared" ca="1" si="94"/>
        <v>22.634050000000002</v>
      </c>
      <c r="C1111" s="4">
        <f t="shared" ca="1" si="94"/>
        <v>22.64029166666667</v>
      </c>
      <c r="D1111" s="4">
        <f t="shared" ca="1" si="94"/>
        <v>22.653558333333336</v>
      </c>
      <c r="E1111" s="4">
        <f t="shared" ca="1" si="94"/>
        <v>22.648191666666666</v>
      </c>
      <c r="F1111" s="4">
        <f t="shared" ca="1" si="94"/>
        <v>23.344916666666666</v>
      </c>
      <c r="G1111" s="4">
        <f t="shared" ca="1" si="94"/>
        <v>22.374266666666667</v>
      </c>
      <c r="H1111" s="4">
        <f t="shared" ca="1" si="94"/>
        <v>23.318149999999999</v>
      </c>
      <c r="I1111" s="4">
        <f t="shared" ca="1" si="94"/>
        <v>22.111591666666666</v>
      </c>
      <c r="J1111" s="4">
        <f t="shared" ca="1" si="94"/>
        <v>21.956616666666665</v>
      </c>
      <c r="K1111" s="4"/>
      <c r="L1111" s="5">
        <f t="shared" ca="1" si="95"/>
        <v>356.48229999999995</v>
      </c>
      <c r="M1111" s="5">
        <f t="shared" ca="1" si="95"/>
        <v>142.42920000000001</v>
      </c>
      <c r="N1111" s="5">
        <f t="shared" ca="1" si="95"/>
        <v>58.377000000000002</v>
      </c>
      <c r="O1111" s="5">
        <f t="shared" ca="1" si="95"/>
        <v>4.4165999999999999</v>
      </c>
      <c r="P1111" s="5">
        <f t="shared" ca="1" si="95"/>
        <v>14.7493</v>
      </c>
      <c r="Q1111" s="5">
        <f t="shared" ca="1" si="95"/>
        <v>232.44659999999996</v>
      </c>
      <c r="R1111" s="4"/>
      <c r="S1111" s="4"/>
    </row>
    <row r="1112" spans="1:19" ht="15.75" customHeight="1">
      <c r="A1112" s="3">
        <f t="shared" si="93"/>
        <v>2077</v>
      </c>
      <c r="B1112" s="4">
        <f t="shared" ca="1" si="94"/>
        <v>23.177591666666668</v>
      </c>
      <c r="C1112" s="4">
        <f t="shared" ca="1" si="94"/>
        <v>23.183858333333337</v>
      </c>
      <c r="D1112" s="4">
        <f t="shared" ca="1" si="94"/>
        <v>23.19711666666667</v>
      </c>
      <c r="E1112" s="4">
        <f t="shared" ca="1" si="94"/>
        <v>23.191758333333336</v>
      </c>
      <c r="F1112" s="4">
        <f t="shared" ca="1" si="94"/>
        <v>23.888475</v>
      </c>
      <c r="G1112" s="4">
        <f t="shared" ca="1" si="94"/>
        <v>22.911466666666666</v>
      </c>
      <c r="H1112" s="4">
        <f t="shared" ca="1" si="94"/>
        <v>23.855358333333331</v>
      </c>
      <c r="I1112" s="4">
        <f t="shared" ca="1" si="94"/>
        <v>22.639399999999998</v>
      </c>
      <c r="J1112" s="4">
        <f t="shared" ca="1" si="94"/>
        <v>22.48414166666667</v>
      </c>
      <c r="K1112" s="4"/>
      <c r="L1112" s="5">
        <f t="shared" ca="1" si="95"/>
        <v>355.53689999999995</v>
      </c>
      <c r="M1112" s="5">
        <f t="shared" ca="1" si="95"/>
        <v>142.0401</v>
      </c>
      <c r="N1112" s="5">
        <f t="shared" ca="1" si="95"/>
        <v>58.217499999999994</v>
      </c>
      <c r="O1112" s="5">
        <f t="shared" ca="1" si="95"/>
        <v>4.4046000000000003</v>
      </c>
      <c r="P1112" s="5">
        <f t="shared" ca="1" si="95"/>
        <v>14.707600000000001</v>
      </c>
      <c r="Q1112" s="5">
        <f t="shared" ca="1" si="95"/>
        <v>231.81149999999997</v>
      </c>
      <c r="R1112" s="4"/>
      <c r="S1112" s="4"/>
    </row>
    <row r="1113" spans="1:19" ht="15.75" customHeight="1">
      <c r="A1113" s="3">
        <f t="shared" si="93"/>
        <v>2078</v>
      </c>
      <c r="B1113" s="4">
        <f t="shared" ca="1" si="94"/>
        <v>23.734208333333331</v>
      </c>
      <c r="C1113" s="4">
        <f t="shared" ca="1" si="94"/>
        <v>23.740466666666666</v>
      </c>
      <c r="D1113" s="4">
        <f t="shared" ca="1" si="94"/>
        <v>23.753741666666667</v>
      </c>
      <c r="E1113" s="4">
        <f t="shared" ca="1" si="94"/>
        <v>23.748366666666666</v>
      </c>
      <c r="F1113" s="4">
        <f t="shared" ca="1" si="94"/>
        <v>24.44509166666667</v>
      </c>
      <c r="G1113" s="4">
        <f t="shared" ca="1" si="94"/>
        <v>23.461575</v>
      </c>
      <c r="H1113" s="4">
        <f t="shared" ca="1" si="94"/>
        <v>24.405458333333332</v>
      </c>
      <c r="I1113" s="4">
        <f t="shared" ca="1" si="94"/>
        <v>23.179841666666665</v>
      </c>
      <c r="J1113" s="4">
        <f t="shared" ca="1" si="94"/>
        <v>23.024350000000002</v>
      </c>
      <c r="K1113" s="4"/>
      <c r="L1113" s="5">
        <f t="shared" ca="1" si="95"/>
        <v>355.53689999999995</v>
      </c>
      <c r="M1113" s="5">
        <f t="shared" ca="1" si="95"/>
        <v>142.0401</v>
      </c>
      <c r="N1113" s="5">
        <f t="shared" ca="1" si="95"/>
        <v>58.217499999999994</v>
      </c>
      <c r="O1113" s="5">
        <f t="shared" ca="1" si="95"/>
        <v>4.4046000000000003</v>
      </c>
      <c r="P1113" s="5">
        <f t="shared" ca="1" si="95"/>
        <v>14.707600000000001</v>
      </c>
      <c r="Q1113" s="5">
        <f t="shared" ca="1" si="95"/>
        <v>231.81149999999997</v>
      </c>
      <c r="R1113" s="4"/>
      <c r="S1113" s="4"/>
    </row>
    <row r="1114" spans="1:19" ht="15.75" customHeight="1">
      <c r="A1114" s="3">
        <f t="shared" si="93"/>
        <v>2079</v>
      </c>
      <c r="B1114" s="4">
        <f t="shared" ca="1" si="94"/>
        <v>24.304208333333335</v>
      </c>
      <c r="C1114" s="4">
        <f t="shared" ca="1" si="94"/>
        <v>24.310466666666667</v>
      </c>
      <c r="D1114" s="4">
        <f t="shared" ca="1" si="94"/>
        <v>24.323733333333337</v>
      </c>
      <c r="E1114" s="4">
        <f t="shared" ca="1" si="94"/>
        <v>24.318366666666666</v>
      </c>
      <c r="F1114" s="4">
        <f t="shared" ca="1" si="94"/>
        <v>25.015083333333333</v>
      </c>
      <c r="G1114" s="4">
        <f t="shared" ca="1" si="94"/>
        <v>24.024899999999999</v>
      </c>
      <c r="H1114" s="4">
        <f t="shared" ca="1" si="94"/>
        <v>24.968783333333334</v>
      </c>
      <c r="I1114" s="4">
        <f t="shared" ca="1" si="94"/>
        <v>23.733308333333337</v>
      </c>
      <c r="J1114" s="4">
        <f t="shared" ca="1" si="94"/>
        <v>23.577525000000005</v>
      </c>
      <c r="K1114" s="4"/>
      <c r="L1114" s="5">
        <f t="shared" ca="1" si="95"/>
        <v>355.53689999999995</v>
      </c>
      <c r="M1114" s="5">
        <f t="shared" ca="1" si="95"/>
        <v>142.0401</v>
      </c>
      <c r="N1114" s="5">
        <f t="shared" ca="1" si="95"/>
        <v>58.217499999999994</v>
      </c>
      <c r="O1114" s="5">
        <f t="shared" ca="1" si="95"/>
        <v>4.4046000000000003</v>
      </c>
      <c r="P1114" s="5">
        <f t="shared" ca="1" si="95"/>
        <v>14.707600000000001</v>
      </c>
      <c r="Q1114" s="5">
        <f t="shared" ca="1" si="95"/>
        <v>231.81149999999997</v>
      </c>
      <c r="R1114" s="4"/>
      <c r="S1114" s="4"/>
    </row>
    <row r="1115" spans="1:19" ht="15.75" customHeight="1">
      <c r="A1115" s="3">
        <f t="shared" si="93"/>
        <v>2080</v>
      </c>
      <c r="B1115" s="4">
        <f t="shared" ca="1" si="94"/>
        <v>24.887891666666665</v>
      </c>
      <c r="C1115" s="4">
        <f t="shared" ca="1" si="94"/>
        <v>24.89415</v>
      </c>
      <c r="D1115" s="4">
        <f t="shared" ca="1" si="94"/>
        <v>24.907416666666666</v>
      </c>
      <c r="E1115" s="4">
        <f t="shared" ca="1" si="94"/>
        <v>24.902049999999999</v>
      </c>
      <c r="F1115" s="4">
        <f t="shared" ca="1" si="94"/>
        <v>25.598775</v>
      </c>
      <c r="G1115" s="4">
        <f t="shared" ca="1" si="94"/>
        <v>24.601741666666666</v>
      </c>
      <c r="H1115" s="4">
        <f t="shared" ca="1" si="94"/>
        <v>25.545633333333331</v>
      </c>
      <c r="I1115" s="4">
        <f t="shared" ca="1" si="94"/>
        <v>24.300058333333336</v>
      </c>
      <c r="J1115" s="4">
        <f t="shared" ca="1" si="94"/>
        <v>24.144008333333332</v>
      </c>
      <c r="K1115" s="4"/>
      <c r="L1115" s="5">
        <f t="shared" ca="1" si="95"/>
        <v>356.48229999999995</v>
      </c>
      <c r="M1115" s="5">
        <f t="shared" ca="1" si="95"/>
        <v>142.42920000000001</v>
      </c>
      <c r="N1115" s="5">
        <f t="shared" ca="1" si="95"/>
        <v>58.377000000000002</v>
      </c>
      <c r="O1115" s="5">
        <f t="shared" ca="1" si="95"/>
        <v>4.4165999999999999</v>
      </c>
      <c r="P1115" s="5">
        <f t="shared" ca="1" si="95"/>
        <v>14.7493</v>
      </c>
      <c r="Q1115" s="5">
        <f t="shared" ca="1" si="95"/>
        <v>232.44659999999996</v>
      </c>
      <c r="R1115" s="4"/>
      <c r="S1115" s="4"/>
    </row>
    <row r="1116" spans="1:19" ht="15.75" customHeight="1">
      <c r="A1116" s="3">
        <f t="shared" si="93"/>
        <v>2081</v>
      </c>
      <c r="B1116" s="4">
        <f t="shared" ca="1" si="94"/>
        <v>25.485641666666666</v>
      </c>
      <c r="C1116" s="4">
        <f t="shared" ca="1" si="94"/>
        <v>25.491875000000004</v>
      </c>
      <c r="D1116" s="4">
        <f t="shared" ca="1" si="94"/>
        <v>25.50515</v>
      </c>
      <c r="E1116" s="4">
        <f t="shared" ca="1" si="94"/>
        <v>25.49978333333333</v>
      </c>
      <c r="F1116" s="4">
        <f t="shared" ca="1" si="94"/>
        <v>26.1965</v>
      </c>
      <c r="G1116" s="4">
        <f t="shared" ca="1" si="94"/>
        <v>25.192466666666672</v>
      </c>
      <c r="H1116" s="4">
        <f t="shared" ca="1" si="94"/>
        <v>26.136358333333334</v>
      </c>
      <c r="I1116" s="4">
        <f t="shared" ca="1" si="94"/>
        <v>24.88044166666667</v>
      </c>
      <c r="J1116" s="4">
        <f t="shared" ca="1" si="94"/>
        <v>24.724108333333334</v>
      </c>
      <c r="K1116" s="4"/>
      <c r="L1116" s="5">
        <f t="shared" ca="1" si="95"/>
        <v>355.53689999999995</v>
      </c>
      <c r="M1116" s="5">
        <f t="shared" ca="1" si="95"/>
        <v>142.0401</v>
      </c>
      <c r="N1116" s="5">
        <f t="shared" ca="1" si="95"/>
        <v>58.217499999999994</v>
      </c>
      <c r="O1116" s="5">
        <f t="shared" ca="1" si="95"/>
        <v>4.4046000000000003</v>
      </c>
      <c r="P1116" s="5">
        <f t="shared" ca="1" si="95"/>
        <v>14.707600000000001</v>
      </c>
      <c r="Q1116" s="5">
        <f t="shared" ca="1" si="95"/>
        <v>231.81149999999997</v>
      </c>
      <c r="R1116" s="4"/>
      <c r="S1116" s="4"/>
    </row>
    <row r="1117" spans="1:19" ht="15.75" customHeight="1">
      <c r="A1117" s="3">
        <f t="shared" si="93"/>
        <v>2082</v>
      </c>
      <c r="B1117" s="4">
        <f t="shared" ref="B1117:J1126" ca="1" si="96">AVERAGE(OFFSET(B$581,($A1117-$A$1097)*12,0,12,1))</f>
        <v>26.0977</v>
      </c>
      <c r="C1117" s="4">
        <f t="shared" ca="1" si="96"/>
        <v>26.103949999999998</v>
      </c>
      <c r="D1117" s="4">
        <f t="shared" ca="1" si="96"/>
        <v>26.117216666666668</v>
      </c>
      <c r="E1117" s="4">
        <f t="shared" ca="1" si="96"/>
        <v>26.111858333333334</v>
      </c>
      <c r="F1117" s="4">
        <f t="shared" ca="1" si="96"/>
        <v>26.808575000000001</v>
      </c>
      <c r="G1117" s="4">
        <f t="shared" ca="1" si="96"/>
        <v>25.797374999999999</v>
      </c>
      <c r="H1117" s="4">
        <f t="shared" ca="1" si="96"/>
        <v>26.741266666666672</v>
      </c>
      <c r="I1117" s="4">
        <f t="shared" ca="1" si="96"/>
        <v>25.47475</v>
      </c>
      <c r="J1117" s="4">
        <f t="shared" ca="1" si="96"/>
        <v>25.318108333333338</v>
      </c>
      <c r="K1117" s="4"/>
      <c r="L1117" s="5">
        <f t="shared" ref="L1117:Q1126" ca="1" si="97">SUM(OFFSET(L$581,($A1117-$A$1097)*12,0,12,1))</f>
        <v>355.53689999999995</v>
      </c>
      <c r="M1117" s="5">
        <f t="shared" ca="1" si="97"/>
        <v>142.0401</v>
      </c>
      <c r="N1117" s="5">
        <f t="shared" ca="1" si="97"/>
        <v>58.217499999999994</v>
      </c>
      <c r="O1117" s="5">
        <f t="shared" ca="1" si="97"/>
        <v>4.4046000000000003</v>
      </c>
      <c r="P1117" s="5">
        <f t="shared" ca="1" si="97"/>
        <v>14.707600000000001</v>
      </c>
      <c r="Q1117" s="5">
        <f t="shared" ca="1" si="97"/>
        <v>231.81149999999997</v>
      </c>
      <c r="R1117" s="4"/>
      <c r="S1117" s="4"/>
    </row>
    <row r="1118" spans="1:19" ht="15.75" customHeight="1">
      <c r="A1118" s="3">
        <f t="shared" si="93"/>
        <v>2083</v>
      </c>
      <c r="B1118" s="4">
        <f t="shared" ca="1" si="96"/>
        <v>26.724474999999998</v>
      </c>
      <c r="C1118" s="4">
        <f t="shared" ca="1" si="96"/>
        <v>26.73075</v>
      </c>
      <c r="D1118" s="4">
        <f t="shared" ca="1" si="96"/>
        <v>26.74400833333333</v>
      </c>
      <c r="E1118" s="4">
        <f t="shared" ca="1" si="96"/>
        <v>26.738633333333336</v>
      </c>
      <c r="F1118" s="4">
        <f t="shared" ca="1" si="96"/>
        <v>27.435358333333337</v>
      </c>
      <c r="G1118" s="4">
        <f t="shared" ca="1" si="96"/>
        <v>26.416824999999999</v>
      </c>
      <c r="H1118" s="4">
        <f t="shared" ca="1" si="96"/>
        <v>27.360708333333335</v>
      </c>
      <c r="I1118" s="4">
        <f t="shared" ca="1" si="96"/>
        <v>26.083341666666669</v>
      </c>
      <c r="J1118" s="4">
        <f t="shared" ca="1" si="96"/>
        <v>25.926400000000001</v>
      </c>
      <c r="K1118" s="4"/>
      <c r="L1118" s="5">
        <f t="shared" ca="1" si="97"/>
        <v>355.53689999999995</v>
      </c>
      <c r="M1118" s="5">
        <f t="shared" ca="1" si="97"/>
        <v>142.0401</v>
      </c>
      <c r="N1118" s="5">
        <f t="shared" ca="1" si="97"/>
        <v>58.217499999999994</v>
      </c>
      <c r="O1118" s="5">
        <f t="shared" ca="1" si="97"/>
        <v>4.4046000000000003</v>
      </c>
      <c r="P1118" s="5">
        <f t="shared" ca="1" si="97"/>
        <v>14.707600000000001</v>
      </c>
      <c r="Q1118" s="5">
        <f t="shared" ca="1" si="97"/>
        <v>231.81149999999997</v>
      </c>
      <c r="R1118" s="4"/>
      <c r="S1118" s="4"/>
    </row>
    <row r="1119" spans="1:19" ht="15.75" customHeight="1">
      <c r="A1119" s="3">
        <f t="shared" si="93"/>
        <v>2084</v>
      </c>
      <c r="B1119" s="4">
        <f t="shared" ca="1" si="96"/>
        <v>27.366308333333333</v>
      </c>
      <c r="C1119" s="4">
        <f t="shared" ca="1" si="96"/>
        <v>27.372583333333335</v>
      </c>
      <c r="D1119" s="4">
        <f t="shared" ca="1" si="96"/>
        <v>27.385841666666668</v>
      </c>
      <c r="E1119" s="4">
        <f t="shared" ca="1" si="96"/>
        <v>27.380483333333331</v>
      </c>
      <c r="F1119" s="4">
        <f t="shared" ca="1" si="96"/>
        <v>28.077200000000005</v>
      </c>
      <c r="G1119" s="4">
        <f t="shared" ca="1" si="96"/>
        <v>27.051158333333333</v>
      </c>
      <c r="H1119" s="4">
        <f t="shared" ca="1" si="96"/>
        <v>27.995041666666665</v>
      </c>
      <c r="I1119" s="4">
        <f t="shared" ca="1" si="96"/>
        <v>26.706575000000001</v>
      </c>
      <c r="J1119" s="4">
        <f t="shared" ca="1" si="96"/>
        <v>26.54931666666667</v>
      </c>
      <c r="K1119" s="4"/>
      <c r="L1119" s="5">
        <f t="shared" ca="1" si="97"/>
        <v>356.48229999999995</v>
      </c>
      <c r="M1119" s="5">
        <f t="shared" ca="1" si="97"/>
        <v>142.42920000000001</v>
      </c>
      <c r="N1119" s="5">
        <f t="shared" ca="1" si="97"/>
        <v>58.377000000000002</v>
      </c>
      <c r="O1119" s="5">
        <f t="shared" ca="1" si="97"/>
        <v>4.4165999999999999</v>
      </c>
      <c r="P1119" s="5">
        <f t="shared" ca="1" si="97"/>
        <v>14.7493</v>
      </c>
      <c r="Q1119" s="5">
        <f t="shared" ca="1" si="97"/>
        <v>232.44659999999996</v>
      </c>
      <c r="R1119" s="4"/>
      <c r="S1119" s="4"/>
    </row>
    <row r="1120" spans="1:19" ht="15.75" customHeight="1">
      <c r="A1120" s="3">
        <f t="shared" si="93"/>
        <v>2085</v>
      </c>
      <c r="B1120" s="4">
        <f t="shared" ca="1" si="96"/>
        <v>28.023591666666665</v>
      </c>
      <c r="C1120" s="4">
        <f t="shared" ca="1" si="96"/>
        <v>28.02984166666667</v>
      </c>
      <c r="D1120" s="4">
        <f t="shared" ca="1" si="96"/>
        <v>28.04313333333333</v>
      </c>
      <c r="E1120" s="4">
        <f t="shared" ca="1" si="96"/>
        <v>28.037749999999999</v>
      </c>
      <c r="F1120" s="4">
        <f t="shared" ca="1" si="96"/>
        <v>28.734466666666666</v>
      </c>
      <c r="G1120" s="4">
        <f t="shared" ca="1" si="96"/>
        <v>27.700716666666668</v>
      </c>
      <c r="H1120" s="4">
        <f t="shared" ca="1" si="96"/>
        <v>28.644600000000001</v>
      </c>
      <c r="I1120" s="4">
        <f t="shared" ca="1" si="96"/>
        <v>27.344791666666669</v>
      </c>
      <c r="J1120" s="4">
        <f t="shared" ca="1" si="96"/>
        <v>27.187191666666667</v>
      </c>
      <c r="K1120" s="4"/>
      <c r="L1120" s="5">
        <f t="shared" ca="1" si="97"/>
        <v>355.53689999999995</v>
      </c>
      <c r="M1120" s="5">
        <f t="shared" ca="1" si="97"/>
        <v>142.0401</v>
      </c>
      <c r="N1120" s="5">
        <f t="shared" ca="1" si="97"/>
        <v>58.217499999999994</v>
      </c>
      <c r="O1120" s="5">
        <f t="shared" ca="1" si="97"/>
        <v>4.4046000000000003</v>
      </c>
      <c r="P1120" s="5">
        <f t="shared" ca="1" si="97"/>
        <v>14.707600000000001</v>
      </c>
      <c r="Q1120" s="5">
        <f t="shared" ca="1" si="97"/>
        <v>231.81149999999997</v>
      </c>
      <c r="R1120" s="4"/>
      <c r="S1120" s="4"/>
    </row>
    <row r="1121" spans="1:19" ht="15.75" customHeight="1">
      <c r="A1121" s="3">
        <f t="shared" si="93"/>
        <v>2086</v>
      </c>
      <c r="B1121" s="4">
        <f t="shared" ca="1" si="96"/>
        <v>28.696658333333335</v>
      </c>
      <c r="C1121" s="4">
        <f t="shared" ca="1" si="96"/>
        <v>28.702899999999996</v>
      </c>
      <c r="D1121" s="4">
        <f t="shared" ca="1" si="96"/>
        <v>28.716166666666666</v>
      </c>
      <c r="E1121" s="4">
        <f t="shared" ca="1" si="96"/>
        <v>28.710808333333333</v>
      </c>
      <c r="F1121" s="4">
        <f t="shared" ca="1" si="96"/>
        <v>29.407541666666663</v>
      </c>
      <c r="G1121" s="4">
        <f t="shared" ca="1" si="96"/>
        <v>28.3659</v>
      </c>
      <c r="H1121" s="4">
        <f t="shared" ca="1" si="96"/>
        <v>29.309791666666666</v>
      </c>
      <c r="I1121" s="4">
        <f t="shared" ca="1" si="96"/>
        <v>27.9983</v>
      </c>
      <c r="J1121" s="4">
        <f t="shared" ca="1" si="96"/>
        <v>27.840391666666665</v>
      </c>
      <c r="K1121" s="4"/>
      <c r="L1121" s="5">
        <f t="shared" ca="1" si="97"/>
        <v>355.53689999999995</v>
      </c>
      <c r="M1121" s="5">
        <f t="shared" ca="1" si="97"/>
        <v>142.0401</v>
      </c>
      <c r="N1121" s="5">
        <f t="shared" ca="1" si="97"/>
        <v>58.217499999999994</v>
      </c>
      <c r="O1121" s="5">
        <f t="shared" ca="1" si="97"/>
        <v>4.4046000000000003</v>
      </c>
      <c r="P1121" s="5">
        <f t="shared" ca="1" si="97"/>
        <v>14.707600000000001</v>
      </c>
      <c r="Q1121" s="5">
        <f t="shared" ca="1" si="97"/>
        <v>231.81149999999997</v>
      </c>
      <c r="R1121" s="4"/>
      <c r="S1121" s="4"/>
    </row>
    <row r="1122" spans="1:19" ht="15.75" customHeight="1">
      <c r="A1122" s="3">
        <f t="shared" si="93"/>
        <v>2087</v>
      </c>
      <c r="B1122" s="4">
        <f t="shared" ca="1" si="96"/>
        <v>29.385883333333329</v>
      </c>
      <c r="C1122" s="4">
        <f t="shared" ca="1" si="96"/>
        <v>29.392133333333337</v>
      </c>
      <c r="D1122" s="4">
        <f t="shared" ca="1" si="96"/>
        <v>29.4054</v>
      </c>
      <c r="E1122" s="4">
        <f t="shared" ca="1" si="96"/>
        <v>29.400033333333337</v>
      </c>
      <c r="F1122" s="4">
        <f t="shared" ca="1" si="96"/>
        <v>30.09675833333333</v>
      </c>
      <c r="G1122" s="4">
        <f t="shared" ca="1" si="96"/>
        <v>29.047066666666666</v>
      </c>
      <c r="H1122" s="4">
        <f t="shared" ca="1" si="96"/>
        <v>29.990941666666668</v>
      </c>
      <c r="I1122" s="4">
        <f t="shared" ca="1" si="96"/>
        <v>28.667533333333328</v>
      </c>
      <c r="J1122" s="4">
        <f t="shared" ca="1" si="96"/>
        <v>28.50928333333334</v>
      </c>
      <c r="K1122" s="4"/>
      <c r="L1122" s="5">
        <f t="shared" ca="1" si="97"/>
        <v>355.53689999999995</v>
      </c>
      <c r="M1122" s="5">
        <f t="shared" ca="1" si="97"/>
        <v>142.0401</v>
      </c>
      <c r="N1122" s="5">
        <f t="shared" ca="1" si="97"/>
        <v>58.217499999999994</v>
      </c>
      <c r="O1122" s="5">
        <f t="shared" ca="1" si="97"/>
        <v>4.4046000000000003</v>
      </c>
      <c r="P1122" s="5">
        <f t="shared" ca="1" si="97"/>
        <v>14.707600000000001</v>
      </c>
      <c r="Q1122" s="5">
        <f t="shared" ca="1" si="97"/>
        <v>231.81149999999997</v>
      </c>
      <c r="R1122" s="4"/>
      <c r="S1122" s="4"/>
    </row>
    <row r="1123" spans="1:19" ht="15.75" customHeight="1">
      <c r="A1123" s="3">
        <f t="shared" si="93"/>
        <v>2088</v>
      </c>
      <c r="B1123" s="4">
        <f t="shared" ca="1" si="96"/>
        <v>30.091658333333331</v>
      </c>
      <c r="C1123" s="4">
        <f t="shared" ca="1" si="96"/>
        <v>30.097933333333334</v>
      </c>
      <c r="D1123" s="4">
        <f t="shared" ca="1" si="96"/>
        <v>30.11119166666667</v>
      </c>
      <c r="E1123" s="4">
        <f t="shared" ca="1" si="96"/>
        <v>30.105833333333333</v>
      </c>
      <c r="F1123" s="4">
        <f t="shared" ca="1" si="96"/>
        <v>30.80255</v>
      </c>
      <c r="G1123" s="4">
        <f t="shared" ca="1" si="96"/>
        <v>29.744574999999998</v>
      </c>
      <c r="H1123" s="4">
        <f t="shared" ca="1" si="96"/>
        <v>30.688466666666667</v>
      </c>
      <c r="I1123" s="4">
        <f t="shared" ca="1" si="96"/>
        <v>29.352833333333333</v>
      </c>
      <c r="J1123" s="4">
        <f t="shared" ca="1" si="96"/>
        <v>29.194266666666667</v>
      </c>
      <c r="K1123" s="4"/>
      <c r="L1123" s="5">
        <f t="shared" ca="1" si="97"/>
        <v>356.48229999999995</v>
      </c>
      <c r="M1123" s="5">
        <f t="shared" ca="1" si="97"/>
        <v>142.42920000000001</v>
      </c>
      <c r="N1123" s="5">
        <f t="shared" ca="1" si="97"/>
        <v>58.377000000000002</v>
      </c>
      <c r="O1123" s="5">
        <f t="shared" ca="1" si="97"/>
        <v>4.4165999999999999</v>
      </c>
      <c r="P1123" s="5">
        <f t="shared" ca="1" si="97"/>
        <v>14.7493</v>
      </c>
      <c r="Q1123" s="5">
        <f t="shared" ca="1" si="97"/>
        <v>232.44659999999996</v>
      </c>
      <c r="R1123" s="4"/>
      <c r="S1123" s="4"/>
    </row>
    <row r="1124" spans="1:19" ht="15.75" customHeight="1">
      <c r="A1124" s="3">
        <f t="shared" si="93"/>
        <v>2089</v>
      </c>
      <c r="B1124" s="4">
        <f t="shared" ca="1" si="96"/>
        <v>30.81441666666667</v>
      </c>
      <c r="C1124" s="4">
        <f t="shared" ca="1" si="96"/>
        <v>30.820683333333339</v>
      </c>
      <c r="D1124" s="4">
        <f t="shared" ca="1" si="96"/>
        <v>30.833950000000002</v>
      </c>
      <c r="E1124" s="4">
        <f t="shared" ca="1" si="96"/>
        <v>30.828583333333331</v>
      </c>
      <c r="F1124" s="4">
        <f t="shared" ca="1" si="96"/>
        <v>31.525308333333339</v>
      </c>
      <c r="G1124" s="4">
        <f t="shared" ca="1" si="96"/>
        <v>30.458866666666665</v>
      </c>
      <c r="H1124" s="4">
        <f t="shared" ca="1" si="96"/>
        <v>31.402758333333338</v>
      </c>
      <c r="I1124" s="4">
        <f t="shared" ca="1" si="96"/>
        <v>30.054633333333332</v>
      </c>
      <c r="J1124" s="4">
        <f t="shared" ca="1" si="96"/>
        <v>29.895691666666664</v>
      </c>
      <c r="K1124" s="4"/>
      <c r="L1124" s="5">
        <f t="shared" ca="1" si="97"/>
        <v>355.53689999999995</v>
      </c>
      <c r="M1124" s="5">
        <f t="shared" ca="1" si="97"/>
        <v>142.0401</v>
      </c>
      <c r="N1124" s="5">
        <f t="shared" ca="1" si="97"/>
        <v>58.217499999999994</v>
      </c>
      <c r="O1124" s="5">
        <f t="shared" ca="1" si="97"/>
        <v>4.4046000000000003</v>
      </c>
      <c r="P1124" s="5">
        <f t="shared" ca="1" si="97"/>
        <v>14.707600000000001</v>
      </c>
      <c r="Q1124" s="5">
        <f t="shared" ca="1" si="97"/>
        <v>231.81149999999997</v>
      </c>
      <c r="R1124" s="4"/>
      <c r="S1124" s="4"/>
    </row>
    <row r="1125" spans="1:19" ht="15.75" customHeight="1">
      <c r="A1125" s="3">
        <f t="shared" si="93"/>
        <v>2090</v>
      </c>
      <c r="B1125" s="4">
        <f t="shared" ca="1" si="96"/>
        <v>31.554541666666665</v>
      </c>
      <c r="C1125" s="4">
        <f t="shared" ca="1" si="96"/>
        <v>31.560783333333333</v>
      </c>
      <c r="D1125" s="4">
        <f t="shared" ca="1" si="96"/>
        <v>31.574058333333337</v>
      </c>
      <c r="E1125" s="4">
        <f t="shared" ca="1" si="96"/>
        <v>31.568699999999996</v>
      </c>
      <c r="F1125" s="4">
        <f t="shared" ca="1" si="96"/>
        <v>32.265416666666667</v>
      </c>
      <c r="G1125" s="4">
        <f t="shared" ca="1" si="96"/>
        <v>31.190300000000004</v>
      </c>
      <c r="H1125" s="4">
        <f t="shared" ca="1" si="96"/>
        <v>32.1342</v>
      </c>
      <c r="I1125" s="4">
        <f t="shared" ca="1" si="96"/>
        <v>30.773258333333331</v>
      </c>
      <c r="J1125" s="4">
        <f t="shared" ca="1" si="96"/>
        <v>30.613966666666666</v>
      </c>
      <c r="K1125" s="4"/>
      <c r="L1125" s="5">
        <f t="shared" ca="1" si="97"/>
        <v>355.53689999999995</v>
      </c>
      <c r="M1125" s="5">
        <f t="shared" ca="1" si="97"/>
        <v>142.0401</v>
      </c>
      <c r="N1125" s="5">
        <f t="shared" ca="1" si="97"/>
        <v>58.217499999999994</v>
      </c>
      <c r="O1125" s="5">
        <f t="shared" ca="1" si="97"/>
        <v>4.4046000000000003</v>
      </c>
      <c r="P1125" s="5">
        <f t="shared" ca="1" si="97"/>
        <v>14.707600000000001</v>
      </c>
      <c r="Q1125" s="5">
        <f t="shared" ca="1" si="97"/>
        <v>231.81149999999997</v>
      </c>
      <c r="R1125" s="4"/>
      <c r="S1125" s="4"/>
    </row>
    <row r="1126" spans="1:19" ht="15.75" customHeight="1">
      <c r="A1126" s="3">
        <f t="shared" si="93"/>
        <v>2091</v>
      </c>
      <c r="B1126" s="4">
        <f t="shared" ca="1" si="96"/>
        <v>32.312441666666665</v>
      </c>
      <c r="C1126" s="4">
        <f t="shared" ca="1" si="96"/>
        <v>32.318691666666666</v>
      </c>
      <c r="D1126" s="4">
        <f t="shared" ca="1" si="96"/>
        <v>32.331941666666665</v>
      </c>
      <c r="E1126" s="4">
        <f t="shared" ca="1" si="96"/>
        <v>32.326591666666666</v>
      </c>
      <c r="F1126" s="4">
        <f t="shared" ca="1" si="96"/>
        <v>33.023316666666666</v>
      </c>
      <c r="G1126" s="4">
        <f t="shared" ca="1" si="96"/>
        <v>31.939341666666664</v>
      </c>
      <c r="H1126" s="4">
        <f t="shared" ca="1" si="96"/>
        <v>32.883216666666662</v>
      </c>
      <c r="I1126" s="4">
        <f t="shared" ca="1" si="96"/>
        <v>31.509191666666663</v>
      </c>
      <c r="J1126" s="4">
        <f t="shared" ca="1" si="96"/>
        <v>31.349491666666665</v>
      </c>
      <c r="K1126" s="4"/>
      <c r="L1126" s="5">
        <f t="shared" ca="1" si="97"/>
        <v>355.53689999999995</v>
      </c>
      <c r="M1126" s="5">
        <f t="shared" ca="1" si="97"/>
        <v>142.0401</v>
      </c>
      <c r="N1126" s="5">
        <f t="shared" ca="1" si="97"/>
        <v>58.217499999999994</v>
      </c>
      <c r="O1126" s="5">
        <f t="shared" ca="1" si="97"/>
        <v>4.4046000000000003</v>
      </c>
      <c r="P1126" s="5">
        <f t="shared" ca="1" si="97"/>
        <v>14.707600000000001</v>
      </c>
      <c r="Q1126" s="5">
        <f t="shared" ca="1" si="97"/>
        <v>231.81149999999997</v>
      </c>
      <c r="R1126" s="4"/>
      <c r="S1126" s="4"/>
    </row>
    <row r="1127" spans="1:19" ht="15.75" customHeight="1">
      <c r="A1127" s="3">
        <f t="shared" si="93"/>
        <v>2092</v>
      </c>
      <c r="B1127" s="4">
        <f t="shared" ref="B1127:J1135" ca="1" si="98">AVERAGE(OFFSET(B$581,($A1127-$A$1097)*12,0,12,1))</f>
        <v>33.088516666666663</v>
      </c>
      <c r="C1127" s="4">
        <f t="shared" ca="1" si="98"/>
        <v>33.094799999999999</v>
      </c>
      <c r="D1127" s="4">
        <f t="shared" ca="1" si="98"/>
        <v>33.108058333333339</v>
      </c>
      <c r="E1127" s="4">
        <f t="shared" ca="1" si="98"/>
        <v>33.102691666666665</v>
      </c>
      <c r="F1127" s="4">
        <f t="shared" ca="1" si="98"/>
        <v>33.799399999999999</v>
      </c>
      <c r="G1127" s="4">
        <f t="shared" ca="1" si="98"/>
        <v>32.706358333333334</v>
      </c>
      <c r="H1127" s="4">
        <f t="shared" ca="1" si="98"/>
        <v>33.650233333333333</v>
      </c>
      <c r="I1127" s="4">
        <f t="shared" ca="1" si="98"/>
        <v>32.262758333333331</v>
      </c>
      <c r="J1127" s="4">
        <f t="shared" ca="1" si="98"/>
        <v>32.102725</v>
      </c>
      <c r="K1127" s="4"/>
      <c r="L1127" s="5">
        <f t="shared" ref="L1127:Q1135" ca="1" si="99">SUM(OFFSET(L$581,($A1127-$A$1097)*12,0,12,1))</f>
        <v>356.48229999999995</v>
      </c>
      <c r="M1127" s="5">
        <f t="shared" ca="1" si="99"/>
        <v>142.42920000000001</v>
      </c>
      <c r="N1127" s="5">
        <f t="shared" ca="1" si="99"/>
        <v>58.377000000000002</v>
      </c>
      <c r="O1127" s="5">
        <f t="shared" ca="1" si="99"/>
        <v>4.4165999999999999</v>
      </c>
      <c r="P1127" s="5">
        <f t="shared" ca="1" si="99"/>
        <v>14.7493</v>
      </c>
      <c r="Q1127" s="5">
        <f t="shared" ca="1" si="99"/>
        <v>232.44659999999996</v>
      </c>
      <c r="R1127" s="4"/>
      <c r="S1127" s="4"/>
    </row>
    <row r="1128" spans="1:19" ht="15.75" customHeight="1">
      <c r="A1128" s="3">
        <f t="shared" si="93"/>
        <v>2093</v>
      </c>
      <c r="B1128" s="4">
        <f t="shared" ca="1" si="98"/>
        <v>33.883299999999998</v>
      </c>
      <c r="C1128" s="4">
        <f t="shared" ca="1" si="98"/>
        <v>33.889566666666667</v>
      </c>
      <c r="D1128" s="4">
        <f t="shared" ca="1" si="98"/>
        <v>33.902841666666667</v>
      </c>
      <c r="E1128" s="4">
        <f t="shared" ca="1" si="98"/>
        <v>33.897475</v>
      </c>
      <c r="F1128" s="4">
        <f t="shared" ca="1" si="98"/>
        <v>34.594183333333334</v>
      </c>
      <c r="G1128" s="4">
        <f t="shared" ca="1" si="98"/>
        <v>33.491808333333339</v>
      </c>
      <c r="H1128" s="4">
        <f t="shared" ca="1" si="98"/>
        <v>34.435691666666678</v>
      </c>
      <c r="I1128" s="4">
        <f t="shared" ca="1" si="98"/>
        <v>33.034474999999993</v>
      </c>
      <c r="J1128" s="4">
        <f t="shared" ca="1" si="98"/>
        <v>32.874024999999996</v>
      </c>
      <c r="K1128" s="4"/>
      <c r="L1128" s="5">
        <f t="shared" ca="1" si="99"/>
        <v>355.53689999999995</v>
      </c>
      <c r="M1128" s="5">
        <f t="shared" ca="1" si="99"/>
        <v>142.0401</v>
      </c>
      <c r="N1128" s="5">
        <f t="shared" ca="1" si="99"/>
        <v>58.217499999999994</v>
      </c>
      <c r="O1128" s="5">
        <f t="shared" ca="1" si="99"/>
        <v>4.4046000000000003</v>
      </c>
      <c r="P1128" s="5">
        <f t="shared" ca="1" si="99"/>
        <v>14.707600000000001</v>
      </c>
      <c r="Q1128" s="5">
        <f t="shared" ca="1" si="99"/>
        <v>231.81149999999997</v>
      </c>
      <c r="R1128" s="4"/>
      <c r="S1128" s="4"/>
    </row>
    <row r="1129" spans="1:19" ht="15.75" customHeight="1">
      <c r="A1129" s="3">
        <f t="shared" si="93"/>
        <v>2094</v>
      </c>
      <c r="B1129" s="4">
        <f t="shared" ca="1" si="98"/>
        <v>34.697141666666667</v>
      </c>
      <c r="C1129" s="4">
        <f t="shared" ca="1" si="98"/>
        <v>34.703408333333336</v>
      </c>
      <c r="D1129" s="4">
        <f t="shared" ca="1" si="98"/>
        <v>34.716675000000002</v>
      </c>
      <c r="E1129" s="4">
        <f t="shared" ca="1" si="98"/>
        <v>34.711308333333328</v>
      </c>
      <c r="F1129" s="4">
        <f t="shared" ca="1" si="98"/>
        <v>35.408025000000002</v>
      </c>
      <c r="G1129" s="4">
        <f t="shared" ca="1" si="98"/>
        <v>34.29611666666667</v>
      </c>
      <c r="H1129" s="4">
        <f t="shared" ca="1" si="98"/>
        <v>35.240016666666669</v>
      </c>
      <c r="I1129" s="4">
        <f t="shared" ca="1" si="98"/>
        <v>33.824683333333333</v>
      </c>
      <c r="J1129" s="4">
        <f t="shared" ca="1" si="98"/>
        <v>33.663866666666671</v>
      </c>
      <c r="K1129" s="4"/>
      <c r="L1129" s="5">
        <f t="shared" ca="1" si="99"/>
        <v>355.53689999999995</v>
      </c>
      <c r="M1129" s="5">
        <f t="shared" ca="1" si="99"/>
        <v>142.0401</v>
      </c>
      <c r="N1129" s="5">
        <f t="shared" ca="1" si="99"/>
        <v>58.217499999999994</v>
      </c>
      <c r="O1129" s="5">
        <f t="shared" ca="1" si="99"/>
        <v>4.4046000000000003</v>
      </c>
      <c r="P1129" s="5">
        <f t="shared" ca="1" si="99"/>
        <v>14.707600000000001</v>
      </c>
      <c r="Q1129" s="5">
        <f t="shared" ca="1" si="99"/>
        <v>231.81149999999997</v>
      </c>
      <c r="R1129" s="4"/>
      <c r="S1129" s="4"/>
    </row>
    <row r="1130" spans="1:19" ht="15.75" customHeight="1">
      <c r="A1130" s="3">
        <f t="shared" si="93"/>
        <v>2095</v>
      </c>
      <c r="B1130" s="4">
        <f t="shared" ca="1" si="98"/>
        <v>35.530549999999998</v>
      </c>
      <c r="C1130" s="4">
        <f t="shared" ca="1" si="98"/>
        <v>35.536825</v>
      </c>
      <c r="D1130" s="4">
        <f t="shared" ca="1" si="98"/>
        <v>35.550091666666667</v>
      </c>
      <c r="E1130" s="4">
        <f t="shared" ca="1" si="98"/>
        <v>35.544725000000007</v>
      </c>
      <c r="F1130" s="4">
        <f t="shared" ca="1" si="98"/>
        <v>36.241433333333333</v>
      </c>
      <c r="G1130" s="4">
        <f t="shared" ca="1" si="98"/>
        <v>35.119766666666671</v>
      </c>
      <c r="H1130" s="4">
        <f t="shared" ca="1" si="98"/>
        <v>36.06366666666667</v>
      </c>
      <c r="I1130" s="4">
        <f t="shared" ca="1" si="98"/>
        <v>34.633924999999998</v>
      </c>
      <c r="J1130" s="4">
        <f t="shared" ca="1" si="98"/>
        <v>34.472700000000003</v>
      </c>
      <c r="K1130" s="4"/>
      <c r="L1130" s="5">
        <f t="shared" ca="1" si="99"/>
        <v>355.53689999999995</v>
      </c>
      <c r="M1130" s="5">
        <f t="shared" ca="1" si="99"/>
        <v>142.0401</v>
      </c>
      <c r="N1130" s="5">
        <f t="shared" ca="1" si="99"/>
        <v>58.217499999999994</v>
      </c>
      <c r="O1130" s="5">
        <f t="shared" ca="1" si="99"/>
        <v>4.4046000000000003</v>
      </c>
      <c r="P1130" s="5">
        <f t="shared" ca="1" si="99"/>
        <v>14.707600000000001</v>
      </c>
      <c r="Q1130" s="5">
        <f t="shared" ca="1" si="99"/>
        <v>231.81149999999997</v>
      </c>
      <c r="R1130" s="4"/>
      <c r="S1130" s="4"/>
    </row>
    <row r="1131" spans="1:19" ht="15.75" customHeight="1">
      <c r="A1131" s="3">
        <f t="shared" si="93"/>
        <v>2096</v>
      </c>
      <c r="B1131" s="4">
        <f t="shared" ca="1" si="98"/>
        <v>36.383991666666667</v>
      </c>
      <c r="C1131" s="4">
        <f t="shared" ca="1" si="98"/>
        <v>36.390250000000002</v>
      </c>
      <c r="D1131" s="4">
        <f t="shared" ca="1" si="98"/>
        <v>36.403516666666668</v>
      </c>
      <c r="E1131" s="4">
        <f t="shared" ca="1" si="98"/>
        <v>36.398141666666668</v>
      </c>
      <c r="F1131" s="4">
        <f t="shared" ca="1" si="98"/>
        <v>37.094866666666668</v>
      </c>
      <c r="G1131" s="4">
        <f t="shared" ca="1" si="98"/>
        <v>35.963216666666661</v>
      </c>
      <c r="H1131" s="4">
        <f t="shared" ca="1" si="98"/>
        <v>36.9071</v>
      </c>
      <c r="I1131" s="4">
        <f t="shared" ca="1" si="98"/>
        <v>35.462608333333336</v>
      </c>
      <c r="J1131" s="4">
        <f t="shared" ca="1" si="98"/>
        <v>35.300949999999993</v>
      </c>
      <c r="K1131" s="4"/>
      <c r="L1131" s="5">
        <f t="shared" ca="1" si="99"/>
        <v>356.48229999999995</v>
      </c>
      <c r="M1131" s="5">
        <f t="shared" ca="1" si="99"/>
        <v>142.42920000000001</v>
      </c>
      <c r="N1131" s="5">
        <f t="shared" ca="1" si="99"/>
        <v>58.377000000000002</v>
      </c>
      <c r="O1131" s="5">
        <f t="shared" ca="1" si="99"/>
        <v>4.4165999999999999</v>
      </c>
      <c r="P1131" s="5">
        <f t="shared" ca="1" si="99"/>
        <v>14.7493</v>
      </c>
      <c r="Q1131" s="5">
        <f t="shared" ca="1" si="99"/>
        <v>232.44659999999996</v>
      </c>
      <c r="R1131" s="4"/>
      <c r="S1131" s="4"/>
    </row>
    <row r="1132" spans="1:19" ht="15.75" customHeight="1">
      <c r="A1132" s="3">
        <f t="shared" si="93"/>
        <v>2097</v>
      </c>
      <c r="B1132" s="4">
        <f t="shared" ca="1" si="98"/>
        <v>37.25794166666666</v>
      </c>
      <c r="C1132" s="4">
        <f t="shared" ca="1" si="98"/>
        <v>37.264166666666668</v>
      </c>
      <c r="D1132" s="4">
        <f t="shared" ca="1" si="98"/>
        <v>37.277458333333328</v>
      </c>
      <c r="E1132" s="4">
        <f t="shared" ca="1" si="98"/>
        <v>37.272083333333327</v>
      </c>
      <c r="F1132" s="4">
        <f t="shared" ca="1" si="98"/>
        <v>37.968808333333335</v>
      </c>
      <c r="G1132" s="4">
        <f t="shared" ca="1" si="98"/>
        <v>36.826916666666669</v>
      </c>
      <c r="H1132" s="4">
        <f t="shared" ca="1" si="98"/>
        <v>37.770808333333335</v>
      </c>
      <c r="I1132" s="4">
        <f t="shared" ca="1" si="98"/>
        <v>36.311175000000006</v>
      </c>
      <c r="J1132" s="4">
        <f t="shared" ca="1" si="98"/>
        <v>36.149133333333339</v>
      </c>
      <c r="K1132" s="4"/>
      <c r="L1132" s="5">
        <f t="shared" ca="1" si="99"/>
        <v>355.53689999999995</v>
      </c>
      <c r="M1132" s="5">
        <f t="shared" ca="1" si="99"/>
        <v>142.0401</v>
      </c>
      <c r="N1132" s="5">
        <f t="shared" ca="1" si="99"/>
        <v>58.217499999999994</v>
      </c>
      <c r="O1132" s="5">
        <f t="shared" ca="1" si="99"/>
        <v>4.4046000000000003</v>
      </c>
      <c r="P1132" s="5">
        <f t="shared" ca="1" si="99"/>
        <v>14.707600000000001</v>
      </c>
      <c r="Q1132" s="5">
        <f t="shared" ca="1" si="99"/>
        <v>231.81149999999997</v>
      </c>
      <c r="R1132" s="4"/>
      <c r="S1132" s="4"/>
    </row>
    <row r="1133" spans="1:19" ht="15.75" customHeight="1">
      <c r="A1133" s="3">
        <f t="shared" si="93"/>
        <v>2098</v>
      </c>
      <c r="B1133" s="4">
        <f t="shared" ca="1" si="98"/>
        <v>38.152883333333328</v>
      </c>
      <c r="C1133" s="4">
        <f t="shared" ca="1" si="98"/>
        <v>38.159133333333337</v>
      </c>
      <c r="D1133" s="4">
        <f t="shared" ca="1" si="98"/>
        <v>38.172391666666663</v>
      </c>
      <c r="E1133" s="4">
        <f t="shared" ca="1" si="98"/>
        <v>38.167025000000002</v>
      </c>
      <c r="F1133" s="4">
        <f t="shared" ca="1" si="98"/>
        <v>38.863749999999996</v>
      </c>
      <c r="G1133" s="4">
        <f t="shared" ca="1" si="98"/>
        <v>37.71135833333333</v>
      </c>
      <c r="H1133" s="4">
        <f t="shared" ca="1" si="98"/>
        <v>38.655258333333336</v>
      </c>
      <c r="I1133" s="4">
        <f t="shared" ca="1" si="98"/>
        <v>37.180150000000005</v>
      </c>
      <c r="J1133" s="4">
        <f t="shared" ca="1" si="98"/>
        <v>37.017658333333337</v>
      </c>
      <c r="K1133" s="4"/>
      <c r="L1133" s="5">
        <f t="shared" ca="1" si="99"/>
        <v>355.53689999999995</v>
      </c>
      <c r="M1133" s="5">
        <f t="shared" ca="1" si="99"/>
        <v>142.0401</v>
      </c>
      <c r="N1133" s="5">
        <f t="shared" ca="1" si="99"/>
        <v>58.217499999999994</v>
      </c>
      <c r="O1133" s="5">
        <f t="shared" ca="1" si="99"/>
        <v>4.4046000000000003</v>
      </c>
      <c r="P1133" s="5">
        <f t="shared" ca="1" si="99"/>
        <v>14.707600000000001</v>
      </c>
      <c r="Q1133" s="5">
        <f t="shared" ca="1" si="99"/>
        <v>231.81149999999997</v>
      </c>
      <c r="R1133" s="4"/>
      <c r="S1133" s="4"/>
    </row>
    <row r="1134" spans="1:19" ht="15.75" customHeight="1">
      <c r="A1134" s="3">
        <f t="shared" si="93"/>
        <v>2099</v>
      </c>
      <c r="B1134" s="4">
        <f t="shared" ca="1" si="98"/>
        <v>39.069299999999998</v>
      </c>
      <c r="C1134" s="4">
        <f t="shared" ca="1" si="98"/>
        <v>39.075566666666674</v>
      </c>
      <c r="D1134" s="4">
        <f t="shared" ca="1" si="98"/>
        <v>39.088833333333334</v>
      </c>
      <c r="E1134" s="4">
        <f t="shared" ca="1" si="98"/>
        <v>39.083475</v>
      </c>
      <c r="F1134" s="4">
        <f t="shared" ca="1" si="98"/>
        <v>39.780191666666667</v>
      </c>
      <c r="G1134" s="4">
        <f t="shared" ca="1" si="98"/>
        <v>38.617075</v>
      </c>
      <c r="H1134" s="4">
        <f t="shared" ca="1" si="98"/>
        <v>39.560983333333333</v>
      </c>
      <c r="I1134" s="4">
        <f t="shared" ca="1" si="98"/>
        <v>38.070008333333341</v>
      </c>
      <c r="J1134" s="4">
        <f t="shared" ca="1" si="98"/>
        <v>37.907049999999998</v>
      </c>
      <c r="K1134" s="4"/>
      <c r="L1134" s="5">
        <f t="shared" ca="1" si="99"/>
        <v>355.53689999999995</v>
      </c>
      <c r="M1134" s="5">
        <f t="shared" ca="1" si="99"/>
        <v>142.0401</v>
      </c>
      <c r="N1134" s="5">
        <f t="shared" ca="1" si="99"/>
        <v>58.217499999999994</v>
      </c>
      <c r="O1134" s="5">
        <f t="shared" ca="1" si="99"/>
        <v>4.4046000000000003</v>
      </c>
      <c r="P1134" s="5">
        <f t="shared" ca="1" si="99"/>
        <v>14.707600000000001</v>
      </c>
      <c r="Q1134" s="5">
        <f t="shared" ca="1" si="99"/>
        <v>231.81149999999997</v>
      </c>
      <c r="R1134" s="4"/>
      <c r="S1134" s="4"/>
    </row>
    <row r="1135" spans="1:19" ht="15.75" customHeight="1">
      <c r="A1135" s="3">
        <f t="shared" si="93"/>
        <v>2100</v>
      </c>
      <c r="B1135" s="4">
        <f t="shared" ca="1" si="98"/>
        <v>40.007766666666662</v>
      </c>
      <c r="C1135" s="4">
        <f t="shared" ca="1" si="98"/>
        <v>40.014025000000004</v>
      </c>
      <c r="D1135" s="4">
        <f t="shared" ca="1" si="98"/>
        <v>40.02729166666667</v>
      </c>
      <c r="E1135" s="4">
        <f t="shared" ca="1" si="98"/>
        <v>40.021924999999989</v>
      </c>
      <c r="F1135" s="4">
        <f t="shared" ca="1" si="98"/>
        <v>40.718641666666663</v>
      </c>
      <c r="G1135" s="4">
        <f t="shared" ca="1" si="98"/>
        <v>39.544549999999994</v>
      </c>
      <c r="H1135" s="4">
        <f t="shared" ca="1" si="98"/>
        <v>40.488441666666667</v>
      </c>
      <c r="I1135" s="4">
        <f t="shared" ca="1" si="98"/>
        <v>38.981233333333336</v>
      </c>
      <c r="J1135" s="4">
        <f t="shared" ca="1" si="98"/>
        <v>38.817833333333333</v>
      </c>
      <c r="K1135" s="4"/>
      <c r="L1135" s="5">
        <f t="shared" ca="1" si="99"/>
        <v>355.53689999999995</v>
      </c>
      <c r="M1135" s="5">
        <f t="shared" ca="1" si="99"/>
        <v>142.0401</v>
      </c>
      <c r="N1135" s="5">
        <f t="shared" ca="1" si="99"/>
        <v>58.217499999999994</v>
      </c>
      <c r="O1135" s="5">
        <f t="shared" ca="1" si="99"/>
        <v>4.4046000000000003</v>
      </c>
      <c r="P1135" s="5">
        <f t="shared" ca="1" si="99"/>
        <v>14.707600000000001</v>
      </c>
      <c r="Q1135" s="5">
        <f t="shared" ca="1" si="99"/>
        <v>231.81149999999997</v>
      </c>
      <c r="R1135" s="4"/>
      <c r="S1135" s="4"/>
    </row>
    <row r="1136" spans="1:19" ht="15.75" customHeight="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scale="5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A8" sqref="A8"/>
      <selection pane="topRight" activeCell="A8" sqref="A8"/>
      <selection pane="bottomLeft" activeCell="A8" sqref="A8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73</v>
      </c>
    </row>
    <row r="8" spans="1:10" ht="24" customHeight="1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A8" sqref="A8"/>
      <selection pane="topRight" activeCell="A8" sqref="A8"/>
      <selection pane="bottomLeft" activeCell="A8" sqref="A8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8.4414062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72</v>
      </c>
    </row>
    <row r="8" spans="1:7" ht="24.6" customHeight="1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38.450000000000003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8.0406 * CHOOSE(CONTROL!$C$9, $C$13, 100%, $E$13) + CHOOSE(CONTROL!$C$28, 0.0211, 0)</f>
        <v>8.0617000000000001</v>
      </c>
      <c r="C17" s="4">
        <f>7.6773 * CHOOSE(CONTROL!$C$9, $C$13, 100%, $E$13) + CHOOSE(CONTROL!$C$28, 0.0211, 0)</f>
        <v>7.6983999999999995</v>
      </c>
      <c r="D17" s="4">
        <f>15.1549 * CHOOSE(CONTROL!$C$9, $C$13, 100%, $E$13) + CHOOSE(CONTROL!$C$28, 0.0021, 0)</f>
        <v>15.157</v>
      </c>
      <c r="E17" s="4">
        <f>56.52 * CHOOSE(CONTROL!$C$9, $C$13, 100%, $E$13) + CHOOSE(CONTROL!$C$28, 0.0021, 0)</f>
        <v>56.522100000000002</v>
      </c>
    </row>
    <row r="18" spans="1:5" ht="15">
      <c r="A18" s="13">
        <v>42036</v>
      </c>
      <c r="B18" s="4">
        <f>8.9953 * CHOOSE(CONTROL!$C$9, $C$13, 100%, $E$13) + CHOOSE(CONTROL!$C$28, 0.0211, 0)</f>
        <v>9.0164000000000009</v>
      </c>
      <c r="C18" s="4">
        <f>8.632 * CHOOSE(CONTROL!$C$9, $C$13, 100%, $E$13) + CHOOSE(CONTROL!$C$28, 0.0211, 0)</f>
        <v>8.6531000000000002</v>
      </c>
      <c r="D18" s="4">
        <f>14.0001 * CHOOSE(CONTROL!$C$9, $C$13, 100%, $E$13) + CHOOSE(CONTROL!$C$28, 0.0021, 0)</f>
        <v>14.0022</v>
      </c>
      <c r="E18" s="4">
        <f>46.39 * CHOOSE(CONTROL!$C$9, $C$13, 100%, $E$13) + CHOOSE(CONTROL!$C$28, 0.0021, 0)</f>
        <v>46.392099999999999</v>
      </c>
    </row>
    <row r="19" spans="1:5" ht="15">
      <c r="A19" s="13">
        <v>42064</v>
      </c>
      <c r="B19" s="4">
        <f>8.6797 * CHOOSE(CONTROL!$C$9, $C$13, 100%, $E$13) + CHOOSE(CONTROL!$C$28, 0.0211, 0)</f>
        <v>8.700800000000001</v>
      </c>
      <c r="C19" s="4">
        <f>8.3164 * CHOOSE(CONTROL!$C$9, $C$13, 100%, $E$13) + CHOOSE(CONTROL!$C$28, 0.0211, 0)</f>
        <v>8.3375000000000004</v>
      </c>
      <c r="D19" s="4">
        <f>14.513 * CHOOSE(CONTROL!$C$9, $C$13, 100%, $E$13) + CHOOSE(CONTROL!$C$28, 0.0021, 0)</f>
        <v>14.5151</v>
      </c>
      <c r="E19" s="4">
        <f>49.57 * CHOOSE(CONTROL!$C$9, $C$13, 100%, $E$13) + CHOOSE(CONTROL!$C$28, 0.0021, 0)</f>
        <v>49.572099999999999</v>
      </c>
    </row>
    <row r="20" spans="1:5" ht="15">
      <c r="A20" s="13">
        <v>42095</v>
      </c>
      <c r="B20" s="4">
        <f>8.6641 * CHOOSE(CONTROL!$C$9, $C$13, 100%, $E$13) + CHOOSE(CONTROL!$C$28, 0.0211, 0)</f>
        <v>8.6852</v>
      </c>
      <c r="C20" s="4">
        <f>8.3008 * CHOOSE(CONTROL!$C$9, $C$13, 100%, $E$13) + CHOOSE(CONTROL!$C$28, 0.0211, 0)</f>
        <v>8.3219000000000012</v>
      </c>
      <c r="D20" s="4">
        <f>14.3473 * CHOOSE(CONTROL!$C$9, $C$13, 100%, $E$13) + CHOOSE(CONTROL!$C$28, 0.0021, 0)</f>
        <v>14.349400000000001</v>
      </c>
      <c r="E20" s="4">
        <f>50.45 * CHOOSE(CONTROL!$C$9, $C$13, 100%, $E$13) + CHOOSE(CONTROL!$C$28, 0.0021, 0)</f>
        <v>50.452100000000002</v>
      </c>
    </row>
    <row r="21" spans="1:5" ht="15">
      <c r="A21" s="13">
        <v>42125</v>
      </c>
      <c r="B21" s="4">
        <f>8.6953 * CHOOSE(CONTROL!$C$9, $C$13, 100%, $E$13) + CHOOSE(CONTROL!$C$28, 0.0415, 0)</f>
        <v>8.7367999999999988</v>
      </c>
      <c r="C21" s="4">
        <f>8.332 * CHOOSE(CONTROL!$C$9, $C$13, 100%, $E$13) + CHOOSE(CONTROL!$C$28, 0.0415, 0)</f>
        <v>8.3734999999999999</v>
      </c>
      <c r="D21" s="4">
        <f>14.348 * CHOOSE(CONTROL!$C$9, $C$13, 100%, $E$13) + CHOOSE(CONTROL!$C$28, 0.0021, 0)</f>
        <v>14.350100000000001</v>
      </c>
      <c r="E21" s="4">
        <f>51.55 * CHOOSE(CONTROL!$C$9, $C$13, 100%, $E$13) + CHOOSE(CONTROL!$C$28, 0.0021, 0)</f>
        <v>51.552099999999996</v>
      </c>
    </row>
    <row r="22" spans="1:5" ht="15">
      <c r="A22" s="13">
        <v>42156</v>
      </c>
      <c r="B22" s="4">
        <f>8.7344 * CHOOSE(CONTROL!$C$9, $C$13, 100%, $E$13) + CHOOSE(CONTROL!$C$28, 0.0415, 0)</f>
        <v>8.7759</v>
      </c>
      <c r="C22" s="4">
        <f>8.3711 * CHOOSE(CONTROL!$C$9, $C$13, 100%, $E$13) + CHOOSE(CONTROL!$C$28, 0.0415, 0)</f>
        <v>8.4125999999999994</v>
      </c>
      <c r="D22" s="4">
        <f>14.4179 * CHOOSE(CONTROL!$C$9, $C$13, 100%, $E$13) + CHOOSE(CONTROL!$C$28, 0.0021, 0)</f>
        <v>14.42</v>
      </c>
      <c r="E22" s="4">
        <f>52.72 * CHOOSE(CONTROL!$C$9, $C$13, 100%, $E$13) + CHOOSE(CONTROL!$C$28, 0.0021, 0)</f>
        <v>52.722099999999998</v>
      </c>
    </row>
    <row r="23" spans="1:5" ht="15">
      <c r="A23" s="13">
        <v>42186</v>
      </c>
      <c r="B23" s="4">
        <f>8.8047 * CHOOSE(CONTROL!$C$9, $C$13, 100%, $E$13) + CHOOSE(CONTROL!$C$28, 0.0415, 0)</f>
        <v>8.8461999999999996</v>
      </c>
      <c r="C23" s="4">
        <f>8.4414 * CHOOSE(CONTROL!$C$9, $C$13, 100%, $E$13) + CHOOSE(CONTROL!$C$28, 0.0415, 0)</f>
        <v>8.482899999999999</v>
      </c>
      <c r="D23" s="4">
        <f>14.5483 * CHOOSE(CONTROL!$C$9, $C$13, 100%, $E$13) + CHOOSE(CONTROL!$C$28, 0.0021, 0)</f>
        <v>14.5504</v>
      </c>
      <c r="E23" s="4">
        <f>53.89 * CHOOSE(CONTROL!$C$9, $C$13, 100%, $E$13) + CHOOSE(CONTROL!$C$28, 0.0021, 0)</f>
        <v>53.892099999999999</v>
      </c>
    </row>
    <row r="24" spans="1:5" ht="15">
      <c r="A24" s="13">
        <v>42217</v>
      </c>
      <c r="B24" s="4">
        <f>8.875 * CHOOSE(CONTROL!$C$9, $C$13, 100%, $E$13) + CHOOSE(CONTROL!$C$28, 0.0415, 0)</f>
        <v>8.9164999999999992</v>
      </c>
      <c r="C24" s="4">
        <f>8.5117 * CHOOSE(CONTROL!$C$9, $C$13, 100%, $E$13) + CHOOSE(CONTROL!$C$28, 0.0415, 0)</f>
        <v>8.5531999999999986</v>
      </c>
      <c r="D24" s="4">
        <f>14.6902 * CHOOSE(CONTROL!$C$9, $C$13, 100%, $E$13) + CHOOSE(CONTROL!$C$28, 0.0021, 0)</f>
        <v>14.692300000000001</v>
      </c>
      <c r="E24" s="4">
        <f>54.99 * CHOOSE(CONTROL!$C$9, $C$13, 100%, $E$13) + CHOOSE(CONTROL!$C$28, 0.0021, 0)</f>
        <v>54.992100000000001</v>
      </c>
    </row>
    <row r="25" spans="1:5" ht="15">
      <c r="A25" s="13">
        <v>42248</v>
      </c>
      <c r="B25" s="4">
        <f>8.9453 * CHOOSE(CONTROL!$C$9, $C$13, 100%, $E$13) + CHOOSE(CONTROL!$C$28, 0.0415, 0)</f>
        <v>8.9867999999999988</v>
      </c>
      <c r="C25" s="4">
        <f>8.582 * CHOOSE(CONTROL!$C$9, $C$13, 100%, $E$13) + CHOOSE(CONTROL!$C$28, 0.0415, 0)</f>
        <v>8.6234999999999999</v>
      </c>
      <c r="D25" s="4">
        <f>14.848 * CHOOSE(CONTROL!$C$9, $C$13, 100%, $E$13) + CHOOSE(CONTROL!$C$28, 0.0021, 0)</f>
        <v>14.850100000000001</v>
      </c>
      <c r="E25" s="4">
        <f>55.94 * CHOOSE(CONTROL!$C$9, $C$13, 100%, $E$13) + CHOOSE(CONTROL!$C$28, 0.0021, 0)</f>
        <v>55.942099999999996</v>
      </c>
    </row>
    <row r="26" spans="1:5" ht="15">
      <c r="A26" s="13">
        <v>42278</v>
      </c>
      <c r="B26" s="4">
        <f>9.0156 * CHOOSE(CONTROL!$C$9, $C$13, 100%, $E$13) + CHOOSE(CONTROL!$C$28, 0.0211, 0)</f>
        <v>9.0366999999999997</v>
      </c>
      <c r="C26" s="4">
        <f>8.6523 * CHOOSE(CONTROL!$C$9, $C$13, 100%, $E$13) + CHOOSE(CONTROL!$C$28, 0.0211, 0)</f>
        <v>8.6734000000000009</v>
      </c>
      <c r="D26" s="4">
        <f>15.0065 * CHOOSE(CONTROL!$C$9, $C$13, 100%, $E$13) + CHOOSE(CONTROL!$C$28, 0.0021, 0)</f>
        <v>15.008600000000001</v>
      </c>
      <c r="E26" s="4">
        <f>56.74 * CHOOSE(CONTROL!$C$9, $C$13, 100%, $E$13) + CHOOSE(CONTROL!$C$28, 0.0021, 0)</f>
        <v>56.742100000000001</v>
      </c>
    </row>
    <row r="27" spans="1:5" ht="15">
      <c r="A27" s="13">
        <v>42309</v>
      </c>
      <c r="B27" s="4">
        <f>9.0859 * CHOOSE(CONTROL!$C$9, $C$13, 100%, $E$13) + CHOOSE(CONTROL!$C$28, 0.0211, 0)</f>
        <v>9.1070000000000011</v>
      </c>
      <c r="C27" s="4">
        <f>8.7227 * CHOOSE(CONTROL!$C$9, $C$13, 100%, $E$13) + CHOOSE(CONTROL!$C$28, 0.0211, 0)</f>
        <v>8.7438000000000002</v>
      </c>
      <c r="D27" s="4">
        <f>15.1391 * CHOOSE(CONTROL!$C$9, $C$13, 100%, $E$13) + CHOOSE(CONTROL!$C$28, 0.0021, 0)</f>
        <v>15.1412</v>
      </c>
      <c r="E27" s="4">
        <f>57.47 * CHOOSE(CONTROL!$C$9, $C$13, 100%, $E$13) + CHOOSE(CONTROL!$C$28, 0.0021, 0)</f>
        <v>57.472099999999998</v>
      </c>
    </row>
    <row r="28" spans="1:5" ht="15">
      <c r="A28" s="13">
        <v>42339</v>
      </c>
      <c r="B28" s="4">
        <f>9.1562 * CHOOSE(CONTROL!$C$9, $C$13, 100%, $E$13) + CHOOSE(CONTROL!$C$28, 0.0211, 0)</f>
        <v>9.1773000000000007</v>
      </c>
      <c r="C28" s="4">
        <f>8.793 * CHOOSE(CONTROL!$C$9, $C$13, 100%, $E$13) + CHOOSE(CONTROL!$C$28, 0.0211, 0)</f>
        <v>8.8140999999999998</v>
      </c>
      <c r="D28" s="4">
        <f>15.2608 * CHOOSE(CONTROL!$C$9, $C$13, 100%, $E$13) + CHOOSE(CONTROL!$C$28, 0.0021, 0)</f>
        <v>15.2629</v>
      </c>
      <c r="E28" s="4">
        <f>58.16 * CHOOSE(CONTROL!$C$9, $C$13, 100%, $E$13) + CHOOSE(CONTROL!$C$28, 0.0021, 0)</f>
        <v>58.162099999999995</v>
      </c>
    </row>
    <row r="29" spans="1:5" ht="15">
      <c r="A29" s="13">
        <v>42370</v>
      </c>
      <c r="B29" s="4">
        <f>9.2344 * CHOOSE(CONTROL!$C$9, $C$13, 100%, $E$13) + CHOOSE(CONTROL!$C$28, 0.0211, 0)</f>
        <v>9.2555000000000014</v>
      </c>
      <c r="C29" s="4">
        <f>8.8711 * CHOOSE(CONTROL!$C$9, $C$13, 100%, $E$13) + CHOOSE(CONTROL!$C$28, 0.0211, 0)</f>
        <v>8.8922000000000008</v>
      </c>
      <c r="D29" s="4">
        <f>15.3818 * CHOOSE(CONTROL!$C$9, $C$13, 100%, $E$13) + CHOOSE(CONTROL!$C$28, 0.0021, 0)</f>
        <v>15.383900000000001</v>
      </c>
      <c r="E29" s="4">
        <f>58.73 * CHOOSE(CONTROL!$C$9, $C$13, 100%, $E$13) + CHOOSE(CONTROL!$C$28, 0.0021, 0)</f>
        <v>58.732099999999996</v>
      </c>
    </row>
    <row r="30" spans="1:5" ht="15">
      <c r="A30" s="13">
        <v>42401</v>
      </c>
      <c r="B30" s="4">
        <f>9.3047 * CHOOSE(CONTROL!$C$9, $C$13, 100%, $E$13) + CHOOSE(CONTROL!$C$28, 0.0211, 0)</f>
        <v>9.325800000000001</v>
      </c>
      <c r="C30" s="4">
        <f>8.9414 * CHOOSE(CONTROL!$C$9, $C$13, 100%, $E$13) + CHOOSE(CONTROL!$C$28, 0.0211, 0)</f>
        <v>8.9625000000000004</v>
      </c>
      <c r="D30" s="4">
        <f>15.4467 * CHOOSE(CONTROL!$C$9, $C$13, 100%, $E$13) + CHOOSE(CONTROL!$C$28, 0.0021, 0)</f>
        <v>15.4488</v>
      </c>
      <c r="E30" s="4">
        <f>59.26 * CHOOSE(CONTROL!$C$9, $C$13, 100%, $E$13) + CHOOSE(CONTROL!$C$28, 0.0021, 0)</f>
        <v>59.262099999999997</v>
      </c>
    </row>
    <row r="31" spans="1:5" ht="15">
      <c r="A31" s="13">
        <v>42430</v>
      </c>
      <c r="B31" s="4">
        <f>9.375 * CHOOSE(CONTROL!$C$9, $C$13, 100%, $E$13) + CHOOSE(CONTROL!$C$28, 0.0211, 0)</f>
        <v>9.3961000000000006</v>
      </c>
      <c r="C31" s="4">
        <f>9.0117 * CHOOSE(CONTROL!$C$9, $C$13, 100%, $E$13) + CHOOSE(CONTROL!$C$28, 0.0211, 0)</f>
        <v>9.0327999999999999</v>
      </c>
      <c r="D31" s="4">
        <f>15.4589 * CHOOSE(CONTROL!$C$9, $C$13, 100%, $E$13) + CHOOSE(CONTROL!$C$28, 0.0021, 0)</f>
        <v>15.461</v>
      </c>
      <c r="E31" s="4">
        <f>59.77 * CHOOSE(CONTROL!$C$9, $C$13, 100%, $E$13) + CHOOSE(CONTROL!$C$28, 0.0021, 0)</f>
        <v>59.772100000000002</v>
      </c>
    </row>
    <row r="32" spans="1:5" ht="15">
      <c r="A32" s="13">
        <v>42461</v>
      </c>
      <c r="B32" s="4">
        <f>9.4453 * CHOOSE(CONTROL!$C$9, $C$13, 100%, $E$13) + CHOOSE(CONTROL!$C$28, 0.0211, 0)</f>
        <v>9.4664000000000001</v>
      </c>
      <c r="C32" s="4">
        <f>9.082 * CHOOSE(CONTROL!$C$9, $C$13, 100%, $E$13) + CHOOSE(CONTROL!$C$28, 0.0211, 0)</f>
        <v>9.1031000000000013</v>
      </c>
      <c r="D32" s="4">
        <f>15.4301 * CHOOSE(CONTROL!$C$9, $C$13, 100%, $E$13) + CHOOSE(CONTROL!$C$28, 0.0021, 0)</f>
        <v>15.4322</v>
      </c>
      <c r="E32" s="4">
        <f>60.25 * CHOOSE(CONTROL!$C$9, $C$13, 100%, $E$13) + CHOOSE(CONTROL!$C$28, 0.0021, 0)</f>
        <v>60.252099999999999</v>
      </c>
    </row>
    <row r="33" spans="1:5" ht="15">
      <c r="A33" s="13">
        <v>42491</v>
      </c>
      <c r="B33" s="4">
        <f>9.5156 * CHOOSE(CONTROL!$C$9, $C$13, 100%, $E$13) + CHOOSE(CONTROL!$C$28, 0.0415, 0)</f>
        <v>9.5570999999999984</v>
      </c>
      <c r="C33" s="4">
        <f>9.1523 * CHOOSE(CONTROL!$C$9, $C$13, 100%, $E$13) + CHOOSE(CONTROL!$C$28, 0.0415, 0)</f>
        <v>9.1937999999999995</v>
      </c>
      <c r="D33" s="4">
        <f>15.4719 * CHOOSE(CONTROL!$C$9, $C$13, 100%, $E$13) + CHOOSE(CONTROL!$C$28, 0.0021, 0)</f>
        <v>15.474</v>
      </c>
      <c r="E33" s="4">
        <f>60.69 * CHOOSE(CONTROL!$C$9, $C$13, 100%, $E$13) + CHOOSE(CONTROL!$C$28, 0.0021, 0)</f>
        <v>60.692099999999996</v>
      </c>
    </row>
    <row r="34" spans="1:5" ht="15">
      <c r="A34" s="13">
        <v>42522</v>
      </c>
      <c r="B34" s="4">
        <f>9.5859 * CHOOSE(CONTROL!$C$9, $C$13, 100%, $E$13) + CHOOSE(CONTROL!$C$28, 0.0415, 0)</f>
        <v>9.6273999999999997</v>
      </c>
      <c r="C34" s="4">
        <f>9.2227 * CHOOSE(CONTROL!$C$9, $C$13, 100%, $E$13) + CHOOSE(CONTROL!$C$28, 0.0415, 0)</f>
        <v>9.2641999999999989</v>
      </c>
      <c r="D34" s="4">
        <f>15.585 * CHOOSE(CONTROL!$C$9, $C$13, 100%, $E$13) + CHOOSE(CONTROL!$C$28, 0.0021, 0)</f>
        <v>15.587100000000001</v>
      </c>
      <c r="E34" s="4">
        <f>61.14 * CHOOSE(CONTROL!$C$9, $C$13, 100%, $E$13) + CHOOSE(CONTROL!$C$28, 0.0021, 0)</f>
        <v>61.142099999999999</v>
      </c>
    </row>
    <row r="35" spans="1:5" ht="15">
      <c r="A35" s="13">
        <v>42552</v>
      </c>
      <c r="B35" s="4">
        <f>9.6562 * CHOOSE(CONTROL!$C$9, $C$13, 100%, $E$13) + CHOOSE(CONTROL!$C$28, 0.0415, 0)</f>
        <v>9.6976999999999993</v>
      </c>
      <c r="C35" s="4">
        <f>9.293 * CHOOSE(CONTROL!$C$9, $C$13, 100%, $E$13) + CHOOSE(CONTROL!$C$28, 0.0415, 0)</f>
        <v>9.3344999999999985</v>
      </c>
      <c r="D35" s="4">
        <f>15.6988 * CHOOSE(CONTROL!$C$9, $C$13, 100%, $E$13) + CHOOSE(CONTROL!$C$28, 0.0021, 0)</f>
        <v>15.700900000000001</v>
      </c>
      <c r="E35" s="4">
        <f>61.49 * CHOOSE(CONTROL!$C$9, $C$13, 100%, $E$13) + CHOOSE(CONTROL!$C$28, 0.0021, 0)</f>
        <v>61.492100000000001</v>
      </c>
    </row>
    <row r="36" spans="1:5" ht="15">
      <c r="A36" s="13">
        <v>42583</v>
      </c>
      <c r="B36" s="4">
        <f>9.7266 * CHOOSE(CONTROL!$C$9, $C$13, 100%, $E$13) + CHOOSE(CONTROL!$C$28, 0.0415, 0)</f>
        <v>9.7680999999999987</v>
      </c>
      <c r="C36" s="4">
        <f>9.3633 * CHOOSE(CONTROL!$C$9, $C$13, 100%, $E$13) + CHOOSE(CONTROL!$C$28, 0.0415, 0)</f>
        <v>9.4047999999999998</v>
      </c>
      <c r="D36" s="4">
        <f>15.8177 * CHOOSE(CONTROL!$C$9, $C$13, 100%, $E$13) + CHOOSE(CONTROL!$C$28, 0.0021, 0)</f>
        <v>15.819800000000001</v>
      </c>
      <c r="E36" s="4">
        <f>61.86 * CHOOSE(CONTROL!$C$9, $C$13, 100%, $E$13) + CHOOSE(CONTROL!$C$28, 0.0021, 0)</f>
        <v>61.862099999999998</v>
      </c>
    </row>
    <row r="37" spans="1:5" ht="15">
      <c r="A37" s="13">
        <v>42614</v>
      </c>
      <c r="B37" s="4">
        <f>9.7969 * CHOOSE(CONTROL!$C$9, $C$13, 100%, $E$13) + CHOOSE(CONTROL!$C$28, 0.0415, 0)</f>
        <v>9.8384</v>
      </c>
      <c r="C37" s="4">
        <f>9.4336 * CHOOSE(CONTROL!$C$9, $C$13, 100%, $E$13) + CHOOSE(CONTROL!$C$28, 0.0415, 0)</f>
        <v>9.4750999999999994</v>
      </c>
      <c r="D37" s="4">
        <f>15.9293 * CHOOSE(CONTROL!$C$9, $C$13, 100%, $E$13) + CHOOSE(CONTROL!$C$28, 0.0021, 0)</f>
        <v>15.9314</v>
      </c>
      <c r="E37" s="4">
        <f>62.22 * CHOOSE(CONTROL!$C$9, $C$13, 100%, $E$13) + CHOOSE(CONTROL!$C$28, 0.0021, 0)</f>
        <v>62.222099999999998</v>
      </c>
    </row>
    <row r="38" spans="1:5" ht="15">
      <c r="A38" s="13">
        <v>42644</v>
      </c>
      <c r="B38" s="4">
        <f>9.8672 * CHOOSE(CONTROL!$C$9, $C$13, 100%, $E$13) + CHOOSE(CONTROL!$C$28, 0.0211, 0)</f>
        <v>9.888300000000001</v>
      </c>
      <c r="C38" s="4">
        <f>9.5039 * CHOOSE(CONTROL!$C$9, $C$13, 100%, $E$13) + CHOOSE(CONTROL!$C$28, 0.0211, 0)</f>
        <v>9.5250000000000004</v>
      </c>
      <c r="D38" s="4">
        <f>16.0266 * CHOOSE(CONTROL!$C$9, $C$13, 100%, $E$13) + CHOOSE(CONTROL!$C$28, 0.0021, 0)</f>
        <v>16.028699999999997</v>
      </c>
      <c r="E38" s="4">
        <f>62.58 * CHOOSE(CONTROL!$C$9, $C$13, 100%, $E$13) + CHOOSE(CONTROL!$C$28, 0.0021, 0)</f>
        <v>62.582099999999997</v>
      </c>
    </row>
    <row r="39" spans="1:5" ht="15">
      <c r="A39" s="13">
        <v>42675</v>
      </c>
      <c r="B39" s="4">
        <f>9.9375 * CHOOSE(CONTROL!$C$9, $C$13, 100%, $E$13) + CHOOSE(CONTROL!$C$28, 0.0211, 0)</f>
        <v>9.9586000000000006</v>
      </c>
      <c r="C39" s="4">
        <f>9.5742 * CHOOSE(CONTROL!$C$9, $C$13, 100%, $E$13) + CHOOSE(CONTROL!$C$28, 0.0211, 0)</f>
        <v>9.5952999999999999</v>
      </c>
      <c r="D39" s="4">
        <f>16.1239 * CHOOSE(CONTROL!$C$9, $C$13, 100%, $E$13) + CHOOSE(CONTROL!$C$28, 0.0021, 0)</f>
        <v>16.125999999999998</v>
      </c>
      <c r="E39" s="4">
        <f>62.96 * CHOOSE(CONTROL!$C$9, $C$13, 100%, $E$13) + CHOOSE(CONTROL!$C$28, 0.0021, 0)</f>
        <v>62.9621</v>
      </c>
    </row>
    <row r="40" spans="1:5" ht="15">
      <c r="A40" s="13">
        <v>42705</v>
      </c>
      <c r="B40" s="4">
        <f>10.0078 * CHOOSE(CONTROL!$C$9, $C$13, 100%, $E$13) + CHOOSE(CONTROL!$C$28, 0.0211, 0)</f>
        <v>10.0289</v>
      </c>
      <c r="C40" s="4">
        <f>9.6445 * CHOOSE(CONTROL!$C$9, $C$13, 100%, $E$13) + CHOOSE(CONTROL!$C$28, 0.0211, 0)</f>
        <v>9.6656000000000013</v>
      </c>
      <c r="D40" s="4">
        <f>16.2175 * CHOOSE(CONTROL!$C$9, $C$13, 100%, $E$13) + CHOOSE(CONTROL!$C$28, 0.0021, 0)</f>
        <v>16.2196</v>
      </c>
      <c r="E40" s="4">
        <f>63.35 * CHOOSE(CONTROL!$C$9, $C$13, 100%, $E$13) + CHOOSE(CONTROL!$C$28, 0.0021, 0)</f>
        <v>63.3521</v>
      </c>
    </row>
    <row r="41" spans="1:5" ht="15">
      <c r="A41" s="13">
        <v>42736</v>
      </c>
      <c r="B41" s="4">
        <f>9.9922 * CHOOSE(CONTROL!$C$9, $C$13, 100%, $E$13) + CHOOSE(CONTROL!$C$28, 0.0211, 0)</f>
        <v>10.013300000000001</v>
      </c>
      <c r="C41" s="4">
        <f>9.6289 * CHOOSE(CONTROL!$C$9, $C$13, 100%, $E$13) + CHOOSE(CONTROL!$C$28, 0.0211, 0)</f>
        <v>9.65</v>
      </c>
      <c r="D41" s="4">
        <f>16.3148 * CHOOSE(CONTROL!$C$9, $C$13, 100%, $E$13) + CHOOSE(CONTROL!$C$28, 0.0021, 0)</f>
        <v>16.3169</v>
      </c>
      <c r="E41" s="4">
        <f>63.58 * CHOOSE(CONTROL!$C$9, $C$13, 100%, $E$13) + CHOOSE(CONTROL!$C$28, 0.0021, 0)</f>
        <v>63.582099999999997</v>
      </c>
    </row>
    <row r="42" spans="1:5" ht="15">
      <c r="A42" s="13">
        <v>42767</v>
      </c>
      <c r="B42" s="4">
        <f>10.0219 * CHOOSE(CONTROL!$C$9, $C$13, 100%, $E$13) + CHOOSE(CONTROL!$C$28, 0.0211, 0)</f>
        <v>10.043000000000001</v>
      </c>
      <c r="C42" s="4">
        <f>9.6586 * CHOOSE(CONTROL!$C$9, $C$13, 100%, $E$13) + CHOOSE(CONTROL!$C$28, 0.0211, 0)</f>
        <v>9.6797000000000004</v>
      </c>
      <c r="D42" s="4">
        <f>16.358 * CHOOSE(CONTROL!$C$9, $C$13, 100%, $E$13) + CHOOSE(CONTROL!$C$28, 0.0021, 0)</f>
        <v>16.360099999999999</v>
      </c>
      <c r="E42" s="4">
        <f>63.85 * CHOOSE(CONTROL!$C$9, $C$13, 100%, $E$13) + CHOOSE(CONTROL!$C$28, 0.0021, 0)</f>
        <v>63.8521</v>
      </c>
    </row>
    <row r="43" spans="1:5" ht="15">
      <c r="A43" s="13">
        <v>42795</v>
      </c>
      <c r="B43" s="4">
        <f>10.0594 * CHOOSE(CONTROL!$C$9, $C$13, 100%, $E$13) + CHOOSE(CONTROL!$C$28, 0.0211, 0)</f>
        <v>10.080500000000001</v>
      </c>
      <c r="C43" s="4">
        <f>9.6961 * CHOOSE(CONTROL!$C$9, $C$13, 100%, $E$13) + CHOOSE(CONTROL!$C$28, 0.0211, 0)</f>
        <v>9.7172000000000001</v>
      </c>
      <c r="D43" s="4">
        <f>16.3688 * CHOOSE(CONTROL!$C$9, $C$13, 100%, $E$13) + CHOOSE(CONTROL!$C$28, 0.0021, 0)</f>
        <v>16.370899999999999</v>
      </c>
      <c r="E43" s="4">
        <f>64.15 * CHOOSE(CONTROL!$C$9, $C$13, 100%, $E$13) + CHOOSE(CONTROL!$C$28, 0.0021, 0)</f>
        <v>64.152100000000004</v>
      </c>
    </row>
    <row r="44" spans="1:5" ht="15">
      <c r="A44" s="13">
        <v>42826</v>
      </c>
      <c r="B44" s="4">
        <f>10.1047 * CHOOSE(CONTROL!$C$9, $C$13, 100%, $E$13) + CHOOSE(CONTROL!$C$28, 0.0211, 0)</f>
        <v>10.1258</v>
      </c>
      <c r="C44" s="4">
        <f>9.7414 * CHOOSE(CONTROL!$C$9, $C$13, 100%, $E$13) + CHOOSE(CONTROL!$C$28, 0.0211, 0)</f>
        <v>9.7625000000000011</v>
      </c>
      <c r="D44" s="4">
        <f>16.3508 * CHOOSE(CONTROL!$C$9, $C$13, 100%, $E$13) + CHOOSE(CONTROL!$C$28, 0.0021, 0)</f>
        <v>16.352899999999998</v>
      </c>
      <c r="E44" s="4">
        <f>64.47 * CHOOSE(CONTROL!$C$9, $C$13, 100%, $E$13) + CHOOSE(CONTROL!$C$28, 0.0021, 0)</f>
        <v>64.472099999999998</v>
      </c>
    </row>
    <row r="45" spans="1:5" ht="15">
      <c r="A45" s="13">
        <v>42856</v>
      </c>
      <c r="B45" s="4">
        <f>10.1562 * CHOOSE(CONTROL!$C$9, $C$13, 100%, $E$13) + CHOOSE(CONTROL!$C$28, 0.0415, 0)</f>
        <v>10.197699999999999</v>
      </c>
      <c r="C45" s="4">
        <f>9.793 * CHOOSE(CONTROL!$C$9, $C$13, 100%, $E$13) + CHOOSE(CONTROL!$C$28, 0.0415, 0)</f>
        <v>9.8344999999999985</v>
      </c>
      <c r="D45" s="4">
        <f>16.3508 * CHOOSE(CONTROL!$C$9, $C$13, 100%, $E$13) + CHOOSE(CONTROL!$C$28, 0.0021, 0)</f>
        <v>16.352899999999998</v>
      </c>
      <c r="E45" s="4">
        <f>64.79 * CHOOSE(CONTROL!$C$9, $C$13, 100%, $E$13) + CHOOSE(CONTROL!$C$28, 0.0021, 0)</f>
        <v>64.792100000000005</v>
      </c>
    </row>
    <row r="46" spans="1:5" ht="15">
      <c r="A46" s="13">
        <v>42887</v>
      </c>
      <c r="B46" s="4">
        <f>10.2078 * CHOOSE(CONTROL!$C$9, $C$13, 100%, $E$13) + CHOOSE(CONTROL!$C$28, 0.0415, 0)</f>
        <v>10.2493</v>
      </c>
      <c r="C46" s="4">
        <f>9.8445 * CHOOSE(CONTROL!$C$9, $C$13, 100%, $E$13) + CHOOSE(CONTROL!$C$28, 0.0415, 0)</f>
        <v>9.8859999999999992</v>
      </c>
      <c r="D46" s="4">
        <f>16.3544 * CHOOSE(CONTROL!$C$9, $C$13, 100%, $E$13) + CHOOSE(CONTROL!$C$28, 0.0021, 0)</f>
        <v>16.356499999999997</v>
      </c>
      <c r="E46" s="4">
        <f>65.12 * CHOOSE(CONTROL!$C$9, $C$13, 100%, $E$13) + CHOOSE(CONTROL!$C$28, 0.0021, 0)</f>
        <v>65.122100000000003</v>
      </c>
    </row>
    <row r="47" spans="1:5" ht="15">
      <c r="A47" s="13">
        <v>42917</v>
      </c>
      <c r="B47" s="4">
        <f>10.2516 * CHOOSE(CONTROL!$C$9, $C$13, 100%, $E$13) + CHOOSE(CONTROL!$C$28, 0.0415, 0)</f>
        <v>10.293099999999999</v>
      </c>
      <c r="C47" s="4">
        <f>9.8883 * CHOOSE(CONTROL!$C$9, $C$13, 100%, $E$13) + CHOOSE(CONTROL!$C$28, 0.0415, 0)</f>
        <v>9.9297999999999984</v>
      </c>
      <c r="D47" s="4">
        <f>16.4048 * CHOOSE(CONTROL!$C$9, $C$13, 100%, $E$13) + CHOOSE(CONTROL!$C$28, 0.0021, 0)</f>
        <v>16.4069</v>
      </c>
      <c r="E47" s="4">
        <f>65.3 * CHOOSE(CONTROL!$C$9, $C$13, 100%, $E$13) + CHOOSE(CONTROL!$C$28, 0.0021, 0)</f>
        <v>65.302099999999996</v>
      </c>
    </row>
    <row r="48" spans="1:5" ht="15">
      <c r="A48" s="13">
        <v>42948</v>
      </c>
      <c r="B48" s="4">
        <f>10.3016 * CHOOSE(CONTROL!$C$9, $C$13, 100%, $E$13) + CHOOSE(CONTROL!$C$28, 0.0415, 0)</f>
        <v>10.3431</v>
      </c>
      <c r="C48" s="4">
        <f>9.9383 * CHOOSE(CONTROL!$C$9, $C$13, 100%, $E$13) + CHOOSE(CONTROL!$C$28, 0.0415, 0)</f>
        <v>9.9797999999999991</v>
      </c>
      <c r="D48" s="4">
        <f>16.4841 * CHOOSE(CONTROL!$C$9, $C$13, 100%, $E$13) + CHOOSE(CONTROL!$C$28, 0.0021, 0)</f>
        <v>16.4862</v>
      </c>
      <c r="E48" s="4">
        <f>65.54 * CHOOSE(CONTROL!$C$9, $C$13, 100%, $E$13) + CHOOSE(CONTROL!$C$28, 0.0021, 0)</f>
        <v>65.542100000000005</v>
      </c>
    </row>
    <row r="49" spans="1:5" ht="15">
      <c r="A49" s="13">
        <v>42979</v>
      </c>
      <c r="B49" s="4">
        <f>10.3547 * CHOOSE(CONTROL!$C$9, $C$13, 100%, $E$13) + CHOOSE(CONTROL!$C$28, 0.0415, 0)</f>
        <v>10.396199999999999</v>
      </c>
      <c r="C49" s="4">
        <f>9.9914 * CHOOSE(CONTROL!$C$9, $C$13, 100%, $E$13) + CHOOSE(CONTROL!$C$28, 0.0415, 0)</f>
        <v>10.0329</v>
      </c>
      <c r="D49" s="4">
        <f>16.5633 * CHOOSE(CONTROL!$C$9, $C$13, 100%, $E$13) + CHOOSE(CONTROL!$C$28, 0.0021, 0)</f>
        <v>16.5654</v>
      </c>
      <c r="E49" s="4">
        <f>65.79 * CHOOSE(CONTROL!$C$9, $C$13, 100%, $E$13) + CHOOSE(CONTROL!$C$28, 0.0021, 0)</f>
        <v>65.792100000000005</v>
      </c>
    </row>
    <row r="50" spans="1:5" ht="15">
      <c r="A50" s="13">
        <v>43009</v>
      </c>
      <c r="B50" s="4">
        <f>10.4094 * CHOOSE(CONTROL!$C$9, $C$13, 100%, $E$13) + CHOOSE(CONTROL!$C$28, 0.0211, 0)</f>
        <v>10.4305</v>
      </c>
      <c r="C50" s="4">
        <f>10.0461 * CHOOSE(CONTROL!$C$9, $C$13, 100%, $E$13) + CHOOSE(CONTROL!$C$28, 0.0211, 0)</f>
        <v>10.0672</v>
      </c>
      <c r="D50" s="4">
        <f>16.6426 * CHOOSE(CONTROL!$C$9, $C$13, 100%, $E$13) + CHOOSE(CONTROL!$C$28, 0.0021, 0)</f>
        <v>16.6447</v>
      </c>
      <c r="E50" s="4">
        <f>66.05 * CHOOSE(CONTROL!$C$9, $C$13, 100%, $E$13) + CHOOSE(CONTROL!$C$28, 0.0021, 0)</f>
        <v>66.052099999999996</v>
      </c>
    </row>
    <row r="51" spans="1:5" ht="15">
      <c r="A51" s="13">
        <v>43040</v>
      </c>
      <c r="B51" s="4">
        <f>10.4625 * CHOOSE(CONTROL!$C$9, $C$13, 100%, $E$13) + CHOOSE(CONTROL!$C$28, 0.0211, 0)</f>
        <v>10.483600000000001</v>
      </c>
      <c r="C51" s="4">
        <f>10.0992 * CHOOSE(CONTROL!$C$9, $C$13, 100%, $E$13) + CHOOSE(CONTROL!$C$28, 0.0211, 0)</f>
        <v>10.1203</v>
      </c>
      <c r="D51" s="4">
        <f>16.7182 * CHOOSE(CONTROL!$C$9, $C$13, 100%, $E$13) + CHOOSE(CONTROL!$C$28, 0.0021, 0)</f>
        <v>16.720299999999998</v>
      </c>
      <c r="E51" s="4">
        <f>66.32 * CHOOSE(CONTROL!$C$9, $C$13, 100%, $E$13) + CHOOSE(CONTROL!$C$28, 0.0021, 0)</f>
        <v>66.322099999999992</v>
      </c>
    </row>
    <row r="52" spans="1:5" ht="15">
      <c r="A52" s="13">
        <v>43070</v>
      </c>
      <c r="B52" s="4">
        <f>10.5141 * CHOOSE(CONTROL!$C$9, $C$13, 100%, $E$13) + CHOOSE(CONTROL!$C$28, 0.0211, 0)</f>
        <v>10.5352</v>
      </c>
      <c r="C52" s="4">
        <f>10.1508 * CHOOSE(CONTROL!$C$9, $C$13, 100%, $E$13) + CHOOSE(CONTROL!$C$28, 0.0211, 0)</f>
        <v>10.171900000000001</v>
      </c>
      <c r="D52" s="4">
        <f>16.7866 * CHOOSE(CONTROL!$C$9, $C$13, 100%, $E$13) + CHOOSE(CONTROL!$C$28, 0.0021, 0)</f>
        <v>16.788699999999999</v>
      </c>
      <c r="E52" s="4">
        <f>66.59 * CHOOSE(CONTROL!$C$9, $C$13, 100%, $E$13) + CHOOSE(CONTROL!$C$28, 0.0021, 0)</f>
        <v>66.592100000000002</v>
      </c>
    </row>
    <row r="53" spans="1:5" ht="15">
      <c r="A53" s="13">
        <v>43101</v>
      </c>
      <c r="B53" s="4">
        <f>10.5534 * CHOOSE(CONTROL!$C$9, $C$13, 100%, $E$13) + CHOOSE(CONTROL!$C$28, 0.0211, 0)</f>
        <v>10.5745</v>
      </c>
      <c r="C53" s="4">
        <f>10.1901 * CHOOSE(CONTROL!$C$9, $C$13, 100%, $E$13) + CHOOSE(CONTROL!$C$28, 0.0211, 0)</f>
        <v>10.2112</v>
      </c>
      <c r="D53" s="4">
        <f>16.6114 * CHOOSE(CONTROL!$C$9, $C$13, 100%, $E$13) + CHOOSE(CONTROL!$C$28, 0.0021, 0)</f>
        <v>16.613499999999998</v>
      </c>
      <c r="E53" s="4">
        <f>66.5984314805897 * CHOOSE(CONTROL!$C$9, $C$13, 100%, $E$13) + CHOOSE(CONTROL!$C$28, 0.0021, 0)</f>
        <v>66.600531480589694</v>
      </c>
    </row>
    <row r="54" spans="1:5" ht="15">
      <c r="A54" s="13">
        <v>43132</v>
      </c>
      <c r="B54" s="4">
        <f>10.7856 * CHOOSE(CONTROL!$C$9, $C$13, 100%, $E$13) + CHOOSE(CONTROL!$C$28, 0.0211, 0)</f>
        <v>10.806700000000001</v>
      </c>
      <c r="C54" s="4">
        <f>10.4224 * CHOOSE(CONTROL!$C$9, $C$13, 100%, $E$13) + CHOOSE(CONTROL!$C$28, 0.0211, 0)</f>
        <v>10.4435</v>
      </c>
      <c r="D54" s="4">
        <f>17.1323 * CHOOSE(CONTROL!$C$9, $C$13, 100%, $E$13) + CHOOSE(CONTROL!$C$28, 0.0021, 0)</f>
        <v>17.134399999999999</v>
      </c>
      <c r="E54" s="4">
        <f>68.1797407023263 * CHOOSE(CONTROL!$C$9, $C$13, 100%, $E$13) + CHOOSE(CONTROL!$C$28, 0.0021, 0)</f>
        <v>68.181840702326298</v>
      </c>
    </row>
    <row r="55" spans="1:5" ht="15">
      <c r="A55" s="13">
        <v>43160</v>
      </c>
      <c r="B55" s="4">
        <f>11.3955 * CHOOSE(CONTROL!$C$9, $C$13, 100%, $E$13) + CHOOSE(CONTROL!$C$28, 0.0211, 0)</f>
        <v>11.416600000000001</v>
      </c>
      <c r="C55" s="4">
        <f>11.0322 * CHOOSE(CONTROL!$C$9, $C$13, 100%, $E$13) + CHOOSE(CONTROL!$C$28, 0.0211, 0)</f>
        <v>11.0533</v>
      </c>
      <c r="D55" s="4">
        <f>17.9478 * CHOOSE(CONTROL!$C$9, $C$13, 100%, $E$13) + CHOOSE(CONTROL!$C$28, 0.0021, 0)</f>
        <v>17.9499</v>
      </c>
      <c r="E55" s="4">
        <f>72.3323427544821 * CHOOSE(CONTROL!$C$9, $C$13, 100%, $E$13) + CHOOSE(CONTROL!$C$28, 0.0021, 0)</f>
        <v>72.334442754482097</v>
      </c>
    </row>
    <row r="56" spans="1:5" ht="15">
      <c r="A56" s="13">
        <v>43191</v>
      </c>
      <c r="B56" s="4">
        <f>11.8287 * CHOOSE(CONTROL!$C$9, $C$13, 100%, $E$13) + CHOOSE(CONTROL!$C$28, 0.0211, 0)</f>
        <v>11.8498</v>
      </c>
      <c r="C56" s="4">
        <f>11.4655 * CHOOSE(CONTROL!$C$9, $C$13, 100%, $E$13) + CHOOSE(CONTROL!$C$28, 0.0211, 0)</f>
        <v>11.486600000000001</v>
      </c>
      <c r="D56" s="4">
        <f>18.4175 * CHOOSE(CONTROL!$C$9, $C$13, 100%, $E$13) + CHOOSE(CONTROL!$C$28, 0.0021, 0)</f>
        <v>18.419599999999999</v>
      </c>
      <c r="E56" s="4">
        <f>75.2828218532375 * CHOOSE(CONTROL!$C$9, $C$13, 100%, $E$13) + CHOOSE(CONTROL!$C$28, 0.0021, 0)</f>
        <v>75.284921853237492</v>
      </c>
    </row>
    <row r="57" spans="1:5" ht="15">
      <c r="A57" s="13">
        <v>43221</v>
      </c>
      <c r="B57" s="4">
        <f>12.0935 * CHOOSE(CONTROL!$C$9, $C$13, 100%, $E$13) + CHOOSE(CONTROL!$C$28, 0.0415, 0)</f>
        <v>12.135</v>
      </c>
      <c r="C57" s="4">
        <f>11.7302 * CHOOSE(CONTROL!$C$9, $C$13, 100%, $E$13) + CHOOSE(CONTROL!$C$28, 0.0415, 0)</f>
        <v>11.771699999999999</v>
      </c>
      <c r="D57" s="4">
        <f>18.2319 * CHOOSE(CONTROL!$C$9, $C$13, 100%, $E$13) + CHOOSE(CONTROL!$C$28, 0.0021, 0)</f>
        <v>18.233999999999998</v>
      </c>
      <c r="E57" s="4">
        <f>77.0854938694622 * CHOOSE(CONTROL!$C$9, $C$13, 100%, $E$13) + CHOOSE(CONTROL!$C$28, 0.0021, 0)</f>
        <v>77.087593869462196</v>
      </c>
    </row>
    <row r="58" spans="1:5" ht="15">
      <c r="A58" s="13">
        <v>43252</v>
      </c>
      <c r="B58" s="4">
        <f>12.1293 * CHOOSE(CONTROL!$C$9, $C$13, 100%, $E$13) + CHOOSE(CONTROL!$C$28, 0.0415, 0)</f>
        <v>12.1708</v>
      </c>
      <c r="C58" s="4">
        <f>11.766 * CHOOSE(CONTROL!$C$9, $C$13, 100%, $E$13) + CHOOSE(CONTROL!$C$28, 0.0415, 0)</f>
        <v>11.807499999999999</v>
      </c>
      <c r="D58" s="4">
        <f>18.3831 * CHOOSE(CONTROL!$C$9, $C$13, 100%, $E$13) + CHOOSE(CONTROL!$C$28, 0.0021, 0)</f>
        <v>18.385199999999998</v>
      </c>
      <c r="E58" s="4">
        <f>77.3294028744999 * CHOOSE(CONTROL!$C$9, $C$13, 100%, $E$13) + CHOOSE(CONTROL!$C$28, 0.0021, 0)</f>
        <v>77.331502874499904</v>
      </c>
    </row>
    <row r="59" spans="1:5" ht="15">
      <c r="A59" s="13">
        <v>43282</v>
      </c>
      <c r="B59" s="4">
        <f>12.1257 * CHOOSE(CONTROL!$C$9, $C$13, 100%, $E$13) + CHOOSE(CONTROL!$C$28, 0.0415, 0)</f>
        <v>12.167199999999999</v>
      </c>
      <c r="C59" s="4">
        <f>11.7624 * CHOOSE(CONTROL!$C$9, $C$13, 100%, $E$13) + CHOOSE(CONTROL!$C$28, 0.0415, 0)</f>
        <v>11.803899999999999</v>
      </c>
      <c r="D59" s="4">
        <f>18.6559 * CHOOSE(CONTROL!$C$9, $C$13, 100%, $E$13) + CHOOSE(CONTROL!$C$28, 0.0021, 0)</f>
        <v>18.657999999999998</v>
      </c>
      <c r="E59" s="4">
        <f>77.3048070084457 * CHOOSE(CONTROL!$C$9, $C$13, 100%, $E$13) + CHOOSE(CONTROL!$C$28, 0.0021, 0)</f>
        <v>77.306907008445705</v>
      </c>
    </row>
    <row r="60" spans="1:5" ht="15">
      <c r="A60" s="13">
        <v>43313</v>
      </c>
      <c r="B60" s="4">
        <f>12.3975 * CHOOSE(CONTROL!$C$9, $C$13, 100%, $E$13) + CHOOSE(CONTROL!$C$28, 0.0415, 0)</f>
        <v>12.439</v>
      </c>
      <c r="C60" s="4">
        <f>12.0342 * CHOOSE(CONTROL!$C$9, $C$13, 100%, $E$13) + CHOOSE(CONTROL!$C$28, 0.0415, 0)</f>
        <v>12.075699999999999</v>
      </c>
      <c r="D60" s="4">
        <f>18.4757 * CHOOSE(CONTROL!$C$9, $C$13, 100%, $E$13) + CHOOSE(CONTROL!$C$28, 0.0021, 0)</f>
        <v>18.477799999999998</v>
      </c>
      <c r="E60" s="4">
        <f>79.1556459290265 * CHOOSE(CONTROL!$C$9, $C$13, 100%, $E$13) + CHOOSE(CONTROL!$C$28, 0.0021, 0)</f>
        <v>79.157745929026504</v>
      </c>
    </row>
    <row r="61" spans="1:5" ht="15">
      <c r="A61" s="13">
        <v>43344</v>
      </c>
      <c r="B61" s="4">
        <f>11.9342 * CHOOSE(CONTROL!$C$9, $C$13, 100%, $E$13) + CHOOSE(CONTROL!$C$28, 0.0415, 0)</f>
        <v>11.9757</v>
      </c>
      <c r="C61" s="4">
        <f>11.5709 * CHOOSE(CONTROL!$C$9, $C$13, 100%, $E$13) + CHOOSE(CONTROL!$C$28, 0.0415, 0)</f>
        <v>11.612399999999999</v>
      </c>
      <c r="D61" s="4">
        <f>18.3906 * CHOOSE(CONTROL!$C$9, $C$13, 100%, $E$13) + CHOOSE(CONTROL!$C$28, 0.0021, 0)</f>
        <v>18.392699999999998</v>
      </c>
      <c r="E61" s="4">
        <f>76.0012261075715 * CHOOSE(CONTROL!$C$9, $C$13, 100%, $E$13) + CHOOSE(CONTROL!$C$28, 0.0021, 0)</f>
        <v>76.003326107571496</v>
      </c>
    </row>
    <row r="62" spans="1:5" ht="15">
      <c r="A62" s="13">
        <v>43374</v>
      </c>
      <c r="B62" s="4">
        <f>11.5634 * CHOOSE(CONTROL!$C$9, $C$13, 100%, $E$13) + CHOOSE(CONTROL!$C$28, 0.0211, 0)</f>
        <v>11.5845</v>
      </c>
      <c r="C62" s="4">
        <f>11.2001 * CHOOSE(CONTROL!$C$9, $C$13, 100%, $E$13) + CHOOSE(CONTROL!$C$28, 0.0211, 0)</f>
        <v>11.221200000000001</v>
      </c>
      <c r="D62" s="4">
        <f>18.1627 * CHOOSE(CONTROL!$C$9, $C$13, 100%, $E$13) + CHOOSE(CONTROL!$C$28, 0.0021, 0)</f>
        <v>18.1648</v>
      </c>
      <c r="E62" s="4">
        <f>73.4760505260039 * CHOOSE(CONTROL!$C$9, $C$13, 100%, $E$13) + CHOOSE(CONTROL!$C$28, 0.0021, 0)</f>
        <v>73.478150526003901</v>
      </c>
    </row>
    <row r="63" spans="1:5" ht="15">
      <c r="A63" s="13">
        <v>43405</v>
      </c>
      <c r="B63" s="4">
        <f>11.3246 * CHOOSE(CONTROL!$C$9, $C$13, 100%, $E$13) + CHOOSE(CONTROL!$C$28, 0.0211, 0)</f>
        <v>11.345700000000001</v>
      </c>
      <c r="C63" s="4">
        <f>10.9613 * CHOOSE(CONTROL!$C$9, $C$13, 100%, $E$13) + CHOOSE(CONTROL!$C$28, 0.0211, 0)</f>
        <v>10.9824</v>
      </c>
      <c r="D63" s="4">
        <f>18.0844 * CHOOSE(CONTROL!$C$9, $C$13, 100%, $E$13) + CHOOSE(CONTROL!$C$28, 0.0021, 0)</f>
        <v>18.086499999999997</v>
      </c>
      <c r="E63" s="4">
        <f>71.8496488831679 * CHOOSE(CONTROL!$C$9, $C$13, 100%, $E$13) + CHOOSE(CONTROL!$C$28, 0.0021, 0)</f>
        <v>71.8517488831679</v>
      </c>
    </row>
    <row r="64" spans="1:5" ht="15">
      <c r="A64" s="13">
        <v>43435</v>
      </c>
      <c r="B64" s="4">
        <f>11.1593 * CHOOSE(CONTROL!$C$9, $C$13, 100%, $E$13) + CHOOSE(CONTROL!$C$28, 0.0211, 0)</f>
        <v>11.180400000000001</v>
      </c>
      <c r="C64" s="4">
        <f>10.796 * CHOOSE(CONTROL!$C$9, $C$13, 100%, $E$13) + CHOOSE(CONTROL!$C$28, 0.0211, 0)</f>
        <v>10.8171</v>
      </c>
      <c r="D64" s="4">
        <f>17.5076 * CHOOSE(CONTROL!$C$9, $C$13, 100%, $E$13) + CHOOSE(CONTROL!$C$28, 0.0021, 0)</f>
        <v>17.509699999999999</v>
      </c>
      <c r="E64" s="4">
        <f>70.7243880111868 * CHOOSE(CONTROL!$C$9, $C$13, 100%, $E$13) + CHOOSE(CONTROL!$C$28, 0.0021, 0)</f>
        <v>70.726488011186802</v>
      </c>
    </row>
    <row r="65" spans="1:5" ht="15">
      <c r="A65" s="13">
        <v>43466</v>
      </c>
      <c r="B65" s="4">
        <f>10.9195 * CHOOSE(CONTROL!$C$9, $C$13, 100%, $E$13) + CHOOSE(CONTROL!$C$28, 0.0211, 0)</f>
        <v>10.9406</v>
      </c>
      <c r="C65" s="4">
        <f>10.5562 * CHOOSE(CONTROL!$C$9, $C$13, 100%, $E$13) + CHOOSE(CONTROL!$C$28, 0.0211, 0)</f>
        <v>10.577300000000001</v>
      </c>
      <c r="D65" s="4">
        <f>17.1658 * CHOOSE(CONTROL!$C$9, $C$13, 100%, $E$13) + CHOOSE(CONTROL!$C$28, 0.0021, 0)</f>
        <v>17.167899999999999</v>
      </c>
      <c r="E65" s="4">
        <f>69.4746711351833 * CHOOSE(CONTROL!$C$9, $C$13, 100%, $E$13) + CHOOSE(CONTROL!$C$28, 0.0021, 0)</f>
        <v>69.476771135183299</v>
      </c>
    </row>
    <row r="66" spans="1:5" ht="15">
      <c r="A66" s="13">
        <v>43497</v>
      </c>
      <c r="B66" s="4">
        <f>11.1604 * CHOOSE(CONTROL!$C$9, $C$13, 100%, $E$13) + CHOOSE(CONTROL!$C$28, 0.0211, 0)</f>
        <v>11.1815</v>
      </c>
      <c r="C66" s="4">
        <f>10.7971 * CHOOSE(CONTROL!$C$9, $C$13, 100%, $E$13) + CHOOSE(CONTROL!$C$28, 0.0211, 0)</f>
        <v>10.818200000000001</v>
      </c>
      <c r="D66" s="4">
        <f>17.7063 * CHOOSE(CONTROL!$C$9, $C$13, 100%, $E$13) + CHOOSE(CONTROL!$C$28, 0.0021, 0)</f>
        <v>17.708399999999997</v>
      </c>
      <c r="E66" s="4">
        <f>71.1242736213199 * CHOOSE(CONTROL!$C$9, $C$13, 100%, $E$13) + CHOOSE(CONTROL!$C$28, 0.0021, 0)</f>
        <v>71.1263736213199</v>
      </c>
    </row>
    <row r="67" spans="1:5" ht="15">
      <c r="A67" s="13">
        <v>43525</v>
      </c>
      <c r="B67" s="4">
        <f>11.793 * CHOOSE(CONTROL!$C$9, $C$13, 100%, $E$13) + CHOOSE(CONTROL!$C$28, 0.0211, 0)</f>
        <v>11.8141</v>
      </c>
      <c r="C67" s="4">
        <f>11.4298 * CHOOSE(CONTROL!$C$9, $C$13, 100%, $E$13) + CHOOSE(CONTROL!$C$28, 0.0211, 0)</f>
        <v>11.450900000000001</v>
      </c>
      <c r="D67" s="4">
        <f>18.5524 * CHOOSE(CONTROL!$C$9, $C$13, 100%, $E$13) + CHOOSE(CONTROL!$C$28, 0.0021, 0)</f>
        <v>18.554499999999997</v>
      </c>
      <c r="E67" s="4">
        <f>75.4562174151148 * CHOOSE(CONTROL!$C$9, $C$13, 100%, $E$13) + CHOOSE(CONTROL!$C$28, 0.0021, 0)</f>
        <v>75.458317415114806</v>
      </c>
    </row>
    <row r="68" spans="1:5" ht="15">
      <c r="A68" s="13">
        <v>43556</v>
      </c>
      <c r="B68" s="4">
        <f>12.2425 * CHOOSE(CONTROL!$C$9, $C$13, 100%, $E$13) + CHOOSE(CONTROL!$C$28, 0.0211, 0)</f>
        <v>12.2636</v>
      </c>
      <c r="C68" s="4">
        <f>11.8793 * CHOOSE(CONTROL!$C$9, $C$13, 100%, $E$13) + CHOOSE(CONTROL!$C$28, 0.0211, 0)</f>
        <v>11.900400000000001</v>
      </c>
      <c r="D68" s="4">
        <f>19.0398 * CHOOSE(CONTROL!$C$9, $C$13, 100%, $E$13) + CHOOSE(CONTROL!$C$28, 0.0021, 0)</f>
        <v>19.041899999999998</v>
      </c>
      <c r="E68" s="4">
        <f>78.5341212113477 * CHOOSE(CONTROL!$C$9, $C$13, 100%, $E$13) + CHOOSE(CONTROL!$C$28, 0.0021, 0)</f>
        <v>78.536221211347694</v>
      </c>
    </row>
    <row r="69" spans="1:5" ht="15">
      <c r="A69" s="13">
        <v>43586</v>
      </c>
      <c r="B69" s="4">
        <f>12.5172 * CHOOSE(CONTROL!$C$9, $C$13, 100%, $E$13) + CHOOSE(CONTROL!$C$28, 0.0415, 0)</f>
        <v>12.5587</v>
      </c>
      <c r="C69" s="4">
        <f>12.1539 * CHOOSE(CONTROL!$C$9, $C$13, 100%, $E$13) + CHOOSE(CONTROL!$C$28, 0.0415, 0)</f>
        <v>12.195399999999999</v>
      </c>
      <c r="D69" s="4">
        <f>18.8472 * CHOOSE(CONTROL!$C$9, $C$13, 100%, $E$13) + CHOOSE(CONTROL!$C$28, 0.0021, 0)</f>
        <v>18.849299999999999</v>
      </c>
      <c r="E69" s="4">
        <f>80.4146466637873 * CHOOSE(CONTROL!$C$9, $C$13, 100%, $E$13) + CHOOSE(CONTROL!$C$28, 0.0021, 0)</f>
        <v>80.416746663787293</v>
      </c>
    </row>
    <row r="70" spans="1:5" ht="15">
      <c r="A70" s="13">
        <v>43617</v>
      </c>
      <c r="B70" s="4">
        <f>12.5543 * CHOOSE(CONTROL!$C$9, $C$13, 100%, $E$13) + CHOOSE(CONTROL!$C$28, 0.0415, 0)</f>
        <v>12.595799999999999</v>
      </c>
      <c r="C70" s="4">
        <f>12.1911 * CHOOSE(CONTROL!$C$9, $C$13, 100%, $E$13) + CHOOSE(CONTROL!$C$28, 0.0415, 0)</f>
        <v>12.2326</v>
      </c>
      <c r="D70" s="4">
        <f>19.004 * CHOOSE(CONTROL!$C$9, $C$13, 100%, $E$13) + CHOOSE(CONTROL!$C$28, 0.0021, 0)</f>
        <v>19.0061</v>
      </c>
      <c r="E70" s="4">
        <f>80.6690895618434 * CHOOSE(CONTROL!$C$9, $C$13, 100%, $E$13) + CHOOSE(CONTROL!$C$28, 0.0021, 0)</f>
        <v>80.671189561843406</v>
      </c>
    </row>
    <row r="71" spans="1:5" ht="15">
      <c r="A71" s="13">
        <v>43647</v>
      </c>
      <c r="B71" s="4">
        <f>12.5506 * CHOOSE(CONTROL!$C$9, $C$13, 100%, $E$13) + CHOOSE(CONTROL!$C$28, 0.0415, 0)</f>
        <v>12.592099999999999</v>
      </c>
      <c r="C71" s="4">
        <f>12.1873 * CHOOSE(CONTROL!$C$9, $C$13, 100%, $E$13) + CHOOSE(CONTROL!$C$28, 0.0415, 0)</f>
        <v>12.2288</v>
      </c>
      <c r="D71" s="4">
        <f>19.287 * CHOOSE(CONTROL!$C$9, $C$13, 100%, $E$13) + CHOOSE(CONTROL!$C$28, 0.0021, 0)</f>
        <v>19.289099999999998</v>
      </c>
      <c r="E71" s="4">
        <f>80.6434314544764 * CHOOSE(CONTROL!$C$9, $C$13, 100%, $E$13) + CHOOSE(CONTROL!$C$28, 0.0021, 0)</f>
        <v>80.645531454476398</v>
      </c>
    </row>
    <row r="72" spans="1:5" ht="15">
      <c r="A72" s="13">
        <v>43678</v>
      </c>
      <c r="B72" s="4">
        <f>12.8326 * CHOOSE(CONTROL!$C$9, $C$13, 100%, $E$13) + CHOOSE(CONTROL!$C$28, 0.0415, 0)</f>
        <v>12.874099999999999</v>
      </c>
      <c r="C72" s="4">
        <f>12.4693 * CHOOSE(CONTROL!$C$9, $C$13, 100%, $E$13) + CHOOSE(CONTROL!$C$28, 0.0415, 0)</f>
        <v>12.5108</v>
      </c>
      <c r="D72" s="4">
        <f>19.1001 * CHOOSE(CONTROL!$C$9, $C$13, 100%, $E$13) + CHOOSE(CONTROL!$C$28, 0.0021, 0)</f>
        <v>19.1022</v>
      </c>
      <c r="E72" s="4">
        <f>82.574204033843 * CHOOSE(CONTROL!$C$9, $C$13, 100%, $E$13) + CHOOSE(CONTROL!$C$28, 0.0021, 0)</f>
        <v>82.576304033843002</v>
      </c>
    </row>
    <row r="73" spans="1:5" ht="15">
      <c r="A73" s="13">
        <v>43709</v>
      </c>
      <c r="B73" s="4">
        <f>12.352 * CHOOSE(CONTROL!$C$9, $C$13, 100%, $E$13) + CHOOSE(CONTROL!$C$28, 0.0415, 0)</f>
        <v>12.3935</v>
      </c>
      <c r="C73" s="4">
        <f>11.9887 * CHOOSE(CONTROL!$C$9, $C$13, 100%, $E$13) + CHOOSE(CONTROL!$C$28, 0.0415, 0)</f>
        <v>12.030199999999999</v>
      </c>
      <c r="D73" s="4">
        <f>19.0118 * CHOOSE(CONTROL!$C$9, $C$13, 100%, $E$13) + CHOOSE(CONTROL!$C$28, 0.0021, 0)</f>
        <v>19.0139</v>
      </c>
      <c r="E73" s="4">
        <f>79.2835517640255 * CHOOSE(CONTROL!$C$9, $C$13, 100%, $E$13) + CHOOSE(CONTROL!$C$28, 0.0021, 0)</f>
        <v>79.285651764025502</v>
      </c>
    </row>
    <row r="74" spans="1:5" ht="15">
      <c r="A74" s="13">
        <v>43739</v>
      </c>
      <c r="B74" s="4">
        <f>11.9673 * CHOOSE(CONTROL!$C$9, $C$13, 100%, $E$13) + CHOOSE(CONTROL!$C$28, 0.0211, 0)</f>
        <v>11.9884</v>
      </c>
      <c r="C74" s="4">
        <f>11.604 * CHOOSE(CONTROL!$C$9, $C$13, 100%, $E$13) + CHOOSE(CONTROL!$C$28, 0.0211, 0)</f>
        <v>11.6251</v>
      </c>
      <c r="D74" s="4">
        <f>18.7754 * CHOOSE(CONTROL!$C$9, $C$13, 100%, $E$13) + CHOOSE(CONTROL!$C$28, 0.0021, 0)</f>
        <v>18.7775</v>
      </c>
      <c r="E74" s="4">
        <f>76.6493194076803 * CHOOSE(CONTROL!$C$9, $C$13, 100%, $E$13) + CHOOSE(CONTROL!$C$28, 0.0021, 0)</f>
        <v>76.651419407680294</v>
      </c>
    </row>
    <row r="75" spans="1:5" ht="15">
      <c r="A75" s="13">
        <v>43770</v>
      </c>
      <c r="B75" s="4">
        <f>11.7195 * CHOOSE(CONTROL!$C$9, $C$13, 100%, $E$13) + CHOOSE(CONTROL!$C$28, 0.0211, 0)</f>
        <v>11.740600000000001</v>
      </c>
      <c r="C75" s="4">
        <f>11.3562 * CHOOSE(CONTROL!$C$9, $C$13, 100%, $E$13) + CHOOSE(CONTROL!$C$28, 0.0211, 0)</f>
        <v>11.3773</v>
      </c>
      <c r="D75" s="4">
        <f>18.6941 * CHOOSE(CONTROL!$C$9, $C$13, 100%, $E$13) + CHOOSE(CONTROL!$C$28, 0.0021, 0)</f>
        <v>18.696199999999997</v>
      </c>
      <c r="E75" s="4">
        <f>74.9526770580375 * CHOOSE(CONTROL!$C$9, $C$13, 100%, $E$13) + CHOOSE(CONTROL!$C$28, 0.0021, 0)</f>
        <v>74.954777058037493</v>
      </c>
    </row>
    <row r="76" spans="1:5" ht="15">
      <c r="A76" s="13">
        <v>43800</v>
      </c>
      <c r="B76" s="4">
        <f>11.5481 * CHOOSE(CONTROL!$C$9, $C$13, 100%, $E$13) + CHOOSE(CONTROL!$C$28, 0.0211, 0)</f>
        <v>11.5692</v>
      </c>
      <c r="C76" s="4">
        <f>11.1848 * CHOOSE(CONTROL!$C$9, $C$13, 100%, $E$13) + CHOOSE(CONTROL!$C$28, 0.0211, 0)</f>
        <v>11.2059</v>
      </c>
      <c r="D76" s="4">
        <f>18.0956 * CHOOSE(CONTROL!$C$9, $C$13, 100%, $E$13) + CHOOSE(CONTROL!$C$28, 0.0021, 0)</f>
        <v>18.0977</v>
      </c>
      <c r="E76" s="4">
        <f>73.7788186459973 * CHOOSE(CONTROL!$C$9, $C$13, 100%, $E$13) + CHOOSE(CONTROL!$C$28, 0.0021, 0)</f>
        <v>73.780918645997303</v>
      </c>
    </row>
    <row r="77" spans="1:5" ht="15">
      <c r="A77" s="13">
        <v>43831</v>
      </c>
      <c r="B77" s="4">
        <f>12.6631 * CHOOSE(CONTROL!$C$9, $C$13, 100%, $E$13) + CHOOSE(CONTROL!$C$28, 0.0211, 0)</f>
        <v>12.684200000000001</v>
      </c>
      <c r="C77" s="4">
        <f>12.2998 * CHOOSE(CONTROL!$C$9, $C$13, 100%, $E$13) + CHOOSE(CONTROL!$C$28, 0.0211, 0)</f>
        <v>12.3209</v>
      </c>
      <c r="D77" s="4">
        <f>19.4748 * CHOOSE(CONTROL!$C$9, $C$13, 100%, $E$13) + CHOOSE(CONTROL!$C$28, 0.0021, 0)</f>
        <v>19.476899999999997</v>
      </c>
      <c r="E77" s="4">
        <f>81.0794286661491 * CHOOSE(CONTROL!$C$9, $C$13, 100%, $E$13) + CHOOSE(CONTROL!$C$28, 0.0021, 0)</f>
        <v>81.081528666149097</v>
      </c>
    </row>
    <row r="78" spans="1:5" ht="15">
      <c r="A78" s="13">
        <v>43862</v>
      </c>
      <c r="B78" s="4">
        <f>12.9454 * CHOOSE(CONTROL!$C$9, $C$13, 100%, $E$13) + CHOOSE(CONTROL!$C$28, 0.0211, 0)</f>
        <v>12.9665</v>
      </c>
      <c r="C78" s="4">
        <f>12.5821 * CHOOSE(CONTROL!$C$9, $C$13, 100%, $E$13) + CHOOSE(CONTROL!$C$28, 0.0211, 0)</f>
        <v>12.603200000000001</v>
      </c>
      <c r="D78" s="4">
        <f>20.0968 * CHOOSE(CONTROL!$C$9, $C$13, 100%, $E$13) + CHOOSE(CONTROL!$C$28, 0.0021, 0)</f>
        <v>20.0989</v>
      </c>
      <c r="E78" s="4">
        <f>83.0045738293694 * CHOOSE(CONTROL!$C$9, $C$13, 100%, $E$13) + CHOOSE(CONTROL!$C$28, 0.0021, 0)</f>
        <v>83.006673829369404</v>
      </c>
    </row>
    <row r="79" spans="1:5" ht="15">
      <c r="A79" s="13">
        <v>43891</v>
      </c>
      <c r="B79" s="4">
        <f>13.6868 * CHOOSE(CONTROL!$C$9, $C$13, 100%, $E$13) + CHOOSE(CONTROL!$C$28, 0.0211, 0)</f>
        <v>13.7079</v>
      </c>
      <c r="C79" s="4">
        <f>13.3235 * CHOOSE(CONTROL!$C$9, $C$13, 100%, $E$13) + CHOOSE(CONTROL!$C$28, 0.0211, 0)</f>
        <v>13.3446</v>
      </c>
      <c r="D79" s="4">
        <f>21.0705 * CHOOSE(CONTROL!$C$9, $C$13, 100%, $E$13) + CHOOSE(CONTROL!$C$28, 0.0021, 0)</f>
        <v>21.072599999999998</v>
      </c>
      <c r="E79" s="4">
        <f>88.0601073364131 * CHOOSE(CONTROL!$C$9, $C$13, 100%, $E$13) + CHOOSE(CONTROL!$C$28, 0.0021, 0)</f>
        <v>88.062207336413096</v>
      </c>
    </row>
    <row r="80" spans="1:5" ht="15">
      <c r="A80" s="13">
        <v>43922</v>
      </c>
      <c r="B80" s="4">
        <f>14.2135 * CHOOSE(CONTROL!$C$9, $C$13, 100%, $E$13) + CHOOSE(CONTROL!$C$28, 0.0211, 0)</f>
        <v>14.2346</v>
      </c>
      <c r="C80" s="4">
        <f>13.8502 * CHOOSE(CONTROL!$C$9, $C$13, 100%, $E$13) + CHOOSE(CONTROL!$C$28, 0.0211, 0)</f>
        <v>13.8713</v>
      </c>
      <c r="D80" s="4">
        <f>21.6314 * CHOOSE(CONTROL!$C$9, $C$13, 100%, $E$13) + CHOOSE(CONTROL!$C$28, 0.0021, 0)</f>
        <v>21.633499999999998</v>
      </c>
      <c r="E80" s="4">
        <f>91.6521312670101 * CHOOSE(CONTROL!$C$9, $C$13, 100%, $E$13) + CHOOSE(CONTROL!$C$28, 0.0021, 0)</f>
        <v>91.654231267010104</v>
      </c>
    </row>
    <row r="81" spans="1:5" ht="15">
      <c r="A81" s="13">
        <v>43952</v>
      </c>
      <c r="B81" s="4">
        <f>14.5354 * CHOOSE(CONTROL!$C$9, $C$13, 100%, $E$13) + CHOOSE(CONTROL!$C$28, 0.0415, 0)</f>
        <v>14.576899999999998</v>
      </c>
      <c r="C81" s="4">
        <f>14.1721 * CHOOSE(CONTROL!$C$9, $C$13, 100%, $E$13) + CHOOSE(CONTROL!$C$28, 0.0415, 0)</f>
        <v>14.2136</v>
      </c>
      <c r="D81" s="4">
        <f>21.4097 * CHOOSE(CONTROL!$C$9, $C$13, 100%, $E$13) + CHOOSE(CONTROL!$C$28, 0.0021, 0)</f>
        <v>21.411799999999999</v>
      </c>
      <c r="E81" s="4">
        <f>93.8467717998062 * CHOOSE(CONTROL!$C$9, $C$13, 100%, $E$13) + CHOOSE(CONTROL!$C$28, 0.0021, 0)</f>
        <v>93.848871799806204</v>
      </c>
    </row>
    <row r="82" spans="1:5" ht="15">
      <c r="A82" s="13">
        <v>43983</v>
      </c>
      <c r="B82" s="4">
        <f>14.5789 * CHOOSE(CONTROL!$C$9, $C$13, 100%, $E$13) + CHOOSE(CONTROL!$C$28, 0.0415, 0)</f>
        <v>14.6204</v>
      </c>
      <c r="C82" s="4">
        <f>14.2156 * CHOOSE(CONTROL!$C$9, $C$13, 100%, $E$13) + CHOOSE(CONTROL!$C$28, 0.0415, 0)</f>
        <v>14.257099999999999</v>
      </c>
      <c r="D82" s="4">
        <f>21.5902 * CHOOSE(CONTROL!$C$9, $C$13, 100%, $E$13) + CHOOSE(CONTROL!$C$28, 0.0021, 0)</f>
        <v>21.592299999999998</v>
      </c>
      <c r="E82" s="4">
        <f>94.1437157718389 * CHOOSE(CONTROL!$C$9, $C$13, 100%, $E$13) + CHOOSE(CONTROL!$C$28, 0.0021, 0)</f>
        <v>94.145815771838897</v>
      </c>
    </row>
    <row r="83" spans="1:5" ht="15">
      <c r="A83" s="13">
        <v>44013</v>
      </c>
      <c r="B83" s="4">
        <f>14.5745 * CHOOSE(CONTROL!$C$9, $C$13, 100%, $E$13) + CHOOSE(CONTROL!$C$28, 0.0415, 0)</f>
        <v>14.616</v>
      </c>
      <c r="C83" s="4">
        <f>14.2112 * CHOOSE(CONTROL!$C$9, $C$13, 100%, $E$13) + CHOOSE(CONTROL!$C$28, 0.0415, 0)</f>
        <v>14.252699999999999</v>
      </c>
      <c r="D83" s="4">
        <f>21.9159 * CHOOSE(CONTROL!$C$9, $C$13, 100%, $E$13) + CHOOSE(CONTROL!$C$28, 0.0021, 0)</f>
        <v>21.917999999999999</v>
      </c>
      <c r="E83" s="4">
        <f>94.113771841886 * CHOOSE(CONTROL!$C$9, $C$13, 100%, $E$13) + CHOOSE(CONTROL!$C$28, 0.0021, 0)</f>
        <v>94.115871841886005</v>
      </c>
    </row>
    <row r="84" spans="1:5" ht="15">
      <c r="A84" s="13">
        <v>44044</v>
      </c>
      <c r="B84" s="4">
        <f>14.9049 * CHOOSE(CONTROL!$C$9, $C$13, 100%, $E$13) + CHOOSE(CONTROL!$C$28, 0.0415, 0)</f>
        <v>14.946399999999999</v>
      </c>
      <c r="C84" s="4">
        <f>14.5417 * CHOOSE(CONTROL!$C$9, $C$13, 100%, $E$13) + CHOOSE(CONTROL!$C$28, 0.0415, 0)</f>
        <v>14.5832</v>
      </c>
      <c r="D84" s="4">
        <f>21.7008 * CHOOSE(CONTROL!$C$9, $C$13, 100%, $E$13) + CHOOSE(CONTROL!$C$28, 0.0021, 0)</f>
        <v>21.7029</v>
      </c>
      <c r="E84" s="4">
        <f>96.3670525708398 * CHOOSE(CONTROL!$C$9, $C$13, 100%, $E$13) + CHOOSE(CONTROL!$C$28, 0.0021, 0)</f>
        <v>96.369152570839802</v>
      </c>
    </row>
    <row r="85" spans="1:5" ht="15">
      <c r="A85" s="13">
        <v>44075</v>
      </c>
      <c r="B85" s="4">
        <f>14.3418 * CHOOSE(CONTROL!$C$9, $C$13, 100%, $E$13) + CHOOSE(CONTROL!$C$28, 0.0415, 0)</f>
        <v>14.383299999999998</v>
      </c>
      <c r="C85" s="4">
        <f>13.9785 * CHOOSE(CONTROL!$C$9, $C$13, 100%, $E$13) + CHOOSE(CONTROL!$C$28, 0.0415, 0)</f>
        <v>14.02</v>
      </c>
      <c r="D85" s="4">
        <f>21.5992 * CHOOSE(CONTROL!$C$9, $C$13, 100%, $E$13) + CHOOSE(CONTROL!$C$28, 0.0021, 0)</f>
        <v>21.601299999999998</v>
      </c>
      <c r="E85" s="4">
        <f>92.5267435543837 * CHOOSE(CONTROL!$C$9, $C$13, 100%, $E$13) + CHOOSE(CONTROL!$C$28, 0.0021, 0)</f>
        <v>92.528843554383698</v>
      </c>
    </row>
    <row r="86" spans="1:5" ht="15">
      <c r="A86" s="13">
        <v>44105</v>
      </c>
      <c r="B86" s="4">
        <f>13.891 * CHOOSE(CONTROL!$C$9, $C$13, 100%, $E$13) + CHOOSE(CONTROL!$C$28, 0.0211, 0)</f>
        <v>13.912100000000001</v>
      </c>
      <c r="C86" s="4">
        <f>13.5277 * CHOOSE(CONTROL!$C$9, $C$13, 100%, $E$13) + CHOOSE(CONTROL!$C$28, 0.0211, 0)</f>
        <v>13.5488</v>
      </c>
      <c r="D86" s="4">
        <f>21.3271 * CHOOSE(CONTROL!$C$9, $C$13, 100%, $E$13) + CHOOSE(CONTROL!$C$28, 0.0021, 0)</f>
        <v>21.3292</v>
      </c>
      <c r="E86" s="4">
        <f>89.4525000792218 * CHOOSE(CONTROL!$C$9, $C$13, 100%, $E$13) + CHOOSE(CONTROL!$C$28, 0.0021, 0)</f>
        <v>89.454600079221805</v>
      </c>
    </row>
    <row r="87" spans="1:5" ht="15">
      <c r="A87" s="13">
        <v>44136</v>
      </c>
      <c r="B87" s="4">
        <f>13.6006 * CHOOSE(CONTROL!$C$9, $C$13, 100%, $E$13) + CHOOSE(CONTROL!$C$28, 0.0211, 0)</f>
        <v>13.621700000000001</v>
      </c>
      <c r="C87" s="4">
        <f>13.2373 * CHOOSE(CONTROL!$C$9, $C$13, 100%, $E$13) + CHOOSE(CONTROL!$C$28, 0.0211, 0)</f>
        <v>13.2584</v>
      </c>
      <c r="D87" s="4">
        <f>21.2336 * CHOOSE(CONTROL!$C$9, $C$13, 100%, $E$13) + CHOOSE(CONTROL!$C$28, 0.0021, 0)</f>
        <v>21.235699999999998</v>
      </c>
      <c r="E87" s="4">
        <f>87.4724577110879 * CHOOSE(CONTROL!$C$9, $C$13, 100%, $E$13) + CHOOSE(CONTROL!$C$28, 0.0021, 0)</f>
        <v>87.474557711087897</v>
      </c>
    </row>
    <row r="88" spans="1:5" ht="15">
      <c r="A88" s="13">
        <v>44166</v>
      </c>
      <c r="B88" s="4">
        <f>13.3997 * CHOOSE(CONTROL!$C$9, $C$13, 100%, $E$13) + CHOOSE(CONTROL!$C$28, 0.0211, 0)</f>
        <v>13.4208</v>
      </c>
      <c r="C88" s="4">
        <f>13.0364 * CHOOSE(CONTROL!$C$9, $C$13, 100%, $E$13) + CHOOSE(CONTROL!$C$28, 0.0211, 0)</f>
        <v>13.057500000000001</v>
      </c>
      <c r="D88" s="4">
        <f>20.5449 * CHOOSE(CONTROL!$C$9, $C$13, 100%, $E$13) + CHOOSE(CONTROL!$C$28, 0.0021, 0)</f>
        <v>20.546999999999997</v>
      </c>
      <c r="E88" s="4">
        <f>86.1025229157439 * CHOOSE(CONTROL!$C$9, $C$13, 100%, $E$13) + CHOOSE(CONTROL!$C$28, 0.0021, 0)</f>
        <v>86.104622915743903</v>
      </c>
    </row>
    <row r="89" spans="1:5" ht="15">
      <c r="A89" s="13">
        <v>44197</v>
      </c>
      <c r="B89" s="4">
        <f>13.2462 * CHOOSE(CONTROL!$C$9, $C$13, 100%, $E$13) + CHOOSE(CONTROL!$C$28, 0.0211, 0)</f>
        <v>13.267300000000001</v>
      </c>
      <c r="C89" s="4">
        <f>12.8829 * CHOOSE(CONTROL!$C$9, $C$13, 100%, $E$13) + CHOOSE(CONTROL!$C$28, 0.0211, 0)</f>
        <v>12.904</v>
      </c>
      <c r="D89" s="4">
        <f>20.3294 * CHOOSE(CONTROL!$C$9, $C$13, 100%, $E$13) + CHOOSE(CONTROL!$C$28, 0.0021, 0)</f>
        <v>20.331499999999998</v>
      </c>
      <c r="E89" s="4">
        <f>84.5184914107357 * CHOOSE(CONTROL!$C$9, $C$13, 100%, $E$13) + CHOOSE(CONTROL!$C$28, 0.0021, 0)</f>
        <v>84.520591410735705</v>
      </c>
    </row>
    <row r="90" spans="1:5" ht="15">
      <c r="A90" s="13">
        <v>44228</v>
      </c>
      <c r="B90" s="4">
        <f>13.5424 * CHOOSE(CONTROL!$C$9, $C$13, 100%, $E$13) + CHOOSE(CONTROL!$C$28, 0.0211, 0)</f>
        <v>13.563500000000001</v>
      </c>
      <c r="C90" s="4">
        <f>13.1791 * CHOOSE(CONTROL!$C$9, $C$13, 100%, $E$13) + CHOOSE(CONTROL!$C$28, 0.0211, 0)</f>
        <v>13.200200000000001</v>
      </c>
      <c r="D90" s="4">
        <f>20.9815 * CHOOSE(CONTROL!$C$9, $C$13, 100%, $E$13) + CHOOSE(CONTROL!$C$28, 0.0021, 0)</f>
        <v>20.983599999999999</v>
      </c>
      <c r="E90" s="4">
        <f>86.5252934765473 * CHOOSE(CONTROL!$C$9, $C$13, 100%, $E$13) + CHOOSE(CONTROL!$C$28, 0.0021, 0)</f>
        <v>86.527393476547303</v>
      </c>
    </row>
    <row r="91" spans="1:5" ht="15">
      <c r="A91" s="13">
        <v>44256</v>
      </c>
      <c r="B91" s="4">
        <f>14.3201 * CHOOSE(CONTROL!$C$9, $C$13, 100%, $E$13) + CHOOSE(CONTROL!$C$28, 0.0211, 0)</f>
        <v>14.341200000000001</v>
      </c>
      <c r="C91" s="4">
        <f>13.9568 * CHOOSE(CONTROL!$C$9, $C$13, 100%, $E$13) + CHOOSE(CONTROL!$C$28, 0.0211, 0)</f>
        <v>13.9779</v>
      </c>
      <c r="D91" s="4">
        <f>22.0024 * CHOOSE(CONTROL!$C$9, $C$13, 100%, $E$13) + CHOOSE(CONTROL!$C$28, 0.0021, 0)</f>
        <v>22.0045</v>
      </c>
      <c r="E91" s="4">
        <f>91.7952623493072 * CHOOSE(CONTROL!$C$9, $C$13, 100%, $E$13) + CHOOSE(CONTROL!$C$28, 0.0021, 0)</f>
        <v>91.797362349307193</v>
      </c>
    </row>
    <row r="92" spans="1:5" ht="15">
      <c r="A92" s="13">
        <v>44287</v>
      </c>
      <c r="B92" s="4">
        <f>14.8726 * CHOOSE(CONTROL!$C$9, $C$13, 100%, $E$13) + CHOOSE(CONTROL!$C$28, 0.0211, 0)</f>
        <v>14.893700000000001</v>
      </c>
      <c r="C92" s="4">
        <f>14.5094 * CHOOSE(CONTROL!$C$9, $C$13, 100%, $E$13) + CHOOSE(CONTROL!$C$28, 0.0211, 0)</f>
        <v>14.5305</v>
      </c>
      <c r="D92" s="4">
        <f>22.5905 * CHOOSE(CONTROL!$C$9, $C$13, 100%, $E$13) + CHOOSE(CONTROL!$C$28, 0.0021, 0)</f>
        <v>22.592599999999997</v>
      </c>
      <c r="E92" s="4">
        <f>95.5396454649725 * CHOOSE(CONTROL!$C$9, $C$13, 100%, $E$13) + CHOOSE(CONTROL!$C$28, 0.0021, 0)</f>
        <v>95.541745464972493</v>
      </c>
    </row>
    <row r="93" spans="1:5" ht="15">
      <c r="A93" s="13">
        <v>44317</v>
      </c>
      <c r="B93" s="4">
        <f>15.2103 * CHOOSE(CONTROL!$C$9, $C$13, 100%, $E$13) + CHOOSE(CONTROL!$C$28, 0.0415, 0)</f>
        <v>15.251799999999999</v>
      </c>
      <c r="C93" s="4">
        <f>14.847 * CHOOSE(CONTROL!$C$9, $C$13, 100%, $E$13) + CHOOSE(CONTROL!$C$28, 0.0415, 0)</f>
        <v>14.888499999999999</v>
      </c>
      <c r="D93" s="4">
        <f>22.3581 * CHOOSE(CONTROL!$C$9, $C$13, 100%, $E$13) + CHOOSE(CONTROL!$C$28, 0.0021, 0)</f>
        <v>22.360199999999999</v>
      </c>
      <c r="E93" s="4">
        <f>97.8273738083053 * CHOOSE(CONTROL!$C$9, $C$13, 100%, $E$13) + CHOOSE(CONTROL!$C$28, 0.0021, 0)</f>
        <v>97.829473808305295</v>
      </c>
    </row>
    <row r="94" spans="1:5" ht="15">
      <c r="A94" s="13">
        <v>44348</v>
      </c>
      <c r="B94" s="4">
        <f>15.2559 * CHOOSE(CONTROL!$C$9, $C$13, 100%, $E$13) + CHOOSE(CONTROL!$C$28, 0.0415, 0)</f>
        <v>15.2974</v>
      </c>
      <c r="C94" s="4">
        <f>14.8927 * CHOOSE(CONTROL!$C$9, $C$13, 100%, $E$13) + CHOOSE(CONTROL!$C$28, 0.0415, 0)</f>
        <v>14.934199999999999</v>
      </c>
      <c r="D94" s="4">
        <f>22.5473 * CHOOSE(CONTROL!$C$9, $C$13, 100%, $E$13) + CHOOSE(CONTROL!$C$28, 0.0021, 0)</f>
        <v>22.549399999999999</v>
      </c>
      <c r="E94" s="4">
        <f>98.1369129474259 * CHOOSE(CONTROL!$C$9, $C$13, 100%, $E$13) + CHOOSE(CONTROL!$C$28, 0.0021, 0)</f>
        <v>98.139012947425897</v>
      </c>
    </row>
    <row r="95" spans="1:5" ht="15">
      <c r="A95" s="13">
        <v>44378</v>
      </c>
      <c r="B95" s="4">
        <f>15.2513 * CHOOSE(CONTROL!$C$9, $C$13, 100%, $E$13) + CHOOSE(CONTROL!$C$28, 0.0415, 0)</f>
        <v>15.2928</v>
      </c>
      <c r="C95" s="4">
        <f>14.888 * CHOOSE(CONTROL!$C$9, $C$13, 100%, $E$13) + CHOOSE(CONTROL!$C$28, 0.0415, 0)</f>
        <v>14.929499999999999</v>
      </c>
      <c r="D95" s="4">
        <f>22.8888 * CHOOSE(CONTROL!$C$9, $C$13, 100%, $E$13) + CHOOSE(CONTROL!$C$28, 0.0021, 0)</f>
        <v>22.890899999999998</v>
      </c>
      <c r="E95" s="4">
        <f>98.1056989165903 * CHOOSE(CONTROL!$C$9, $C$13, 100%, $E$13) + CHOOSE(CONTROL!$C$28, 0.0021, 0)</f>
        <v>98.107798916590298</v>
      </c>
    </row>
    <row r="96" spans="1:5" ht="15">
      <c r="A96" s="13">
        <v>44409</v>
      </c>
      <c r="B96" s="4">
        <f>15.598 * CHOOSE(CONTROL!$C$9, $C$13, 100%, $E$13) + CHOOSE(CONTROL!$C$28, 0.0415, 0)</f>
        <v>15.6395</v>
      </c>
      <c r="C96" s="4">
        <f>15.2347 * CHOOSE(CONTROL!$C$9, $C$13, 100%, $E$13) + CHOOSE(CONTROL!$C$28, 0.0415, 0)</f>
        <v>15.276199999999999</v>
      </c>
      <c r="D96" s="4">
        <f>22.6633 * CHOOSE(CONTROL!$C$9, $C$13, 100%, $E$13) + CHOOSE(CONTROL!$C$28, 0.0021, 0)</f>
        <v>22.665399999999998</v>
      </c>
      <c r="E96" s="4">
        <f>100.454554736976 * CHOOSE(CONTROL!$C$9, $C$13, 100%, $E$13) + CHOOSE(CONTROL!$C$28, 0.0021, 0)</f>
        <v>100.45665473697599</v>
      </c>
    </row>
    <row r="97" spans="1:5" ht="15">
      <c r="A97" s="13">
        <v>44440</v>
      </c>
      <c r="B97" s="4">
        <f>15.0072 * CHOOSE(CONTROL!$C$9, $C$13, 100%, $E$13) + CHOOSE(CONTROL!$C$28, 0.0415, 0)</f>
        <v>15.048699999999998</v>
      </c>
      <c r="C97" s="4">
        <f>14.6439 * CHOOSE(CONTROL!$C$9, $C$13, 100%, $E$13) + CHOOSE(CONTROL!$C$28, 0.0415, 0)</f>
        <v>14.6854</v>
      </c>
      <c r="D97" s="4">
        <f>22.5567 * CHOOSE(CONTROL!$C$9, $C$13, 100%, $E$13) + CHOOSE(CONTROL!$C$28, 0.0021, 0)</f>
        <v>22.558799999999998</v>
      </c>
      <c r="E97" s="4">
        <f>96.4513552822984 * CHOOSE(CONTROL!$C$9, $C$13, 100%, $E$13) + CHOOSE(CONTROL!$C$28, 0.0021, 0)</f>
        <v>96.453455282298393</v>
      </c>
    </row>
    <row r="98" spans="1:5" ht="15">
      <c r="A98" s="13">
        <v>44470</v>
      </c>
      <c r="B98" s="4">
        <f>14.5343 * CHOOSE(CONTROL!$C$9, $C$13, 100%, $E$13) + CHOOSE(CONTROL!$C$28, 0.0211, 0)</f>
        <v>14.555400000000001</v>
      </c>
      <c r="C98" s="4">
        <f>14.171 * CHOOSE(CONTROL!$C$9, $C$13, 100%, $E$13) + CHOOSE(CONTROL!$C$28, 0.0211, 0)</f>
        <v>14.1921</v>
      </c>
      <c r="D98" s="4">
        <f>22.2715 * CHOOSE(CONTROL!$C$9, $C$13, 100%, $E$13) + CHOOSE(CONTROL!$C$28, 0.0021, 0)</f>
        <v>22.273599999999998</v>
      </c>
      <c r="E98" s="4">
        <f>93.246714783167 * CHOOSE(CONTROL!$C$9, $C$13, 100%, $E$13) + CHOOSE(CONTROL!$C$28, 0.0021, 0)</f>
        <v>93.248814783166992</v>
      </c>
    </row>
    <row r="99" spans="1:5" ht="15">
      <c r="A99" s="13">
        <v>44501</v>
      </c>
      <c r="B99" s="4">
        <f>14.2297 * CHOOSE(CONTROL!$C$9, $C$13, 100%, $E$13) + CHOOSE(CONTROL!$C$28, 0.0211, 0)</f>
        <v>14.2508</v>
      </c>
      <c r="C99" s="4">
        <f>13.8664 * CHOOSE(CONTROL!$C$9, $C$13, 100%, $E$13) + CHOOSE(CONTROL!$C$28, 0.0211, 0)</f>
        <v>13.887500000000001</v>
      </c>
      <c r="D99" s="4">
        <f>22.1734 * CHOOSE(CONTROL!$C$9, $C$13, 100%, $E$13) + CHOOSE(CONTROL!$C$28, 0.0021, 0)</f>
        <v>22.1755</v>
      </c>
      <c r="E99" s="4">
        <f>91.1826869941567 * CHOOSE(CONTROL!$C$9, $C$13, 100%, $E$13) + CHOOSE(CONTROL!$C$28, 0.0021, 0)</f>
        <v>91.184786994156696</v>
      </c>
    </row>
    <row r="100" spans="1:5" ht="15">
      <c r="A100" s="13">
        <v>44531</v>
      </c>
      <c r="B100" s="4">
        <f>14.0189 * CHOOSE(CONTROL!$C$9, $C$13, 100%, $E$13) + CHOOSE(CONTROL!$C$28, 0.0211, 0)</f>
        <v>14.040000000000001</v>
      </c>
      <c r="C100" s="4">
        <f>13.6556 * CHOOSE(CONTROL!$C$9, $C$13, 100%, $E$13) + CHOOSE(CONTROL!$C$28, 0.0211, 0)</f>
        <v>13.6767</v>
      </c>
      <c r="D100" s="4">
        <f>21.4513 * CHOOSE(CONTROL!$C$9, $C$13, 100%, $E$13) + CHOOSE(CONTROL!$C$28, 0.0021, 0)</f>
        <v>21.453399999999998</v>
      </c>
      <c r="E100" s="4">
        <f>89.7546450834236 * CHOOSE(CONTROL!$C$9, $C$13, 100%, $E$13) + CHOOSE(CONTROL!$C$28, 0.0021, 0)</f>
        <v>89.756745083423596</v>
      </c>
    </row>
    <row r="101" spans="1:5" ht="15">
      <c r="A101" s="13">
        <v>44562</v>
      </c>
      <c r="B101" s="4">
        <f>13.7071 * CHOOSE(CONTROL!$C$9, $C$13, 100%, $E$13) + CHOOSE(CONTROL!$C$28, 0.0211, 0)</f>
        <v>13.728200000000001</v>
      </c>
      <c r="C101" s="4">
        <f>13.3438 * CHOOSE(CONTROL!$C$9, $C$13, 100%, $E$13) + CHOOSE(CONTROL!$C$28, 0.0211, 0)</f>
        <v>13.3649</v>
      </c>
      <c r="D101" s="4">
        <f>21.5434 * CHOOSE(CONTROL!$C$9, $C$13, 100%, $E$13) + CHOOSE(CONTROL!$C$28, 0.0021, 0)</f>
        <v>21.545499999999997</v>
      </c>
      <c r="E101" s="4">
        <f>88.9441488391118 * CHOOSE(CONTROL!$C$9, $C$13, 100%, $E$13) + CHOOSE(CONTROL!$C$28, 0.0021, 0)</f>
        <v>88.946248839111803</v>
      </c>
    </row>
    <row r="102" spans="1:5" ht="15">
      <c r="A102" s="13">
        <v>44593</v>
      </c>
      <c r="B102" s="4">
        <f>14.0141 * CHOOSE(CONTROL!$C$9, $C$13, 100%, $E$13) + CHOOSE(CONTROL!$C$28, 0.0211, 0)</f>
        <v>14.0352</v>
      </c>
      <c r="C102" s="4">
        <f>13.6509 * CHOOSE(CONTROL!$C$9, $C$13, 100%, $E$13) + CHOOSE(CONTROL!$C$28, 0.0211, 0)</f>
        <v>13.672000000000001</v>
      </c>
      <c r="D102" s="4">
        <f>22.2384 * CHOOSE(CONTROL!$C$9, $C$13, 100%, $E$13) + CHOOSE(CONTROL!$C$28, 0.0021, 0)</f>
        <v>22.240499999999997</v>
      </c>
      <c r="E102" s="4">
        <f>91.0560334533882 * CHOOSE(CONTROL!$C$9, $C$13, 100%, $E$13) + CHOOSE(CONTROL!$C$28, 0.0021, 0)</f>
        <v>91.058133453388194</v>
      </c>
    </row>
    <row r="103" spans="1:5" ht="15">
      <c r="A103" s="13">
        <v>44621</v>
      </c>
      <c r="B103" s="4">
        <f>14.8206 * CHOOSE(CONTROL!$C$9, $C$13, 100%, $E$13) + CHOOSE(CONTROL!$C$28, 0.0211, 0)</f>
        <v>14.841700000000001</v>
      </c>
      <c r="C103" s="4">
        <f>14.4573 * CHOOSE(CONTROL!$C$9, $C$13, 100%, $E$13) + CHOOSE(CONTROL!$C$28, 0.0211, 0)</f>
        <v>14.478400000000001</v>
      </c>
      <c r="D103" s="4">
        <f>23.3264 * CHOOSE(CONTROL!$C$9, $C$13, 100%, $E$13) + CHOOSE(CONTROL!$C$28, 0.0021, 0)</f>
        <v>23.328499999999998</v>
      </c>
      <c r="E103" s="4">
        <f>96.6019546828423 * CHOOSE(CONTROL!$C$9, $C$13, 100%, $E$13) + CHOOSE(CONTROL!$C$28, 0.0021, 0)</f>
        <v>96.604054682842303</v>
      </c>
    </row>
    <row r="104" spans="1:5" ht="15">
      <c r="A104" s="13">
        <v>44652</v>
      </c>
      <c r="B104" s="4">
        <f>15.3936 * CHOOSE(CONTROL!$C$9, $C$13, 100%, $E$13) + CHOOSE(CONTROL!$C$28, 0.0211, 0)</f>
        <v>15.4147</v>
      </c>
      <c r="C104" s="4">
        <f>15.0303 * CHOOSE(CONTROL!$C$9, $C$13, 100%, $E$13) + CHOOSE(CONTROL!$C$28, 0.0211, 0)</f>
        <v>15.051400000000001</v>
      </c>
      <c r="D104" s="4">
        <f>23.9531 * CHOOSE(CONTROL!$C$9, $C$13, 100%, $E$13) + CHOOSE(CONTROL!$C$28, 0.0021, 0)</f>
        <v>23.955199999999998</v>
      </c>
      <c r="E104" s="4">
        <f>100.542405625488 * CHOOSE(CONTROL!$C$9, $C$13, 100%, $E$13) + CHOOSE(CONTROL!$C$28, 0.0021, 0)</f>
        <v>100.544505625488</v>
      </c>
    </row>
    <row r="105" spans="1:5" ht="15">
      <c r="A105" s="13">
        <v>44682</v>
      </c>
      <c r="B105" s="4">
        <f>15.7437 * CHOOSE(CONTROL!$C$9, $C$13, 100%, $E$13) + CHOOSE(CONTROL!$C$28, 0.0415, 0)</f>
        <v>15.7852</v>
      </c>
      <c r="C105" s="4">
        <f>15.3804 * CHOOSE(CONTROL!$C$9, $C$13, 100%, $E$13) + CHOOSE(CONTROL!$C$28, 0.0415, 0)</f>
        <v>15.421899999999999</v>
      </c>
      <c r="D105" s="4">
        <f>23.7055 * CHOOSE(CONTROL!$C$9, $C$13, 100%, $E$13) + CHOOSE(CONTROL!$C$28, 0.0021, 0)</f>
        <v>23.707599999999999</v>
      </c>
      <c r="E105" s="4">
        <f>102.949926712015 * CHOOSE(CONTROL!$C$9, $C$13, 100%, $E$13) + CHOOSE(CONTROL!$C$28, 0.0021, 0)</f>
        <v>102.952026712015</v>
      </c>
    </row>
    <row r="106" spans="1:5" ht="15">
      <c r="A106" s="13">
        <v>44713</v>
      </c>
      <c r="B106" s="4">
        <f>15.791 * CHOOSE(CONTROL!$C$9, $C$13, 100%, $E$13) + CHOOSE(CONTROL!$C$28, 0.0415, 0)</f>
        <v>15.8325</v>
      </c>
      <c r="C106" s="4">
        <f>15.4278 * CHOOSE(CONTROL!$C$9, $C$13, 100%, $E$13) + CHOOSE(CONTROL!$C$28, 0.0415, 0)</f>
        <v>15.469299999999999</v>
      </c>
      <c r="D106" s="4">
        <f>23.9071 * CHOOSE(CONTROL!$C$9, $C$13, 100%, $E$13) + CHOOSE(CONTROL!$C$28, 0.0021, 0)</f>
        <v>23.909199999999998</v>
      </c>
      <c r="E106" s="4">
        <f>103.27567430644 * CHOOSE(CONTROL!$C$9, $C$13, 100%, $E$13) + CHOOSE(CONTROL!$C$28, 0.0021, 0)</f>
        <v>103.27777430643999</v>
      </c>
    </row>
    <row r="107" spans="1:5" ht="15">
      <c r="A107" s="13">
        <v>44743</v>
      </c>
      <c r="B107" s="4">
        <f>15.7863 * CHOOSE(CONTROL!$C$9, $C$13, 100%, $E$13) + CHOOSE(CONTROL!$C$28, 0.0415, 0)</f>
        <v>15.8278</v>
      </c>
      <c r="C107" s="4">
        <f>15.423 * CHOOSE(CONTROL!$C$9, $C$13, 100%, $E$13) + CHOOSE(CONTROL!$C$28, 0.0415, 0)</f>
        <v>15.464499999999999</v>
      </c>
      <c r="D107" s="4">
        <f>24.2711 * CHOOSE(CONTROL!$C$9, $C$13, 100%, $E$13) + CHOOSE(CONTROL!$C$28, 0.0021, 0)</f>
        <v>24.273199999999999</v>
      </c>
      <c r="E107" s="4">
        <f>103.242825809523 * CHOOSE(CONTROL!$C$9, $C$13, 100%, $E$13) + CHOOSE(CONTROL!$C$28, 0.0021, 0)</f>
        <v>103.244925809523</v>
      </c>
    </row>
    <row r="108" spans="1:5" ht="15">
      <c r="A108" s="13">
        <v>44774</v>
      </c>
      <c r="B108" s="4">
        <f>16.1457 * CHOOSE(CONTROL!$C$9, $C$13, 100%, $E$13) + CHOOSE(CONTROL!$C$28, 0.0415, 0)</f>
        <v>16.187200000000001</v>
      </c>
      <c r="C108" s="4">
        <f>15.7824 * CHOOSE(CONTROL!$C$9, $C$13, 100%, $E$13) + CHOOSE(CONTROL!$C$28, 0.0415, 0)</f>
        <v>15.8239</v>
      </c>
      <c r="D108" s="4">
        <f>24.0307 * CHOOSE(CONTROL!$C$9, $C$13, 100%, $E$13) + CHOOSE(CONTROL!$C$28, 0.0021, 0)</f>
        <v>24.032799999999998</v>
      </c>
      <c r="E108" s="4">
        <f>105.714675202513 * CHOOSE(CONTROL!$C$9, $C$13, 100%, $E$13) + CHOOSE(CONTROL!$C$28, 0.0021, 0)</f>
        <v>105.71677520251301</v>
      </c>
    </row>
    <row r="109" spans="1:5" ht="15">
      <c r="A109" s="13">
        <v>44805</v>
      </c>
      <c r="B109" s="4">
        <f>15.5331 * CHOOSE(CONTROL!$C$9, $C$13, 100%, $E$13) + CHOOSE(CONTROL!$C$28, 0.0415, 0)</f>
        <v>15.574599999999998</v>
      </c>
      <c r="C109" s="4">
        <f>15.1698 * CHOOSE(CONTROL!$C$9, $C$13, 100%, $E$13) + CHOOSE(CONTROL!$C$28, 0.0415, 0)</f>
        <v>15.2113</v>
      </c>
      <c r="D109" s="4">
        <f>23.9172 * CHOOSE(CONTROL!$C$9, $C$13, 100%, $E$13) + CHOOSE(CONTROL!$C$28, 0.0021, 0)</f>
        <v>23.9193</v>
      </c>
      <c r="E109" s="4">
        <f>101.501855472933 * CHOOSE(CONTROL!$C$9, $C$13, 100%, $E$13) + CHOOSE(CONTROL!$C$28, 0.0021, 0)</f>
        <v>101.503955472933</v>
      </c>
    </row>
    <row r="110" spans="1:5" ht="15">
      <c r="A110" s="13">
        <v>44835</v>
      </c>
      <c r="B110" s="4">
        <f>15.0427 * CHOOSE(CONTROL!$C$9, $C$13, 100%, $E$13) + CHOOSE(CONTROL!$C$28, 0.0211, 0)</f>
        <v>15.063800000000001</v>
      </c>
      <c r="C110" s="4">
        <f>14.6794 * CHOOSE(CONTROL!$C$9, $C$13, 100%, $E$13) + CHOOSE(CONTROL!$C$28, 0.0211, 0)</f>
        <v>14.7005</v>
      </c>
      <c r="D110" s="4">
        <f>23.6131 * CHOOSE(CONTROL!$C$9, $C$13, 100%, $E$13) + CHOOSE(CONTROL!$C$28, 0.0021, 0)</f>
        <v>23.615199999999998</v>
      </c>
      <c r="E110" s="4">
        <f>98.1294097894738 * CHOOSE(CONTROL!$C$9, $C$13, 100%, $E$13) + CHOOSE(CONTROL!$C$28, 0.0021, 0)</f>
        <v>98.131509789473796</v>
      </c>
    </row>
    <row r="111" spans="1:5" ht="15">
      <c r="A111" s="13">
        <v>44866</v>
      </c>
      <c r="B111" s="4">
        <f>14.7269 * CHOOSE(CONTROL!$C$9, $C$13, 100%, $E$13) + CHOOSE(CONTROL!$C$28, 0.0211, 0)</f>
        <v>14.748000000000001</v>
      </c>
      <c r="C111" s="4">
        <f>14.3636 * CHOOSE(CONTROL!$C$9, $C$13, 100%, $E$13) + CHOOSE(CONTROL!$C$28, 0.0211, 0)</f>
        <v>14.3847</v>
      </c>
      <c r="D111" s="4">
        <f>23.5086 * CHOOSE(CONTROL!$C$9, $C$13, 100%, $E$13) + CHOOSE(CONTROL!$C$28, 0.0021, 0)</f>
        <v>23.5107</v>
      </c>
      <c r="E111" s="4">
        <f>95.95730293085 * CHOOSE(CONTROL!$C$9, $C$13, 100%, $E$13) + CHOOSE(CONTROL!$C$28, 0.0021, 0)</f>
        <v>95.959402930850004</v>
      </c>
    </row>
    <row r="112" spans="1:5" ht="15">
      <c r="A112" s="13">
        <v>44896</v>
      </c>
      <c r="B112" s="4">
        <f>14.5083 * CHOOSE(CONTROL!$C$9, $C$13, 100%, $E$13) + CHOOSE(CONTROL!$C$28, 0.0211, 0)</f>
        <v>14.529400000000001</v>
      </c>
      <c r="C112" s="4">
        <f>14.145 * CHOOSE(CONTROL!$C$9, $C$13, 100%, $E$13) + CHOOSE(CONTROL!$C$28, 0.0211, 0)</f>
        <v>14.1661</v>
      </c>
      <c r="D112" s="4">
        <f>22.7391 * CHOOSE(CONTROL!$C$9, $C$13, 100%, $E$13) + CHOOSE(CONTROL!$C$28, 0.0021, 0)</f>
        <v>22.741199999999999</v>
      </c>
      <c r="E112" s="4">
        <f>94.4544841969061 * CHOOSE(CONTROL!$C$9, $C$13, 100%, $E$13) + CHOOSE(CONTROL!$C$28, 0.0021, 0)</f>
        <v>94.456584196906093</v>
      </c>
    </row>
    <row r="113" spans="1:5" ht="15">
      <c r="A113" s="13">
        <v>44927</v>
      </c>
      <c r="B113" s="4">
        <f>14.4068 * CHOOSE(CONTROL!$C$9, $C$13, 100%, $E$13) + CHOOSE(CONTROL!$C$28, 0.0211, 0)</f>
        <v>14.427900000000001</v>
      </c>
      <c r="C113" s="4">
        <f>14.0435 * CHOOSE(CONTROL!$C$9, $C$13, 100%, $E$13) + CHOOSE(CONTROL!$C$28, 0.0211, 0)</f>
        <v>14.0646</v>
      </c>
      <c r="D113" s="4">
        <f>22.5763 * CHOOSE(CONTROL!$C$9, $C$13, 100%, $E$13) + CHOOSE(CONTROL!$C$28, 0.0021, 0)</f>
        <v>22.578399999999998</v>
      </c>
      <c r="E113" s="4">
        <f>93.3638902668918 * CHOOSE(CONTROL!$C$9, $C$13, 100%, $E$13) + CHOOSE(CONTROL!$C$28, 0.0021, 0)</f>
        <v>93.365990266891799</v>
      </c>
    </row>
    <row r="114" spans="1:5" ht="15">
      <c r="A114" s="13">
        <v>44958</v>
      </c>
      <c r="B114" s="4">
        <f>14.7305 * CHOOSE(CONTROL!$C$9, $C$13, 100%, $E$13) + CHOOSE(CONTROL!$C$28, 0.0211, 0)</f>
        <v>14.7516</v>
      </c>
      <c r="C114" s="4">
        <f>14.3672 * CHOOSE(CONTROL!$C$9, $C$13, 100%, $E$13) + CHOOSE(CONTROL!$C$28, 0.0211, 0)</f>
        <v>14.388300000000001</v>
      </c>
      <c r="D114" s="4">
        <f>23.3077 * CHOOSE(CONTROL!$C$9, $C$13, 100%, $E$13) + CHOOSE(CONTROL!$C$28, 0.0021, 0)</f>
        <v>23.309799999999999</v>
      </c>
      <c r="E114" s="4">
        <f>95.5807169604644 * CHOOSE(CONTROL!$C$9, $C$13, 100%, $E$13) + CHOOSE(CONTROL!$C$28, 0.0021, 0)</f>
        <v>95.582816960464399</v>
      </c>
    </row>
    <row r="115" spans="1:5" ht="15">
      <c r="A115" s="13">
        <v>44986</v>
      </c>
      <c r="B115" s="4">
        <f>15.5806 * CHOOSE(CONTROL!$C$9, $C$13, 100%, $E$13) + CHOOSE(CONTROL!$C$28, 0.0211, 0)</f>
        <v>15.601700000000001</v>
      </c>
      <c r="C115" s="4">
        <f>15.2173 * CHOOSE(CONTROL!$C$9, $C$13, 100%, $E$13) + CHOOSE(CONTROL!$C$28, 0.0211, 0)</f>
        <v>15.2384</v>
      </c>
      <c r="D115" s="4">
        <f>24.4527 * CHOOSE(CONTROL!$C$9, $C$13, 100%, $E$13) + CHOOSE(CONTROL!$C$28, 0.0021, 0)</f>
        <v>24.454799999999999</v>
      </c>
      <c r="E115" s="4">
        <f>101.402221667111 * CHOOSE(CONTROL!$C$9, $C$13, 100%, $E$13) + CHOOSE(CONTROL!$C$28, 0.0021, 0)</f>
        <v>101.40432166711099</v>
      </c>
    </row>
    <row r="116" spans="1:5" ht="15">
      <c r="A116" s="13">
        <v>45017</v>
      </c>
      <c r="B116" s="4">
        <f>16.1846 * CHOOSE(CONTROL!$C$9, $C$13, 100%, $E$13) + CHOOSE(CONTROL!$C$28, 0.0211, 0)</f>
        <v>16.2057</v>
      </c>
      <c r="C116" s="4">
        <f>15.8213 * CHOOSE(CONTROL!$C$9, $C$13, 100%, $E$13) + CHOOSE(CONTROL!$C$28, 0.0211, 0)</f>
        <v>15.842400000000001</v>
      </c>
      <c r="D116" s="4">
        <f>25.1123 * CHOOSE(CONTROL!$C$9, $C$13, 100%, $E$13) + CHOOSE(CONTROL!$C$28, 0.0021, 0)</f>
        <v>25.1144</v>
      </c>
      <c r="E116" s="4">
        <f>105.538478342935 * CHOOSE(CONTROL!$C$9, $C$13, 100%, $E$13) + CHOOSE(CONTROL!$C$28, 0.0021, 0)</f>
        <v>105.54057834293499</v>
      </c>
    </row>
    <row r="117" spans="1:5" ht="15">
      <c r="A117" s="13">
        <v>45047</v>
      </c>
      <c r="B117" s="4">
        <f>16.5536 * CHOOSE(CONTROL!$C$9, $C$13, 100%, $E$13) + CHOOSE(CONTROL!$C$28, 0.0415, 0)</f>
        <v>16.595099999999999</v>
      </c>
      <c r="C117" s="4">
        <f>16.1903 * CHOOSE(CONTROL!$C$9, $C$13, 100%, $E$13) + CHOOSE(CONTROL!$C$28, 0.0415, 0)</f>
        <v>16.2318</v>
      </c>
      <c r="D117" s="4">
        <f>24.8517 * CHOOSE(CONTROL!$C$9, $C$13, 100%, $E$13) + CHOOSE(CONTROL!$C$28, 0.0021, 0)</f>
        <v>24.8538</v>
      </c>
      <c r="E117" s="4">
        <f>108.065632039626 * CHOOSE(CONTROL!$C$9, $C$13, 100%, $E$13) + CHOOSE(CONTROL!$C$28, 0.0021, 0)</f>
        <v>108.06773203962599</v>
      </c>
    </row>
    <row r="118" spans="1:5" ht="15">
      <c r="A118" s="13">
        <v>45078</v>
      </c>
      <c r="B118" s="4">
        <f>16.6036 * CHOOSE(CONTROL!$C$9, $C$13, 100%, $E$13) + CHOOSE(CONTROL!$C$28, 0.0415, 0)</f>
        <v>16.645099999999999</v>
      </c>
      <c r="C118" s="4">
        <f>16.2403 * CHOOSE(CONTROL!$C$9, $C$13, 100%, $E$13) + CHOOSE(CONTROL!$C$28, 0.0415, 0)</f>
        <v>16.2818</v>
      </c>
      <c r="D118" s="4">
        <f>25.0639 * CHOOSE(CONTROL!$C$9, $C$13, 100%, $E$13) + CHOOSE(CONTROL!$C$28, 0.0021, 0)</f>
        <v>25.065999999999999</v>
      </c>
      <c r="E118" s="4">
        <f>108.407566422691 * CHOOSE(CONTROL!$C$9, $C$13, 100%, $E$13) + CHOOSE(CONTROL!$C$28, 0.0021, 0)</f>
        <v>108.409666422691</v>
      </c>
    </row>
    <row r="119" spans="1:5" ht="15">
      <c r="A119" s="13">
        <v>45108</v>
      </c>
      <c r="B119" s="4">
        <f>16.5985 * CHOOSE(CONTROL!$C$9, $C$13, 100%, $E$13) + CHOOSE(CONTROL!$C$28, 0.0415, 0)</f>
        <v>16.64</v>
      </c>
      <c r="C119" s="4">
        <f>16.2352 * CHOOSE(CONTROL!$C$9, $C$13, 100%, $E$13) + CHOOSE(CONTROL!$C$28, 0.0415, 0)</f>
        <v>16.276699999999998</v>
      </c>
      <c r="D119" s="4">
        <f>25.4469 * CHOOSE(CONTROL!$C$9, $C$13, 100%, $E$13) + CHOOSE(CONTROL!$C$28, 0.0021, 0)</f>
        <v>25.448999999999998</v>
      </c>
      <c r="E119" s="4">
        <f>108.373085644567 * CHOOSE(CONTROL!$C$9, $C$13, 100%, $E$13) + CHOOSE(CONTROL!$C$28, 0.0021, 0)</f>
        <v>108.375185644567</v>
      </c>
    </row>
    <row r="120" spans="1:5" ht="15">
      <c r="A120" s="13">
        <v>45139</v>
      </c>
      <c r="B120" s="4">
        <f>16.9774 * CHOOSE(CONTROL!$C$9, $C$13, 100%, $E$13) + CHOOSE(CONTROL!$C$28, 0.0415, 0)</f>
        <v>17.018899999999999</v>
      </c>
      <c r="C120" s="4">
        <f>16.6141 * CHOOSE(CONTROL!$C$9, $C$13, 100%, $E$13) + CHOOSE(CONTROL!$C$28, 0.0415, 0)</f>
        <v>16.6556</v>
      </c>
      <c r="D120" s="4">
        <f>25.194 * CHOOSE(CONTROL!$C$9, $C$13, 100%, $E$13) + CHOOSE(CONTROL!$C$28, 0.0021, 0)</f>
        <v>25.196099999999998</v>
      </c>
      <c r="E120" s="4">
        <f>110.967764198418 * CHOOSE(CONTROL!$C$9, $C$13, 100%, $E$13) + CHOOSE(CONTROL!$C$28, 0.0021, 0)</f>
        <v>110.96986419841799</v>
      </c>
    </row>
    <row r="121" spans="1:5" ht="15">
      <c r="A121" s="13">
        <v>45170</v>
      </c>
      <c r="B121" s="4">
        <f>16.3317 * CHOOSE(CONTROL!$C$9, $C$13, 100%, $E$13) + CHOOSE(CONTROL!$C$28, 0.0415, 0)</f>
        <v>16.373200000000001</v>
      </c>
      <c r="C121" s="4">
        <f>15.9684 * CHOOSE(CONTROL!$C$9, $C$13, 100%, $E$13) + CHOOSE(CONTROL!$C$28, 0.0415, 0)</f>
        <v>16.009900000000002</v>
      </c>
      <c r="D121" s="4">
        <f>25.0745 * CHOOSE(CONTROL!$C$9, $C$13, 100%, $E$13) + CHOOSE(CONTROL!$C$28, 0.0021, 0)</f>
        <v>25.076599999999999</v>
      </c>
      <c r="E121" s="4">
        <f>106.545604403981 * CHOOSE(CONTROL!$C$9, $C$13, 100%, $E$13) + CHOOSE(CONTROL!$C$28, 0.0021, 0)</f>
        <v>106.547704403981</v>
      </c>
    </row>
    <row r="122" spans="1:5" ht="15">
      <c r="A122" s="13">
        <v>45200</v>
      </c>
      <c r="B122" s="4">
        <f>15.8147 * CHOOSE(CONTROL!$C$9, $C$13, 100%, $E$13) + CHOOSE(CONTROL!$C$28, 0.0211, 0)</f>
        <v>15.835800000000001</v>
      </c>
      <c r="C122" s="4">
        <f>15.4514 * CHOOSE(CONTROL!$C$9, $C$13, 100%, $E$13) + CHOOSE(CONTROL!$C$28, 0.0211, 0)</f>
        <v>15.4725</v>
      </c>
      <c r="D122" s="4">
        <f>24.7545 * CHOOSE(CONTROL!$C$9, $C$13, 100%, $E$13) + CHOOSE(CONTROL!$C$28, 0.0021, 0)</f>
        <v>24.756599999999999</v>
      </c>
      <c r="E122" s="4">
        <f>103.00557784989 * CHOOSE(CONTROL!$C$9, $C$13, 100%, $E$13) + CHOOSE(CONTROL!$C$28, 0.0021, 0)</f>
        <v>103.00767784989</v>
      </c>
    </row>
    <row r="123" spans="1:5" ht="15">
      <c r="A123" s="13">
        <v>45231</v>
      </c>
      <c r="B123" s="4">
        <f>15.4818 * CHOOSE(CONTROL!$C$9, $C$13, 100%, $E$13) + CHOOSE(CONTROL!$C$28, 0.0211, 0)</f>
        <v>15.5029</v>
      </c>
      <c r="C123" s="4">
        <f>15.1185 * CHOOSE(CONTROL!$C$9, $C$13, 100%, $E$13) + CHOOSE(CONTROL!$C$28, 0.0211, 0)</f>
        <v>15.1396</v>
      </c>
      <c r="D123" s="4">
        <f>24.6445 * CHOOSE(CONTROL!$C$9, $C$13, 100%, $E$13) + CHOOSE(CONTROL!$C$28, 0.0021, 0)</f>
        <v>24.646599999999999</v>
      </c>
      <c r="E123" s="4">
        <f>100.725536396423 * CHOOSE(CONTROL!$C$9, $C$13, 100%, $E$13) + CHOOSE(CONTROL!$C$28, 0.0021, 0)</f>
        <v>100.72763639642299</v>
      </c>
    </row>
    <row r="124" spans="1:5" ht="15">
      <c r="A124" s="13">
        <v>45261</v>
      </c>
      <c r="B124" s="4">
        <f>15.2514 * CHOOSE(CONTROL!$C$9, $C$13, 100%, $E$13) + CHOOSE(CONTROL!$C$28, 0.0211, 0)</f>
        <v>15.272500000000001</v>
      </c>
      <c r="C124" s="4">
        <f>14.8882 * CHOOSE(CONTROL!$C$9, $C$13, 100%, $E$13) + CHOOSE(CONTROL!$C$28, 0.0211, 0)</f>
        <v>14.9093</v>
      </c>
      <c r="D124" s="4">
        <f>23.8346 * CHOOSE(CONTROL!$C$9, $C$13, 100%, $E$13) + CHOOSE(CONTROL!$C$28, 0.0021, 0)</f>
        <v>23.836699999999997</v>
      </c>
      <c r="E124" s="4">
        <f>99.1480407972374 * CHOOSE(CONTROL!$C$9, $C$13, 100%, $E$13) + CHOOSE(CONTROL!$C$28, 0.0021, 0)</f>
        <v>99.150140797237398</v>
      </c>
    </row>
    <row r="125" spans="1:5" ht="15">
      <c r="A125" s="13">
        <v>45292</v>
      </c>
      <c r="B125" s="4">
        <f>15.2078 * CHOOSE(CONTROL!$C$9, $C$13, 100%, $E$13) + CHOOSE(CONTROL!$C$28, 0.0211, 0)</f>
        <v>15.228900000000001</v>
      </c>
      <c r="C125" s="4">
        <f>14.8445 * CHOOSE(CONTROL!$C$9, $C$13, 100%, $E$13) + CHOOSE(CONTROL!$C$28, 0.0211, 0)</f>
        <v>14.865600000000001</v>
      </c>
      <c r="D125" s="4">
        <f>23.5178 * CHOOSE(CONTROL!$C$9, $C$13, 100%, $E$13) + CHOOSE(CONTROL!$C$28, 0.0021, 0)</f>
        <v>23.5199</v>
      </c>
      <c r="E125" s="4">
        <f>97.7541963203445 * CHOOSE(CONTROL!$C$9, $C$13, 100%, $E$13) + CHOOSE(CONTROL!$C$28, 0.0021, 0)</f>
        <v>97.756296320344504</v>
      </c>
    </row>
    <row r="126" spans="1:5" ht="15">
      <c r="A126" s="13">
        <v>45323</v>
      </c>
      <c r="B126" s="4">
        <f>15.5505 * CHOOSE(CONTROL!$C$9, $C$13, 100%, $E$13) + CHOOSE(CONTROL!$C$28, 0.0211, 0)</f>
        <v>15.5716</v>
      </c>
      <c r="C126" s="4">
        <f>15.1873 * CHOOSE(CONTROL!$C$9, $C$13, 100%, $E$13) + CHOOSE(CONTROL!$C$28, 0.0211, 0)</f>
        <v>15.208400000000001</v>
      </c>
      <c r="D126" s="4">
        <f>24.2825 * CHOOSE(CONTROL!$C$9, $C$13, 100%, $E$13) + CHOOSE(CONTROL!$C$28, 0.0021, 0)</f>
        <v>24.284599999999998</v>
      </c>
      <c r="E126" s="4">
        <f>100.075266181425 * CHOOSE(CONTROL!$C$9, $C$13, 100%, $E$13) + CHOOSE(CONTROL!$C$28, 0.0021, 0)</f>
        <v>100.07736618142499</v>
      </c>
    </row>
    <row r="127" spans="1:5" ht="15">
      <c r="A127" s="13">
        <v>45352</v>
      </c>
      <c r="B127" s="4">
        <f>16.4506 * CHOOSE(CONTROL!$C$9, $C$13, 100%, $E$13) + CHOOSE(CONTROL!$C$28, 0.0211, 0)</f>
        <v>16.471700000000002</v>
      </c>
      <c r="C127" s="4">
        <f>16.0873 * CHOOSE(CONTROL!$C$9, $C$13, 100%, $E$13) + CHOOSE(CONTROL!$C$28, 0.0211, 0)</f>
        <v>16.1084</v>
      </c>
      <c r="D127" s="4">
        <f>25.4795 * CHOOSE(CONTROL!$C$9, $C$13, 100%, $E$13) + CHOOSE(CONTROL!$C$28, 0.0021, 0)</f>
        <v>25.4816</v>
      </c>
      <c r="E127" s="4">
        <f>106.170518985765 * CHOOSE(CONTROL!$C$9, $C$13, 100%, $E$13) + CHOOSE(CONTROL!$C$28, 0.0021, 0)</f>
        <v>106.172618985765</v>
      </c>
    </row>
    <row r="128" spans="1:5" ht="15">
      <c r="A128" s="13">
        <v>45383</v>
      </c>
      <c r="B128" s="4">
        <f>17.0901 * CHOOSE(CONTROL!$C$9, $C$13, 100%, $E$13) + CHOOSE(CONTROL!$C$28, 0.0211, 0)</f>
        <v>17.1112</v>
      </c>
      <c r="C128" s="4">
        <f>16.7268 * CHOOSE(CONTROL!$C$9, $C$13, 100%, $E$13) + CHOOSE(CONTROL!$C$28, 0.0211, 0)</f>
        <v>16.747900000000001</v>
      </c>
      <c r="D128" s="4">
        <f>26.1691 * CHOOSE(CONTROL!$C$9, $C$13, 100%, $E$13) + CHOOSE(CONTROL!$C$28, 0.0021, 0)</f>
        <v>26.171199999999999</v>
      </c>
      <c r="E128" s="4">
        <f>110.501277333172 * CHOOSE(CONTROL!$C$9, $C$13, 100%, $E$13) + CHOOSE(CONTROL!$C$28, 0.0021, 0)</f>
        <v>110.503377333172</v>
      </c>
    </row>
    <row r="129" spans="1:5" ht="15">
      <c r="A129" s="13">
        <v>45413</v>
      </c>
      <c r="B129" s="4">
        <f>17.4808 * CHOOSE(CONTROL!$C$9, $C$13, 100%, $E$13) + CHOOSE(CONTROL!$C$28, 0.0415, 0)</f>
        <v>17.522299999999998</v>
      </c>
      <c r="C129" s="4">
        <f>17.1175 * CHOOSE(CONTROL!$C$9, $C$13, 100%, $E$13) + CHOOSE(CONTROL!$C$28, 0.0415, 0)</f>
        <v>17.158999999999999</v>
      </c>
      <c r="D129" s="4">
        <f>25.8966 * CHOOSE(CONTROL!$C$9, $C$13, 100%, $E$13) + CHOOSE(CONTROL!$C$28, 0.0021, 0)</f>
        <v>25.898699999999998</v>
      </c>
      <c r="E129" s="4">
        <f>113.147266889646 * CHOOSE(CONTROL!$C$9, $C$13, 100%, $E$13) + CHOOSE(CONTROL!$C$28, 0.0021, 0)</f>
        <v>113.149366889646</v>
      </c>
    </row>
    <row r="130" spans="1:5" ht="15">
      <c r="A130" s="13">
        <v>45444</v>
      </c>
      <c r="B130" s="4">
        <f>17.5336 * CHOOSE(CONTROL!$C$9, $C$13, 100%, $E$13) + CHOOSE(CONTROL!$C$28, 0.0415, 0)</f>
        <v>17.575099999999999</v>
      </c>
      <c r="C130" s="4">
        <f>17.1703 * CHOOSE(CONTROL!$C$9, $C$13, 100%, $E$13) + CHOOSE(CONTROL!$C$28, 0.0415, 0)</f>
        <v>17.2118</v>
      </c>
      <c r="D130" s="4">
        <f>26.1185 * CHOOSE(CONTROL!$C$9, $C$13, 100%, $E$13) + CHOOSE(CONTROL!$C$28, 0.0021, 0)</f>
        <v>26.1206</v>
      </c>
      <c r="E130" s="4">
        <f>113.50528025772 * CHOOSE(CONTROL!$C$9, $C$13, 100%, $E$13) + CHOOSE(CONTROL!$C$28, 0.0021, 0)</f>
        <v>113.50738025772</v>
      </c>
    </row>
    <row r="131" spans="1:5" ht="15">
      <c r="A131" s="13">
        <v>45474</v>
      </c>
      <c r="B131" s="4">
        <f>17.5283 * CHOOSE(CONTROL!$C$9, $C$13, 100%, $E$13) + CHOOSE(CONTROL!$C$28, 0.0415, 0)</f>
        <v>17.569800000000001</v>
      </c>
      <c r="C131" s="4">
        <f>17.165 * CHOOSE(CONTROL!$C$9, $C$13, 100%, $E$13) + CHOOSE(CONTROL!$C$28, 0.0415, 0)</f>
        <v>17.206499999999998</v>
      </c>
      <c r="D131" s="4">
        <f>26.5189 * CHOOSE(CONTROL!$C$9, $C$13, 100%, $E$13) + CHOOSE(CONTROL!$C$28, 0.0021, 0)</f>
        <v>26.520999999999997</v>
      </c>
      <c r="E131" s="4">
        <f>113.469178069343 * CHOOSE(CONTROL!$C$9, $C$13, 100%, $E$13) + CHOOSE(CONTROL!$C$28, 0.0021, 0)</f>
        <v>113.471278069343</v>
      </c>
    </row>
    <row r="132" spans="1:5" ht="15">
      <c r="A132" s="13">
        <v>45505</v>
      </c>
      <c r="B132" s="4">
        <f>17.9294 * CHOOSE(CONTROL!$C$9, $C$13, 100%, $E$13) + CHOOSE(CONTROL!$C$28, 0.0415, 0)</f>
        <v>17.9709</v>
      </c>
      <c r="C132" s="4">
        <f>17.5662 * CHOOSE(CONTROL!$C$9, $C$13, 100%, $E$13) + CHOOSE(CONTROL!$C$28, 0.0415, 0)</f>
        <v>17.607699999999998</v>
      </c>
      <c r="D132" s="4">
        <f>26.2545 * CHOOSE(CONTROL!$C$9, $C$13, 100%, $E$13) + CHOOSE(CONTROL!$C$28, 0.0021, 0)</f>
        <v>26.256599999999999</v>
      </c>
      <c r="E132" s="4">
        <f>116.185867744722 * CHOOSE(CONTROL!$C$9, $C$13, 100%, $E$13) + CHOOSE(CONTROL!$C$28, 0.0021, 0)</f>
        <v>116.187967744722</v>
      </c>
    </row>
    <row r="133" spans="1:5" ht="15">
      <c r="A133" s="13">
        <v>45536</v>
      </c>
      <c r="B133" s="4">
        <f>17.2458 * CHOOSE(CONTROL!$C$9, $C$13, 100%, $E$13) + CHOOSE(CONTROL!$C$28, 0.0415, 0)</f>
        <v>17.287299999999998</v>
      </c>
      <c r="C133" s="4">
        <f>16.8825 * CHOOSE(CONTROL!$C$9, $C$13, 100%, $E$13) + CHOOSE(CONTROL!$C$28, 0.0415, 0)</f>
        <v>16.923999999999999</v>
      </c>
      <c r="D133" s="4">
        <f>26.1295 * CHOOSE(CONTROL!$C$9, $C$13, 100%, $E$13) + CHOOSE(CONTROL!$C$28, 0.0021, 0)</f>
        <v>26.131599999999999</v>
      </c>
      <c r="E133" s="4">
        <f>111.555762085354 * CHOOSE(CONTROL!$C$9, $C$13, 100%, $E$13) + CHOOSE(CONTROL!$C$28, 0.0021, 0)</f>
        <v>111.557862085354</v>
      </c>
    </row>
    <row r="134" spans="1:5" ht="15">
      <c r="A134" s="13">
        <v>45566</v>
      </c>
      <c r="B134" s="4">
        <f>16.6985 * CHOOSE(CONTROL!$C$9, $C$13, 100%, $E$13) + CHOOSE(CONTROL!$C$28, 0.0211, 0)</f>
        <v>16.7196</v>
      </c>
      <c r="C134" s="4">
        <f>16.3352 * CHOOSE(CONTROL!$C$9, $C$13, 100%, $E$13) + CHOOSE(CONTROL!$C$28, 0.0211, 0)</f>
        <v>16.356300000000001</v>
      </c>
      <c r="D134" s="4">
        <f>25.795 * CHOOSE(CONTROL!$C$9, $C$13, 100%, $E$13) + CHOOSE(CONTROL!$C$28, 0.0021, 0)</f>
        <v>25.7971</v>
      </c>
      <c r="E134" s="4">
        <f>107.849270745302 * CHOOSE(CONTROL!$C$9, $C$13, 100%, $E$13) + CHOOSE(CONTROL!$C$28, 0.0021, 0)</f>
        <v>107.85137074530199</v>
      </c>
    </row>
    <row r="135" spans="1:5" ht="15">
      <c r="A135" s="13">
        <v>45597</v>
      </c>
      <c r="B135" s="4">
        <f>16.346 * CHOOSE(CONTROL!$C$9, $C$13, 100%, $E$13) + CHOOSE(CONTROL!$C$28, 0.0211, 0)</f>
        <v>16.367100000000001</v>
      </c>
      <c r="C135" s="4">
        <f>15.9827 * CHOOSE(CONTROL!$C$9, $C$13, 100%, $E$13) + CHOOSE(CONTROL!$C$28, 0.0211, 0)</f>
        <v>16.003799999999998</v>
      </c>
      <c r="D135" s="4">
        <f>25.68 * CHOOSE(CONTROL!$C$9, $C$13, 100%, $E$13) + CHOOSE(CONTROL!$C$28, 0.0021, 0)</f>
        <v>25.682099999999998</v>
      </c>
      <c r="E135" s="4">
        <f>105.462013538863 * CHOOSE(CONTROL!$C$9, $C$13, 100%, $E$13) + CHOOSE(CONTROL!$C$28, 0.0021, 0)</f>
        <v>105.464113538863</v>
      </c>
    </row>
    <row r="136" spans="1:5" ht="15">
      <c r="A136" s="13">
        <v>45627</v>
      </c>
      <c r="B136" s="4">
        <f>16.1021 * CHOOSE(CONTROL!$C$9, $C$13, 100%, $E$13) + CHOOSE(CONTROL!$C$28, 0.0211, 0)</f>
        <v>16.123200000000001</v>
      </c>
      <c r="C136" s="4">
        <f>15.7388 * CHOOSE(CONTROL!$C$9, $C$13, 100%, $E$13) + CHOOSE(CONTROL!$C$28, 0.0211, 0)</f>
        <v>15.7599</v>
      </c>
      <c r="D136" s="4">
        <f>24.8333 * CHOOSE(CONTROL!$C$9, $C$13, 100%, $E$13) + CHOOSE(CONTROL!$C$28, 0.0021, 0)</f>
        <v>24.8354</v>
      </c>
      <c r="E136" s="4">
        <f>103.810338420609 * CHOOSE(CONTROL!$C$9, $C$13, 100%, $E$13) + CHOOSE(CONTROL!$C$28, 0.0021, 0)</f>
        <v>103.812438420609</v>
      </c>
    </row>
    <row r="137" spans="1:5" ht="15">
      <c r="A137" s="13">
        <v>45658</v>
      </c>
      <c r="B137" s="4">
        <f>16.4846 * CHOOSE(CONTROL!$C$9, $C$13, 100%, $E$13) + CHOOSE(CONTROL!$C$28, 0.0211, 0)</f>
        <v>16.505700000000001</v>
      </c>
      <c r="C137" s="4">
        <f>16.1213 * CHOOSE(CONTROL!$C$9, $C$13, 100%, $E$13) + CHOOSE(CONTROL!$C$28, 0.0211, 0)</f>
        <v>16.142400000000002</v>
      </c>
      <c r="D137" s="4">
        <f>24.5842 * CHOOSE(CONTROL!$C$9, $C$13, 100%, $E$13) + CHOOSE(CONTROL!$C$28, 0.0021, 0)</f>
        <v>24.586299999999998</v>
      </c>
      <c r="E137" s="4">
        <f>103.043424545844 * CHOOSE(CONTROL!$C$9, $C$13, 100%, $E$13) + CHOOSE(CONTROL!$C$28, 0.0021, 0)</f>
        <v>103.045524545844</v>
      </c>
    </row>
    <row r="138" spans="1:5" ht="15">
      <c r="A138" s="13">
        <v>45689</v>
      </c>
      <c r="B138" s="4">
        <f>16.8576 * CHOOSE(CONTROL!$C$9, $C$13, 100%, $E$13) + CHOOSE(CONTROL!$C$28, 0.0211, 0)</f>
        <v>16.878700000000002</v>
      </c>
      <c r="C138" s="4">
        <f>16.4943 * CHOOSE(CONTROL!$C$9, $C$13, 100%, $E$13) + CHOOSE(CONTROL!$C$28, 0.0211, 0)</f>
        <v>16.5154</v>
      </c>
      <c r="D138" s="4">
        <f>25.3865 * CHOOSE(CONTROL!$C$9, $C$13, 100%, $E$13) + CHOOSE(CONTROL!$C$28, 0.0021, 0)</f>
        <v>25.3886</v>
      </c>
      <c r="E138" s="4">
        <f>105.490081529367 * CHOOSE(CONTROL!$C$9, $C$13, 100%, $E$13) + CHOOSE(CONTROL!$C$28, 0.0021, 0)</f>
        <v>105.492181529367</v>
      </c>
    </row>
    <row r="139" spans="1:5" ht="15">
      <c r="A139" s="13">
        <v>45717</v>
      </c>
      <c r="B139" s="4">
        <f>17.8372 * CHOOSE(CONTROL!$C$9, $C$13, 100%, $E$13) + CHOOSE(CONTROL!$C$28, 0.0211, 0)</f>
        <v>17.8583</v>
      </c>
      <c r="C139" s="4">
        <f>17.474 * CHOOSE(CONTROL!$C$9, $C$13, 100%, $E$13) + CHOOSE(CONTROL!$C$28, 0.0211, 0)</f>
        <v>17.495100000000001</v>
      </c>
      <c r="D139" s="4">
        <f>26.6425 * CHOOSE(CONTROL!$C$9, $C$13, 100%, $E$13) + CHOOSE(CONTROL!$C$28, 0.0021, 0)</f>
        <v>26.644599999999997</v>
      </c>
      <c r="E139" s="4">
        <f>111.915132791347 * CHOOSE(CONTROL!$C$9, $C$13, 100%, $E$13) + CHOOSE(CONTROL!$C$28, 0.0021, 0)</f>
        <v>111.917232791347</v>
      </c>
    </row>
    <row r="140" spans="1:5" ht="15">
      <c r="A140" s="13">
        <v>45748</v>
      </c>
      <c r="B140" s="4">
        <f>18.5333 * CHOOSE(CONTROL!$C$9, $C$13, 100%, $E$13) + CHOOSE(CONTROL!$C$28, 0.0211, 0)</f>
        <v>18.554400000000001</v>
      </c>
      <c r="C140" s="4">
        <f>18.17 * CHOOSE(CONTROL!$C$9, $C$13, 100%, $E$13) + CHOOSE(CONTROL!$C$28, 0.0211, 0)</f>
        <v>18.191100000000002</v>
      </c>
      <c r="D140" s="4">
        <f>27.3659 * CHOOSE(CONTROL!$C$9, $C$13, 100%, $E$13) + CHOOSE(CONTROL!$C$28, 0.0021, 0)</f>
        <v>27.367999999999999</v>
      </c>
      <c r="E140" s="4">
        <f>116.48021733805 * CHOOSE(CONTROL!$C$9, $C$13, 100%, $E$13) + CHOOSE(CONTROL!$C$28, 0.0021, 0)</f>
        <v>116.48231733805</v>
      </c>
    </row>
    <row r="141" spans="1:5" ht="15">
      <c r="A141" s="13">
        <v>45778</v>
      </c>
      <c r="B141" s="4">
        <f>18.9585 * CHOOSE(CONTROL!$C$9, $C$13, 100%, $E$13) + CHOOSE(CONTROL!$C$28, 0.0415, 0)</f>
        <v>19</v>
      </c>
      <c r="C141" s="4">
        <f>18.5953 * CHOOSE(CONTROL!$C$9, $C$13, 100%, $E$13) + CHOOSE(CONTROL!$C$28, 0.0415, 0)</f>
        <v>18.636800000000001</v>
      </c>
      <c r="D141" s="4">
        <f>27.08 * CHOOSE(CONTROL!$C$9, $C$13, 100%, $E$13) + CHOOSE(CONTROL!$C$28, 0.0021, 0)</f>
        <v>27.082099999999997</v>
      </c>
      <c r="E141" s="4">
        <f>119.269374586279 * CHOOSE(CONTROL!$C$9, $C$13, 100%, $E$13) + CHOOSE(CONTROL!$C$28, 0.0021, 0)</f>
        <v>119.271474586279</v>
      </c>
    </row>
    <row r="142" spans="1:5" ht="15">
      <c r="A142" s="13">
        <v>45809</v>
      </c>
      <c r="B142" s="4">
        <f>19.0161 * CHOOSE(CONTROL!$C$9, $C$13, 100%, $E$13) + CHOOSE(CONTROL!$C$28, 0.0415, 0)</f>
        <v>19.057600000000001</v>
      </c>
      <c r="C142" s="4">
        <f>18.6528 * CHOOSE(CONTROL!$C$9, $C$13, 100%, $E$13) + CHOOSE(CONTROL!$C$28, 0.0415, 0)</f>
        <v>18.694299999999998</v>
      </c>
      <c r="D142" s="4">
        <f>27.3129 * CHOOSE(CONTROL!$C$9, $C$13, 100%, $E$13) + CHOOSE(CONTROL!$C$28, 0.0021, 0)</f>
        <v>27.314999999999998</v>
      </c>
      <c r="E142" s="4">
        <f>119.646759137204 * CHOOSE(CONTROL!$C$9, $C$13, 100%, $E$13) + CHOOSE(CONTROL!$C$28, 0.0021, 0)</f>
        <v>119.648859137204</v>
      </c>
    </row>
    <row r="143" spans="1:5" ht="15">
      <c r="A143" s="13">
        <v>45839</v>
      </c>
      <c r="B143" s="4">
        <f>19.0103 * CHOOSE(CONTROL!$C$9, $C$13, 100%, $E$13) + CHOOSE(CONTROL!$C$28, 0.0415, 0)</f>
        <v>19.0518</v>
      </c>
      <c r="C143" s="4">
        <f>18.647 * CHOOSE(CONTROL!$C$9, $C$13, 100%, $E$13) + CHOOSE(CONTROL!$C$28, 0.0415, 0)</f>
        <v>18.688499999999998</v>
      </c>
      <c r="D143" s="4">
        <f>27.733 * CHOOSE(CONTROL!$C$9, $C$13, 100%, $E$13) + CHOOSE(CONTROL!$C$28, 0.0021, 0)</f>
        <v>27.735099999999999</v>
      </c>
      <c r="E143" s="4">
        <f>119.608703552237 * CHOOSE(CONTROL!$C$9, $C$13, 100%, $E$13) + CHOOSE(CONTROL!$C$28, 0.0021, 0)</f>
        <v>119.610803552237</v>
      </c>
    </row>
    <row r="144" spans="1:5" ht="15">
      <c r="A144" s="13">
        <v>45870</v>
      </c>
      <c r="B144" s="4">
        <f>19.4469 * CHOOSE(CONTROL!$C$9, $C$13, 100%, $E$13) + CHOOSE(CONTROL!$C$28, 0.0415, 0)</f>
        <v>19.488399999999999</v>
      </c>
      <c r="C144" s="4">
        <f>19.0836 * CHOOSE(CONTROL!$C$9, $C$13, 100%, $E$13) + CHOOSE(CONTROL!$C$28, 0.0415, 0)</f>
        <v>19.1251</v>
      </c>
      <c r="D144" s="4">
        <f>27.4555 * CHOOSE(CONTROL!$C$9, $C$13, 100%, $E$13) + CHOOSE(CONTROL!$C$28, 0.0021, 0)</f>
        <v>27.457599999999999</v>
      </c>
      <c r="E144" s="4">
        <f>122.472386321027 * CHOOSE(CONTROL!$C$9, $C$13, 100%, $E$13) + CHOOSE(CONTROL!$C$28, 0.0021, 0)</f>
        <v>122.474486321027</v>
      </c>
    </row>
    <row r="145" spans="1:5" ht="15">
      <c r="A145" s="13">
        <v>45901</v>
      </c>
      <c r="B145" s="4">
        <f>18.7028 * CHOOSE(CONTROL!$C$9, $C$13, 100%, $E$13) + CHOOSE(CONTROL!$C$28, 0.0415, 0)</f>
        <v>18.744299999999999</v>
      </c>
      <c r="C145" s="4">
        <f>18.3395 * CHOOSE(CONTROL!$C$9, $C$13, 100%, $E$13) + CHOOSE(CONTROL!$C$28, 0.0415, 0)</f>
        <v>18.381</v>
      </c>
      <c r="D145" s="4">
        <f>27.3245 * CHOOSE(CONTROL!$C$9, $C$13, 100%, $E$13) + CHOOSE(CONTROL!$C$28, 0.0021, 0)</f>
        <v>27.326599999999999</v>
      </c>
      <c r="E145" s="4">
        <f>117.59175754897 * CHOOSE(CONTROL!$C$9, $C$13, 100%, $E$13) + CHOOSE(CONTROL!$C$28, 0.0021, 0)</f>
        <v>117.59385754896999</v>
      </c>
    </row>
    <row r="146" spans="1:5" ht="15">
      <c r="A146" s="13">
        <v>45931</v>
      </c>
      <c r="B146" s="4">
        <f>18.1071 * CHOOSE(CONTROL!$C$9, $C$13, 100%, $E$13) + CHOOSE(CONTROL!$C$28, 0.0211, 0)</f>
        <v>18.1282</v>
      </c>
      <c r="C146" s="4">
        <f>17.7438 * CHOOSE(CONTROL!$C$9, $C$13, 100%, $E$13) + CHOOSE(CONTROL!$C$28, 0.0211, 0)</f>
        <v>17.764900000000001</v>
      </c>
      <c r="D146" s="4">
        <f>26.9735 * CHOOSE(CONTROL!$C$9, $C$13, 100%, $E$13) + CHOOSE(CONTROL!$C$28, 0.0021, 0)</f>
        <v>26.9756</v>
      </c>
      <c r="E146" s="4">
        <f>113.684717492327 * CHOOSE(CONTROL!$C$9, $C$13, 100%, $E$13) + CHOOSE(CONTROL!$C$28, 0.0021, 0)</f>
        <v>113.68681749232699</v>
      </c>
    </row>
    <row r="147" spans="1:5" ht="15">
      <c r="A147" s="13">
        <v>45962</v>
      </c>
      <c r="B147" s="4">
        <f>17.7234 * CHOOSE(CONTROL!$C$9, $C$13, 100%, $E$13) + CHOOSE(CONTROL!$C$28, 0.0211, 0)</f>
        <v>17.744500000000002</v>
      </c>
      <c r="C147" s="4">
        <f>17.3601 * CHOOSE(CONTROL!$C$9, $C$13, 100%, $E$13) + CHOOSE(CONTROL!$C$28, 0.0211, 0)</f>
        <v>17.3812</v>
      </c>
      <c r="D147" s="4">
        <f>26.8528 * CHOOSE(CONTROL!$C$9, $C$13, 100%, $E$13) + CHOOSE(CONTROL!$C$28, 0.0021, 0)</f>
        <v>26.854899999999997</v>
      </c>
      <c r="E147" s="4">
        <f>111.168291936364 * CHOOSE(CONTROL!$C$9, $C$13, 100%, $E$13) + CHOOSE(CONTROL!$C$28, 0.0021, 0)</f>
        <v>111.170391936364</v>
      </c>
    </row>
    <row r="148" spans="1:5" ht="15">
      <c r="A148" s="13">
        <v>45992</v>
      </c>
      <c r="B148" s="4">
        <f>17.4579 * CHOOSE(CONTROL!$C$9, $C$13, 100%, $E$13) + CHOOSE(CONTROL!$C$28, 0.0211, 0)</f>
        <v>17.478999999999999</v>
      </c>
      <c r="C148" s="4">
        <f>17.0946 * CHOOSE(CONTROL!$C$9, $C$13, 100%, $E$13) + CHOOSE(CONTROL!$C$28, 0.0211, 0)</f>
        <v>17.1157</v>
      </c>
      <c r="D148" s="4">
        <f>25.9644 * CHOOSE(CONTROL!$C$9, $C$13, 100%, $E$13) + CHOOSE(CONTROL!$C$28, 0.0021, 0)</f>
        <v>25.9665</v>
      </c>
      <c r="E148" s="4">
        <f>109.42724892411 * CHOOSE(CONTROL!$C$9, $C$13, 100%, $E$13) + CHOOSE(CONTROL!$C$28, 0.0021, 0)</f>
        <v>109.42934892411</v>
      </c>
    </row>
    <row r="149" spans="1:5" ht="15">
      <c r="A149" s="13">
        <v>46023</v>
      </c>
      <c r="B149" s="4">
        <f>17.0076 * CHOOSE(CONTROL!$C$9, $C$13, 100%, $E$13) + CHOOSE(CONTROL!$C$28, 0.0211, 0)</f>
        <v>17.028700000000001</v>
      </c>
      <c r="C149" s="4">
        <f>16.6443 * CHOOSE(CONTROL!$C$9, $C$13, 100%, $E$13) + CHOOSE(CONTROL!$C$28, 0.0211, 0)</f>
        <v>16.665400000000002</v>
      </c>
      <c r="D149" s="4">
        <f>25.2705 * CHOOSE(CONTROL!$C$9, $C$13, 100%, $E$13) + CHOOSE(CONTROL!$C$28, 0.0021, 0)</f>
        <v>25.272599999999997</v>
      </c>
      <c r="E149" s="4">
        <f>106.523313892914 * CHOOSE(CONTROL!$C$9, $C$13, 100%, $E$13) + CHOOSE(CONTROL!$C$28, 0.0021, 0)</f>
        <v>106.525413892914</v>
      </c>
    </row>
    <row r="150" spans="1:5" ht="15">
      <c r="A150" s="13">
        <v>46054</v>
      </c>
      <c r="B150" s="4">
        <f>17.393 * CHOOSE(CONTROL!$C$9, $C$13, 100%, $E$13) + CHOOSE(CONTROL!$C$28, 0.0211, 0)</f>
        <v>17.414100000000001</v>
      </c>
      <c r="C150" s="4">
        <f>17.0297 * CHOOSE(CONTROL!$C$9, $C$13, 100%, $E$13) + CHOOSE(CONTROL!$C$28, 0.0211, 0)</f>
        <v>17.050799999999999</v>
      </c>
      <c r="D150" s="4">
        <f>26.0971 * CHOOSE(CONTROL!$C$9, $C$13, 100%, $E$13) + CHOOSE(CONTROL!$C$28, 0.0021, 0)</f>
        <v>26.0992</v>
      </c>
      <c r="E150" s="4">
        <f>109.052597163465 * CHOOSE(CONTROL!$C$9, $C$13, 100%, $E$13) + CHOOSE(CONTROL!$C$28, 0.0021, 0)</f>
        <v>109.05469716346499</v>
      </c>
    </row>
    <row r="151" spans="1:5" ht="15">
      <c r="A151" s="13">
        <v>46082</v>
      </c>
      <c r="B151" s="4">
        <f>18.4053 * CHOOSE(CONTROL!$C$9, $C$13, 100%, $E$13) + CHOOSE(CONTROL!$C$28, 0.0211, 0)</f>
        <v>18.426400000000001</v>
      </c>
      <c r="C151" s="4">
        <f>18.042 * CHOOSE(CONTROL!$C$9, $C$13, 100%, $E$13) + CHOOSE(CONTROL!$C$28, 0.0211, 0)</f>
        <v>18.063100000000002</v>
      </c>
      <c r="D151" s="4">
        <f>27.391 * CHOOSE(CONTROL!$C$9, $C$13, 100%, $E$13) + CHOOSE(CONTROL!$C$28, 0.0021, 0)</f>
        <v>27.393099999999997</v>
      </c>
      <c r="E151" s="4">
        <f>115.694629446209 * CHOOSE(CONTROL!$C$9, $C$13, 100%, $E$13) + CHOOSE(CONTROL!$C$28, 0.0021, 0)</f>
        <v>115.69672944620901</v>
      </c>
    </row>
    <row r="152" spans="1:5" ht="15">
      <c r="A152" s="13">
        <v>46113</v>
      </c>
      <c r="B152" s="4">
        <f>19.1245 * CHOOSE(CONTROL!$C$9, $C$13, 100%, $E$13) + CHOOSE(CONTROL!$C$28, 0.0211, 0)</f>
        <v>19.145600000000002</v>
      </c>
      <c r="C152" s="4">
        <f>18.7612 * CHOOSE(CONTROL!$C$9, $C$13, 100%, $E$13) + CHOOSE(CONTROL!$C$28, 0.0211, 0)</f>
        <v>18.782299999999999</v>
      </c>
      <c r="D152" s="4">
        <f>28.1363 * CHOOSE(CONTROL!$C$9, $C$13, 100%, $E$13) + CHOOSE(CONTROL!$C$28, 0.0021, 0)</f>
        <v>28.138399999999997</v>
      </c>
      <c r="E152" s="4">
        <f>120.413881899816 * CHOOSE(CONTROL!$C$9, $C$13, 100%, $E$13) + CHOOSE(CONTROL!$C$28, 0.0021, 0)</f>
        <v>120.415981899816</v>
      </c>
    </row>
    <row r="153" spans="1:5" ht="15">
      <c r="A153" s="13">
        <v>46143</v>
      </c>
      <c r="B153" s="4">
        <f>19.5639 * CHOOSE(CONTROL!$C$9, $C$13, 100%, $E$13) + CHOOSE(CONTROL!$C$28, 0.0415, 0)</f>
        <v>19.605399999999999</v>
      </c>
      <c r="C153" s="4">
        <f>19.2006 * CHOOSE(CONTROL!$C$9, $C$13, 100%, $E$13) + CHOOSE(CONTROL!$C$28, 0.0415, 0)</f>
        <v>19.242100000000001</v>
      </c>
      <c r="D153" s="4">
        <f>27.8418 * CHOOSE(CONTROL!$C$9, $C$13, 100%, $E$13) + CHOOSE(CONTROL!$C$28, 0.0021, 0)</f>
        <v>27.843899999999998</v>
      </c>
      <c r="E153" s="4">
        <f>123.297232044275 * CHOOSE(CONTROL!$C$9, $C$13, 100%, $E$13) + CHOOSE(CONTROL!$C$28, 0.0021, 0)</f>
        <v>123.299332044275</v>
      </c>
    </row>
    <row r="154" spans="1:5" ht="15">
      <c r="A154" s="13">
        <v>46174</v>
      </c>
      <c r="B154" s="4">
        <f>19.6234 * CHOOSE(CONTROL!$C$9, $C$13, 100%, $E$13) + CHOOSE(CONTROL!$C$28, 0.0415, 0)</f>
        <v>19.664899999999999</v>
      </c>
      <c r="C154" s="4">
        <f>19.2601 * CHOOSE(CONTROL!$C$9, $C$13, 100%, $E$13) + CHOOSE(CONTROL!$C$28, 0.0415, 0)</f>
        <v>19.301600000000001</v>
      </c>
      <c r="D154" s="4">
        <f>28.0816 * CHOOSE(CONTROL!$C$9, $C$13, 100%, $E$13) + CHOOSE(CONTROL!$C$28, 0.0021, 0)</f>
        <v>28.0837</v>
      </c>
      <c r="E154" s="4">
        <f>123.687361284969 * CHOOSE(CONTROL!$C$9, $C$13, 100%, $E$13) + CHOOSE(CONTROL!$C$28, 0.0021, 0)</f>
        <v>123.689461284969</v>
      </c>
    </row>
    <row r="155" spans="1:5" ht="15">
      <c r="A155" s="13">
        <v>46204</v>
      </c>
      <c r="B155" s="4">
        <f>19.6174 * CHOOSE(CONTROL!$C$9, $C$13, 100%, $E$13) + CHOOSE(CONTROL!$C$28, 0.0415, 0)</f>
        <v>19.658899999999999</v>
      </c>
      <c r="C155" s="4">
        <f>19.2541 * CHOOSE(CONTROL!$C$9, $C$13, 100%, $E$13) + CHOOSE(CONTROL!$C$28, 0.0415, 0)</f>
        <v>19.2956</v>
      </c>
      <c r="D155" s="4">
        <f>28.5144 * CHOOSE(CONTROL!$C$9, $C$13, 100%, $E$13) + CHOOSE(CONTROL!$C$28, 0.0021, 0)</f>
        <v>28.516499999999997</v>
      </c>
      <c r="E155" s="4">
        <f>123.648020521202 * CHOOSE(CONTROL!$C$9, $C$13, 100%, $E$13) + CHOOSE(CONTROL!$C$28, 0.0021, 0)</f>
        <v>123.650120521202</v>
      </c>
    </row>
    <row r="156" spans="1:5" ht="15">
      <c r="A156" s="13">
        <v>46235</v>
      </c>
      <c r="B156" s="4">
        <f>20.0685 * CHOOSE(CONTROL!$C$9, $C$13, 100%, $E$13) + CHOOSE(CONTROL!$C$28, 0.0415, 0)</f>
        <v>20.11</v>
      </c>
      <c r="C156" s="4">
        <f>19.7052 * CHOOSE(CONTROL!$C$9, $C$13, 100%, $E$13) + CHOOSE(CONTROL!$C$28, 0.0415, 0)</f>
        <v>19.746700000000001</v>
      </c>
      <c r="D156" s="4">
        <f>28.2286 * CHOOSE(CONTROL!$C$9, $C$13, 100%, $E$13) + CHOOSE(CONTROL!$C$28, 0.0021, 0)</f>
        <v>28.230699999999999</v>
      </c>
      <c r="E156" s="4">
        <f>126.608412994705 * CHOOSE(CONTROL!$C$9, $C$13, 100%, $E$13) + CHOOSE(CONTROL!$C$28, 0.0021, 0)</f>
        <v>126.610512994705</v>
      </c>
    </row>
    <row r="157" spans="1:5" ht="15">
      <c r="A157" s="13">
        <v>46266</v>
      </c>
      <c r="B157" s="4">
        <f>19.2996 * CHOOSE(CONTROL!$C$9, $C$13, 100%, $E$13) + CHOOSE(CONTROL!$C$28, 0.0415, 0)</f>
        <v>19.341100000000001</v>
      </c>
      <c r="C157" s="4">
        <f>18.9363 * CHOOSE(CONTROL!$C$9, $C$13, 100%, $E$13) + CHOOSE(CONTROL!$C$28, 0.0415, 0)</f>
        <v>18.977799999999998</v>
      </c>
      <c r="D157" s="4">
        <f>28.0936 * CHOOSE(CONTROL!$C$9, $C$13, 100%, $E$13) + CHOOSE(CONTROL!$C$28, 0.0021, 0)</f>
        <v>28.095699999999997</v>
      </c>
      <c r="E157" s="4">
        <f>121.562960041525 * CHOOSE(CONTROL!$C$9, $C$13, 100%, $E$13) + CHOOSE(CONTROL!$C$28, 0.0021, 0)</f>
        <v>121.565060041525</v>
      </c>
    </row>
    <row r="158" spans="1:5" ht="15">
      <c r="A158" s="13">
        <v>46296</v>
      </c>
      <c r="B158" s="4">
        <f>18.6841 * CHOOSE(CONTROL!$C$9, $C$13, 100%, $E$13) + CHOOSE(CONTROL!$C$28, 0.0211, 0)</f>
        <v>18.705200000000001</v>
      </c>
      <c r="C158" s="4">
        <f>18.3208 * CHOOSE(CONTROL!$C$9, $C$13, 100%, $E$13) + CHOOSE(CONTROL!$C$28, 0.0211, 0)</f>
        <v>18.341899999999999</v>
      </c>
      <c r="D158" s="4">
        <f>27.732 * CHOOSE(CONTROL!$C$9, $C$13, 100%, $E$13) + CHOOSE(CONTROL!$C$28, 0.0021, 0)</f>
        <v>27.734099999999998</v>
      </c>
      <c r="E158" s="4">
        <f>117.523974961397 * CHOOSE(CONTROL!$C$9, $C$13, 100%, $E$13) + CHOOSE(CONTROL!$C$28, 0.0021, 0)</f>
        <v>117.526074961397</v>
      </c>
    </row>
    <row r="159" spans="1:5" ht="15">
      <c r="A159" s="13">
        <v>46327</v>
      </c>
      <c r="B159" s="4">
        <f>18.2876 * CHOOSE(CONTROL!$C$9, $C$13, 100%, $E$13) + CHOOSE(CONTROL!$C$28, 0.0211, 0)</f>
        <v>18.308700000000002</v>
      </c>
      <c r="C159" s="4">
        <f>17.9243 * CHOOSE(CONTROL!$C$9, $C$13, 100%, $E$13) + CHOOSE(CONTROL!$C$28, 0.0211, 0)</f>
        <v>17.945399999999999</v>
      </c>
      <c r="D159" s="4">
        <f>27.6077 * CHOOSE(CONTROL!$C$9, $C$13, 100%, $E$13) + CHOOSE(CONTROL!$C$28, 0.0021, 0)</f>
        <v>27.6098</v>
      </c>
      <c r="E159" s="4">
        <f>114.922566957272 * CHOOSE(CONTROL!$C$9, $C$13, 100%, $E$13) + CHOOSE(CONTROL!$C$28, 0.0021, 0)</f>
        <v>114.924666957272</v>
      </c>
    </row>
    <row r="160" spans="1:5" ht="15">
      <c r="A160" s="13">
        <v>46357</v>
      </c>
      <c r="B160" s="4">
        <f>18.0133 * CHOOSE(CONTROL!$C$9, $C$13, 100%, $E$13) + CHOOSE(CONTROL!$C$28, 0.0211, 0)</f>
        <v>18.034400000000002</v>
      </c>
      <c r="C160" s="4">
        <f>17.65 * CHOOSE(CONTROL!$C$9, $C$13, 100%, $E$13) + CHOOSE(CONTROL!$C$28, 0.0211, 0)</f>
        <v>17.671099999999999</v>
      </c>
      <c r="D160" s="4">
        <f>26.6925 * CHOOSE(CONTROL!$C$9, $C$13, 100%, $E$13) + CHOOSE(CONTROL!$C$28, 0.0021, 0)</f>
        <v>26.694599999999998</v>
      </c>
      <c r="E160" s="4">
        <f>113.122727014909 * CHOOSE(CONTROL!$C$9, $C$13, 100%, $E$13) + CHOOSE(CONTROL!$C$28, 0.0021, 0)</f>
        <v>113.124827014909</v>
      </c>
    </row>
    <row r="161" spans="1:5" ht="15">
      <c r="A161" s="13">
        <v>46388</v>
      </c>
      <c r="B161" s="4">
        <f>17.5427 * CHOOSE(CONTROL!$C$9, $C$13, 100%, $E$13) + CHOOSE(CONTROL!$C$28, 0.0211, 0)</f>
        <v>17.563800000000001</v>
      </c>
      <c r="C161" s="4">
        <f>17.1794 * CHOOSE(CONTROL!$C$9, $C$13, 100%, $E$13) + CHOOSE(CONTROL!$C$28, 0.0211, 0)</f>
        <v>17.200500000000002</v>
      </c>
      <c r="D161" s="4">
        <f>25.9547 * CHOOSE(CONTROL!$C$9, $C$13, 100%, $E$13) + CHOOSE(CONTROL!$C$28, 0.0021, 0)</f>
        <v>25.956799999999998</v>
      </c>
      <c r="E161" s="4">
        <f>109.999132976477 * CHOOSE(CONTROL!$C$9, $C$13, 100%, $E$13) + CHOOSE(CONTROL!$C$28, 0.0021, 0)</f>
        <v>110.001232976477</v>
      </c>
    </row>
    <row r="162" spans="1:5" ht="15">
      <c r="A162" s="13">
        <v>46419</v>
      </c>
      <c r="B162" s="4">
        <f>17.9408 * CHOOSE(CONTROL!$C$9, $C$13, 100%, $E$13) + CHOOSE(CONTROL!$C$28, 0.0211, 0)</f>
        <v>17.9619</v>
      </c>
      <c r="C162" s="4">
        <f>17.5776 * CHOOSE(CONTROL!$C$9, $C$13, 100%, $E$13) + CHOOSE(CONTROL!$C$28, 0.0211, 0)</f>
        <v>17.598700000000001</v>
      </c>
      <c r="D162" s="4">
        <f>26.8054 * CHOOSE(CONTROL!$C$9, $C$13, 100%, $E$13) + CHOOSE(CONTROL!$C$28, 0.0021, 0)</f>
        <v>26.807499999999997</v>
      </c>
      <c r="E162" s="4">
        <f>112.61094588996 * CHOOSE(CONTROL!$C$9, $C$13, 100%, $E$13) + CHOOSE(CONTROL!$C$28, 0.0021, 0)</f>
        <v>112.61304588996001</v>
      </c>
    </row>
    <row r="163" spans="1:5" ht="15">
      <c r="A163" s="13">
        <v>46447</v>
      </c>
      <c r="B163" s="4">
        <f>18.9865 * CHOOSE(CONTROL!$C$9, $C$13, 100%, $E$13) + CHOOSE(CONTROL!$C$28, 0.0211, 0)</f>
        <v>19.0076</v>
      </c>
      <c r="C163" s="4">
        <f>18.6232 * CHOOSE(CONTROL!$C$9, $C$13, 100%, $E$13) + CHOOSE(CONTROL!$C$28, 0.0211, 0)</f>
        <v>18.644300000000001</v>
      </c>
      <c r="D163" s="4">
        <f>28.1371 * CHOOSE(CONTROL!$C$9, $C$13, 100%, $E$13) + CHOOSE(CONTROL!$C$28, 0.0021, 0)</f>
        <v>28.139199999999999</v>
      </c>
      <c r="E163" s="4">
        <f>119.469705400935 * CHOOSE(CONTROL!$C$9, $C$13, 100%, $E$13) + CHOOSE(CONTROL!$C$28, 0.0021, 0)</f>
        <v>119.471805400935</v>
      </c>
    </row>
    <row r="164" spans="1:5" ht="15">
      <c r="A164" s="13">
        <v>46478</v>
      </c>
      <c r="B164" s="4">
        <f>19.7294 * CHOOSE(CONTROL!$C$9, $C$13, 100%, $E$13) + CHOOSE(CONTROL!$C$28, 0.0211, 0)</f>
        <v>19.750499999999999</v>
      </c>
      <c r="C164" s="4">
        <f>19.3661 * CHOOSE(CONTROL!$C$9, $C$13, 100%, $E$13) + CHOOSE(CONTROL!$C$28, 0.0211, 0)</f>
        <v>19.3872</v>
      </c>
      <c r="D164" s="4">
        <f>28.9041 * CHOOSE(CONTROL!$C$9, $C$13, 100%, $E$13) + CHOOSE(CONTROL!$C$28, 0.0021, 0)</f>
        <v>28.906199999999998</v>
      </c>
      <c r="E164" s="4">
        <f>124.342945438471 * CHOOSE(CONTROL!$C$9, $C$13, 100%, $E$13) + CHOOSE(CONTROL!$C$28, 0.0021, 0)</f>
        <v>124.345045438471</v>
      </c>
    </row>
    <row r="165" spans="1:5" ht="15">
      <c r="A165" s="13">
        <v>46508</v>
      </c>
      <c r="B165" s="4">
        <f>20.1833 * CHOOSE(CONTROL!$C$9, $C$13, 100%, $E$13) + CHOOSE(CONTROL!$C$28, 0.0415, 0)</f>
        <v>20.224799999999998</v>
      </c>
      <c r="C165" s="4">
        <f>19.82 * CHOOSE(CONTROL!$C$9, $C$13, 100%, $E$13) + CHOOSE(CONTROL!$C$28, 0.0415, 0)</f>
        <v>19.861499999999999</v>
      </c>
      <c r="D165" s="4">
        <f>28.601 * CHOOSE(CONTROL!$C$9, $C$13, 100%, $E$13) + CHOOSE(CONTROL!$C$28, 0.0021, 0)</f>
        <v>28.603099999999998</v>
      </c>
      <c r="E165" s="4">
        <f>127.320378306142 * CHOOSE(CONTROL!$C$9, $C$13, 100%, $E$13) + CHOOSE(CONTROL!$C$28, 0.0021, 0)</f>
        <v>127.322478306142</v>
      </c>
    </row>
    <row r="166" spans="1:5" ht="15">
      <c r="A166" s="13">
        <v>46539</v>
      </c>
      <c r="B166" s="4">
        <f>20.2447 * CHOOSE(CONTROL!$C$9, $C$13, 100%, $E$13) + CHOOSE(CONTROL!$C$28, 0.0415, 0)</f>
        <v>20.286200000000001</v>
      </c>
      <c r="C166" s="4">
        <f>19.8814 * CHOOSE(CONTROL!$C$9, $C$13, 100%, $E$13) + CHOOSE(CONTROL!$C$28, 0.0415, 0)</f>
        <v>19.922899999999998</v>
      </c>
      <c r="D166" s="4">
        <f>28.8479 * CHOOSE(CONTROL!$C$9, $C$13, 100%, $E$13) + CHOOSE(CONTROL!$C$28, 0.0021, 0)</f>
        <v>28.849999999999998</v>
      </c>
      <c r="E166" s="4">
        <f>127.723237329738 * CHOOSE(CONTROL!$C$9, $C$13, 100%, $E$13) + CHOOSE(CONTROL!$C$28, 0.0021, 0)</f>
        <v>127.725337329738</v>
      </c>
    </row>
    <row r="167" spans="1:5" ht="15">
      <c r="A167" s="13">
        <v>46569</v>
      </c>
      <c r="B167" s="4">
        <f>20.2385 * CHOOSE(CONTROL!$C$9, $C$13, 100%, $E$13) + CHOOSE(CONTROL!$C$28, 0.0415, 0)</f>
        <v>20.279999999999998</v>
      </c>
      <c r="C167" s="4">
        <f>19.8752 * CHOOSE(CONTROL!$C$9, $C$13, 100%, $E$13) + CHOOSE(CONTROL!$C$28, 0.0415, 0)</f>
        <v>19.916699999999999</v>
      </c>
      <c r="D167" s="4">
        <f>29.2933 * CHOOSE(CONTROL!$C$9, $C$13, 100%, $E$13) + CHOOSE(CONTROL!$C$28, 0.0021, 0)</f>
        <v>29.295399999999997</v>
      </c>
      <c r="E167" s="4">
        <f>127.682612890384 * CHOOSE(CONTROL!$C$9, $C$13, 100%, $E$13) + CHOOSE(CONTROL!$C$28, 0.0021, 0)</f>
        <v>127.68471289038399</v>
      </c>
    </row>
    <row r="168" spans="1:5" ht="15">
      <c r="A168" s="13">
        <v>46600</v>
      </c>
      <c r="B168" s="4">
        <f>20.7045 * CHOOSE(CONTROL!$C$9, $C$13, 100%, $E$13) + CHOOSE(CONTROL!$C$28, 0.0415, 0)</f>
        <v>20.745999999999999</v>
      </c>
      <c r="C168" s="4">
        <f>20.3413 * CHOOSE(CONTROL!$C$9, $C$13, 100%, $E$13) + CHOOSE(CONTROL!$C$28, 0.0415, 0)</f>
        <v>20.3828</v>
      </c>
      <c r="D168" s="4">
        <f>28.9992 * CHOOSE(CONTROL!$C$9, $C$13, 100%, $E$13) + CHOOSE(CONTROL!$C$28, 0.0021, 0)</f>
        <v>29.001299999999997</v>
      </c>
      <c r="E168" s="4">
        <f>130.739601951791 * CHOOSE(CONTROL!$C$9, $C$13, 100%, $E$13) + CHOOSE(CONTROL!$C$28, 0.0021, 0)</f>
        <v>130.74170195179101</v>
      </c>
    </row>
    <row r="169" spans="1:5" ht="15">
      <c r="A169" s="13">
        <v>46631</v>
      </c>
      <c r="B169" s="4">
        <f>19.9103 * CHOOSE(CONTROL!$C$9, $C$13, 100%, $E$13) + CHOOSE(CONTROL!$C$28, 0.0415, 0)</f>
        <v>19.951799999999999</v>
      </c>
      <c r="C169" s="4">
        <f>19.547 * CHOOSE(CONTROL!$C$9, $C$13, 100%, $E$13) + CHOOSE(CONTROL!$C$28, 0.0415, 0)</f>
        <v>19.5885</v>
      </c>
      <c r="D169" s="4">
        <f>28.8602 * CHOOSE(CONTROL!$C$9, $C$13, 100%, $E$13) + CHOOSE(CONTROL!$C$28, 0.0021, 0)</f>
        <v>28.862299999999998</v>
      </c>
      <c r="E169" s="4">
        <f>125.529517604609 * CHOOSE(CONTROL!$C$9, $C$13, 100%, $E$13) + CHOOSE(CONTROL!$C$28, 0.0021, 0)</f>
        <v>125.531617604609</v>
      </c>
    </row>
    <row r="170" spans="1:5" ht="15">
      <c r="A170" s="13">
        <v>46661</v>
      </c>
      <c r="B170" s="4">
        <f>19.2744 * CHOOSE(CONTROL!$C$9, $C$13, 100%, $E$13) + CHOOSE(CONTROL!$C$28, 0.0211, 0)</f>
        <v>19.295500000000001</v>
      </c>
      <c r="C170" s="4">
        <f>18.9112 * CHOOSE(CONTROL!$C$9, $C$13, 100%, $E$13) + CHOOSE(CONTROL!$C$28, 0.0211, 0)</f>
        <v>18.932300000000001</v>
      </c>
      <c r="D170" s="4">
        <f>28.488 * CHOOSE(CONTROL!$C$9, $C$13, 100%, $E$13) + CHOOSE(CONTROL!$C$28, 0.0021, 0)</f>
        <v>28.490099999999998</v>
      </c>
      <c r="E170" s="4">
        <f>121.358741830907 * CHOOSE(CONTROL!$C$9, $C$13, 100%, $E$13) + CHOOSE(CONTROL!$C$28, 0.0021, 0)</f>
        <v>121.36084183090699</v>
      </c>
    </row>
    <row r="171" spans="1:5" ht="15">
      <c r="A171" s="13">
        <v>46692</v>
      </c>
      <c r="B171" s="4">
        <f>18.8649 * CHOOSE(CONTROL!$C$9, $C$13, 100%, $E$13) + CHOOSE(CONTROL!$C$28, 0.0211, 0)</f>
        <v>18.885999999999999</v>
      </c>
      <c r="C171" s="4">
        <f>18.5016 * CHOOSE(CONTROL!$C$9, $C$13, 100%, $E$13) + CHOOSE(CONTROL!$C$28, 0.0211, 0)</f>
        <v>18.5227</v>
      </c>
      <c r="D171" s="4">
        <f>28.3601 * CHOOSE(CONTROL!$C$9, $C$13, 100%, $E$13) + CHOOSE(CONTROL!$C$28, 0.0021, 0)</f>
        <v>28.362199999999998</v>
      </c>
      <c r="E171" s="4">
        <f>118.672450778608 * CHOOSE(CONTROL!$C$9, $C$13, 100%, $E$13) + CHOOSE(CONTROL!$C$28, 0.0021, 0)</f>
        <v>118.67455077860799</v>
      </c>
    </row>
    <row r="172" spans="1:5" ht="15">
      <c r="A172" s="13">
        <v>46722</v>
      </c>
      <c r="B172" s="4">
        <f>18.5816 * CHOOSE(CONTROL!$C$9, $C$13, 100%, $E$13) + CHOOSE(CONTROL!$C$28, 0.0211, 0)</f>
        <v>18.602700000000002</v>
      </c>
      <c r="C172" s="4">
        <f>18.2183 * CHOOSE(CONTROL!$C$9, $C$13, 100%, $E$13) + CHOOSE(CONTROL!$C$28, 0.0211, 0)</f>
        <v>18.2394</v>
      </c>
      <c r="D172" s="4">
        <f>27.4182 * CHOOSE(CONTROL!$C$9, $C$13, 100%, $E$13) + CHOOSE(CONTROL!$C$28, 0.0021, 0)</f>
        <v>27.420299999999997</v>
      </c>
      <c r="E172" s="4">
        <f>116.813882678151 * CHOOSE(CONTROL!$C$9, $C$13, 100%, $E$13) + CHOOSE(CONTROL!$C$28, 0.0021, 0)</f>
        <v>116.815982678151</v>
      </c>
    </row>
    <row r="173" spans="1:5" ht="15">
      <c r="A173" s="13">
        <v>46753</v>
      </c>
      <c r="B173" s="4">
        <f>18.0419 * CHOOSE(CONTROL!$C$9, $C$13, 100%, $E$13) + CHOOSE(CONTROL!$C$28, 0.0211, 0)</f>
        <v>18.062999999999999</v>
      </c>
      <c r="C173" s="4">
        <f>17.6787 * CHOOSE(CONTROL!$C$9, $C$13, 100%, $E$13) + CHOOSE(CONTROL!$C$28, 0.0211, 0)</f>
        <v>17.6998</v>
      </c>
      <c r="D173" s="4">
        <f>26.5849 * CHOOSE(CONTROL!$C$9, $C$13, 100%, $E$13) + CHOOSE(CONTROL!$C$28, 0.0021, 0)</f>
        <v>26.587</v>
      </c>
      <c r="E173" s="4">
        <f>113.470730280802 * CHOOSE(CONTROL!$C$9, $C$13, 100%, $E$13) + CHOOSE(CONTROL!$C$28, 0.0021, 0)</f>
        <v>113.472830280802</v>
      </c>
    </row>
    <row r="174" spans="1:5" ht="15">
      <c r="A174" s="13">
        <v>46784</v>
      </c>
      <c r="B174" s="4">
        <f>18.452 * CHOOSE(CONTROL!$C$9, $C$13, 100%, $E$13) + CHOOSE(CONTROL!$C$28, 0.0211, 0)</f>
        <v>18.473100000000002</v>
      </c>
      <c r="C174" s="4">
        <f>18.0887 * CHOOSE(CONTROL!$C$9, $C$13, 100%, $E$13) + CHOOSE(CONTROL!$C$28, 0.0211, 0)</f>
        <v>18.1098</v>
      </c>
      <c r="D174" s="4">
        <f>27.4578 * CHOOSE(CONTROL!$C$9, $C$13, 100%, $E$13) + CHOOSE(CONTROL!$C$28, 0.0021, 0)</f>
        <v>27.459899999999998</v>
      </c>
      <c r="E174" s="4">
        <f>116.16497259554 * CHOOSE(CONTROL!$C$9, $C$13, 100%, $E$13) + CHOOSE(CONTROL!$C$28, 0.0021, 0)</f>
        <v>116.16707259553999</v>
      </c>
    </row>
    <row r="175" spans="1:5" ht="15">
      <c r="A175" s="13">
        <v>46813</v>
      </c>
      <c r="B175" s="4">
        <f>19.5287 * CHOOSE(CONTROL!$C$9, $C$13, 100%, $E$13) + CHOOSE(CONTROL!$C$28, 0.0211, 0)</f>
        <v>19.549800000000001</v>
      </c>
      <c r="C175" s="4">
        <f>19.1654 * CHOOSE(CONTROL!$C$9, $C$13, 100%, $E$13) + CHOOSE(CONTROL!$C$28, 0.0211, 0)</f>
        <v>19.186500000000002</v>
      </c>
      <c r="D175" s="4">
        <f>28.8243 * CHOOSE(CONTROL!$C$9, $C$13, 100%, $E$13) + CHOOSE(CONTROL!$C$28, 0.0021, 0)</f>
        <v>28.8264</v>
      </c>
      <c r="E175" s="4">
        <f>123.240196094776 * CHOOSE(CONTROL!$C$9, $C$13, 100%, $E$13) + CHOOSE(CONTROL!$C$28, 0.0021, 0)</f>
        <v>123.24229609477599</v>
      </c>
    </row>
    <row r="176" spans="1:5" ht="15">
      <c r="A176" s="13">
        <v>46844</v>
      </c>
      <c r="B176" s="4">
        <f>20.2937 * CHOOSE(CONTROL!$C$9, $C$13, 100%, $E$13) + CHOOSE(CONTROL!$C$28, 0.0211, 0)</f>
        <v>20.314800000000002</v>
      </c>
      <c r="C176" s="4">
        <f>19.9305 * CHOOSE(CONTROL!$C$9, $C$13, 100%, $E$13) + CHOOSE(CONTROL!$C$28, 0.0211, 0)</f>
        <v>19.951599999999999</v>
      </c>
      <c r="D176" s="4">
        <f>29.6114 * CHOOSE(CONTROL!$C$9, $C$13, 100%, $E$13) + CHOOSE(CONTROL!$C$28, 0.0021, 0)</f>
        <v>29.613499999999998</v>
      </c>
      <c r="E176" s="4">
        <f>128.267236680733 * CHOOSE(CONTROL!$C$9, $C$13, 100%, $E$13) + CHOOSE(CONTROL!$C$28, 0.0021, 0)</f>
        <v>128.26933668073301</v>
      </c>
    </row>
    <row r="177" spans="1:5" ht="15">
      <c r="A177" s="13">
        <v>46874</v>
      </c>
      <c r="B177" s="4">
        <f>20.7612 * CHOOSE(CONTROL!$C$9, $C$13, 100%, $E$13) + CHOOSE(CONTROL!$C$28, 0.0415, 0)</f>
        <v>20.802699999999998</v>
      </c>
      <c r="C177" s="4">
        <f>20.3979 * CHOOSE(CONTROL!$C$9, $C$13, 100%, $E$13) + CHOOSE(CONTROL!$C$28, 0.0415, 0)</f>
        <v>20.439399999999999</v>
      </c>
      <c r="D177" s="4">
        <f>29.3004 * CHOOSE(CONTROL!$C$9, $C$13, 100%, $E$13) + CHOOSE(CONTROL!$C$28, 0.0021, 0)</f>
        <v>29.302499999999998</v>
      </c>
      <c r="E177" s="4">
        <f>131.338637997405 * CHOOSE(CONTROL!$C$9, $C$13, 100%, $E$13) + CHOOSE(CONTROL!$C$28, 0.0021, 0)</f>
        <v>131.340737997405</v>
      </c>
    </row>
    <row r="178" spans="1:5" ht="15">
      <c r="A178" s="13">
        <v>46905</v>
      </c>
      <c r="B178" s="4">
        <f>20.8244 * CHOOSE(CONTROL!$C$9, $C$13, 100%, $E$13) + CHOOSE(CONTROL!$C$28, 0.0415, 0)</f>
        <v>20.8659</v>
      </c>
      <c r="C178" s="4">
        <f>20.4611 * CHOOSE(CONTROL!$C$9, $C$13, 100%, $E$13) + CHOOSE(CONTROL!$C$28, 0.0415, 0)</f>
        <v>20.502599999999997</v>
      </c>
      <c r="D178" s="4">
        <f>29.5537 * CHOOSE(CONTROL!$C$9, $C$13, 100%, $E$13) + CHOOSE(CONTROL!$C$28, 0.0021, 0)</f>
        <v>29.555799999999998</v>
      </c>
      <c r="E178" s="4">
        <f>131.754211342128 * CHOOSE(CONTROL!$C$9, $C$13, 100%, $E$13) + CHOOSE(CONTROL!$C$28, 0.0021, 0)</f>
        <v>131.75631134212801</v>
      </c>
    </row>
    <row r="179" spans="1:5" ht="15">
      <c r="A179" s="13">
        <v>46935</v>
      </c>
      <c r="B179" s="4">
        <f>20.818 * CHOOSE(CONTROL!$C$9, $C$13, 100%, $E$13) + CHOOSE(CONTROL!$C$28, 0.0415, 0)</f>
        <v>20.859500000000001</v>
      </c>
      <c r="C179" s="4">
        <f>20.4547 * CHOOSE(CONTROL!$C$9, $C$13, 100%, $E$13) + CHOOSE(CONTROL!$C$28, 0.0415, 0)</f>
        <v>20.496199999999998</v>
      </c>
      <c r="D179" s="4">
        <f>30.0108 * CHOOSE(CONTROL!$C$9, $C$13, 100%, $E$13) + CHOOSE(CONTROL!$C$28, 0.0021, 0)</f>
        <v>30.012899999999998</v>
      </c>
      <c r="E179" s="4">
        <f>131.712304786358 * CHOOSE(CONTROL!$C$9, $C$13, 100%, $E$13) + CHOOSE(CONTROL!$C$28, 0.0021, 0)</f>
        <v>131.71440478635802</v>
      </c>
    </row>
    <row r="180" spans="1:5" ht="15">
      <c r="A180" s="13">
        <v>46966</v>
      </c>
      <c r="B180" s="4">
        <f>21.2979 * CHOOSE(CONTROL!$C$9, $C$13, 100%, $E$13) + CHOOSE(CONTROL!$C$28, 0.0415, 0)</f>
        <v>21.339399999999998</v>
      </c>
      <c r="C180" s="4">
        <f>20.9346 * CHOOSE(CONTROL!$C$9, $C$13, 100%, $E$13) + CHOOSE(CONTROL!$C$28, 0.0415, 0)</f>
        <v>20.976099999999999</v>
      </c>
      <c r="D180" s="4">
        <f>29.7089 * CHOOSE(CONTROL!$C$9, $C$13, 100%, $E$13) + CHOOSE(CONTROL!$C$28, 0.0021, 0)</f>
        <v>29.710999999999999</v>
      </c>
      <c r="E180" s="4">
        <f>134.86577310808 * CHOOSE(CONTROL!$C$9, $C$13, 100%, $E$13) + CHOOSE(CONTROL!$C$28, 0.0021, 0)</f>
        <v>134.86787310808</v>
      </c>
    </row>
    <row r="181" spans="1:5" ht="15">
      <c r="A181" s="13">
        <v>46997</v>
      </c>
      <c r="B181" s="4">
        <f>20.48 * CHOOSE(CONTROL!$C$9, $C$13, 100%, $E$13) + CHOOSE(CONTROL!$C$28, 0.0415, 0)</f>
        <v>20.5215</v>
      </c>
      <c r="C181" s="4">
        <f>20.1167 * CHOOSE(CONTROL!$C$9, $C$13, 100%, $E$13) + CHOOSE(CONTROL!$C$28, 0.0415, 0)</f>
        <v>20.158200000000001</v>
      </c>
      <c r="D181" s="4">
        <f>29.5663 * CHOOSE(CONTROL!$C$9, $C$13, 100%, $E$13) + CHOOSE(CONTROL!$C$28, 0.0021, 0)</f>
        <v>29.568399999999997</v>
      </c>
      <c r="E181" s="4">
        <f>129.491257330527 * CHOOSE(CONTROL!$C$9, $C$13, 100%, $E$13) + CHOOSE(CONTROL!$C$28, 0.0021, 0)</f>
        <v>129.493357330527</v>
      </c>
    </row>
    <row r="182" spans="1:5" ht="15">
      <c r="A182" s="13">
        <v>47027</v>
      </c>
      <c r="B182" s="4">
        <f>19.8253 * CHOOSE(CONTROL!$C$9, $C$13, 100%, $E$13) + CHOOSE(CONTROL!$C$28, 0.0211, 0)</f>
        <v>19.846399999999999</v>
      </c>
      <c r="C182" s="4">
        <f>19.462 * CHOOSE(CONTROL!$C$9, $C$13, 100%, $E$13) + CHOOSE(CONTROL!$C$28, 0.0211, 0)</f>
        <v>19.4831</v>
      </c>
      <c r="D182" s="4">
        <f>29.1844 * CHOOSE(CONTROL!$C$9, $C$13, 100%, $E$13) + CHOOSE(CONTROL!$C$28, 0.0021, 0)</f>
        <v>29.186499999999999</v>
      </c>
      <c r="E182" s="4">
        <f>125.188850938099 * CHOOSE(CONTROL!$C$9, $C$13, 100%, $E$13) + CHOOSE(CONTROL!$C$28, 0.0021, 0)</f>
        <v>125.19095093809899</v>
      </c>
    </row>
    <row r="183" spans="1:5" ht="15">
      <c r="A183" s="13">
        <v>47058</v>
      </c>
      <c r="B183" s="4">
        <f>19.4035 * CHOOSE(CONTROL!$C$9, $C$13, 100%, $E$13) + CHOOSE(CONTROL!$C$28, 0.0211, 0)</f>
        <v>19.424600000000002</v>
      </c>
      <c r="C183" s="4">
        <f>19.0403 * CHOOSE(CONTROL!$C$9, $C$13, 100%, $E$13) + CHOOSE(CONTROL!$C$28, 0.0211, 0)</f>
        <v>19.061399999999999</v>
      </c>
      <c r="D183" s="4">
        <f>29.0532 * CHOOSE(CONTROL!$C$9, $C$13, 100%, $E$13) + CHOOSE(CONTROL!$C$28, 0.0021, 0)</f>
        <v>29.055299999999999</v>
      </c>
      <c r="E183" s="4">
        <f>122.417779937782 * CHOOSE(CONTROL!$C$9, $C$13, 100%, $E$13) + CHOOSE(CONTROL!$C$28, 0.0021, 0)</f>
        <v>122.419879937782</v>
      </c>
    </row>
    <row r="184" spans="1:5" ht="15">
      <c r="A184" s="13">
        <v>47088</v>
      </c>
      <c r="B184" s="4">
        <f>19.1118 * CHOOSE(CONTROL!$C$9, $C$13, 100%, $E$13) + CHOOSE(CONTROL!$C$28, 0.0211, 0)</f>
        <v>19.132899999999999</v>
      </c>
      <c r="C184" s="4">
        <f>18.7485 * CHOOSE(CONTROL!$C$9, $C$13, 100%, $E$13) + CHOOSE(CONTROL!$C$28, 0.0211, 0)</f>
        <v>18.769600000000001</v>
      </c>
      <c r="D184" s="4">
        <f>28.0866 * CHOOSE(CONTROL!$C$9, $C$13, 100%, $E$13) + CHOOSE(CONTROL!$C$28, 0.0021, 0)</f>
        <v>28.088699999999999</v>
      </c>
      <c r="E184" s="4">
        <f>120.500555011286 * CHOOSE(CONTROL!$C$9, $C$13, 100%, $E$13) + CHOOSE(CONTROL!$C$28, 0.0021, 0)</f>
        <v>120.502655011286</v>
      </c>
    </row>
    <row r="185" spans="1:5" ht="15">
      <c r="A185" s="13">
        <v>47119</v>
      </c>
      <c r="B185" s="4">
        <f>18.5829 * CHOOSE(CONTROL!$C$9, $C$13, 100%, $E$13) + CHOOSE(CONTROL!$C$28, 0.0211, 0)</f>
        <v>18.603999999999999</v>
      </c>
      <c r="C185" s="4">
        <f>18.2196 * CHOOSE(CONTROL!$C$9, $C$13, 100%, $E$13) + CHOOSE(CONTROL!$C$28, 0.0211, 0)</f>
        <v>18.2407</v>
      </c>
      <c r="D185" s="4">
        <f>27.1689 * CHOOSE(CONTROL!$C$9, $C$13, 100%, $E$13) + CHOOSE(CONTROL!$C$28, 0.0021, 0)</f>
        <v>27.170999999999999</v>
      </c>
      <c r="E185" s="4">
        <f>116.937940516001 * CHOOSE(CONTROL!$C$9, $C$13, 100%, $E$13) + CHOOSE(CONTROL!$C$28, 0.0021, 0)</f>
        <v>116.94004051600101</v>
      </c>
    </row>
    <row r="186" spans="1:5" ht="15">
      <c r="A186" s="13">
        <v>47150</v>
      </c>
      <c r="B186" s="4">
        <f>19.0057 * CHOOSE(CONTROL!$C$9, $C$13, 100%, $E$13) + CHOOSE(CONTROL!$C$28, 0.0211, 0)</f>
        <v>19.026800000000001</v>
      </c>
      <c r="C186" s="4">
        <f>18.6425 * CHOOSE(CONTROL!$C$9, $C$13, 100%, $E$13) + CHOOSE(CONTROL!$C$28, 0.0211, 0)</f>
        <v>18.663599999999999</v>
      </c>
      <c r="D186" s="4">
        <f>28.0624 * CHOOSE(CONTROL!$C$9, $C$13, 100%, $E$13) + CHOOSE(CONTROL!$C$28, 0.0021, 0)</f>
        <v>28.064499999999999</v>
      </c>
      <c r="E186" s="4">
        <f>119.714508065684 * CHOOSE(CONTROL!$C$9, $C$13, 100%, $E$13) + CHOOSE(CONTROL!$C$28, 0.0021, 0)</f>
        <v>119.716608065684</v>
      </c>
    </row>
    <row r="187" spans="1:5" ht="15">
      <c r="A187" s="13">
        <v>47178</v>
      </c>
      <c r="B187" s="4">
        <f>20.1162 * CHOOSE(CONTROL!$C$9, $C$13, 100%, $E$13) + CHOOSE(CONTROL!$C$28, 0.0211, 0)</f>
        <v>20.1373</v>
      </c>
      <c r="C187" s="4">
        <f>19.7529 * CHOOSE(CONTROL!$C$9, $C$13, 100%, $E$13) + CHOOSE(CONTROL!$C$28, 0.0211, 0)</f>
        <v>19.774000000000001</v>
      </c>
      <c r="D187" s="4">
        <f>29.4612 * CHOOSE(CONTROL!$C$9, $C$13, 100%, $E$13) + CHOOSE(CONTROL!$C$28, 0.0021, 0)</f>
        <v>29.4633</v>
      </c>
      <c r="E187" s="4">
        <f>127.005922006914 * CHOOSE(CONTROL!$C$9, $C$13, 100%, $E$13) + CHOOSE(CONTROL!$C$28, 0.0021, 0)</f>
        <v>127.008022006914</v>
      </c>
    </row>
    <row r="188" spans="1:5" ht="15">
      <c r="A188" s="13">
        <v>47209</v>
      </c>
      <c r="B188" s="4">
        <f>20.9052 * CHOOSE(CONTROL!$C$9, $C$13, 100%, $E$13) + CHOOSE(CONTROL!$C$28, 0.0211, 0)</f>
        <v>20.926300000000001</v>
      </c>
      <c r="C188" s="4">
        <f>20.5419 * CHOOSE(CONTROL!$C$9, $C$13, 100%, $E$13) + CHOOSE(CONTROL!$C$28, 0.0211, 0)</f>
        <v>20.562999999999999</v>
      </c>
      <c r="D188" s="4">
        <f>30.2669 * CHOOSE(CONTROL!$C$9, $C$13, 100%, $E$13) + CHOOSE(CONTROL!$C$28, 0.0021, 0)</f>
        <v>30.268999999999998</v>
      </c>
      <c r="E188" s="4">
        <f>132.186568783025 * CHOOSE(CONTROL!$C$9, $C$13, 100%, $E$13) + CHOOSE(CONTROL!$C$28, 0.0021, 0)</f>
        <v>132.18866878302501</v>
      </c>
    </row>
    <row r="189" spans="1:5" ht="15">
      <c r="A189" s="13">
        <v>47239</v>
      </c>
      <c r="B189" s="4">
        <f>21.3873 * CHOOSE(CONTROL!$C$9, $C$13, 100%, $E$13) + CHOOSE(CONTROL!$C$28, 0.0415, 0)</f>
        <v>21.428799999999999</v>
      </c>
      <c r="C189" s="4">
        <f>21.024 * CHOOSE(CONTROL!$C$9, $C$13, 100%, $E$13) + CHOOSE(CONTROL!$C$28, 0.0415, 0)</f>
        <v>21.0655</v>
      </c>
      <c r="D189" s="4">
        <f>29.9485 * CHOOSE(CONTROL!$C$9, $C$13, 100%, $E$13) + CHOOSE(CONTROL!$C$28, 0.0021, 0)</f>
        <v>29.950599999999998</v>
      </c>
      <c r="E189" s="4">
        <f>135.351819800454 * CHOOSE(CONTROL!$C$9, $C$13, 100%, $E$13) + CHOOSE(CONTROL!$C$28, 0.0021, 0)</f>
        <v>135.35391980045401</v>
      </c>
    </row>
    <row r="190" spans="1:5" ht="15">
      <c r="A190" s="13">
        <v>47270</v>
      </c>
      <c r="B190" s="4">
        <f>21.4525 * CHOOSE(CONTROL!$C$9, $C$13, 100%, $E$13) + CHOOSE(CONTROL!$C$28, 0.0415, 0)</f>
        <v>21.494</v>
      </c>
      <c r="C190" s="4">
        <f>21.0892 * CHOOSE(CONTROL!$C$9, $C$13, 100%, $E$13) + CHOOSE(CONTROL!$C$28, 0.0415, 0)</f>
        <v>21.130700000000001</v>
      </c>
      <c r="D190" s="4">
        <f>30.2079 * CHOOSE(CONTROL!$C$9, $C$13, 100%, $E$13) + CHOOSE(CONTROL!$C$28, 0.0021, 0)</f>
        <v>30.209999999999997</v>
      </c>
      <c r="E190" s="4">
        <f>135.780091399174 * CHOOSE(CONTROL!$C$9, $C$13, 100%, $E$13) + CHOOSE(CONTROL!$C$28, 0.0021, 0)</f>
        <v>135.78219139917402</v>
      </c>
    </row>
    <row r="191" spans="1:5" ht="15">
      <c r="A191" s="13">
        <v>47300</v>
      </c>
      <c r="B191" s="4">
        <f>21.4459 * CHOOSE(CONTROL!$C$9, $C$13, 100%, $E$13) + CHOOSE(CONTROL!$C$28, 0.0415, 0)</f>
        <v>21.487400000000001</v>
      </c>
      <c r="C191" s="4">
        <f>21.0826 * CHOOSE(CONTROL!$C$9, $C$13, 100%, $E$13) + CHOOSE(CONTROL!$C$28, 0.0415, 0)</f>
        <v>21.124099999999999</v>
      </c>
      <c r="D191" s="4">
        <f>30.6757 * CHOOSE(CONTROL!$C$9, $C$13, 100%, $E$13) + CHOOSE(CONTROL!$C$28, 0.0021, 0)</f>
        <v>30.677799999999998</v>
      </c>
      <c r="E191" s="4">
        <f>135.736904347203 * CHOOSE(CONTROL!$C$9, $C$13, 100%, $E$13) + CHOOSE(CONTROL!$C$28, 0.0021, 0)</f>
        <v>135.73900434720301</v>
      </c>
    </row>
    <row r="192" spans="1:5" ht="15">
      <c r="A192" s="13">
        <v>47331</v>
      </c>
      <c r="B192" s="4">
        <f>21.9409 * CHOOSE(CONTROL!$C$9, $C$13, 100%, $E$13) + CHOOSE(CONTROL!$C$28, 0.0415, 0)</f>
        <v>21.982399999999998</v>
      </c>
      <c r="C192" s="4">
        <f>21.5776 * CHOOSE(CONTROL!$C$9, $C$13, 100%, $E$13) + CHOOSE(CONTROL!$C$28, 0.0415, 0)</f>
        <v>21.6191</v>
      </c>
      <c r="D192" s="4">
        <f>30.3667 * CHOOSE(CONTROL!$C$9, $C$13, 100%, $E$13) + CHOOSE(CONTROL!$C$28, 0.0021, 0)</f>
        <v>30.3688</v>
      </c>
      <c r="E192" s="4">
        <f>138.986730008077 * CHOOSE(CONTROL!$C$9, $C$13, 100%, $E$13) + CHOOSE(CONTROL!$C$28, 0.0021, 0)</f>
        <v>138.988830008077</v>
      </c>
    </row>
    <row r="193" spans="1:5" ht="15">
      <c r="A193" s="13">
        <v>47362</v>
      </c>
      <c r="B193" s="4">
        <f>21.0973 * CHOOSE(CONTROL!$C$9, $C$13, 100%, $E$13) + CHOOSE(CONTROL!$C$28, 0.0415, 0)</f>
        <v>21.1388</v>
      </c>
      <c r="C193" s="4">
        <f>20.7341 * CHOOSE(CONTROL!$C$9, $C$13, 100%, $E$13) + CHOOSE(CONTROL!$C$28, 0.0415, 0)</f>
        <v>20.775600000000001</v>
      </c>
      <c r="D193" s="4">
        <f>30.2208 * CHOOSE(CONTROL!$C$9, $C$13, 100%, $E$13) + CHOOSE(CONTROL!$C$28, 0.0021, 0)</f>
        <v>30.222899999999999</v>
      </c>
      <c r="E193" s="4">
        <f>133.4479905927 * CHOOSE(CONTROL!$C$9, $C$13, 100%, $E$13) + CHOOSE(CONTROL!$C$28, 0.0021, 0)</f>
        <v>133.45009059270001</v>
      </c>
    </row>
    <row r="194" spans="1:5" ht="15">
      <c r="A194" s="13">
        <v>47392</v>
      </c>
      <c r="B194" s="4">
        <f>20.4221 * CHOOSE(CONTROL!$C$9, $C$13, 100%, $E$13) + CHOOSE(CONTROL!$C$28, 0.0211, 0)</f>
        <v>20.443200000000001</v>
      </c>
      <c r="C194" s="4">
        <f>20.0588 * CHOOSE(CONTROL!$C$9, $C$13, 100%, $E$13) + CHOOSE(CONTROL!$C$28, 0.0211, 0)</f>
        <v>20.079900000000002</v>
      </c>
      <c r="D194" s="4">
        <f>29.8299 * CHOOSE(CONTROL!$C$9, $C$13, 100%, $E$13) + CHOOSE(CONTROL!$C$28, 0.0021, 0)</f>
        <v>29.831999999999997</v>
      </c>
      <c r="E194" s="4">
        <f>129.014119923601 * CHOOSE(CONTROL!$C$9, $C$13, 100%, $E$13) + CHOOSE(CONTROL!$C$28, 0.0021, 0)</f>
        <v>129.016219923601</v>
      </c>
    </row>
    <row r="195" spans="1:5" ht="15">
      <c r="A195" s="13">
        <v>47423</v>
      </c>
      <c r="B195" s="4">
        <f>19.9871 * CHOOSE(CONTROL!$C$9, $C$13, 100%, $E$13) + CHOOSE(CONTROL!$C$28, 0.0211, 0)</f>
        <v>20.008200000000002</v>
      </c>
      <c r="C195" s="4">
        <f>19.6239 * CHOOSE(CONTROL!$C$9, $C$13, 100%, $E$13) + CHOOSE(CONTROL!$C$28, 0.0211, 0)</f>
        <v>19.645</v>
      </c>
      <c r="D195" s="4">
        <f>29.6955 * CHOOSE(CONTROL!$C$9, $C$13, 100%, $E$13) + CHOOSE(CONTROL!$C$28, 0.0021, 0)</f>
        <v>29.697599999999998</v>
      </c>
      <c r="E195" s="4">
        <f>126.158376111969 * CHOOSE(CONTROL!$C$9, $C$13, 100%, $E$13) + CHOOSE(CONTROL!$C$28, 0.0021, 0)</f>
        <v>126.160476111969</v>
      </c>
    </row>
    <row r="196" spans="1:5" ht="15">
      <c r="A196" s="13">
        <v>47453</v>
      </c>
      <c r="B196" s="4">
        <f>19.6862 * CHOOSE(CONTROL!$C$9, $C$13, 100%, $E$13) + CHOOSE(CONTROL!$C$28, 0.0211, 0)</f>
        <v>19.7073</v>
      </c>
      <c r="C196" s="4">
        <f>19.3229 * CHOOSE(CONTROL!$C$9, $C$13, 100%, $E$13) + CHOOSE(CONTROL!$C$28, 0.0211, 0)</f>
        <v>19.344000000000001</v>
      </c>
      <c r="D196" s="4">
        <f>28.7061 * CHOOSE(CONTROL!$C$9, $C$13, 100%, $E$13) + CHOOSE(CONTROL!$C$28, 0.0021, 0)</f>
        <v>28.708199999999998</v>
      </c>
      <c r="E196" s="4">
        <f>124.182568484261 * CHOOSE(CONTROL!$C$9, $C$13, 100%, $E$13) + CHOOSE(CONTROL!$C$28, 0.0021, 0)</f>
        <v>124.184668484261</v>
      </c>
    </row>
    <row r="197" spans="1:5" ht="15">
      <c r="A197" s="13">
        <v>47484</v>
      </c>
      <c r="B197" s="4">
        <f>19.1231 * CHOOSE(CONTROL!$C$9, $C$13, 100%, $E$13) + CHOOSE(CONTROL!$C$28, 0.0211, 0)</f>
        <v>19.144200000000001</v>
      </c>
      <c r="C197" s="4">
        <f>18.7599 * CHOOSE(CONTROL!$C$9, $C$13, 100%, $E$13) + CHOOSE(CONTROL!$C$28, 0.0211, 0)</f>
        <v>18.780999999999999</v>
      </c>
      <c r="D197" s="4">
        <f>27.76 * CHOOSE(CONTROL!$C$9, $C$13, 100%, $E$13) + CHOOSE(CONTROL!$C$28, 0.0021, 0)</f>
        <v>27.7621</v>
      </c>
      <c r="E197" s="4">
        <f>120.400364231509 * CHOOSE(CONTROL!$C$9, $C$13, 100%, $E$13) + CHOOSE(CONTROL!$C$28, 0.0021, 0)</f>
        <v>120.402464231509</v>
      </c>
    </row>
    <row r="198" spans="1:5" ht="15">
      <c r="A198" s="13">
        <v>47515</v>
      </c>
      <c r="B198" s="4">
        <f>19.5588 * CHOOSE(CONTROL!$C$9, $C$13, 100%, $E$13) + CHOOSE(CONTROL!$C$28, 0.0211, 0)</f>
        <v>19.579900000000002</v>
      </c>
      <c r="C198" s="4">
        <f>19.1956 * CHOOSE(CONTROL!$C$9, $C$13, 100%, $E$13) + CHOOSE(CONTROL!$C$28, 0.0211, 0)</f>
        <v>19.216699999999999</v>
      </c>
      <c r="D198" s="4">
        <f>28.6744 * CHOOSE(CONTROL!$C$9, $C$13, 100%, $E$13) + CHOOSE(CONTROL!$C$28, 0.0021, 0)</f>
        <v>28.676499999999997</v>
      </c>
      <c r="E198" s="4">
        <f>123.259143365297 * CHOOSE(CONTROL!$C$9, $C$13, 100%, $E$13) + CHOOSE(CONTROL!$C$28, 0.0021, 0)</f>
        <v>123.26124336529701</v>
      </c>
    </row>
    <row r="199" spans="1:5" ht="15">
      <c r="A199" s="13">
        <v>47543</v>
      </c>
      <c r="B199" s="4">
        <f>20.703 * CHOOSE(CONTROL!$C$9, $C$13, 100%, $E$13) + CHOOSE(CONTROL!$C$28, 0.0211, 0)</f>
        <v>20.7241</v>
      </c>
      <c r="C199" s="4">
        <f>20.3397 * CHOOSE(CONTROL!$C$9, $C$13, 100%, $E$13) + CHOOSE(CONTROL!$C$28, 0.0211, 0)</f>
        <v>20.360800000000001</v>
      </c>
      <c r="D199" s="4">
        <f>30.1058 * CHOOSE(CONTROL!$C$9, $C$13, 100%, $E$13) + CHOOSE(CONTROL!$C$28, 0.0021, 0)</f>
        <v>30.107899999999997</v>
      </c>
      <c r="E199" s="4">
        <f>130.766449295374 * CHOOSE(CONTROL!$C$9, $C$13, 100%, $E$13) + CHOOSE(CONTROL!$C$28, 0.0021, 0)</f>
        <v>130.76854929537402</v>
      </c>
    </row>
    <row r="200" spans="1:5" ht="15">
      <c r="A200" s="13">
        <v>47574</v>
      </c>
      <c r="B200" s="4">
        <f>21.5159 * CHOOSE(CONTROL!$C$9, $C$13, 100%, $E$13) + CHOOSE(CONTROL!$C$28, 0.0211, 0)</f>
        <v>21.536999999999999</v>
      </c>
      <c r="C200" s="4">
        <f>21.1527 * CHOOSE(CONTROL!$C$9, $C$13, 100%, $E$13) + CHOOSE(CONTROL!$C$28, 0.0211, 0)</f>
        <v>21.1738</v>
      </c>
      <c r="D200" s="4">
        <f>30.9304 * CHOOSE(CONTROL!$C$9, $C$13, 100%, $E$13) + CHOOSE(CONTROL!$C$28, 0.0021, 0)</f>
        <v>30.932499999999997</v>
      </c>
      <c r="E200" s="4">
        <f>136.1004902067 * CHOOSE(CONTROL!$C$9, $C$13, 100%, $E$13) + CHOOSE(CONTROL!$C$28, 0.0021, 0)</f>
        <v>136.1025902067</v>
      </c>
    </row>
    <row r="201" spans="1:5" ht="15">
      <c r="A201" s="13">
        <v>47604</v>
      </c>
      <c r="B201" s="4">
        <f>22.0126 * CHOOSE(CONTROL!$C$9, $C$13, 100%, $E$13) + CHOOSE(CONTROL!$C$28, 0.0415, 0)</f>
        <v>22.054099999999998</v>
      </c>
      <c r="C201" s="4">
        <f>21.6493 * CHOOSE(CONTROL!$C$9, $C$13, 100%, $E$13) + CHOOSE(CONTROL!$C$28, 0.0415, 0)</f>
        <v>21.690799999999999</v>
      </c>
      <c r="D201" s="4">
        <f>30.6045 * CHOOSE(CONTROL!$C$9, $C$13, 100%, $E$13) + CHOOSE(CONTROL!$C$28, 0.0021, 0)</f>
        <v>30.6066</v>
      </c>
      <c r="E201" s="4">
        <f>139.359461364401 * CHOOSE(CONTROL!$C$9, $C$13, 100%, $E$13) + CHOOSE(CONTROL!$C$28, 0.0021, 0)</f>
        <v>139.36156136440101</v>
      </c>
    </row>
    <row r="202" spans="1:5" ht="15">
      <c r="A202" s="13">
        <v>47635</v>
      </c>
      <c r="B202" s="4">
        <f>22.0798 * CHOOSE(CONTROL!$C$9, $C$13, 100%, $E$13) + CHOOSE(CONTROL!$C$28, 0.0415, 0)</f>
        <v>22.121299999999998</v>
      </c>
      <c r="C202" s="4">
        <f>21.7165 * CHOOSE(CONTROL!$C$9, $C$13, 100%, $E$13) + CHOOSE(CONTROL!$C$28, 0.0415, 0)</f>
        <v>21.757999999999999</v>
      </c>
      <c r="D202" s="4">
        <f>30.8699 * CHOOSE(CONTROL!$C$9, $C$13, 100%, $E$13) + CHOOSE(CONTROL!$C$28, 0.0021, 0)</f>
        <v>30.872</v>
      </c>
      <c r="E202" s="4">
        <f>139.800413687047 * CHOOSE(CONTROL!$C$9, $C$13, 100%, $E$13) + CHOOSE(CONTROL!$C$28, 0.0021, 0)</f>
        <v>139.80251368704702</v>
      </c>
    </row>
    <row r="203" spans="1:5" ht="15">
      <c r="A203" s="13">
        <v>47665</v>
      </c>
      <c r="B203" s="4">
        <f>22.073 * CHOOSE(CONTROL!$C$9, $C$13, 100%, $E$13) + CHOOSE(CONTROL!$C$28, 0.0415, 0)</f>
        <v>22.1145</v>
      </c>
      <c r="C203" s="4">
        <f>21.7098 * CHOOSE(CONTROL!$C$9, $C$13, 100%, $E$13) + CHOOSE(CONTROL!$C$28, 0.0415, 0)</f>
        <v>21.751300000000001</v>
      </c>
      <c r="D203" s="4">
        <f>31.3487 * CHOOSE(CONTROL!$C$9, $C$13, 100%, $E$13) + CHOOSE(CONTROL!$C$28, 0.0021, 0)</f>
        <v>31.3508</v>
      </c>
      <c r="E203" s="4">
        <f>139.755947906612 * CHOOSE(CONTROL!$C$9, $C$13, 100%, $E$13) + CHOOSE(CONTROL!$C$28, 0.0021, 0)</f>
        <v>139.75804790661201</v>
      </c>
    </row>
    <row r="204" spans="1:5" ht="15">
      <c r="A204" s="13">
        <v>47696</v>
      </c>
      <c r="B204" s="4">
        <f>22.583 * CHOOSE(CONTROL!$C$9, $C$13, 100%, $E$13) + CHOOSE(CONTROL!$C$28, 0.0415, 0)</f>
        <v>22.624499999999998</v>
      </c>
      <c r="C204" s="4">
        <f>22.2197 * CHOOSE(CONTROL!$C$9, $C$13, 100%, $E$13) + CHOOSE(CONTROL!$C$28, 0.0415, 0)</f>
        <v>22.261199999999999</v>
      </c>
      <c r="D204" s="4">
        <f>31.0325 * CHOOSE(CONTROL!$C$9, $C$13, 100%, $E$13) + CHOOSE(CONTROL!$C$28, 0.0021, 0)</f>
        <v>31.034599999999998</v>
      </c>
      <c r="E204" s="4">
        <f>143.101997884331 * CHOOSE(CONTROL!$C$9, $C$13, 100%, $E$13) + CHOOSE(CONTROL!$C$28, 0.0021, 0)</f>
        <v>143.10409788433103</v>
      </c>
    </row>
    <row r="205" spans="1:5" ht="15">
      <c r="A205" s="13">
        <v>47727</v>
      </c>
      <c r="B205" s="4">
        <f>21.7139 * CHOOSE(CONTROL!$C$9, $C$13, 100%, $E$13) + CHOOSE(CONTROL!$C$28, 0.0415, 0)</f>
        <v>21.755399999999998</v>
      </c>
      <c r="C205" s="4">
        <f>21.3506 * CHOOSE(CONTROL!$C$9, $C$13, 100%, $E$13) + CHOOSE(CONTROL!$C$28, 0.0415, 0)</f>
        <v>21.392099999999999</v>
      </c>
      <c r="D205" s="4">
        <f>30.8831 * CHOOSE(CONTROL!$C$9, $C$13, 100%, $E$13) + CHOOSE(CONTROL!$C$28, 0.0021, 0)</f>
        <v>30.885199999999998</v>
      </c>
      <c r="E205" s="4">
        <f>137.399261543567 * CHOOSE(CONTROL!$C$9, $C$13, 100%, $E$13) + CHOOSE(CONTROL!$C$28, 0.0021, 0)</f>
        <v>137.40136154356702</v>
      </c>
    </row>
    <row r="206" spans="1:5" ht="15">
      <c r="A206" s="13">
        <v>47757</v>
      </c>
      <c r="B206" s="4">
        <f>21.0181 * CHOOSE(CONTROL!$C$9, $C$13, 100%, $E$13) + CHOOSE(CONTROL!$C$28, 0.0211, 0)</f>
        <v>21.039200000000001</v>
      </c>
      <c r="C206" s="4">
        <f>20.6548 * CHOOSE(CONTROL!$C$9, $C$13, 100%, $E$13) + CHOOSE(CONTROL!$C$28, 0.0211, 0)</f>
        <v>20.675900000000002</v>
      </c>
      <c r="D206" s="4">
        <f>30.4831 * CHOOSE(CONTROL!$C$9, $C$13, 100%, $E$13) + CHOOSE(CONTROL!$C$28, 0.0021, 0)</f>
        <v>30.485199999999999</v>
      </c>
      <c r="E206" s="4">
        <f>132.834108085593 * CHOOSE(CONTROL!$C$9, $C$13, 100%, $E$13) + CHOOSE(CONTROL!$C$28, 0.0021, 0)</f>
        <v>132.836208085593</v>
      </c>
    </row>
    <row r="207" spans="1:5" ht="15">
      <c r="A207" s="13">
        <v>47788</v>
      </c>
      <c r="B207" s="4">
        <f>20.57 * CHOOSE(CONTROL!$C$9, $C$13, 100%, $E$13) + CHOOSE(CONTROL!$C$28, 0.0211, 0)</f>
        <v>20.591100000000001</v>
      </c>
      <c r="C207" s="4">
        <f>20.2067 * CHOOSE(CONTROL!$C$9, $C$13, 100%, $E$13) + CHOOSE(CONTROL!$C$28, 0.0211, 0)</f>
        <v>20.227800000000002</v>
      </c>
      <c r="D207" s="4">
        <f>30.3456 * CHOOSE(CONTROL!$C$9, $C$13, 100%, $E$13) + CHOOSE(CONTROL!$C$28, 0.0021, 0)</f>
        <v>30.3477</v>
      </c>
      <c r="E207" s="4">
        <f>129.893808354341 * CHOOSE(CONTROL!$C$9, $C$13, 100%, $E$13) + CHOOSE(CONTROL!$C$28, 0.0021, 0)</f>
        <v>129.895908354341</v>
      </c>
    </row>
    <row r="208" spans="1:5" ht="15">
      <c r="A208" s="13">
        <v>47818</v>
      </c>
      <c r="B208" s="4">
        <f>20.26 * CHOOSE(CONTROL!$C$9, $C$13, 100%, $E$13) + CHOOSE(CONTROL!$C$28, 0.0211, 0)</f>
        <v>20.281100000000002</v>
      </c>
      <c r="C208" s="4">
        <f>19.8967 * CHOOSE(CONTROL!$C$9, $C$13, 100%, $E$13) + CHOOSE(CONTROL!$C$28, 0.0211, 0)</f>
        <v>19.9178</v>
      </c>
      <c r="D208" s="4">
        <f>29.3331 * CHOOSE(CONTROL!$C$9, $C$13, 100%, $E$13) + CHOOSE(CONTROL!$C$28, 0.0021, 0)</f>
        <v>29.3352</v>
      </c>
      <c r="E208" s="4">
        <f>127.859498899448 * CHOOSE(CONTROL!$C$9, $C$13, 100%, $E$13) + CHOOSE(CONTROL!$C$28, 0.0021, 0)</f>
        <v>127.861598899448</v>
      </c>
    </row>
    <row r="209" spans="1:5" ht="15">
      <c r="A209" s="13">
        <v>47849</v>
      </c>
      <c r="B209" s="4">
        <f>19.8011 * CHOOSE(CONTROL!$C$9, $C$13, 100%, $E$13) + CHOOSE(CONTROL!$C$28, 0.0211, 0)</f>
        <v>19.822200000000002</v>
      </c>
      <c r="C209" s="4">
        <f>19.4378 * CHOOSE(CONTROL!$C$9, $C$13, 100%, $E$13) + CHOOSE(CONTROL!$C$28, 0.0211, 0)</f>
        <v>19.4589</v>
      </c>
      <c r="D209" s="4">
        <f>28.512 * CHOOSE(CONTROL!$C$9, $C$13, 100%, $E$13) + CHOOSE(CONTROL!$C$28, 0.0021, 0)</f>
        <v>28.514099999999999</v>
      </c>
      <c r="E209" s="4">
        <f>124.788824547872 * CHOOSE(CONTROL!$C$9, $C$13, 100%, $E$13) + CHOOSE(CONTROL!$C$28, 0.0021, 0)</f>
        <v>124.790924547872</v>
      </c>
    </row>
    <row r="210" spans="1:5" ht="15">
      <c r="A210" s="13">
        <v>47880</v>
      </c>
      <c r="B210" s="4">
        <f>20.2529 * CHOOSE(CONTROL!$C$9, $C$13, 100%, $E$13) + CHOOSE(CONTROL!$C$28, 0.0211, 0)</f>
        <v>20.274000000000001</v>
      </c>
      <c r="C210" s="4">
        <f>19.8896 * CHOOSE(CONTROL!$C$9, $C$13, 100%, $E$13) + CHOOSE(CONTROL!$C$28, 0.0211, 0)</f>
        <v>19.910700000000002</v>
      </c>
      <c r="D210" s="4">
        <f>29.4529 * CHOOSE(CONTROL!$C$9, $C$13, 100%, $E$13) + CHOOSE(CONTROL!$C$28, 0.0021, 0)</f>
        <v>29.454999999999998</v>
      </c>
      <c r="E210" s="4">
        <f>127.751803024095 * CHOOSE(CONTROL!$C$9, $C$13, 100%, $E$13) + CHOOSE(CONTROL!$C$28, 0.0021, 0)</f>
        <v>127.753903024095</v>
      </c>
    </row>
    <row r="211" spans="1:5" ht="15">
      <c r="A211" s="13">
        <v>47908</v>
      </c>
      <c r="B211" s="4">
        <f>21.4393 * CHOOSE(CONTROL!$C$9, $C$13, 100%, $E$13) + CHOOSE(CONTROL!$C$28, 0.0211, 0)</f>
        <v>21.4604</v>
      </c>
      <c r="C211" s="4">
        <f>21.076 * CHOOSE(CONTROL!$C$9, $C$13, 100%, $E$13) + CHOOSE(CONTROL!$C$28, 0.0211, 0)</f>
        <v>21.097100000000001</v>
      </c>
      <c r="D211" s="4">
        <f>30.9259 * CHOOSE(CONTROL!$C$9, $C$13, 100%, $E$13) + CHOOSE(CONTROL!$C$28, 0.0021, 0)</f>
        <v>30.927999999999997</v>
      </c>
      <c r="E211" s="4">
        <f>135.532741964897 * CHOOSE(CONTROL!$C$9, $C$13, 100%, $E$13) + CHOOSE(CONTROL!$C$28, 0.0021, 0)</f>
        <v>135.53484196489703</v>
      </c>
    </row>
    <row r="212" spans="1:5" ht="15">
      <c r="A212" s="13">
        <v>47939</v>
      </c>
      <c r="B212" s="4">
        <f>22.2823 * CHOOSE(CONTROL!$C$9, $C$13, 100%, $E$13) + CHOOSE(CONTROL!$C$28, 0.0211, 0)</f>
        <v>22.3034</v>
      </c>
      <c r="C212" s="4">
        <f>21.919 * CHOOSE(CONTROL!$C$9, $C$13, 100%, $E$13) + CHOOSE(CONTROL!$C$28, 0.0211, 0)</f>
        <v>21.940100000000001</v>
      </c>
      <c r="D212" s="4">
        <f>31.7744 * CHOOSE(CONTROL!$C$9, $C$13, 100%, $E$13) + CHOOSE(CONTROL!$C$28, 0.0021, 0)</f>
        <v>31.776499999999999</v>
      </c>
      <c r="E212" s="4">
        <f>141.061202776981 * CHOOSE(CONTROL!$C$9, $C$13, 100%, $E$13) + CHOOSE(CONTROL!$C$28, 0.0021, 0)</f>
        <v>141.063302776981</v>
      </c>
    </row>
    <row r="213" spans="1:5" ht="15">
      <c r="A213" s="13">
        <v>47969</v>
      </c>
      <c r="B213" s="4">
        <f>22.7973 * CHOOSE(CONTROL!$C$9, $C$13, 100%, $E$13) + CHOOSE(CONTROL!$C$28, 0.0415, 0)</f>
        <v>22.838799999999999</v>
      </c>
      <c r="C213" s="4">
        <f>22.4341 * CHOOSE(CONTROL!$C$9, $C$13, 100%, $E$13) + CHOOSE(CONTROL!$C$28, 0.0415, 0)</f>
        <v>22.4756</v>
      </c>
      <c r="D213" s="4">
        <f>31.4391 * CHOOSE(CONTROL!$C$9, $C$13, 100%, $E$13) + CHOOSE(CONTROL!$C$28, 0.0021, 0)</f>
        <v>31.441199999999998</v>
      </c>
      <c r="E213" s="4">
        <f>144.438959834452 * CHOOSE(CONTROL!$C$9, $C$13, 100%, $E$13) + CHOOSE(CONTROL!$C$28, 0.0021, 0)</f>
        <v>144.44105983445201</v>
      </c>
    </row>
    <row r="214" spans="1:5" ht="15">
      <c r="A214" s="13">
        <v>48000</v>
      </c>
      <c r="B214" s="4">
        <f>22.867 * CHOOSE(CONTROL!$C$9, $C$13, 100%, $E$13) + CHOOSE(CONTROL!$C$28, 0.0415, 0)</f>
        <v>22.9085</v>
      </c>
      <c r="C214" s="4">
        <f>22.5037 * CHOOSE(CONTROL!$C$9, $C$13, 100%, $E$13) + CHOOSE(CONTROL!$C$28, 0.0415, 0)</f>
        <v>22.545199999999998</v>
      </c>
      <c r="D214" s="4">
        <f>31.7122 * CHOOSE(CONTROL!$C$9, $C$13, 100%, $E$13) + CHOOSE(CONTROL!$C$28, 0.0021, 0)</f>
        <v>31.714299999999998</v>
      </c>
      <c r="E214" s="4">
        <f>144.895984382307 * CHOOSE(CONTROL!$C$9, $C$13, 100%, $E$13) + CHOOSE(CONTROL!$C$28, 0.0021, 0)</f>
        <v>144.89808438230702</v>
      </c>
    </row>
    <row r="215" spans="1:5" ht="15">
      <c r="A215" s="13">
        <v>48030</v>
      </c>
      <c r="B215" s="4">
        <f>22.86 * CHOOSE(CONTROL!$C$9, $C$13, 100%, $E$13) + CHOOSE(CONTROL!$C$28, 0.0415, 0)</f>
        <v>22.901499999999999</v>
      </c>
      <c r="C215" s="4">
        <f>22.4967 * CHOOSE(CONTROL!$C$9, $C$13, 100%, $E$13) + CHOOSE(CONTROL!$C$28, 0.0415, 0)</f>
        <v>22.5382</v>
      </c>
      <c r="D215" s="4">
        <f>32.2049 * CHOOSE(CONTROL!$C$9, $C$13, 100%, $E$13) + CHOOSE(CONTROL!$C$28, 0.0021, 0)</f>
        <v>32.207000000000001</v>
      </c>
      <c r="E215" s="4">
        <f>144.84989787328 * CHOOSE(CONTROL!$C$9, $C$13, 100%, $E$13) + CHOOSE(CONTROL!$C$28, 0.0021, 0)</f>
        <v>144.85199787328003</v>
      </c>
    </row>
    <row r="216" spans="1:5" ht="15">
      <c r="A216" s="13">
        <v>48061</v>
      </c>
      <c r="B216" s="4">
        <f>23.3888 * CHOOSE(CONTROL!$C$9, $C$13, 100%, $E$13) + CHOOSE(CONTROL!$C$28, 0.0415, 0)</f>
        <v>23.430299999999999</v>
      </c>
      <c r="C216" s="4">
        <f>23.0255 * CHOOSE(CONTROL!$C$9, $C$13, 100%, $E$13) + CHOOSE(CONTROL!$C$28, 0.0415, 0)</f>
        <v>23.067</v>
      </c>
      <c r="D216" s="4">
        <f>31.8795 * CHOOSE(CONTROL!$C$9, $C$13, 100%, $E$13) + CHOOSE(CONTROL!$C$28, 0.0021, 0)</f>
        <v>31.881599999999999</v>
      </c>
      <c r="E216" s="4">
        <f>148.317907677595 * CHOOSE(CONTROL!$C$9, $C$13, 100%, $E$13) + CHOOSE(CONTROL!$C$28, 0.0021, 0)</f>
        <v>148.32000767759502</v>
      </c>
    </row>
    <row r="217" spans="1:5" ht="15">
      <c r="A217" s="13">
        <v>48092</v>
      </c>
      <c r="B217" s="4">
        <f>22.4876 * CHOOSE(CONTROL!$C$9, $C$13, 100%, $E$13) + CHOOSE(CONTROL!$C$28, 0.0415, 0)</f>
        <v>22.5291</v>
      </c>
      <c r="C217" s="4">
        <f>22.1243 * CHOOSE(CONTROL!$C$9, $C$13, 100%, $E$13) + CHOOSE(CONTROL!$C$28, 0.0415, 0)</f>
        <v>22.165800000000001</v>
      </c>
      <c r="D217" s="4">
        <f>31.7258 * CHOOSE(CONTROL!$C$9, $C$13, 100%, $E$13) + CHOOSE(CONTROL!$C$28, 0.0021, 0)</f>
        <v>31.727899999999998</v>
      </c>
      <c r="E217" s="4">
        <f>142.407312894825 * CHOOSE(CONTROL!$C$9, $C$13, 100%, $E$13) + CHOOSE(CONTROL!$C$28, 0.0021, 0)</f>
        <v>142.40941289482501</v>
      </c>
    </row>
    <row r="218" spans="1:5" ht="15">
      <c r="A218" s="13">
        <v>48122</v>
      </c>
      <c r="B218" s="4">
        <f>21.7661 * CHOOSE(CONTROL!$C$9, $C$13, 100%, $E$13) + CHOOSE(CONTROL!$C$28, 0.0211, 0)</f>
        <v>21.787200000000002</v>
      </c>
      <c r="C218" s="4">
        <f>21.4028 * CHOOSE(CONTROL!$C$9, $C$13, 100%, $E$13) + CHOOSE(CONTROL!$C$28, 0.0211, 0)</f>
        <v>21.4239</v>
      </c>
      <c r="D218" s="4">
        <f>31.3141 * CHOOSE(CONTROL!$C$9, $C$13, 100%, $E$13) + CHOOSE(CONTROL!$C$28, 0.0021, 0)</f>
        <v>31.316199999999998</v>
      </c>
      <c r="E218" s="4">
        <f>137.675764634673 * CHOOSE(CONTROL!$C$9, $C$13, 100%, $E$13) + CHOOSE(CONTROL!$C$28, 0.0021, 0)</f>
        <v>137.677864634673</v>
      </c>
    </row>
    <row r="219" spans="1:5" ht="15">
      <c r="A219" s="13">
        <v>48153</v>
      </c>
      <c r="B219" s="4">
        <f>21.3014 * CHOOSE(CONTROL!$C$9, $C$13, 100%, $E$13) + CHOOSE(CONTROL!$C$28, 0.0211, 0)</f>
        <v>21.322500000000002</v>
      </c>
      <c r="C219" s="4">
        <f>20.9381 * CHOOSE(CONTROL!$C$9, $C$13, 100%, $E$13) + CHOOSE(CONTROL!$C$28, 0.0211, 0)</f>
        <v>20.959199999999999</v>
      </c>
      <c r="D219" s="4">
        <f>31.1726 * CHOOSE(CONTROL!$C$9, $C$13, 100%, $E$13) + CHOOSE(CONTROL!$C$28, 0.0021, 0)</f>
        <v>31.174699999999998</v>
      </c>
      <c r="E219" s="4">
        <f>134.628294225233 * CHOOSE(CONTROL!$C$9, $C$13, 100%, $E$13) + CHOOSE(CONTROL!$C$28, 0.0021, 0)</f>
        <v>134.630394225233</v>
      </c>
    </row>
    <row r="220" spans="1:5" ht="15">
      <c r="A220" s="13">
        <v>48183</v>
      </c>
      <c r="B220" s="4">
        <f>20.9799 * CHOOSE(CONTROL!$C$9, $C$13, 100%, $E$13) + CHOOSE(CONTROL!$C$28, 0.0211, 0)</f>
        <v>21.001000000000001</v>
      </c>
      <c r="C220" s="4">
        <f>20.6166 * CHOOSE(CONTROL!$C$9, $C$13, 100%, $E$13) + CHOOSE(CONTROL!$C$28, 0.0211, 0)</f>
        <v>20.637699999999999</v>
      </c>
      <c r="D220" s="4">
        <f>30.1307 * CHOOSE(CONTROL!$C$9, $C$13, 100%, $E$13) + CHOOSE(CONTROL!$C$28, 0.0021, 0)</f>
        <v>30.1328</v>
      </c>
      <c r="E220" s="4">
        <f>132.519836437227 * CHOOSE(CONTROL!$C$9, $C$13, 100%, $E$13) + CHOOSE(CONTROL!$C$28, 0.0021, 0)</f>
        <v>132.52193643722703</v>
      </c>
    </row>
    <row r="221" spans="1:5" ht="15">
      <c r="A221" s="13">
        <v>48214</v>
      </c>
      <c r="B221" s="4">
        <f>20.4932 * CHOOSE(CONTROL!$C$9, $C$13, 100%, $E$13) + CHOOSE(CONTROL!$C$28, 0.0211, 0)</f>
        <v>20.514300000000002</v>
      </c>
      <c r="C221" s="4">
        <f>20.1299 * CHOOSE(CONTROL!$C$9, $C$13, 100%, $E$13) + CHOOSE(CONTROL!$C$28, 0.0211, 0)</f>
        <v>20.151</v>
      </c>
      <c r="D221" s="4">
        <f>29.264 * CHOOSE(CONTROL!$C$9, $C$13, 100%, $E$13) + CHOOSE(CONTROL!$C$28, 0.0021, 0)</f>
        <v>29.266099999999998</v>
      </c>
      <c r="E221" s="4">
        <f>129.176885413671 * CHOOSE(CONTROL!$C$9, $C$13, 100%, $E$13) + CHOOSE(CONTROL!$C$28, 0.0021, 0)</f>
        <v>129.178985413671</v>
      </c>
    </row>
    <row r="222" spans="1:5" ht="15">
      <c r="A222" s="13">
        <v>48245</v>
      </c>
      <c r="B222" s="4">
        <f>20.9614 * CHOOSE(CONTROL!$C$9, $C$13, 100%, $E$13) + CHOOSE(CONTROL!$C$28, 0.0211, 0)</f>
        <v>20.982500000000002</v>
      </c>
      <c r="C222" s="4">
        <f>20.5981 * CHOOSE(CONTROL!$C$9, $C$13, 100%, $E$13) + CHOOSE(CONTROL!$C$28, 0.0211, 0)</f>
        <v>20.619199999999999</v>
      </c>
      <c r="D222" s="4">
        <f>30.2315 * CHOOSE(CONTROL!$C$9, $C$13, 100%, $E$13) + CHOOSE(CONTROL!$C$28, 0.0021, 0)</f>
        <v>30.233599999999999</v>
      </c>
      <c r="E222" s="4">
        <f>132.244053747799 * CHOOSE(CONTROL!$C$9, $C$13, 100%, $E$13) + CHOOSE(CONTROL!$C$28, 0.0021, 0)</f>
        <v>132.24615374779901</v>
      </c>
    </row>
    <row r="223" spans="1:5" ht="15">
      <c r="A223" s="13">
        <v>48274</v>
      </c>
      <c r="B223" s="4">
        <f>22.191 * CHOOSE(CONTROL!$C$9, $C$13, 100%, $E$13) + CHOOSE(CONTROL!$C$28, 0.0211, 0)</f>
        <v>22.2121</v>
      </c>
      <c r="C223" s="4">
        <f>21.8277 * CHOOSE(CONTROL!$C$9, $C$13, 100%, $E$13) + CHOOSE(CONTROL!$C$28, 0.0211, 0)</f>
        <v>21.848800000000001</v>
      </c>
      <c r="D223" s="4">
        <f>31.746 * CHOOSE(CONTROL!$C$9, $C$13, 100%, $E$13) + CHOOSE(CONTROL!$C$28, 0.0021, 0)</f>
        <v>31.748099999999997</v>
      </c>
      <c r="E223" s="4">
        <f>140.298600792443 * CHOOSE(CONTROL!$C$9, $C$13, 100%, $E$13) + CHOOSE(CONTROL!$C$28, 0.0021, 0)</f>
        <v>140.30070079244302</v>
      </c>
    </row>
    <row r="224" spans="1:5" ht="15">
      <c r="A224" s="13">
        <v>48305</v>
      </c>
      <c r="B224" s="4">
        <f>23.0646 * CHOOSE(CONTROL!$C$9, $C$13, 100%, $E$13) + CHOOSE(CONTROL!$C$28, 0.0211, 0)</f>
        <v>23.085699999999999</v>
      </c>
      <c r="C224" s="4">
        <f>22.7013 * CHOOSE(CONTROL!$C$9, $C$13, 100%, $E$13) + CHOOSE(CONTROL!$C$28, 0.0211, 0)</f>
        <v>22.7224</v>
      </c>
      <c r="D224" s="4">
        <f>32.6184 * CHOOSE(CONTROL!$C$9, $C$13, 100%, $E$13) + CHOOSE(CONTROL!$C$28, 0.0021, 0)</f>
        <v>32.6205</v>
      </c>
      <c r="E224" s="4">
        <f>146.021463808616 * CHOOSE(CONTROL!$C$9, $C$13, 100%, $E$13) + CHOOSE(CONTROL!$C$28, 0.0021, 0)</f>
        <v>146.02356380861602</v>
      </c>
    </row>
    <row r="225" spans="1:5" ht="15">
      <c r="A225" s="13">
        <v>48335</v>
      </c>
      <c r="B225" s="4">
        <f>23.5984 * CHOOSE(CONTROL!$C$9, $C$13, 100%, $E$13) + CHOOSE(CONTROL!$C$28, 0.0415, 0)</f>
        <v>23.639900000000001</v>
      </c>
      <c r="C225" s="4">
        <f>23.2351 * CHOOSE(CONTROL!$C$9, $C$13, 100%, $E$13) + CHOOSE(CONTROL!$C$28, 0.0415, 0)</f>
        <v>23.276599999999998</v>
      </c>
      <c r="D225" s="4">
        <f>32.2737 * CHOOSE(CONTROL!$C$9, $C$13, 100%, $E$13) + CHOOSE(CONTROL!$C$28, 0.0021, 0)</f>
        <v>32.275799999999997</v>
      </c>
      <c r="E225" s="4">
        <f>149.517995953613 * CHOOSE(CONTROL!$C$9, $C$13, 100%, $E$13) + CHOOSE(CONTROL!$C$28, 0.0021, 0)</f>
        <v>149.52009595361301</v>
      </c>
    </row>
    <row r="226" spans="1:5" ht="15">
      <c r="A226" s="13">
        <v>48366</v>
      </c>
      <c r="B226" s="4">
        <f>23.6706 * CHOOSE(CONTROL!$C$9, $C$13, 100%, $E$13) + CHOOSE(CONTROL!$C$28, 0.0415, 0)</f>
        <v>23.7121</v>
      </c>
      <c r="C226" s="4">
        <f>23.3073 * CHOOSE(CONTROL!$C$9, $C$13, 100%, $E$13) + CHOOSE(CONTROL!$C$28, 0.0415, 0)</f>
        <v>23.348800000000001</v>
      </c>
      <c r="D226" s="4">
        <f>32.5544 * CHOOSE(CONTROL!$C$9, $C$13, 100%, $E$13) + CHOOSE(CONTROL!$C$28, 0.0021, 0)</f>
        <v>32.5565</v>
      </c>
      <c r="E226" s="4">
        <f>149.991091263738 * CHOOSE(CONTROL!$C$9, $C$13, 100%, $E$13) + CHOOSE(CONTROL!$C$28, 0.0021, 0)</f>
        <v>149.99319126373803</v>
      </c>
    </row>
    <row r="227" spans="1:5" ht="15">
      <c r="A227" s="13">
        <v>48396</v>
      </c>
      <c r="B227" s="4">
        <f>23.6633 * CHOOSE(CONTROL!$C$9, $C$13, 100%, $E$13) + CHOOSE(CONTROL!$C$28, 0.0415, 0)</f>
        <v>23.704799999999999</v>
      </c>
      <c r="C227" s="4">
        <f>23.3 * CHOOSE(CONTROL!$C$9, $C$13, 100%, $E$13) + CHOOSE(CONTROL!$C$28, 0.0415, 0)</f>
        <v>23.3415</v>
      </c>
      <c r="D227" s="4">
        <f>33.061 * CHOOSE(CONTROL!$C$9, $C$13, 100%, $E$13) + CHOOSE(CONTROL!$C$28, 0.0021, 0)</f>
        <v>33.063099999999999</v>
      </c>
      <c r="E227" s="4">
        <f>149.943384173641 * CHOOSE(CONTROL!$C$9, $C$13, 100%, $E$13) + CHOOSE(CONTROL!$C$28, 0.0021, 0)</f>
        <v>149.94548417364101</v>
      </c>
    </row>
    <row r="228" spans="1:5" ht="15">
      <c r="A228" s="13">
        <v>48427</v>
      </c>
      <c r="B228" s="4">
        <f>24.2114 * CHOOSE(CONTROL!$C$9, $C$13, 100%, $E$13) + CHOOSE(CONTROL!$C$28, 0.0415, 0)</f>
        <v>24.2529</v>
      </c>
      <c r="C228" s="4">
        <f>23.8481 * CHOOSE(CONTROL!$C$9, $C$13, 100%, $E$13) + CHOOSE(CONTROL!$C$28, 0.0415, 0)</f>
        <v>23.889599999999998</v>
      </c>
      <c r="D228" s="4">
        <f>32.7265 * CHOOSE(CONTROL!$C$9, $C$13, 100%, $E$13) + CHOOSE(CONTROL!$C$28, 0.0021, 0)</f>
        <v>32.7286</v>
      </c>
      <c r="E228" s="4">
        <f>153.533342703411 * CHOOSE(CONTROL!$C$9, $C$13, 100%, $E$13) + CHOOSE(CONTROL!$C$28, 0.0021, 0)</f>
        <v>153.53544270341101</v>
      </c>
    </row>
    <row r="229" spans="1:5" ht="15">
      <c r="A229" s="13">
        <v>48458</v>
      </c>
      <c r="B229" s="4">
        <f>23.2773 * CHOOSE(CONTROL!$C$9, $C$13, 100%, $E$13) + CHOOSE(CONTROL!$C$28, 0.0415, 0)</f>
        <v>23.3188</v>
      </c>
      <c r="C229" s="4">
        <f>22.9141 * CHOOSE(CONTROL!$C$9, $C$13, 100%, $E$13) + CHOOSE(CONTROL!$C$28, 0.0415, 0)</f>
        <v>22.9556</v>
      </c>
      <c r="D229" s="4">
        <f>32.5684 * CHOOSE(CONTROL!$C$9, $C$13, 100%, $E$13) + CHOOSE(CONTROL!$C$28, 0.0021, 0)</f>
        <v>32.570499999999996</v>
      </c>
      <c r="E229" s="4">
        <f>147.414908398521 * CHOOSE(CONTROL!$C$9, $C$13, 100%, $E$13) + CHOOSE(CONTROL!$C$28, 0.0021, 0)</f>
        <v>147.41700839852101</v>
      </c>
    </row>
    <row r="230" spans="1:5" ht="15">
      <c r="A230" s="13">
        <v>48488</v>
      </c>
      <c r="B230" s="4">
        <f>22.5296 * CHOOSE(CONTROL!$C$9, $C$13, 100%, $E$13) + CHOOSE(CONTROL!$C$28, 0.0211, 0)</f>
        <v>22.550699999999999</v>
      </c>
      <c r="C230" s="4">
        <f>22.1664 * CHOOSE(CONTROL!$C$9, $C$13, 100%, $E$13) + CHOOSE(CONTROL!$C$28, 0.0211, 0)</f>
        <v>22.1875</v>
      </c>
      <c r="D230" s="4">
        <f>32.1452 * CHOOSE(CONTROL!$C$9, $C$13, 100%, $E$13) + CHOOSE(CONTROL!$C$28, 0.0021, 0)</f>
        <v>32.147300000000001</v>
      </c>
      <c r="E230" s="4">
        <f>142.516980481936 * CHOOSE(CONTROL!$C$9, $C$13, 100%, $E$13) + CHOOSE(CONTROL!$C$28, 0.0021, 0)</f>
        <v>142.51908048193602</v>
      </c>
    </row>
    <row r="231" spans="1:5" ht="15">
      <c r="A231" s="13">
        <v>48519</v>
      </c>
      <c r="B231" s="4">
        <f>22.0481 * CHOOSE(CONTROL!$C$9, $C$13, 100%, $E$13) + CHOOSE(CONTROL!$C$28, 0.0211, 0)</f>
        <v>22.069200000000002</v>
      </c>
      <c r="C231" s="4">
        <f>21.6848 * CHOOSE(CONTROL!$C$9, $C$13, 100%, $E$13) + CHOOSE(CONTROL!$C$28, 0.0211, 0)</f>
        <v>21.7059</v>
      </c>
      <c r="D231" s="4">
        <f>31.9997 * CHOOSE(CONTROL!$C$9, $C$13, 100%, $E$13) + CHOOSE(CONTROL!$C$28, 0.0021, 0)</f>
        <v>32.001800000000003</v>
      </c>
      <c r="E231" s="4">
        <f>139.362349149297 * CHOOSE(CONTROL!$C$9, $C$13, 100%, $E$13) + CHOOSE(CONTROL!$C$28, 0.0021, 0)</f>
        <v>139.364449149297</v>
      </c>
    </row>
    <row r="232" spans="1:5" ht="15">
      <c r="A232" s="13">
        <v>48549</v>
      </c>
      <c r="B232" s="4">
        <f>21.7149 * CHOOSE(CONTROL!$C$9, $C$13, 100%, $E$13) + CHOOSE(CONTROL!$C$28, 0.0211, 0)</f>
        <v>21.736000000000001</v>
      </c>
      <c r="C232" s="4">
        <f>21.3516 * CHOOSE(CONTROL!$C$9, $C$13, 100%, $E$13) + CHOOSE(CONTROL!$C$28, 0.0211, 0)</f>
        <v>21.372700000000002</v>
      </c>
      <c r="D232" s="4">
        <f>30.9284 * CHOOSE(CONTROL!$C$9, $C$13, 100%, $E$13) + CHOOSE(CONTROL!$C$28, 0.0021, 0)</f>
        <v>30.930499999999999</v>
      </c>
      <c r="E232" s="4">
        <f>137.179749777377 * CHOOSE(CONTROL!$C$9, $C$13, 100%, $E$13) + CHOOSE(CONTROL!$C$28, 0.0021, 0)</f>
        <v>137.18184977737701</v>
      </c>
    </row>
    <row r="233" spans="1:5" ht="15">
      <c r="A233" s="13">
        <v>48580</v>
      </c>
      <c r="B233" s="4">
        <f>21.1852 * CHOOSE(CONTROL!$C$9, $C$13, 100%, $E$13) + CHOOSE(CONTROL!$C$28, 0.0211, 0)</f>
        <v>21.206299999999999</v>
      </c>
      <c r="C233" s="4">
        <f>20.822 * CHOOSE(CONTROL!$C$9, $C$13, 100%, $E$13) + CHOOSE(CONTROL!$C$28, 0.0211, 0)</f>
        <v>20.8431</v>
      </c>
      <c r="D233" s="4">
        <f>30.016 * CHOOSE(CONTROL!$C$9, $C$13, 100%, $E$13) + CHOOSE(CONTROL!$C$28, 0.0021, 0)</f>
        <v>30.018099999999997</v>
      </c>
      <c r="E233" s="4">
        <f>133.564533054749 * CHOOSE(CONTROL!$C$9, $C$13, 100%, $E$13) + CHOOSE(CONTROL!$C$28, 0.0021, 0)</f>
        <v>133.56663305474902</v>
      </c>
    </row>
    <row r="234" spans="1:5" ht="15">
      <c r="A234" s="13">
        <v>48611</v>
      </c>
      <c r="B234" s="4">
        <f>21.6699 * CHOOSE(CONTROL!$C$9, $C$13, 100%, $E$13) + CHOOSE(CONTROL!$C$28, 0.0211, 0)</f>
        <v>21.690999999999999</v>
      </c>
      <c r="C234" s="4">
        <f>21.3066 * CHOOSE(CONTROL!$C$9, $C$13, 100%, $E$13) + CHOOSE(CONTROL!$C$28, 0.0211, 0)</f>
        <v>21.3277</v>
      </c>
      <c r="D234" s="4">
        <f>31.01 * CHOOSE(CONTROL!$C$9, $C$13, 100%, $E$13) + CHOOSE(CONTROL!$C$28, 0.0021, 0)</f>
        <v>31.0121</v>
      </c>
      <c r="E234" s="4">
        <f>136.735881435198 * CHOOSE(CONTROL!$C$9, $C$13, 100%, $E$13) + CHOOSE(CONTROL!$C$28, 0.0021, 0)</f>
        <v>136.73798143519801</v>
      </c>
    </row>
    <row r="235" spans="1:5" ht="15">
      <c r="A235" s="13">
        <v>48639</v>
      </c>
      <c r="B235" s="4">
        <f>22.9426 * CHOOSE(CONTROL!$C$9, $C$13, 100%, $E$13) + CHOOSE(CONTROL!$C$28, 0.0211, 0)</f>
        <v>22.963699999999999</v>
      </c>
      <c r="C235" s="4">
        <f>22.5794 * CHOOSE(CONTROL!$C$9, $C$13, 100%, $E$13) + CHOOSE(CONTROL!$C$28, 0.0211, 0)</f>
        <v>22.6005</v>
      </c>
      <c r="D235" s="4">
        <f>32.5661 * CHOOSE(CONTROL!$C$9, $C$13, 100%, $E$13) + CHOOSE(CONTROL!$C$28, 0.0021, 0)</f>
        <v>32.568199999999997</v>
      </c>
      <c r="E235" s="4">
        <f>145.064010817946 * CHOOSE(CONTROL!$C$9, $C$13, 100%, $E$13) + CHOOSE(CONTROL!$C$28, 0.0021, 0)</f>
        <v>145.06611081794603</v>
      </c>
    </row>
    <row r="236" spans="1:5" ht="15">
      <c r="A236" s="13">
        <v>48670</v>
      </c>
      <c r="B236" s="4">
        <f>23.8469 * CHOOSE(CONTROL!$C$9, $C$13, 100%, $E$13) + CHOOSE(CONTROL!$C$28, 0.0211, 0)</f>
        <v>23.868000000000002</v>
      </c>
      <c r="C236" s="4">
        <f>23.4837 * CHOOSE(CONTROL!$C$9, $C$13, 100%, $E$13) + CHOOSE(CONTROL!$C$28, 0.0211, 0)</f>
        <v>23.504799999999999</v>
      </c>
      <c r="D236" s="4">
        <f>33.4624 * CHOOSE(CONTROL!$C$9, $C$13, 100%, $E$13) + CHOOSE(CONTROL!$C$28, 0.0021, 0)</f>
        <v>33.464500000000001</v>
      </c>
      <c r="E236" s="4">
        <f>150.981257731304 * CHOOSE(CONTROL!$C$9, $C$13, 100%, $E$13) + CHOOSE(CONTROL!$C$28, 0.0021, 0)</f>
        <v>150.98335773130401</v>
      </c>
    </row>
    <row r="237" spans="1:5" ht="15">
      <c r="A237" s="13">
        <v>48700</v>
      </c>
      <c r="B237" s="4">
        <f>24.3994 * CHOOSE(CONTROL!$C$9, $C$13, 100%, $E$13) + CHOOSE(CONTROL!$C$28, 0.0415, 0)</f>
        <v>24.440899999999999</v>
      </c>
      <c r="C237" s="4">
        <f>24.0362 * CHOOSE(CONTROL!$C$9, $C$13, 100%, $E$13) + CHOOSE(CONTROL!$C$28, 0.0415, 0)</f>
        <v>24.0777</v>
      </c>
      <c r="D237" s="4">
        <f>33.1082 * CHOOSE(CONTROL!$C$9, $C$13, 100%, $E$13) + CHOOSE(CONTROL!$C$28, 0.0021, 0)</f>
        <v>33.110299999999995</v>
      </c>
      <c r="E237" s="4">
        <f>154.596553778751 * CHOOSE(CONTROL!$C$9, $C$13, 100%, $E$13) + CHOOSE(CONTROL!$C$28, 0.0021, 0)</f>
        <v>154.59865377875101</v>
      </c>
    </row>
    <row r="238" spans="1:5" ht="15">
      <c r="A238" s="13">
        <v>48731</v>
      </c>
      <c r="B238" s="4">
        <f>24.4742 * CHOOSE(CONTROL!$C$9, $C$13, 100%, $E$13) + CHOOSE(CONTROL!$C$28, 0.0415, 0)</f>
        <v>24.515699999999999</v>
      </c>
      <c r="C238" s="4">
        <f>24.1109 * CHOOSE(CONTROL!$C$9, $C$13, 100%, $E$13) + CHOOSE(CONTROL!$C$28, 0.0415, 0)</f>
        <v>24.1524</v>
      </c>
      <c r="D238" s="4">
        <f>33.3967 * CHOOSE(CONTROL!$C$9, $C$13, 100%, $E$13) + CHOOSE(CONTROL!$C$28, 0.0021, 0)</f>
        <v>33.398800000000001</v>
      </c>
      <c r="E238" s="4">
        <f>155.085718337757 * CHOOSE(CONTROL!$C$9, $C$13, 100%, $E$13) + CHOOSE(CONTROL!$C$28, 0.0021, 0)</f>
        <v>155.087818337757</v>
      </c>
    </row>
    <row r="239" spans="1:5" ht="15">
      <c r="A239" s="13">
        <v>48761</v>
      </c>
      <c r="B239" s="4">
        <f>24.4667 * CHOOSE(CONTROL!$C$9, $C$13, 100%, $E$13) + CHOOSE(CONTROL!$C$28, 0.0415, 0)</f>
        <v>24.508199999999999</v>
      </c>
      <c r="C239" s="4">
        <f>24.1034 * CHOOSE(CONTROL!$C$9, $C$13, 100%, $E$13) + CHOOSE(CONTROL!$C$28, 0.0415, 0)</f>
        <v>24.1449</v>
      </c>
      <c r="D239" s="4">
        <f>33.9172 * CHOOSE(CONTROL!$C$9, $C$13, 100%, $E$13) + CHOOSE(CONTROL!$C$28, 0.0021, 0)</f>
        <v>33.9193</v>
      </c>
      <c r="E239" s="4">
        <f>155.036390819202 * CHOOSE(CONTROL!$C$9, $C$13, 100%, $E$13) + CHOOSE(CONTROL!$C$28, 0.0021, 0)</f>
        <v>155.03849081920202</v>
      </c>
    </row>
    <row r="240" spans="1:5" ht="15">
      <c r="A240" s="13">
        <v>48792</v>
      </c>
      <c r="B240" s="4">
        <f>25.0339 * CHOOSE(CONTROL!$C$9, $C$13, 100%, $E$13) + CHOOSE(CONTROL!$C$28, 0.0415, 0)</f>
        <v>25.075399999999998</v>
      </c>
      <c r="C240" s="4">
        <f>24.6706 * CHOOSE(CONTROL!$C$9, $C$13, 100%, $E$13) + CHOOSE(CONTROL!$C$28, 0.0415, 0)</f>
        <v>24.7121</v>
      </c>
      <c r="D240" s="4">
        <f>33.5735 * CHOOSE(CONTROL!$C$9, $C$13, 100%, $E$13) + CHOOSE(CONTROL!$C$28, 0.0021, 0)</f>
        <v>33.575600000000001</v>
      </c>
      <c r="E240" s="4">
        <f>158.748286590486 * CHOOSE(CONTROL!$C$9, $C$13, 100%, $E$13) + CHOOSE(CONTROL!$C$28, 0.0021, 0)</f>
        <v>158.75038659048602</v>
      </c>
    </row>
    <row r="241" spans="1:5" ht="15">
      <c r="A241" s="13">
        <v>48823</v>
      </c>
      <c r="B241" s="4">
        <f>24.0671 * CHOOSE(CONTROL!$C$9, $C$13, 100%, $E$13) + CHOOSE(CONTROL!$C$28, 0.0415, 0)</f>
        <v>24.108599999999999</v>
      </c>
      <c r="C241" s="4">
        <f>23.7038 * CHOOSE(CONTROL!$C$9, $C$13, 100%, $E$13) + CHOOSE(CONTROL!$C$28, 0.0415, 0)</f>
        <v>23.7453</v>
      </c>
      <c r="D241" s="4">
        <f>33.4111 * CHOOSE(CONTROL!$C$9, $C$13, 100%, $E$13) + CHOOSE(CONTROL!$C$28, 0.0021, 0)</f>
        <v>33.413199999999996</v>
      </c>
      <c r="E241" s="4">
        <f>152.422032335773 * CHOOSE(CONTROL!$C$9, $C$13, 100%, $E$13) + CHOOSE(CONTROL!$C$28, 0.0021, 0)</f>
        <v>152.42413233577301</v>
      </c>
    </row>
    <row r="242" spans="1:5" ht="15">
      <c r="A242" s="13">
        <v>48853</v>
      </c>
      <c r="B242" s="4">
        <f>23.2932 * CHOOSE(CONTROL!$C$9, $C$13, 100%, $E$13) + CHOOSE(CONTROL!$C$28, 0.0211, 0)</f>
        <v>23.314299999999999</v>
      </c>
      <c r="C242" s="4">
        <f>22.9299 * CHOOSE(CONTROL!$C$9, $C$13, 100%, $E$13) + CHOOSE(CONTROL!$C$28, 0.0211, 0)</f>
        <v>22.951000000000001</v>
      </c>
      <c r="D242" s="4">
        <f>32.9762 * CHOOSE(CONTROL!$C$9, $C$13, 100%, $E$13) + CHOOSE(CONTROL!$C$28, 0.0021, 0)</f>
        <v>32.978299999999997</v>
      </c>
      <c r="E242" s="4">
        <f>147.357740430765 * CHOOSE(CONTROL!$C$9, $C$13, 100%, $E$13) + CHOOSE(CONTROL!$C$28, 0.0021, 0)</f>
        <v>147.35984043076502</v>
      </c>
    </row>
    <row r="243" spans="1:5" ht="15">
      <c r="A243" s="13">
        <v>48884</v>
      </c>
      <c r="B243" s="4">
        <f>22.7947 * CHOOSE(CONTROL!$C$9, $C$13, 100%, $E$13) + CHOOSE(CONTROL!$C$28, 0.0211, 0)</f>
        <v>22.815799999999999</v>
      </c>
      <c r="C243" s="4">
        <f>22.4314 * CHOOSE(CONTROL!$C$9, $C$13, 100%, $E$13) + CHOOSE(CONTROL!$C$28, 0.0211, 0)</f>
        <v>22.452500000000001</v>
      </c>
      <c r="D243" s="4">
        <f>32.8267 * CHOOSE(CONTROL!$C$9, $C$13, 100%, $E$13) + CHOOSE(CONTROL!$C$28, 0.0021, 0)</f>
        <v>32.828800000000001</v>
      </c>
      <c r="E243" s="4">
        <f>144.095958266299 * CHOOSE(CONTROL!$C$9, $C$13, 100%, $E$13) + CHOOSE(CONTROL!$C$28, 0.0021, 0)</f>
        <v>144.09805826629901</v>
      </c>
    </row>
    <row r="244" spans="1:5" ht="15">
      <c r="A244" s="13">
        <v>48914</v>
      </c>
      <c r="B244" s="4">
        <f>22.4498 * CHOOSE(CONTROL!$C$9, $C$13, 100%, $E$13) + CHOOSE(CONTROL!$C$28, 0.0211, 0)</f>
        <v>22.4709</v>
      </c>
      <c r="C244" s="4">
        <f>22.0865 * CHOOSE(CONTROL!$C$9, $C$13, 100%, $E$13) + CHOOSE(CONTROL!$C$28, 0.0211, 0)</f>
        <v>22.107600000000001</v>
      </c>
      <c r="D244" s="4">
        <f>31.7261 * CHOOSE(CONTROL!$C$9, $C$13, 100%, $E$13) + CHOOSE(CONTROL!$C$28, 0.0021, 0)</f>
        <v>31.728199999999998</v>
      </c>
      <c r="E244" s="4">
        <f>141.839224292395 * CHOOSE(CONTROL!$C$9, $C$13, 100%, $E$13) + CHOOSE(CONTROL!$C$28, 0.0021, 0)</f>
        <v>141.841324292395</v>
      </c>
    </row>
    <row r="245" spans="1:5" ht="15">
      <c r="A245" s="13">
        <v>48945</v>
      </c>
      <c r="B245" s="4">
        <f>21.8773 * CHOOSE(CONTROL!$C$9, $C$13, 100%, $E$13) + CHOOSE(CONTROL!$C$28, 0.0211, 0)</f>
        <v>21.898400000000002</v>
      </c>
      <c r="C245" s="4">
        <f>21.514 * CHOOSE(CONTROL!$C$9, $C$13, 100%, $E$13) + CHOOSE(CONTROL!$C$28, 0.0211, 0)</f>
        <v>21.5351</v>
      </c>
      <c r="D245" s="4">
        <f>30.768 * CHOOSE(CONTROL!$C$9, $C$13, 100%, $E$13) + CHOOSE(CONTROL!$C$28, 0.0021, 0)</f>
        <v>30.770099999999999</v>
      </c>
      <c r="E245" s="4">
        <f>137.951753696948 * CHOOSE(CONTROL!$C$9, $C$13, 100%, $E$13) + CHOOSE(CONTROL!$C$28, 0.0021, 0)</f>
        <v>137.95385369694802</v>
      </c>
    </row>
    <row r="246" spans="1:5" ht="15">
      <c r="A246" s="13">
        <v>48976</v>
      </c>
      <c r="B246" s="4">
        <f>22.3784 * CHOOSE(CONTROL!$C$9, $C$13, 100%, $E$13) + CHOOSE(CONTROL!$C$28, 0.0211, 0)</f>
        <v>22.3995</v>
      </c>
      <c r="C246" s="4">
        <f>22.0151 * CHOOSE(CONTROL!$C$9, $C$13, 100%, $E$13) + CHOOSE(CONTROL!$C$28, 0.0211, 0)</f>
        <v>22.036200000000001</v>
      </c>
      <c r="D246" s="4">
        <f>31.7886 * CHOOSE(CONTROL!$C$9, $C$13, 100%, $E$13) + CHOOSE(CONTROL!$C$28, 0.0021, 0)</f>
        <v>31.790699999999998</v>
      </c>
      <c r="E246" s="4">
        <f>141.227271985082 * CHOOSE(CONTROL!$C$9, $C$13, 100%, $E$13) + CHOOSE(CONTROL!$C$28, 0.0021, 0)</f>
        <v>141.22937198508203</v>
      </c>
    </row>
    <row r="247" spans="1:5" ht="15">
      <c r="A247" s="13">
        <v>49004</v>
      </c>
      <c r="B247" s="4">
        <f>23.6943 * CHOOSE(CONTROL!$C$9, $C$13, 100%, $E$13) + CHOOSE(CONTROL!$C$28, 0.0211, 0)</f>
        <v>23.715399999999999</v>
      </c>
      <c r="C247" s="4">
        <f>23.331 * CHOOSE(CONTROL!$C$9, $C$13, 100%, $E$13) + CHOOSE(CONTROL!$C$28, 0.0211, 0)</f>
        <v>23.3521</v>
      </c>
      <c r="D247" s="4">
        <f>33.3862 * CHOOSE(CONTROL!$C$9, $C$13, 100%, $E$13) + CHOOSE(CONTROL!$C$28, 0.0021, 0)</f>
        <v>33.388300000000001</v>
      </c>
      <c r="E247" s="4">
        <f>149.828957081336 * CHOOSE(CONTROL!$C$9, $C$13, 100%, $E$13) + CHOOSE(CONTROL!$C$28, 0.0021, 0)</f>
        <v>149.83105708133601</v>
      </c>
    </row>
    <row r="248" spans="1:5" ht="15">
      <c r="A248" s="13">
        <v>49035</v>
      </c>
      <c r="B248" s="4">
        <f>24.6293 * CHOOSE(CONTROL!$C$9, $C$13, 100%, $E$13) + CHOOSE(CONTROL!$C$28, 0.0211, 0)</f>
        <v>24.650400000000001</v>
      </c>
      <c r="C248" s="4">
        <f>24.266 * CHOOSE(CONTROL!$C$9, $C$13, 100%, $E$13) + CHOOSE(CONTROL!$C$28, 0.0211, 0)</f>
        <v>24.287099999999999</v>
      </c>
      <c r="D248" s="4">
        <f>34.3065 * CHOOSE(CONTROL!$C$9, $C$13, 100%, $E$13) + CHOOSE(CONTROL!$C$28, 0.0021, 0)</f>
        <v>34.308599999999998</v>
      </c>
      <c r="E248" s="4">
        <f>155.94056897475 * CHOOSE(CONTROL!$C$9, $C$13, 100%, $E$13) + CHOOSE(CONTROL!$C$28, 0.0021, 0)</f>
        <v>155.94266897475001</v>
      </c>
    </row>
    <row r="249" spans="1:5" ht="15">
      <c r="A249" s="13">
        <v>49065</v>
      </c>
      <c r="B249" s="4">
        <f>25.2005 * CHOOSE(CONTROL!$C$9, $C$13, 100%, $E$13) + CHOOSE(CONTROL!$C$28, 0.0415, 0)</f>
        <v>25.242000000000001</v>
      </c>
      <c r="C249" s="4">
        <f>24.8372 * CHOOSE(CONTROL!$C$9, $C$13, 100%, $E$13) + CHOOSE(CONTROL!$C$28, 0.0415, 0)</f>
        <v>24.878699999999998</v>
      </c>
      <c r="D249" s="4">
        <f>33.9428 * CHOOSE(CONTROL!$C$9, $C$13, 100%, $E$13) + CHOOSE(CONTROL!$C$28, 0.0021, 0)</f>
        <v>33.944899999999997</v>
      </c>
      <c r="E249" s="4">
        <f>159.674617366731 * CHOOSE(CONTROL!$C$9, $C$13, 100%, $E$13) + CHOOSE(CONTROL!$C$28, 0.0021, 0)</f>
        <v>159.67671736673103</v>
      </c>
    </row>
    <row r="250" spans="1:5" ht="15">
      <c r="A250" s="13">
        <v>49096</v>
      </c>
      <c r="B250" s="4">
        <f>25.2778 * CHOOSE(CONTROL!$C$9, $C$13, 100%, $E$13) + CHOOSE(CONTROL!$C$28, 0.0415, 0)</f>
        <v>25.319299999999998</v>
      </c>
      <c r="C250" s="4">
        <f>24.9145 * CHOOSE(CONTROL!$C$9, $C$13, 100%, $E$13) + CHOOSE(CONTROL!$C$28, 0.0415, 0)</f>
        <v>24.956</v>
      </c>
      <c r="D250" s="4">
        <f>34.239 * CHOOSE(CONTROL!$C$9, $C$13, 100%, $E$13) + CHOOSE(CONTROL!$C$28, 0.0021, 0)</f>
        <v>34.241099999999996</v>
      </c>
      <c r="E250" s="4">
        <f>160.179849610786 * CHOOSE(CONTROL!$C$9, $C$13, 100%, $E$13) + CHOOSE(CONTROL!$C$28, 0.0021, 0)</f>
        <v>160.18194961078601</v>
      </c>
    </row>
    <row r="251" spans="1:5" ht="15">
      <c r="A251" s="13">
        <v>49126</v>
      </c>
      <c r="B251" s="4">
        <f>25.27 * CHOOSE(CONTROL!$C$9, $C$13, 100%, $E$13) + CHOOSE(CONTROL!$C$28, 0.0415, 0)</f>
        <v>25.311499999999999</v>
      </c>
      <c r="C251" s="4">
        <f>24.9067 * CHOOSE(CONTROL!$C$9, $C$13, 100%, $E$13) + CHOOSE(CONTROL!$C$28, 0.0415, 0)</f>
        <v>24.9482</v>
      </c>
      <c r="D251" s="4">
        <f>34.7734 * CHOOSE(CONTROL!$C$9, $C$13, 100%, $E$13) + CHOOSE(CONTROL!$C$28, 0.0021, 0)</f>
        <v>34.775500000000001</v>
      </c>
      <c r="E251" s="4">
        <f>160.128901821469 * CHOOSE(CONTROL!$C$9, $C$13, 100%, $E$13) + CHOOSE(CONTROL!$C$28, 0.0021, 0)</f>
        <v>160.131001821469</v>
      </c>
    </row>
    <row r="252" spans="1:5" ht="15">
      <c r="A252" s="13">
        <v>49157</v>
      </c>
      <c r="B252" s="4">
        <f>25.8565 * CHOOSE(CONTROL!$C$9, $C$13, 100%, $E$13) + CHOOSE(CONTROL!$C$28, 0.0415, 0)</f>
        <v>25.898</v>
      </c>
      <c r="C252" s="4">
        <f>25.4932 * CHOOSE(CONTROL!$C$9, $C$13, 100%, $E$13) + CHOOSE(CONTROL!$C$28, 0.0415, 0)</f>
        <v>25.534700000000001</v>
      </c>
      <c r="D252" s="4">
        <f>34.4205 * CHOOSE(CONTROL!$C$9, $C$13, 100%, $E$13) + CHOOSE(CONTROL!$C$28, 0.0021, 0)</f>
        <v>34.422599999999996</v>
      </c>
      <c r="E252" s="4">
        <f>163.962722967529 * CHOOSE(CONTROL!$C$9, $C$13, 100%, $E$13) + CHOOSE(CONTROL!$C$28, 0.0021, 0)</f>
        <v>163.96482296752902</v>
      </c>
    </row>
    <row r="253" spans="1:5" ht="15">
      <c r="A253" s="13">
        <v>49188</v>
      </c>
      <c r="B253" s="4">
        <f>24.8569 * CHOOSE(CONTROL!$C$9, $C$13, 100%, $E$13) + CHOOSE(CONTROL!$C$28, 0.0415, 0)</f>
        <v>24.898399999999999</v>
      </c>
      <c r="C253" s="4">
        <f>24.4936 * CHOOSE(CONTROL!$C$9, $C$13, 100%, $E$13) + CHOOSE(CONTROL!$C$28, 0.0415, 0)</f>
        <v>24.5351</v>
      </c>
      <c r="D253" s="4">
        <f>34.2537 * CHOOSE(CONTROL!$C$9, $C$13, 100%, $E$13) + CHOOSE(CONTROL!$C$28, 0.0021, 0)</f>
        <v>34.255800000000001</v>
      </c>
      <c r="E253" s="4">
        <f>157.4286689877 * CHOOSE(CONTROL!$C$9, $C$13, 100%, $E$13) + CHOOSE(CONTROL!$C$28, 0.0021, 0)</f>
        <v>157.43076898770002</v>
      </c>
    </row>
    <row r="254" spans="1:5" ht="15">
      <c r="A254" s="13">
        <v>49218</v>
      </c>
      <c r="B254" s="4">
        <f>24.0567 * CHOOSE(CONTROL!$C$9, $C$13, 100%, $E$13) + CHOOSE(CONTROL!$C$28, 0.0211, 0)</f>
        <v>24.0778</v>
      </c>
      <c r="C254" s="4">
        <f>23.6934 * CHOOSE(CONTROL!$C$9, $C$13, 100%, $E$13) + CHOOSE(CONTROL!$C$28, 0.0211, 0)</f>
        <v>23.714500000000001</v>
      </c>
      <c r="D254" s="4">
        <f>33.8072 * CHOOSE(CONTROL!$C$9, $C$13, 100%, $E$13) + CHOOSE(CONTROL!$C$28, 0.0021, 0)</f>
        <v>33.8093</v>
      </c>
      <c r="E254" s="4">
        <f>152.198029284549 * CHOOSE(CONTROL!$C$9, $C$13, 100%, $E$13) + CHOOSE(CONTROL!$C$28, 0.0021, 0)</f>
        <v>152.20012928454901</v>
      </c>
    </row>
    <row r="255" spans="1:5" ht="15">
      <c r="A255" s="13">
        <v>49249</v>
      </c>
      <c r="B255" s="4">
        <f>23.5413 * CHOOSE(CONTROL!$C$9, $C$13, 100%, $E$13) + CHOOSE(CONTROL!$C$28, 0.0211, 0)</f>
        <v>23.5624</v>
      </c>
      <c r="C255" s="4">
        <f>23.1781 * CHOOSE(CONTROL!$C$9, $C$13, 100%, $E$13) + CHOOSE(CONTROL!$C$28, 0.0211, 0)</f>
        <v>23.199200000000001</v>
      </c>
      <c r="D255" s="4">
        <f>33.6538 * CHOOSE(CONTROL!$C$9, $C$13, 100%, $E$13) + CHOOSE(CONTROL!$C$28, 0.0021, 0)</f>
        <v>33.655899999999995</v>
      </c>
      <c r="E255" s="4">
        <f>148.829106716001 * CHOOSE(CONTROL!$C$9, $C$13, 100%, $E$13) + CHOOSE(CONTROL!$C$28, 0.0021, 0)</f>
        <v>148.83120671600102</v>
      </c>
    </row>
    <row r="256" spans="1:5" ht="15">
      <c r="A256" s="13">
        <v>49279</v>
      </c>
      <c r="B256" s="4">
        <f>23.1848 * CHOOSE(CONTROL!$C$9, $C$13, 100%, $E$13) + CHOOSE(CONTROL!$C$28, 0.0211, 0)</f>
        <v>23.2059</v>
      </c>
      <c r="C256" s="4">
        <f>22.8215 * CHOOSE(CONTROL!$C$9, $C$13, 100%, $E$13) + CHOOSE(CONTROL!$C$28, 0.0211, 0)</f>
        <v>22.842600000000001</v>
      </c>
      <c r="D256" s="4">
        <f>32.5237 * CHOOSE(CONTROL!$C$9, $C$13, 100%, $E$13) + CHOOSE(CONTROL!$C$28, 0.0021, 0)</f>
        <v>32.525799999999997</v>
      </c>
      <c r="E256" s="4">
        <f>146.498245354775 * CHOOSE(CONTROL!$C$9, $C$13, 100%, $E$13) + CHOOSE(CONTROL!$C$28, 0.0021, 0)</f>
        <v>146.50034535477502</v>
      </c>
    </row>
    <row r="257" spans="1:5" ht="15">
      <c r="A257" s="13">
        <v>49310</v>
      </c>
      <c r="B257" s="4">
        <f>22.5694 * CHOOSE(CONTROL!$C$9, $C$13, 100%, $E$13) + CHOOSE(CONTROL!$C$28, 0.0211, 0)</f>
        <v>22.590500000000002</v>
      </c>
      <c r="C257" s="4">
        <f>22.2061 * CHOOSE(CONTROL!$C$9, $C$13, 100%, $E$13) + CHOOSE(CONTROL!$C$28, 0.0211, 0)</f>
        <v>22.2272</v>
      </c>
      <c r="D257" s="4">
        <f>31.5451 * CHOOSE(CONTROL!$C$9, $C$13, 100%, $E$13) + CHOOSE(CONTROL!$C$28, 0.0021, 0)</f>
        <v>31.5472</v>
      </c>
      <c r="E257" s="4">
        <f>142.338561114426 * CHOOSE(CONTROL!$C$9, $C$13, 100%, $E$13) + CHOOSE(CONTROL!$C$28, 0.0021, 0)</f>
        <v>142.34066111442601</v>
      </c>
    </row>
    <row r="258" spans="1:5" ht="15">
      <c r="A258" s="13">
        <v>49341</v>
      </c>
      <c r="B258" s="4">
        <f>23.0869 * CHOOSE(CONTROL!$C$9, $C$13, 100%, $E$13) + CHOOSE(CONTROL!$C$28, 0.0211, 0)</f>
        <v>23.108000000000001</v>
      </c>
      <c r="C258" s="4">
        <f>22.7236 * CHOOSE(CONTROL!$C$9, $C$13, 100%, $E$13) + CHOOSE(CONTROL!$C$28, 0.0211, 0)</f>
        <v>22.744700000000002</v>
      </c>
      <c r="D258" s="4">
        <f>32.5931 * CHOOSE(CONTROL!$C$9, $C$13, 100%, $E$13) + CHOOSE(CONTROL!$C$28, 0.0021, 0)</f>
        <v>32.595199999999998</v>
      </c>
      <c r="E258" s="4">
        <f>145.718239498661 * CHOOSE(CONTROL!$C$9, $C$13, 100%, $E$13) + CHOOSE(CONTROL!$C$28, 0.0021, 0)</f>
        <v>145.72033949866102</v>
      </c>
    </row>
    <row r="259" spans="1:5" ht="15">
      <c r="A259" s="13">
        <v>49369</v>
      </c>
      <c r="B259" s="4">
        <f>24.446 * CHOOSE(CONTROL!$C$9, $C$13, 100%, $E$13) + CHOOSE(CONTROL!$C$28, 0.0211, 0)</f>
        <v>24.467100000000002</v>
      </c>
      <c r="C259" s="4">
        <f>24.0827 * CHOOSE(CONTROL!$C$9, $C$13, 100%, $E$13) + CHOOSE(CONTROL!$C$28, 0.0211, 0)</f>
        <v>24.1038</v>
      </c>
      <c r="D259" s="4">
        <f>34.2336 * CHOOSE(CONTROL!$C$9, $C$13, 100%, $E$13) + CHOOSE(CONTROL!$C$28, 0.0021, 0)</f>
        <v>34.235700000000001</v>
      </c>
      <c r="E259" s="4">
        <f>154.593454542681 * CHOOSE(CONTROL!$C$9, $C$13, 100%, $E$13) + CHOOSE(CONTROL!$C$28, 0.0021, 0)</f>
        <v>154.59555454268101</v>
      </c>
    </row>
    <row r="260" spans="1:5" ht="15">
      <c r="A260" s="13">
        <v>49400</v>
      </c>
      <c r="B260" s="4">
        <f>25.4116 * CHOOSE(CONTROL!$C$9, $C$13, 100%, $E$13) + CHOOSE(CONTROL!$C$28, 0.0211, 0)</f>
        <v>25.432700000000001</v>
      </c>
      <c r="C260" s="4">
        <f>25.0483 * CHOOSE(CONTROL!$C$9, $C$13, 100%, $E$13) + CHOOSE(CONTROL!$C$28, 0.0211, 0)</f>
        <v>25.069400000000002</v>
      </c>
      <c r="D260" s="4">
        <f>35.1786 * CHOOSE(CONTROL!$C$9, $C$13, 100%, $E$13) + CHOOSE(CONTROL!$C$28, 0.0021, 0)</f>
        <v>35.180700000000002</v>
      </c>
      <c r="E260" s="4">
        <f>160.89941310925 * CHOOSE(CONTROL!$C$9, $C$13, 100%, $E$13) + CHOOSE(CONTROL!$C$28, 0.0021, 0)</f>
        <v>160.90151310925</v>
      </c>
    </row>
    <row r="261" spans="1:5" ht="15">
      <c r="A261" s="13">
        <v>49430</v>
      </c>
      <c r="B261" s="4">
        <f>26.0015 * CHOOSE(CONTROL!$C$9, $C$13, 100%, $E$13) + CHOOSE(CONTROL!$C$28, 0.0415, 0)</f>
        <v>26.042999999999999</v>
      </c>
      <c r="C261" s="4">
        <f>25.6383 * CHOOSE(CONTROL!$C$9, $C$13, 100%, $E$13) + CHOOSE(CONTROL!$C$28, 0.0415, 0)</f>
        <v>25.6798</v>
      </c>
      <c r="D261" s="4">
        <f>34.8052 * CHOOSE(CONTROL!$C$9, $C$13, 100%, $E$13) + CHOOSE(CONTROL!$C$28, 0.0021, 0)</f>
        <v>34.807299999999998</v>
      </c>
      <c r="E261" s="4">
        <f>164.752202660689 * CHOOSE(CONTROL!$C$9, $C$13, 100%, $E$13) + CHOOSE(CONTROL!$C$28, 0.0021, 0)</f>
        <v>164.75430266068901</v>
      </c>
    </row>
    <row r="262" spans="1:5" ht="15">
      <c r="A262" s="14">
        <v>49461</v>
      </c>
      <c r="B262" s="4">
        <f>26.0814 * CHOOSE(CONTROL!$C$9, $C$13, 100%, $E$13) + CHOOSE(CONTROL!$C$28, 0.0415, 0)</f>
        <v>26.122899999999998</v>
      </c>
      <c r="C262" s="4">
        <f>25.7181 * CHOOSE(CONTROL!$C$9, $C$13, 100%, $E$13) + CHOOSE(CONTROL!$C$28, 0.0415, 0)</f>
        <v>25.759599999999999</v>
      </c>
      <c r="D262" s="4">
        <f>35.1093 * CHOOSE(CONTROL!$C$9, $C$13, 100%, $E$13) + CHOOSE(CONTROL!$C$28, 0.0021, 0)</f>
        <v>35.111399999999996</v>
      </c>
      <c r="E262" s="4">
        <f>165.273501076404 * CHOOSE(CONTROL!$C$9, $C$13, 100%, $E$13) + CHOOSE(CONTROL!$C$28, 0.0021, 0)</f>
        <v>165.275601076404</v>
      </c>
    </row>
    <row r="263" spans="1:5" ht="15">
      <c r="A263" s="14">
        <v>49491</v>
      </c>
      <c r="B263" s="4">
        <f>26.0733 * CHOOSE(CONTROL!$C$9, $C$13, 100%, $E$13) + CHOOSE(CONTROL!$C$28, 0.0415, 0)</f>
        <v>26.114799999999999</v>
      </c>
      <c r="C263" s="4">
        <f>25.71 * CHOOSE(CONTROL!$C$9, $C$13, 100%, $E$13) + CHOOSE(CONTROL!$C$28, 0.0415, 0)</f>
        <v>25.7515</v>
      </c>
      <c r="D263" s="4">
        <f>35.6581 * CHOOSE(CONTROL!$C$9, $C$13, 100%, $E$13) + CHOOSE(CONTROL!$C$28, 0.0021, 0)</f>
        <v>35.660199999999996</v>
      </c>
      <c r="E263" s="4">
        <f>165.220933168937 * CHOOSE(CONTROL!$C$9, $C$13, 100%, $E$13) + CHOOSE(CONTROL!$C$28, 0.0021, 0)</f>
        <v>165.22303316893701</v>
      </c>
    </row>
    <row r="264" spans="1:5" ht="15">
      <c r="A264" s="14">
        <v>49522</v>
      </c>
      <c r="B264" s="4">
        <f>26.679 * CHOOSE(CONTROL!$C$9, $C$13, 100%, $E$13) + CHOOSE(CONTROL!$C$28, 0.0415, 0)</f>
        <v>26.720499999999998</v>
      </c>
      <c r="C264" s="4">
        <f>26.3158 * CHOOSE(CONTROL!$C$9, $C$13, 100%, $E$13) + CHOOSE(CONTROL!$C$28, 0.0415, 0)</f>
        <v>26.357299999999999</v>
      </c>
      <c r="D264" s="4">
        <f>35.2957 * CHOOSE(CONTROL!$C$9, $C$13, 100%, $E$13) + CHOOSE(CONTROL!$C$28, 0.0021, 0)</f>
        <v>35.297799999999995</v>
      </c>
      <c r="E264" s="4">
        <f>169.176668205832 * CHOOSE(CONTROL!$C$9, $C$13, 100%, $E$13) + CHOOSE(CONTROL!$C$28, 0.0021, 0)</f>
        <v>169.178768205832</v>
      </c>
    </row>
    <row r="265" spans="1:5" ht="15">
      <c r="A265" s="14">
        <v>49553</v>
      </c>
      <c r="B265" s="4">
        <f>25.6467 * CHOOSE(CONTROL!$C$9, $C$13, 100%, $E$13) + CHOOSE(CONTROL!$C$28, 0.0415, 0)</f>
        <v>25.688199999999998</v>
      </c>
      <c r="C265" s="4">
        <f>25.2834 * CHOOSE(CONTROL!$C$9, $C$13, 100%, $E$13) + CHOOSE(CONTROL!$C$28, 0.0415, 0)</f>
        <v>25.3249</v>
      </c>
      <c r="D265" s="4">
        <f>35.1245 * CHOOSE(CONTROL!$C$9, $C$13, 100%, $E$13) + CHOOSE(CONTROL!$C$28, 0.0021, 0)</f>
        <v>35.126599999999996</v>
      </c>
      <c r="E265" s="4">
        <f>162.434834073183 * CHOOSE(CONTROL!$C$9, $C$13, 100%, $E$13) + CHOOSE(CONTROL!$C$28, 0.0021, 0)</f>
        <v>162.43693407318301</v>
      </c>
    </row>
    <row r="266" spans="1:5" ht="15">
      <c r="A266" s="14">
        <v>49583</v>
      </c>
      <c r="B266" s="4">
        <f>24.8203 * CHOOSE(CONTROL!$C$9, $C$13, 100%, $E$13) + CHOOSE(CONTROL!$C$28, 0.0211, 0)</f>
        <v>24.8414</v>
      </c>
      <c r="C266" s="4">
        <f>24.457 * CHOOSE(CONTROL!$C$9, $C$13, 100%, $E$13) + CHOOSE(CONTROL!$C$28, 0.0211, 0)</f>
        <v>24.478100000000001</v>
      </c>
      <c r="D266" s="4">
        <f>34.666 * CHOOSE(CONTROL!$C$9, $C$13, 100%, $E$13) + CHOOSE(CONTROL!$C$28, 0.0021, 0)</f>
        <v>34.668099999999995</v>
      </c>
      <c r="E266" s="4">
        <f>157.037862239899 * CHOOSE(CONTROL!$C$9, $C$13, 100%, $E$13) + CHOOSE(CONTROL!$C$28, 0.0021, 0)</f>
        <v>157.03996223989901</v>
      </c>
    </row>
    <row r="267" spans="1:5" ht="15">
      <c r="A267" s="14">
        <v>49614</v>
      </c>
      <c r="B267" s="4">
        <f>24.288 * CHOOSE(CONTROL!$C$9, $C$13, 100%, $E$13) + CHOOSE(CONTROL!$C$28, 0.0211, 0)</f>
        <v>24.309100000000001</v>
      </c>
      <c r="C267" s="4">
        <f>23.9247 * CHOOSE(CONTROL!$C$9, $C$13, 100%, $E$13) + CHOOSE(CONTROL!$C$28, 0.0211, 0)</f>
        <v>23.945800000000002</v>
      </c>
      <c r="D267" s="4">
        <f>34.5084 * CHOOSE(CONTROL!$C$9, $C$13, 100%, $E$13) + CHOOSE(CONTROL!$C$28, 0.0021, 0)</f>
        <v>34.5105</v>
      </c>
      <c r="E267" s="4">
        <f>153.561809358641 * CHOOSE(CONTROL!$C$9, $C$13, 100%, $E$13) + CHOOSE(CONTROL!$C$28, 0.0021, 0)</f>
        <v>153.56390935864101</v>
      </c>
    </row>
    <row r="268" spans="1:5" ht="15">
      <c r="A268" s="14">
        <v>49644</v>
      </c>
      <c r="B268" s="4">
        <f>23.9197 * CHOOSE(CONTROL!$C$9, $C$13, 100%, $E$13) + CHOOSE(CONTROL!$C$28, 0.0211, 0)</f>
        <v>23.940799999999999</v>
      </c>
      <c r="C268" s="4">
        <f>23.5564 * CHOOSE(CONTROL!$C$9, $C$13, 100%, $E$13) + CHOOSE(CONTROL!$C$28, 0.0211, 0)</f>
        <v>23.577500000000001</v>
      </c>
      <c r="D268" s="4">
        <f>33.348 * CHOOSE(CONTROL!$C$9, $C$13, 100%, $E$13) + CHOOSE(CONTROL!$C$28, 0.0021, 0)</f>
        <v>33.350099999999998</v>
      </c>
      <c r="E268" s="4">
        <f>151.156827592023 * CHOOSE(CONTROL!$C$9, $C$13, 100%, $E$13) + CHOOSE(CONTROL!$C$28, 0.0021, 0)</f>
        <v>151.15892759202302</v>
      </c>
    </row>
    <row r="269" spans="1:5" ht="15">
      <c r="A269" s="14">
        <v>49675</v>
      </c>
      <c r="B269" s="4">
        <f>22.9121 * CHOOSE(CONTROL!$C$9, $C$13, 100%, $E$13) + CHOOSE(CONTROL!$C$28, 0.0211, 0)</f>
        <v>22.933199999999999</v>
      </c>
      <c r="C269" s="4">
        <f>22.5488 * CHOOSE(CONTROL!$C$9, $C$13, 100%, $E$13) + CHOOSE(CONTROL!$C$28, 0.0211, 0)</f>
        <v>22.569900000000001</v>
      </c>
      <c r="D269" s="4">
        <f>32.0697 * CHOOSE(CONTROL!$C$9, $C$13, 100%, $E$13) + CHOOSE(CONTROL!$C$28, 0.0021, 0)</f>
        <v>32.071799999999996</v>
      </c>
      <c r="E269" s="4">
        <f>144.860531510632 * CHOOSE(CONTROL!$C$9, $C$13, 100%, $E$13) + CHOOSE(CONTROL!$C$28, 0.0021, 0)</f>
        <v>144.86263151063201</v>
      </c>
    </row>
    <row r="270" spans="1:5" ht="15">
      <c r="A270" s="14">
        <v>49706</v>
      </c>
      <c r="B270" s="4">
        <f>23.4378 * CHOOSE(CONTROL!$C$9, $C$13, 100%, $E$13) + CHOOSE(CONTROL!$C$28, 0.0211, 0)</f>
        <v>23.4589</v>
      </c>
      <c r="C270" s="4">
        <f>23.0745 * CHOOSE(CONTROL!$C$9, $C$13, 100%, $E$13) + CHOOSE(CONTROL!$C$28, 0.0211, 0)</f>
        <v>23.095600000000001</v>
      </c>
      <c r="D270" s="4">
        <f>33.1362 * CHOOSE(CONTROL!$C$9, $C$13, 100%, $E$13) + CHOOSE(CONTROL!$C$28, 0.0021, 0)</f>
        <v>33.138300000000001</v>
      </c>
      <c r="E270" s="4">
        <f>148.300091410931 * CHOOSE(CONTROL!$C$9, $C$13, 100%, $E$13) + CHOOSE(CONTROL!$C$28, 0.0021, 0)</f>
        <v>148.30219141093102</v>
      </c>
    </row>
    <row r="271" spans="1:5" ht="15">
      <c r="A271" s="14">
        <v>49735</v>
      </c>
      <c r="B271" s="4">
        <f>24.8182 * CHOOSE(CONTROL!$C$9, $C$13, 100%, $E$13) + CHOOSE(CONTROL!$C$28, 0.0211, 0)</f>
        <v>24.839300000000001</v>
      </c>
      <c r="C271" s="4">
        <f>24.4549 * CHOOSE(CONTROL!$C$9, $C$13, 100%, $E$13) + CHOOSE(CONTROL!$C$28, 0.0211, 0)</f>
        <v>24.475999999999999</v>
      </c>
      <c r="D271" s="4">
        <f>34.8058 * CHOOSE(CONTROL!$C$9, $C$13, 100%, $E$13) + CHOOSE(CONTROL!$C$28, 0.0021, 0)</f>
        <v>34.807899999999997</v>
      </c>
      <c r="E271" s="4">
        <f>157.332558498429 * CHOOSE(CONTROL!$C$9, $C$13, 100%, $E$13) + CHOOSE(CONTROL!$C$28, 0.0021, 0)</f>
        <v>157.33465849842901</v>
      </c>
    </row>
    <row r="272" spans="1:5" ht="15">
      <c r="A272" s="14">
        <v>49766</v>
      </c>
      <c r="B272" s="4">
        <f>25.799 * CHOOSE(CONTROL!$C$9, $C$13, 100%, $E$13) + CHOOSE(CONTROL!$C$28, 0.0211, 0)</f>
        <v>25.8201</v>
      </c>
      <c r="C272" s="4">
        <f>25.4357 * CHOOSE(CONTROL!$C$9, $C$13, 100%, $E$13) + CHOOSE(CONTROL!$C$28, 0.0211, 0)</f>
        <v>25.456800000000001</v>
      </c>
      <c r="D272" s="4">
        <f>35.7675 * CHOOSE(CONTROL!$C$9, $C$13, 100%, $E$13) + CHOOSE(CONTROL!$C$28, 0.0021, 0)</f>
        <v>35.769599999999997</v>
      </c>
      <c r="E272" s="4">
        <f>163.750246737548 * CHOOSE(CONTROL!$C$9, $C$13, 100%, $E$13) + CHOOSE(CONTROL!$C$28, 0.0021, 0)</f>
        <v>163.75234673754801</v>
      </c>
    </row>
    <row r="273" spans="1:5" ht="15">
      <c r="A273" s="14">
        <v>49796</v>
      </c>
      <c r="B273" s="4">
        <f>26.3982 * CHOOSE(CONTROL!$C$9, $C$13, 100%, $E$13) + CHOOSE(CONTROL!$C$28, 0.0415, 0)</f>
        <v>26.439699999999998</v>
      </c>
      <c r="C273" s="4">
        <f>26.035 * CHOOSE(CONTROL!$C$9, $C$13, 100%, $E$13) + CHOOSE(CONTROL!$C$28, 0.0415, 0)</f>
        <v>26.076499999999999</v>
      </c>
      <c r="D273" s="4">
        <f>35.3874 * CHOOSE(CONTROL!$C$9, $C$13, 100%, $E$13) + CHOOSE(CONTROL!$C$28, 0.0021, 0)</f>
        <v>35.389499999999998</v>
      </c>
      <c r="E273" s="4">
        <f>167.671300441129 * CHOOSE(CONTROL!$C$9, $C$13, 100%, $E$13) + CHOOSE(CONTROL!$C$28, 0.0021, 0)</f>
        <v>167.67340044112902</v>
      </c>
    </row>
    <row r="274" spans="1:5" ht="15">
      <c r="A274" s="14">
        <v>49827</v>
      </c>
      <c r="B274" s="4">
        <f>26.4793 * CHOOSE(CONTROL!$C$9, $C$13, 100%, $E$13) + CHOOSE(CONTROL!$C$28, 0.0415, 0)</f>
        <v>26.520799999999998</v>
      </c>
      <c r="C274" s="4">
        <f>26.116 * CHOOSE(CONTROL!$C$9, $C$13, 100%, $E$13) + CHOOSE(CONTROL!$C$28, 0.0415, 0)</f>
        <v>26.157499999999999</v>
      </c>
      <c r="D274" s="4">
        <f>35.6969 * CHOOSE(CONTROL!$C$9, $C$13, 100%, $E$13) + CHOOSE(CONTROL!$C$28, 0.0021, 0)</f>
        <v>35.698999999999998</v>
      </c>
      <c r="E274" s="4">
        <f>168.20183527993 * CHOOSE(CONTROL!$C$9, $C$13, 100%, $E$13) + CHOOSE(CONTROL!$C$28, 0.0021, 0)</f>
        <v>168.20393527993002</v>
      </c>
    </row>
    <row r="275" spans="1:5" ht="15">
      <c r="A275" s="14">
        <v>49857</v>
      </c>
      <c r="B275" s="4">
        <f>26.4711 * CHOOSE(CONTROL!$C$9, $C$13, 100%, $E$13) + CHOOSE(CONTROL!$C$28, 0.0415, 0)</f>
        <v>26.512599999999999</v>
      </c>
      <c r="C275" s="4">
        <f>26.1079 * CHOOSE(CONTROL!$C$9, $C$13, 100%, $E$13) + CHOOSE(CONTROL!$C$28, 0.0415, 0)</f>
        <v>26.1494</v>
      </c>
      <c r="D275" s="4">
        <f>36.2554 * CHOOSE(CONTROL!$C$9, $C$13, 100%, $E$13) + CHOOSE(CONTROL!$C$28, 0.0021, 0)</f>
        <v>36.2575</v>
      </c>
      <c r="E275" s="4">
        <f>168.148335968454 * CHOOSE(CONTROL!$C$9, $C$13, 100%, $E$13) + CHOOSE(CONTROL!$C$28, 0.0021, 0)</f>
        <v>168.15043596845402</v>
      </c>
    </row>
    <row r="276" spans="1:5" ht="15">
      <c r="A276" s="14">
        <v>49888</v>
      </c>
      <c r="B276" s="4">
        <f>27.0864 * CHOOSE(CONTROL!$C$9, $C$13, 100%, $E$13) + CHOOSE(CONTROL!$C$28, 0.0415, 0)</f>
        <v>27.1279</v>
      </c>
      <c r="C276" s="4">
        <f>26.7231 * CHOOSE(CONTROL!$C$9, $C$13, 100%, $E$13) + CHOOSE(CONTROL!$C$28, 0.0415, 0)</f>
        <v>26.764599999999998</v>
      </c>
      <c r="D276" s="4">
        <f>35.8866 * CHOOSE(CONTROL!$C$9, $C$13, 100%, $E$13) + CHOOSE(CONTROL!$C$28, 0.0021, 0)</f>
        <v>35.8887</v>
      </c>
      <c r="E276" s="4">
        <f>172.174159157009 * CHOOSE(CONTROL!$C$9, $C$13, 100%, $E$13) + CHOOSE(CONTROL!$C$28, 0.0021, 0)</f>
        <v>172.17625915700901</v>
      </c>
    </row>
    <row r="277" spans="1:5" ht="15">
      <c r="A277" s="14">
        <v>49919</v>
      </c>
      <c r="B277" s="4">
        <f>26.0378 * CHOOSE(CONTROL!$C$9, $C$13, 100%, $E$13) + CHOOSE(CONTROL!$C$28, 0.0415, 0)</f>
        <v>26.0793</v>
      </c>
      <c r="C277" s="4">
        <f>25.6745 * CHOOSE(CONTROL!$C$9, $C$13, 100%, $E$13) + CHOOSE(CONTROL!$C$28, 0.0415, 0)</f>
        <v>25.715999999999998</v>
      </c>
      <c r="D277" s="4">
        <f>35.7123 * CHOOSE(CONTROL!$C$9, $C$13, 100%, $E$13) + CHOOSE(CONTROL!$C$28, 0.0021, 0)</f>
        <v>35.714399999999998</v>
      </c>
      <c r="E277" s="4">
        <f>165.312872460237 * CHOOSE(CONTROL!$C$9, $C$13, 100%, $E$13) + CHOOSE(CONTROL!$C$28, 0.0021, 0)</f>
        <v>165.31497246023702</v>
      </c>
    </row>
    <row r="278" spans="1:5" ht="15">
      <c r="A278" s="14">
        <v>49949</v>
      </c>
      <c r="B278" s="4">
        <f>25.1984 * CHOOSE(CONTROL!$C$9, $C$13, 100%, $E$13) + CHOOSE(CONTROL!$C$28, 0.0211, 0)</f>
        <v>25.2195</v>
      </c>
      <c r="C278" s="4">
        <f>24.8351 * CHOOSE(CONTROL!$C$9, $C$13, 100%, $E$13) + CHOOSE(CONTROL!$C$28, 0.0211, 0)</f>
        <v>24.856200000000001</v>
      </c>
      <c r="D278" s="4">
        <f>35.2458 * CHOOSE(CONTROL!$C$9, $C$13, 100%, $E$13) + CHOOSE(CONTROL!$C$28, 0.0021, 0)</f>
        <v>35.247900000000001</v>
      </c>
      <c r="E278" s="4">
        <f>159.820276482054 * CHOOSE(CONTROL!$C$9, $C$13, 100%, $E$13) + CHOOSE(CONTROL!$C$28, 0.0021, 0)</f>
        <v>159.82237648205401</v>
      </c>
    </row>
    <row r="279" spans="1:5" ht="15">
      <c r="A279" s="14">
        <v>49980</v>
      </c>
      <c r="B279" s="4">
        <f>24.6577 * CHOOSE(CONTROL!$C$9, $C$13, 100%, $E$13) + CHOOSE(CONTROL!$C$28, 0.0211, 0)</f>
        <v>24.678799999999999</v>
      </c>
      <c r="C279" s="4">
        <f>24.2945 * CHOOSE(CONTROL!$C$9, $C$13, 100%, $E$13) + CHOOSE(CONTROL!$C$28, 0.0211, 0)</f>
        <v>24.3156</v>
      </c>
      <c r="D279" s="4">
        <f>35.0854 * CHOOSE(CONTROL!$C$9, $C$13, 100%, $E$13) + CHOOSE(CONTROL!$C$28, 0.0021, 0)</f>
        <v>35.087499999999999</v>
      </c>
      <c r="E279" s="4">
        <f>156.282634510717 * CHOOSE(CONTROL!$C$9, $C$13, 100%, $E$13) + CHOOSE(CONTROL!$C$28, 0.0021, 0)</f>
        <v>156.28473451071702</v>
      </c>
    </row>
    <row r="280" spans="1:5" ht="15">
      <c r="A280" s="14">
        <v>50010</v>
      </c>
      <c r="B280" s="4">
        <f>24.2837 * CHOOSE(CONTROL!$C$9, $C$13, 100%, $E$13) + CHOOSE(CONTROL!$C$28, 0.0211, 0)</f>
        <v>24.3048</v>
      </c>
      <c r="C280" s="4">
        <f>23.9204 * CHOOSE(CONTROL!$C$9, $C$13, 100%, $E$13) + CHOOSE(CONTROL!$C$28, 0.0211, 0)</f>
        <v>23.941500000000001</v>
      </c>
      <c r="D280" s="4">
        <f>33.9045 * CHOOSE(CONTROL!$C$9, $C$13, 100%, $E$13) + CHOOSE(CONTROL!$C$28, 0.0021, 0)</f>
        <v>33.906599999999997</v>
      </c>
      <c r="E280" s="4">
        <f>153.835041010699 * CHOOSE(CONTROL!$C$9, $C$13, 100%, $E$13) + CHOOSE(CONTROL!$C$28, 0.0021, 0)</f>
        <v>153.83714101069901</v>
      </c>
    </row>
    <row r="281" spans="1:5" ht="15">
      <c r="A281" s="14">
        <v>50041</v>
      </c>
      <c r="B281" s="4">
        <f>23.2603 * CHOOSE(CONTROL!$C$9, $C$13, 100%, $E$13) + CHOOSE(CONTROL!$C$28, 0.0211, 0)</f>
        <v>23.281400000000001</v>
      </c>
      <c r="C281" s="4">
        <f>22.897 * CHOOSE(CONTROL!$C$9, $C$13, 100%, $E$13) + CHOOSE(CONTROL!$C$28, 0.0211, 0)</f>
        <v>22.918099999999999</v>
      </c>
      <c r="D281" s="4">
        <f>32.6036 * CHOOSE(CONTROL!$C$9, $C$13, 100%, $E$13) + CHOOSE(CONTROL!$C$28, 0.0021, 0)</f>
        <v>32.605699999999999</v>
      </c>
      <c r="E281" s="4">
        <f>147.42718645774 * CHOOSE(CONTROL!$C$9, $C$13, 100%, $E$13) + CHOOSE(CONTROL!$C$28, 0.0021, 0)</f>
        <v>147.42928645774001</v>
      </c>
    </row>
    <row r="282" spans="1:5" ht="15">
      <c r="A282" s="14">
        <v>50072</v>
      </c>
      <c r="B282" s="4">
        <f>23.7942 * CHOOSE(CONTROL!$C$9, $C$13, 100%, $E$13) + CHOOSE(CONTROL!$C$28, 0.0211, 0)</f>
        <v>23.815300000000001</v>
      </c>
      <c r="C282" s="4">
        <f>23.4309 * CHOOSE(CONTROL!$C$9, $C$13, 100%, $E$13) + CHOOSE(CONTROL!$C$28, 0.0211, 0)</f>
        <v>23.452000000000002</v>
      </c>
      <c r="D282" s="4">
        <f>33.689 * CHOOSE(CONTROL!$C$9, $C$13, 100%, $E$13) + CHOOSE(CONTROL!$C$28, 0.0021, 0)</f>
        <v>33.691099999999999</v>
      </c>
      <c r="E282" s="4">
        <f>150.927688861438 * CHOOSE(CONTROL!$C$9, $C$13, 100%, $E$13) + CHOOSE(CONTROL!$C$28, 0.0021, 0)</f>
        <v>150.92978886143803</v>
      </c>
    </row>
    <row r="283" spans="1:5" ht="15">
      <c r="A283" s="14">
        <v>50100</v>
      </c>
      <c r="B283" s="4">
        <f>25.1963 * CHOOSE(CONTROL!$C$9, $C$13, 100%, $E$13) + CHOOSE(CONTROL!$C$28, 0.0211, 0)</f>
        <v>25.217400000000001</v>
      </c>
      <c r="C283" s="4">
        <f>24.833 * CHOOSE(CONTROL!$C$9, $C$13, 100%, $E$13) + CHOOSE(CONTROL!$C$28, 0.0211, 0)</f>
        <v>24.854099999999999</v>
      </c>
      <c r="D283" s="4">
        <f>35.388 * CHOOSE(CONTROL!$C$9, $C$13, 100%, $E$13) + CHOOSE(CONTROL!$C$28, 0.0021, 0)</f>
        <v>35.390099999999997</v>
      </c>
      <c r="E283" s="4">
        <f>160.120194201544 * CHOOSE(CONTROL!$C$9, $C$13, 100%, $E$13) + CHOOSE(CONTROL!$C$28, 0.0021, 0)</f>
        <v>160.12229420154401</v>
      </c>
    </row>
    <row r="284" spans="1:5" ht="15">
      <c r="A284" s="14">
        <v>50131</v>
      </c>
      <c r="B284" s="4">
        <f>26.1925 * CHOOSE(CONTROL!$C$9, $C$13, 100%, $E$13) + CHOOSE(CONTROL!$C$28, 0.0211, 0)</f>
        <v>26.2136</v>
      </c>
      <c r="C284" s="4">
        <f>25.8292 * CHOOSE(CONTROL!$C$9, $C$13, 100%, $E$13) + CHOOSE(CONTROL!$C$28, 0.0211, 0)</f>
        <v>25.850300000000001</v>
      </c>
      <c r="D284" s="4">
        <f>36.3667 * CHOOSE(CONTROL!$C$9, $C$13, 100%, $E$13) + CHOOSE(CONTROL!$C$28, 0.0021, 0)</f>
        <v>36.3688</v>
      </c>
      <c r="E284" s="4">
        <f>166.65159175193 * CHOOSE(CONTROL!$C$9, $C$13, 100%, $E$13) + CHOOSE(CONTROL!$C$28, 0.0021, 0)</f>
        <v>166.65369175193001</v>
      </c>
    </row>
    <row r="285" spans="1:5" ht="15">
      <c r="A285" s="14">
        <v>50161</v>
      </c>
      <c r="B285" s="4">
        <f>26.8012 * CHOOSE(CONTROL!$C$9, $C$13, 100%, $E$13) + CHOOSE(CONTROL!$C$28, 0.0415, 0)</f>
        <v>26.842700000000001</v>
      </c>
      <c r="C285" s="4">
        <f>26.4379 * CHOOSE(CONTROL!$C$9, $C$13, 100%, $E$13) + CHOOSE(CONTROL!$C$28, 0.0415, 0)</f>
        <v>26.479399999999998</v>
      </c>
      <c r="D285" s="4">
        <f>35.98 * CHOOSE(CONTROL!$C$9, $C$13, 100%, $E$13) + CHOOSE(CONTROL!$C$28, 0.0021, 0)</f>
        <v>35.982099999999996</v>
      </c>
      <c r="E285" s="4">
        <f>170.642119119463 * CHOOSE(CONTROL!$C$9, $C$13, 100%, $E$13) + CHOOSE(CONTROL!$C$28, 0.0021, 0)</f>
        <v>170.644219119463</v>
      </c>
    </row>
    <row r="286" spans="1:5" ht="15">
      <c r="A286" s="14">
        <v>50192</v>
      </c>
      <c r="B286" s="4">
        <f>26.8835 * CHOOSE(CONTROL!$C$9, $C$13, 100%, $E$13) + CHOOSE(CONTROL!$C$28, 0.0415, 0)</f>
        <v>26.925000000000001</v>
      </c>
      <c r="C286" s="4">
        <f>26.5203 * CHOOSE(CONTROL!$C$9, $C$13, 100%, $E$13) + CHOOSE(CONTROL!$C$28, 0.0415, 0)</f>
        <v>26.561799999999998</v>
      </c>
      <c r="D286" s="4">
        <f>36.2949 * CHOOSE(CONTROL!$C$9, $C$13, 100%, $E$13) + CHOOSE(CONTROL!$C$28, 0.0021, 0)</f>
        <v>36.296999999999997</v>
      </c>
      <c r="E286" s="4">
        <f>171.182054033319 * CHOOSE(CONTROL!$C$9, $C$13, 100%, $E$13) + CHOOSE(CONTROL!$C$28, 0.0021, 0)</f>
        <v>171.184154033319</v>
      </c>
    </row>
    <row r="287" spans="1:5" ht="15">
      <c r="A287" s="14">
        <v>50222</v>
      </c>
      <c r="B287" s="4">
        <f>26.8752 * CHOOSE(CONTROL!$C$9, $C$13, 100%, $E$13) + CHOOSE(CONTROL!$C$28, 0.0415, 0)</f>
        <v>26.916699999999999</v>
      </c>
      <c r="C287" s="4">
        <f>26.512 * CHOOSE(CONTROL!$C$9, $C$13, 100%, $E$13) + CHOOSE(CONTROL!$C$28, 0.0415, 0)</f>
        <v>26.5535</v>
      </c>
      <c r="D287" s="4">
        <f>36.8632 * CHOOSE(CONTROL!$C$9, $C$13, 100%, $E$13) + CHOOSE(CONTROL!$C$28, 0.0021, 0)</f>
        <v>36.865299999999998</v>
      </c>
      <c r="E287" s="4">
        <f>171.127606815115 * CHOOSE(CONTROL!$C$9, $C$13, 100%, $E$13) + CHOOSE(CONTROL!$C$28, 0.0021, 0)</f>
        <v>171.12970681511501</v>
      </c>
    </row>
    <row r="288" spans="1:5" ht="15">
      <c r="A288" s="14">
        <v>50253</v>
      </c>
      <c r="B288" s="4">
        <f>27.5002 * CHOOSE(CONTROL!$C$9, $C$13, 100%, $E$13) + CHOOSE(CONTROL!$C$28, 0.0415, 0)</f>
        <v>27.541699999999999</v>
      </c>
      <c r="C288" s="4">
        <f>27.1369 * CHOOSE(CONTROL!$C$9, $C$13, 100%, $E$13) + CHOOSE(CONTROL!$C$28, 0.0415, 0)</f>
        <v>27.1784</v>
      </c>
      <c r="D288" s="4">
        <f>36.4879 * CHOOSE(CONTROL!$C$9, $C$13, 100%, $E$13) + CHOOSE(CONTROL!$C$28, 0.0021, 0)</f>
        <v>36.49</v>
      </c>
      <c r="E288" s="4">
        <f>175.224759984965 * CHOOSE(CONTROL!$C$9, $C$13, 100%, $E$13) + CHOOSE(CONTROL!$C$28, 0.0021, 0)</f>
        <v>175.22685998496502</v>
      </c>
    </row>
    <row r="289" spans="1:5" ht="15">
      <c r="A289" s="14">
        <v>50284</v>
      </c>
      <c r="B289" s="4">
        <f>26.4351 * CHOOSE(CONTROL!$C$9, $C$13, 100%, $E$13) + CHOOSE(CONTROL!$C$28, 0.0415, 0)</f>
        <v>26.476599999999998</v>
      </c>
      <c r="C289" s="4">
        <f>26.0718 * CHOOSE(CONTROL!$C$9, $C$13, 100%, $E$13) + CHOOSE(CONTROL!$C$28, 0.0415, 0)</f>
        <v>26.113299999999999</v>
      </c>
      <c r="D289" s="4">
        <f>36.3106 * CHOOSE(CONTROL!$C$9, $C$13, 100%, $E$13) + CHOOSE(CONTROL!$C$28, 0.0021, 0)</f>
        <v>36.3127</v>
      </c>
      <c r="E289" s="4">
        <f>168.241904250304 * CHOOSE(CONTROL!$C$9, $C$13, 100%, $E$13) + CHOOSE(CONTROL!$C$28, 0.0021, 0)</f>
        <v>168.24400425030402</v>
      </c>
    </row>
    <row r="290" spans="1:5" ht="15">
      <c r="A290" s="14">
        <v>50314</v>
      </c>
      <c r="B290" s="4">
        <f>25.5825 * CHOOSE(CONTROL!$C$9, $C$13, 100%, $E$13) + CHOOSE(CONTROL!$C$28, 0.0211, 0)</f>
        <v>25.6036</v>
      </c>
      <c r="C290" s="4">
        <f>25.2192 * CHOOSE(CONTROL!$C$9, $C$13, 100%, $E$13) + CHOOSE(CONTROL!$C$28, 0.0211, 0)</f>
        <v>25.240300000000001</v>
      </c>
      <c r="D290" s="4">
        <f>35.8358 * CHOOSE(CONTROL!$C$9, $C$13, 100%, $E$13) + CHOOSE(CONTROL!$C$28, 0.0021, 0)</f>
        <v>35.837899999999998</v>
      </c>
      <c r="E290" s="4">
        <f>162.651989848029 * CHOOSE(CONTROL!$C$9, $C$13, 100%, $E$13) + CHOOSE(CONTROL!$C$28, 0.0021, 0)</f>
        <v>162.654089848029</v>
      </c>
    </row>
    <row r="291" spans="1:5" ht="15">
      <c r="A291" s="14">
        <v>50345</v>
      </c>
      <c r="B291" s="4">
        <f>25.0333 * CHOOSE(CONTROL!$C$9, $C$13, 100%, $E$13) + CHOOSE(CONTROL!$C$28, 0.0211, 0)</f>
        <v>25.054400000000001</v>
      </c>
      <c r="C291" s="4">
        <f>24.67 * CHOOSE(CONTROL!$C$9, $C$13, 100%, $E$13) + CHOOSE(CONTROL!$C$28, 0.0211, 0)</f>
        <v>24.691100000000002</v>
      </c>
      <c r="D291" s="4">
        <f>35.6726 * CHOOSE(CONTROL!$C$9, $C$13, 100%, $E$13) + CHOOSE(CONTROL!$C$28, 0.0021, 0)</f>
        <v>35.674700000000001</v>
      </c>
      <c r="E291" s="4">
        <f>159.051667544291 * CHOOSE(CONTROL!$C$9, $C$13, 100%, $E$13) + CHOOSE(CONTROL!$C$28, 0.0021, 0)</f>
        <v>159.05376754429102</v>
      </c>
    </row>
    <row r="292" spans="1:5" ht="15">
      <c r="A292" s="14">
        <v>50375</v>
      </c>
      <c r="B292" s="4">
        <f>24.6534 * CHOOSE(CONTROL!$C$9, $C$13, 100%, $E$13) + CHOOSE(CONTROL!$C$28, 0.0211, 0)</f>
        <v>24.674500000000002</v>
      </c>
      <c r="C292" s="4">
        <f>24.2901 * CHOOSE(CONTROL!$C$9, $C$13, 100%, $E$13) + CHOOSE(CONTROL!$C$28, 0.0211, 0)</f>
        <v>24.311199999999999</v>
      </c>
      <c r="D292" s="4">
        <f>34.4708 * CHOOSE(CONTROL!$C$9, $C$13, 100%, $E$13) + CHOOSE(CONTROL!$C$28, 0.0021, 0)</f>
        <v>34.472899999999996</v>
      </c>
      <c r="E292" s="4">
        <f>156.560707311458 * CHOOSE(CONTROL!$C$9, $C$13, 100%, $E$13) + CHOOSE(CONTROL!$C$28, 0.0021, 0)</f>
        <v>156.56280731145802</v>
      </c>
    </row>
    <row r="293" spans="1:5" ht="15">
      <c r="A293" s="13">
        <v>50436</v>
      </c>
      <c r="B293" s="4">
        <f>23.6139 * CHOOSE(CONTROL!$C$9, $C$13, 100%, $E$13) + CHOOSE(CONTROL!$C$28, 0.0211, 0)</f>
        <v>23.635000000000002</v>
      </c>
      <c r="C293" s="4">
        <f>23.2506 * CHOOSE(CONTROL!$C$9, $C$13, 100%, $E$13) + CHOOSE(CONTROL!$C$28, 0.0211, 0)</f>
        <v>23.271699999999999</v>
      </c>
      <c r="D293" s="4">
        <f>33.1469 * CHOOSE(CONTROL!$C$9, $C$13, 100%, $E$13) + CHOOSE(CONTROL!$C$28, 0.0021, 0)</f>
        <v>33.149000000000001</v>
      </c>
      <c r="E293" s="4">
        <f>150.039317681574 * CHOOSE(CONTROL!$C$9, $C$13, 100%, $E$13) + CHOOSE(CONTROL!$C$28, 0.0021, 0)</f>
        <v>150.04141768157402</v>
      </c>
    </row>
    <row r="294" spans="1:5" ht="15">
      <c r="A294" s="13">
        <v>50464</v>
      </c>
      <c r="B294" s="4">
        <f>24.1562 * CHOOSE(CONTROL!$C$9, $C$13, 100%, $E$13) + CHOOSE(CONTROL!$C$28, 0.0211, 0)</f>
        <v>24.177299999999999</v>
      </c>
      <c r="C294" s="4">
        <f>23.7929 * CHOOSE(CONTROL!$C$9, $C$13, 100%, $E$13) + CHOOSE(CONTROL!$C$28, 0.0211, 0)</f>
        <v>23.814</v>
      </c>
      <c r="D294" s="4">
        <f>34.2515 * CHOOSE(CONTROL!$C$9, $C$13, 100%, $E$13) + CHOOSE(CONTROL!$C$28, 0.0021, 0)</f>
        <v>34.253599999999999</v>
      </c>
      <c r="E294" s="4">
        <f>153.601842374698 * CHOOSE(CONTROL!$C$9, $C$13, 100%, $E$13) + CHOOSE(CONTROL!$C$28, 0.0021, 0)</f>
        <v>153.60394237469802</v>
      </c>
    </row>
    <row r="295" spans="1:5" ht="15">
      <c r="A295" s="13">
        <v>50495</v>
      </c>
      <c r="B295" s="4">
        <f>25.5803 * CHOOSE(CONTROL!$C$9, $C$13, 100%, $E$13) + CHOOSE(CONTROL!$C$28, 0.0211, 0)</f>
        <v>25.601400000000002</v>
      </c>
      <c r="C295" s="4">
        <f>25.2171 * CHOOSE(CONTROL!$C$9, $C$13, 100%, $E$13) + CHOOSE(CONTROL!$C$28, 0.0211, 0)</f>
        <v>25.238199999999999</v>
      </c>
      <c r="D295" s="4">
        <f>35.9805 * CHOOSE(CONTROL!$C$9, $C$13, 100%, $E$13) + CHOOSE(CONTROL!$C$28, 0.0021, 0)</f>
        <v>35.982599999999998</v>
      </c>
      <c r="E295" s="4">
        <f>162.957221542902 * CHOOSE(CONTROL!$C$9, $C$13, 100%, $E$13) + CHOOSE(CONTROL!$C$28, 0.0021, 0)</f>
        <v>162.95932154290202</v>
      </c>
    </row>
    <row r="296" spans="1:5" ht="15">
      <c r="A296" s="13">
        <v>50525</v>
      </c>
      <c r="B296" s="4">
        <f>26.5922 * CHOOSE(CONTROL!$C$9, $C$13, 100%, $E$13) + CHOOSE(CONTROL!$C$28, 0.0211, 0)</f>
        <v>26.613299999999999</v>
      </c>
      <c r="C296" s="4">
        <f>26.229 * CHOOSE(CONTROL!$C$9, $C$13, 100%, $E$13) + CHOOSE(CONTROL!$C$28, 0.0211, 0)</f>
        <v>26.2501</v>
      </c>
      <c r="D296" s="4">
        <f>36.9765 * CHOOSE(CONTROL!$C$9, $C$13, 100%, $E$13) + CHOOSE(CONTROL!$C$28, 0.0021, 0)</f>
        <v>36.9786</v>
      </c>
      <c r="E296" s="4">
        <f>169.604343118731 * CHOOSE(CONTROL!$C$9, $C$13, 100%, $E$13) + CHOOSE(CONTROL!$C$28, 0.0021, 0)</f>
        <v>169.60644311873102</v>
      </c>
    </row>
    <row r="297" spans="1:5" ht="15">
      <c r="A297" s="13">
        <v>50556</v>
      </c>
      <c r="B297" s="4">
        <f>27.2105 * CHOOSE(CONTROL!$C$9, $C$13, 100%, $E$13) + CHOOSE(CONTROL!$C$28, 0.0415, 0)</f>
        <v>27.251999999999999</v>
      </c>
      <c r="C297" s="4">
        <f>26.8472 * CHOOSE(CONTROL!$C$9, $C$13, 100%, $E$13) + CHOOSE(CONTROL!$C$28, 0.0415, 0)</f>
        <v>26.8887</v>
      </c>
      <c r="D297" s="4">
        <f>36.5829 * CHOOSE(CONTROL!$C$9, $C$13, 100%, $E$13) + CHOOSE(CONTROL!$C$28, 0.0021, 0)</f>
        <v>36.585000000000001</v>
      </c>
      <c r="E297" s="4">
        <f>173.665575092292 * CHOOSE(CONTROL!$C$9, $C$13, 100%, $E$13) + CHOOSE(CONTROL!$C$28, 0.0021, 0)</f>
        <v>173.667675092292</v>
      </c>
    </row>
    <row r="298" spans="1:5" ht="15">
      <c r="A298" s="13">
        <v>50586</v>
      </c>
      <c r="B298" s="4">
        <f>27.2941 * CHOOSE(CONTROL!$C$9, $C$13, 100%, $E$13) + CHOOSE(CONTROL!$C$28, 0.0415, 0)</f>
        <v>27.335599999999999</v>
      </c>
      <c r="C298" s="4">
        <f>26.9308 * CHOOSE(CONTROL!$C$9, $C$13, 100%, $E$13) + CHOOSE(CONTROL!$C$28, 0.0415, 0)</f>
        <v>26.972300000000001</v>
      </c>
      <c r="D298" s="4">
        <f>36.9035 * CHOOSE(CONTROL!$C$9, $C$13, 100%, $E$13) + CHOOSE(CONTROL!$C$28, 0.0021, 0)</f>
        <v>36.9056</v>
      </c>
      <c r="E298" s="4">
        <f>174.215076632774 * CHOOSE(CONTROL!$C$9, $C$13, 100%, $E$13) + CHOOSE(CONTROL!$C$28, 0.0021, 0)</f>
        <v>174.217176632774</v>
      </c>
    </row>
    <row r="299" spans="1:5" ht="15">
      <c r="A299" s="13">
        <v>50617</v>
      </c>
      <c r="B299" s="4">
        <f>27.2857 * CHOOSE(CONTROL!$C$9, $C$13, 100%, $E$13) + CHOOSE(CONTROL!$C$28, 0.0415, 0)</f>
        <v>27.327199999999998</v>
      </c>
      <c r="C299" s="4">
        <f>26.9224 * CHOOSE(CONTROL!$C$9, $C$13, 100%, $E$13) + CHOOSE(CONTROL!$C$28, 0.0415, 0)</f>
        <v>26.963899999999999</v>
      </c>
      <c r="D299" s="4">
        <f>37.4818 * CHOOSE(CONTROL!$C$9, $C$13, 100%, $E$13) + CHOOSE(CONTROL!$C$28, 0.0021, 0)</f>
        <v>37.483899999999998</v>
      </c>
      <c r="E299" s="4">
        <f>174.159664712725 * CHOOSE(CONTROL!$C$9, $C$13, 100%, $E$13) + CHOOSE(CONTROL!$C$28, 0.0021, 0)</f>
        <v>174.16176471272502</v>
      </c>
    </row>
    <row r="300" spans="1:5" ht="15">
      <c r="A300" s="13">
        <v>50648</v>
      </c>
      <c r="B300" s="4">
        <f>27.9205 * CHOOSE(CONTROL!$C$9, $C$13, 100%, $E$13) + CHOOSE(CONTROL!$C$28, 0.0415, 0)</f>
        <v>27.962</v>
      </c>
      <c r="C300" s="4">
        <f>27.5572 * CHOOSE(CONTROL!$C$9, $C$13, 100%, $E$13) + CHOOSE(CONTROL!$C$28, 0.0415, 0)</f>
        <v>27.598700000000001</v>
      </c>
      <c r="D300" s="4">
        <f>37.0999 * CHOOSE(CONTROL!$C$9, $C$13, 100%, $E$13) + CHOOSE(CONTROL!$C$28, 0.0021, 0)</f>
        <v>37.101999999999997</v>
      </c>
      <c r="E300" s="4">
        <f>178.329411696382 * CHOOSE(CONTROL!$C$9, $C$13, 100%, $E$13) + CHOOSE(CONTROL!$C$28, 0.0021, 0)</f>
        <v>178.33151169638202</v>
      </c>
    </row>
    <row r="301" spans="1:5" ht="15">
      <c r="A301" s="13">
        <v>50678</v>
      </c>
      <c r="B301" s="4">
        <f>26.8386 * CHOOSE(CONTROL!$C$9, $C$13, 100%, $E$13) + CHOOSE(CONTROL!$C$28, 0.0415, 0)</f>
        <v>26.880099999999999</v>
      </c>
      <c r="C301" s="4">
        <f>26.4753 * CHOOSE(CONTROL!$C$9, $C$13, 100%, $E$13) + CHOOSE(CONTROL!$C$28, 0.0415, 0)</f>
        <v>26.5168</v>
      </c>
      <c r="D301" s="4">
        <f>36.9194 * CHOOSE(CONTROL!$C$9, $C$13, 100%, $E$13) + CHOOSE(CONTROL!$C$28, 0.0021, 0)</f>
        <v>36.921500000000002</v>
      </c>
      <c r="E301" s="4">
        <f>171.22283295015 * CHOOSE(CONTROL!$C$9, $C$13, 100%, $E$13) + CHOOSE(CONTROL!$C$28, 0.0021, 0)</f>
        <v>171.22493295015002</v>
      </c>
    </row>
    <row r="302" spans="1:5" ht="15">
      <c r="A302" s="13">
        <v>50709</v>
      </c>
      <c r="B302" s="4">
        <f>25.9726 * CHOOSE(CONTROL!$C$9, $C$13, 100%, $E$13) + CHOOSE(CONTROL!$C$28, 0.0211, 0)</f>
        <v>25.9937</v>
      </c>
      <c r="C302" s="4">
        <f>25.6093 * CHOOSE(CONTROL!$C$9, $C$13, 100%, $E$13) + CHOOSE(CONTROL!$C$28, 0.0211, 0)</f>
        <v>25.630400000000002</v>
      </c>
      <c r="D302" s="4">
        <f>36.4362 * CHOOSE(CONTROL!$C$9, $C$13, 100%, $E$13) + CHOOSE(CONTROL!$C$28, 0.0021, 0)</f>
        <v>36.438299999999998</v>
      </c>
      <c r="E302" s="4">
        <f>165.533875825161 * CHOOSE(CONTROL!$C$9, $C$13, 100%, $E$13) + CHOOSE(CONTROL!$C$28, 0.0021, 0)</f>
        <v>165.53597582516102</v>
      </c>
    </row>
    <row r="303" spans="1:5" ht="15">
      <c r="A303" s="13">
        <v>50739</v>
      </c>
      <c r="B303" s="4">
        <f>25.4148 * CHOOSE(CONTROL!$C$9, $C$13, 100%, $E$13) + CHOOSE(CONTROL!$C$28, 0.0211, 0)</f>
        <v>25.4359</v>
      </c>
      <c r="C303" s="4">
        <f>25.0515 * CHOOSE(CONTROL!$C$9, $C$13, 100%, $E$13) + CHOOSE(CONTROL!$C$28, 0.0211, 0)</f>
        <v>25.072600000000001</v>
      </c>
      <c r="D303" s="4">
        <f>36.2701 * CHOOSE(CONTROL!$C$9, $C$13, 100%, $E$13) + CHOOSE(CONTROL!$C$28, 0.0021, 0)</f>
        <v>36.272199999999998</v>
      </c>
      <c r="E303" s="4">
        <f>161.869762611948 * CHOOSE(CONTROL!$C$9, $C$13, 100%, $E$13) + CHOOSE(CONTROL!$C$28, 0.0021, 0)</f>
        <v>161.87186261194802</v>
      </c>
    </row>
    <row r="304" spans="1:5" ht="15">
      <c r="A304" s="13">
        <v>50770</v>
      </c>
      <c r="B304" s="4">
        <f>25.0289 * CHOOSE(CONTROL!$C$9, $C$13, 100%, $E$13) + CHOOSE(CONTROL!$C$28, 0.0211, 0)</f>
        <v>25.05</v>
      </c>
      <c r="C304" s="4">
        <f>24.6656 * CHOOSE(CONTROL!$C$9, $C$13, 100%, $E$13) + CHOOSE(CONTROL!$C$28, 0.0211, 0)</f>
        <v>24.686700000000002</v>
      </c>
      <c r="D304" s="4">
        <f>35.0471 * CHOOSE(CONTROL!$C$9, $C$13, 100%, $E$13) + CHOOSE(CONTROL!$C$28, 0.0021, 0)</f>
        <v>35.049199999999999</v>
      </c>
      <c r="E304" s="4">
        <f>159.334667269725 * CHOOSE(CONTROL!$C$9, $C$13, 100%, $E$13) + CHOOSE(CONTROL!$C$28, 0.0021, 0)</f>
        <v>159.33676726972502</v>
      </c>
    </row>
    <row r="305" spans="1:5" ht="15">
      <c r="A305" s="13">
        <v>50801</v>
      </c>
      <c r="B305" s="4">
        <f>23.973 * CHOOSE(CONTROL!$C$9, $C$13, 100%, $E$13) + CHOOSE(CONTROL!$C$28, 0.0211, 0)</f>
        <v>23.9941</v>
      </c>
      <c r="C305" s="4">
        <f>23.6097 * CHOOSE(CONTROL!$C$9, $C$13, 100%, $E$13) + CHOOSE(CONTROL!$C$28, 0.0211, 0)</f>
        <v>23.630800000000001</v>
      </c>
      <c r="D305" s="4">
        <f>33.6999 * CHOOSE(CONTROL!$C$9, $C$13, 100%, $E$13) + CHOOSE(CONTROL!$C$28, 0.0021, 0)</f>
        <v>33.701999999999998</v>
      </c>
      <c r="E305" s="4">
        <f>152.697730935841 * CHOOSE(CONTROL!$C$9, $C$13, 100%, $E$13) + CHOOSE(CONTROL!$C$28, 0.0021, 0)</f>
        <v>152.69983093584102</v>
      </c>
    </row>
    <row r="306" spans="1:5" ht="15">
      <c r="A306" s="13">
        <v>50829</v>
      </c>
      <c r="B306" s="4">
        <f>24.5239 * CHOOSE(CONTROL!$C$9, $C$13, 100%, $E$13) + CHOOSE(CONTROL!$C$28, 0.0211, 0)</f>
        <v>24.545000000000002</v>
      </c>
      <c r="C306" s="4">
        <f>24.1606 * CHOOSE(CONTROL!$C$9, $C$13, 100%, $E$13) + CHOOSE(CONTROL!$C$28, 0.0211, 0)</f>
        <v>24.181699999999999</v>
      </c>
      <c r="D306" s="4">
        <f>34.8239 * CHOOSE(CONTROL!$C$9, $C$13, 100%, $E$13) + CHOOSE(CONTROL!$C$28, 0.0021, 0)</f>
        <v>34.826000000000001</v>
      </c>
      <c r="E306" s="4">
        <f>156.323376836188 * CHOOSE(CONTROL!$C$9, $C$13, 100%, $E$13) + CHOOSE(CONTROL!$C$28, 0.0021, 0)</f>
        <v>156.32547683618802</v>
      </c>
    </row>
    <row r="307" spans="1:5" ht="15">
      <c r="A307" s="13">
        <v>50860</v>
      </c>
      <c r="B307" s="4">
        <f>25.9704 * CHOOSE(CONTROL!$C$9, $C$13, 100%, $E$13) + CHOOSE(CONTROL!$C$28, 0.0211, 0)</f>
        <v>25.991500000000002</v>
      </c>
      <c r="C307" s="4">
        <f>25.6072 * CHOOSE(CONTROL!$C$9, $C$13, 100%, $E$13) + CHOOSE(CONTROL!$C$28, 0.0211, 0)</f>
        <v>25.628299999999999</v>
      </c>
      <c r="D307" s="4">
        <f>36.5835 * CHOOSE(CONTROL!$C$9, $C$13, 100%, $E$13) + CHOOSE(CONTROL!$C$28, 0.0021, 0)</f>
        <v>36.585599999999999</v>
      </c>
      <c r="E307" s="4">
        <f>165.844515649022 * CHOOSE(CONTROL!$C$9, $C$13, 100%, $E$13) + CHOOSE(CONTROL!$C$28, 0.0021, 0)</f>
        <v>165.846615649022</v>
      </c>
    </row>
    <row r="308" spans="1:5" ht="15">
      <c r="A308" s="13">
        <v>50890</v>
      </c>
      <c r="B308" s="4">
        <f>26.9982 * CHOOSE(CONTROL!$C$9, $C$13, 100%, $E$13) + CHOOSE(CONTROL!$C$28, 0.0211, 0)</f>
        <v>27.019300000000001</v>
      </c>
      <c r="C308" s="4">
        <f>26.635 * CHOOSE(CONTROL!$C$9, $C$13, 100%, $E$13) + CHOOSE(CONTROL!$C$28, 0.0211, 0)</f>
        <v>26.656100000000002</v>
      </c>
      <c r="D308" s="4">
        <f>37.5971 * CHOOSE(CONTROL!$C$9, $C$13, 100%, $E$13) + CHOOSE(CONTROL!$C$28, 0.0021, 0)</f>
        <v>37.599199999999996</v>
      </c>
      <c r="E308" s="4">
        <f>172.609411661398 * CHOOSE(CONTROL!$C$9, $C$13, 100%, $E$13) + CHOOSE(CONTROL!$C$28, 0.0021, 0)</f>
        <v>172.61151166139803</v>
      </c>
    </row>
    <row r="309" spans="1:5" ht="15">
      <c r="A309" s="13">
        <v>50921</v>
      </c>
      <c r="B309" s="4">
        <f>27.6262 * CHOOSE(CONTROL!$C$9, $C$13, 100%, $E$13) + CHOOSE(CONTROL!$C$28, 0.0415, 0)</f>
        <v>27.6677</v>
      </c>
      <c r="C309" s="4">
        <f>27.2629 * CHOOSE(CONTROL!$C$9, $C$13, 100%, $E$13) + CHOOSE(CONTROL!$C$28, 0.0415, 0)</f>
        <v>27.304399999999998</v>
      </c>
      <c r="D309" s="4">
        <f>37.1966 * CHOOSE(CONTROL!$C$9, $C$13, 100%, $E$13) + CHOOSE(CONTROL!$C$28, 0.0021, 0)</f>
        <v>37.198699999999995</v>
      </c>
      <c r="E309" s="4">
        <f>176.742600993031 * CHOOSE(CONTROL!$C$9, $C$13, 100%, $E$13) + CHOOSE(CONTROL!$C$28, 0.0021, 0)</f>
        <v>176.74470099303102</v>
      </c>
    </row>
    <row r="310" spans="1:5" ht="15">
      <c r="A310" s="13">
        <v>50951</v>
      </c>
      <c r="B310" s="4">
        <f>27.7112 * CHOOSE(CONTROL!$C$9, $C$13, 100%, $E$13) + CHOOSE(CONTROL!$C$28, 0.0415, 0)</f>
        <v>27.752700000000001</v>
      </c>
      <c r="C310" s="4">
        <f>27.3479 * CHOOSE(CONTROL!$C$9, $C$13, 100%, $E$13) + CHOOSE(CONTROL!$C$28, 0.0415, 0)</f>
        <v>27.389399999999998</v>
      </c>
      <c r="D310" s="4">
        <f>37.5228 * CHOOSE(CONTROL!$C$9, $C$13, 100%, $E$13) + CHOOSE(CONTROL!$C$28, 0.0021, 0)</f>
        <v>37.524899999999995</v>
      </c>
      <c r="E310" s="4">
        <f>177.301838662689 * CHOOSE(CONTROL!$C$9, $C$13, 100%, $E$13) + CHOOSE(CONTROL!$C$28, 0.0021, 0)</f>
        <v>177.30393866268901</v>
      </c>
    </row>
    <row r="311" spans="1:5" ht="15">
      <c r="A311" s="13">
        <v>50982</v>
      </c>
      <c r="B311" s="4">
        <f>27.7026 * CHOOSE(CONTROL!$C$9, $C$13, 100%, $E$13) + CHOOSE(CONTROL!$C$28, 0.0415, 0)</f>
        <v>27.7441</v>
      </c>
      <c r="C311" s="4">
        <f>27.3393 * CHOOSE(CONTROL!$C$9, $C$13, 100%, $E$13) + CHOOSE(CONTROL!$C$28, 0.0415, 0)</f>
        <v>27.380800000000001</v>
      </c>
      <c r="D311" s="4">
        <f>38.1114 * CHOOSE(CONTROL!$C$9, $C$13, 100%, $E$13) + CHOOSE(CONTROL!$C$28, 0.0021, 0)</f>
        <v>38.113500000000002</v>
      </c>
      <c r="E311" s="4">
        <f>177.245444948102 * CHOOSE(CONTROL!$C$9, $C$13, 100%, $E$13) + CHOOSE(CONTROL!$C$28, 0.0021, 0)</f>
        <v>177.24754494810202</v>
      </c>
    </row>
    <row r="312" spans="1:5" ht="15">
      <c r="A312" s="13">
        <v>51013</v>
      </c>
      <c r="B312" s="4">
        <f>28.3473 * CHOOSE(CONTROL!$C$9, $C$13, 100%, $E$13) + CHOOSE(CONTROL!$C$28, 0.0415, 0)</f>
        <v>28.3888</v>
      </c>
      <c r="C312" s="4">
        <f>27.9841 * CHOOSE(CONTROL!$C$9, $C$13, 100%, $E$13) + CHOOSE(CONTROL!$C$28, 0.0415, 0)</f>
        <v>28.025600000000001</v>
      </c>
      <c r="D312" s="4">
        <f>37.7227 * CHOOSE(CONTROL!$C$9, $C$13, 100%, $E$13) + CHOOSE(CONTROL!$C$28, 0.0021, 0)</f>
        <v>37.724800000000002</v>
      </c>
      <c r="E312" s="4">
        <f>181.489071970801 * CHOOSE(CONTROL!$C$9, $C$13, 100%, $E$13) + CHOOSE(CONTROL!$C$28, 0.0021, 0)</f>
        <v>181.49117197080102</v>
      </c>
    </row>
    <row r="313" spans="1:5" ht="15">
      <c r="A313" s="13">
        <v>51043</v>
      </c>
      <c r="B313" s="4">
        <f>27.2485 * CHOOSE(CONTROL!$C$9, $C$13, 100%, $E$13) + CHOOSE(CONTROL!$C$28, 0.0415, 0)</f>
        <v>27.29</v>
      </c>
      <c r="C313" s="4">
        <f>26.8852 * CHOOSE(CONTROL!$C$9, $C$13, 100%, $E$13) + CHOOSE(CONTROL!$C$28, 0.0415, 0)</f>
        <v>26.9267</v>
      </c>
      <c r="D313" s="4">
        <f>37.539 * CHOOSE(CONTROL!$C$9, $C$13, 100%, $E$13) + CHOOSE(CONTROL!$C$28, 0.0021, 0)</f>
        <v>37.5411</v>
      </c>
      <c r="E313" s="4">
        <f>174.256578074971 * CHOOSE(CONTROL!$C$9, $C$13, 100%, $E$13) + CHOOSE(CONTROL!$C$28, 0.0021, 0)</f>
        <v>174.25867807497102</v>
      </c>
    </row>
    <row r="314" spans="1:5" ht="15">
      <c r="A314" s="13">
        <v>51074</v>
      </c>
      <c r="B314" s="4">
        <f>26.3688 * CHOOSE(CONTROL!$C$9, $C$13, 100%, $E$13) + CHOOSE(CONTROL!$C$28, 0.0211, 0)</f>
        <v>26.389900000000001</v>
      </c>
      <c r="C314" s="4">
        <f>26.0056 * CHOOSE(CONTROL!$C$9, $C$13, 100%, $E$13) + CHOOSE(CONTROL!$C$28, 0.0211, 0)</f>
        <v>26.026700000000002</v>
      </c>
      <c r="D314" s="4">
        <f>37.0473 * CHOOSE(CONTROL!$C$9, $C$13, 100%, $E$13) + CHOOSE(CONTROL!$C$28, 0.0021, 0)</f>
        <v>37.049399999999999</v>
      </c>
      <c r="E314" s="4">
        <f>168.466823377334 * CHOOSE(CONTROL!$C$9, $C$13, 100%, $E$13) + CHOOSE(CONTROL!$C$28, 0.0021, 0)</f>
        <v>168.46892337733402</v>
      </c>
    </row>
    <row r="315" spans="1:5" ht="15">
      <c r="A315" s="13">
        <v>51104</v>
      </c>
      <c r="B315" s="4">
        <f>25.8023 * CHOOSE(CONTROL!$C$9, $C$13, 100%, $E$13) + CHOOSE(CONTROL!$C$28, 0.0211, 0)</f>
        <v>25.823399999999999</v>
      </c>
      <c r="C315" s="4">
        <f>25.439 * CHOOSE(CONTROL!$C$9, $C$13, 100%, $E$13) + CHOOSE(CONTROL!$C$28, 0.0211, 0)</f>
        <v>25.460100000000001</v>
      </c>
      <c r="D315" s="4">
        <f>36.8782 * CHOOSE(CONTROL!$C$9, $C$13, 100%, $E$13) + CHOOSE(CONTROL!$C$28, 0.0021, 0)</f>
        <v>36.880299999999998</v>
      </c>
      <c r="E315" s="4">
        <f>164.737789000245 * CHOOSE(CONTROL!$C$9, $C$13, 100%, $E$13) + CHOOSE(CONTROL!$C$28, 0.0021, 0)</f>
        <v>164.739889000245</v>
      </c>
    </row>
    <row r="316" spans="1:5" ht="15">
      <c r="A316" s="13">
        <v>51135</v>
      </c>
      <c r="B316" s="4">
        <f>25.4103 * CHOOSE(CONTROL!$C$9, $C$13, 100%, $E$13) + CHOOSE(CONTROL!$C$28, 0.0211, 0)</f>
        <v>25.4314</v>
      </c>
      <c r="C316" s="4">
        <f>25.047 * CHOOSE(CONTROL!$C$9, $C$13, 100%, $E$13) + CHOOSE(CONTROL!$C$28, 0.0211, 0)</f>
        <v>25.068100000000001</v>
      </c>
      <c r="D316" s="4">
        <f>35.6336 * CHOOSE(CONTROL!$C$9, $C$13, 100%, $E$13) + CHOOSE(CONTROL!$C$28, 0.0021, 0)</f>
        <v>35.6357</v>
      </c>
      <c r="E316" s="4">
        <f>162.157776557873 * CHOOSE(CONTROL!$C$9, $C$13, 100%, $E$13) + CHOOSE(CONTROL!$C$28, 0.0021, 0)</f>
        <v>162.15987655787302</v>
      </c>
    </row>
    <row r="317" spans="1:5" ht="15">
      <c r="A317" s="13">
        <v>51166</v>
      </c>
      <c r="B317" s="4">
        <f>24.3378 * CHOOSE(CONTROL!$C$9, $C$13, 100%, $E$13) + CHOOSE(CONTROL!$C$28, 0.0211, 0)</f>
        <v>24.358900000000002</v>
      </c>
      <c r="C317" s="4">
        <f>23.9746 * CHOOSE(CONTROL!$C$9, $C$13, 100%, $E$13) + CHOOSE(CONTROL!$C$28, 0.0211, 0)</f>
        <v>23.995699999999999</v>
      </c>
      <c r="D317" s="4">
        <f>34.2626 * CHOOSE(CONTROL!$C$9, $C$13, 100%, $E$13) + CHOOSE(CONTROL!$C$28, 0.0021, 0)</f>
        <v>34.264699999999998</v>
      </c>
      <c r="E317" s="4">
        <f>155.403246250687 * CHOOSE(CONTROL!$C$9, $C$13, 100%, $E$13) + CHOOSE(CONTROL!$C$28, 0.0021, 0)</f>
        <v>155.40534625068702</v>
      </c>
    </row>
    <row r="318" spans="1:5" ht="15">
      <c r="A318" s="13">
        <v>51194</v>
      </c>
      <c r="B318" s="4">
        <f>24.8973 * CHOOSE(CONTROL!$C$9, $C$13, 100%, $E$13) + CHOOSE(CONTROL!$C$28, 0.0211, 0)</f>
        <v>24.918400000000002</v>
      </c>
      <c r="C318" s="4">
        <f>24.5341 * CHOOSE(CONTROL!$C$9, $C$13, 100%, $E$13) + CHOOSE(CONTROL!$C$28, 0.0211, 0)</f>
        <v>24.555199999999999</v>
      </c>
      <c r="D318" s="4">
        <f>35.4065 * CHOOSE(CONTROL!$C$9, $C$13, 100%, $E$13) + CHOOSE(CONTROL!$C$28, 0.0021, 0)</f>
        <v>35.4086</v>
      </c>
      <c r="E318" s="4">
        <f>159.093131746798 * CHOOSE(CONTROL!$C$9, $C$13, 100%, $E$13) + CHOOSE(CONTROL!$C$28, 0.0021, 0)</f>
        <v>159.09523174679802</v>
      </c>
    </row>
    <row r="319" spans="1:5" ht="15">
      <c r="A319" s="13">
        <v>51226</v>
      </c>
      <c r="B319" s="4">
        <f>26.3667 * CHOOSE(CONTROL!$C$9, $C$13, 100%, $E$13) + CHOOSE(CONTROL!$C$28, 0.0211, 0)</f>
        <v>26.387800000000002</v>
      </c>
      <c r="C319" s="4">
        <f>26.0034 * CHOOSE(CONTROL!$C$9, $C$13, 100%, $E$13) + CHOOSE(CONTROL!$C$28, 0.0211, 0)</f>
        <v>26.0245</v>
      </c>
      <c r="D319" s="4">
        <f>37.1972 * CHOOSE(CONTROL!$C$9, $C$13, 100%, $E$13) + CHOOSE(CONTROL!$C$28, 0.0021, 0)</f>
        <v>37.199300000000001</v>
      </c>
      <c r="E319" s="4">
        <f>168.782967152012 * CHOOSE(CONTROL!$C$9, $C$13, 100%, $E$13) + CHOOSE(CONTROL!$C$28, 0.0021, 0)</f>
        <v>168.785067152012</v>
      </c>
    </row>
    <row r="320" spans="1:5" ht="15">
      <c r="A320" s="13">
        <v>51256</v>
      </c>
      <c r="B320" s="4">
        <f>27.4106 * CHOOSE(CONTROL!$C$9, $C$13, 100%, $E$13) + CHOOSE(CONTROL!$C$28, 0.0211, 0)</f>
        <v>27.431699999999999</v>
      </c>
      <c r="C320" s="4">
        <f>27.0473 * CHOOSE(CONTROL!$C$9, $C$13, 100%, $E$13) + CHOOSE(CONTROL!$C$28, 0.0211, 0)</f>
        <v>27.0684</v>
      </c>
      <c r="D320" s="4">
        <f>38.2287 * CHOOSE(CONTROL!$C$9, $C$13, 100%, $E$13) + CHOOSE(CONTROL!$C$28, 0.0021, 0)</f>
        <v>38.230800000000002</v>
      </c>
      <c r="E320" s="4">
        <f>175.667724341451 * CHOOSE(CONTROL!$C$9, $C$13, 100%, $E$13) + CHOOSE(CONTROL!$C$28, 0.0021, 0)</f>
        <v>175.669824341451</v>
      </c>
    </row>
    <row r="321" spans="1:5" ht="15">
      <c r="A321" s="13">
        <v>51287</v>
      </c>
      <c r="B321" s="4">
        <f>28.0485 * CHOOSE(CONTROL!$C$9, $C$13, 100%, $E$13) + CHOOSE(CONTROL!$C$28, 0.0415, 0)</f>
        <v>28.09</v>
      </c>
      <c r="C321" s="4">
        <f>27.6852 * CHOOSE(CONTROL!$C$9, $C$13, 100%, $E$13) + CHOOSE(CONTROL!$C$28, 0.0415, 0)</f>
        <v>27.726699999999997</v>
      </c>
      <c r="D321" s="4">
        <f>37.8211 * CHOOSE(CONTROL!$C$9, $C$13, 100%, $E$13) + CHOOSE(CONTROL!$C$28, 0.0021, 0)</f>
        <v>37.8232</v>
      </c>
      <c r="E321" s="4">
        <f>179.874145979598 * CHOOSE(CONTROL!$C$9, $C$13, 100%, $E$13) + CHOOSE(CONTROL!$C$28, 0.0021, 0)</f>
        <v>179.87624597959802</v>
      </c>
    </row>
    <row r="322" spans="1:5" ht="15">
      <c r="A322" s="13">
        <v>51317</v>
      </c>
      <c r="B322" s="4">
        <f>28.1348 * CHOOSE(CONTROL!$C$9, $C$13, 100%, $E$13) + CHOOSE(CONTROL!$C$28, 0.0415, 0)</f>
        <v>28.176299999999998</v>
      </c>
      <c r="C322" s="4">
        <f>27.7715 * CHOOSE(CONTROL!$C$9, $C$13, 100%, $E$13) + CHOOSE(CONTROL!$C$28, 0.0415, 0)</f>
        <v>27.812999999999999</v>
      </c>
      <c r="D322" s="4">
        <f>38.153 * CHOOSE(CONTROL!$C$9, $C$13, 100%, $E$13) + CHOOSE(CONTROL!$C$28, 0.0021, 0)</f>
        <v>38.155099999999997</v>
      </c>
      <c r="E322" s="4">
        <f>180.443292284247 * CHOOSE(CONTROL!$C$9, $C$13, 100%, $E$13) + CHOOSE(CONTROL!$C$28, 0.0021, 0)</f>
        <v>180.44539228424702</v>
      </c>
    </row>
    <row r="323" spans="1:5" ht="15">
      <c r="A323" s="13">
        <v>51348</v>
      </c>
      <c r="B323" s="4">
        <f>28.1261 * CHOOSE(CONTROL!$C$9, $C$13, 100%, $E$13) + CHOOSE(CONTROL!$C$28, 0.0415, 0)</f>
        <v>28.1676</v>
      </c>
      <c r="C323" s="4">
        <f>27.7628 * CHOOSE(CONTROL!$C$9, $C$13, 100%, $E$13) + CHOOSE(CONTROL!$C$28, 0.0415, 0)</f>
        <v>27.804299999999998</v>
      </c>
      <c r="D323" s="4">
        <f>38.752 * CHOOSE(CONTROL!$C$9, $C$13, 100%, $E$13) + CHOOSE(CONTROL!$C$28, 0.0021, 0)</f>
        <v>38.754100000000001</v>
      </c>
      <c r="E323" s="4">
        <f>180.385899379577 * CHOOSE(CONTROL!$C$9, $C$13, 100%, $E$13) + CHOOSE(CONTROL!$C$28, 0.0021, 0)</f>
        <v>180.38799937957702</v>
      </c>
    </row>
    <row r="324" spans="1:5" ht="15">
      <c r="A324" s="13">
        <v>51379</v>
      </c>
      <c r="B324" s="4">
        <f>28.7809 * CHOOSE(CONTROL!$C$9, $C$13, 100%, $E$13) + CHOOSE(CONTROL!$C$28, 0.0415, 0)</f>
        <v>28.822399999999998</v>
      </c>
      <c r="C324" s="4">
        <f>28.4177 * CHOOSE(CONTROL!$C$9, $C$13, 100%, $E$13) + CHOOSE(CONTROL!$C$28, 0.0415, 0)</f>
        <v>28.459199999999999</v>
      </c>
      <c r="D324" s="4">
        <f>38.3564 * CHOOSE(CONTROL!$C$9, $C$13, 100%, $E$13) + CHOOSE(CONTROL!$C$28, 0.0021, 0)</f>
        <v>38.358499999999999</v>
      </c>
      <c r="E324" s="4">
        <f>184.704715456037 * CHOOSE(CONTROL!$C$9, $C$13, 100%, $E$13) + CHOOSE(CONTROL!$C$28, 0.0021, 0)</f>
        <v>184.70681545603702</v>
      </c>
    </row>
    <row r="325" spans="1:5" ht="15">
      <c r="A325" s="13">
        <v>51409</v>
      </c>
      <c r="B325" s="4">
        <f>27.6648 * CHOOSE(CONTROL!$C$9, $C$13, 100%, $E$13) + CHOOSE(CONTROL!$C$28, 0.0415, 0)</f>
        <v>27.706299999999999</v>
      </c>
      <c r="C325" s="4">
        <f>27.3015 * CHOOSE(CONTROL!$C$9, $C$13, 100%, $E$13) + CHOOSE(CONTROL!$C$28, 0.0415, 0)</f>
        <v>27.343</v>
      </c>
      <c r="D325" s="4">
        <f>38.1695 * CHOOSE(CONTROL!$C$9, $C$13, 100%, $E$13) + CHOOSE(CONTROL!$C$28, 0.0021, 0)</f>
        <v>38.171599999999998</v>
      </c>
      <c r="E325" s="4">
        <f>177.344075432037 * CHOOSE(CONTROL!$C$9, $C$13, 100%, $E$13) + CHOOSE(CONTROL!$C$28, 0.0021, 0)</f>
        <v>177.346175432037</v>
      </c>
    </row>
    <row r="326" spans="1:5" ht="15">
      <c r="A326" s="13">
        <v>51440</v>
      </c>
      <c r="B326" s="4">
        <f>26.7713 * CHOOSE(CONTROL!$C$9, $C$13, 100%, $E$13) + CHOOSE(CONTROL!$C$28, 0.0211, 0)</f>
        <v>26.792400000000001</v>
      </c>
      <c r="C326" s="4">
        <f>26.4081 * CHOOSE(CONTROL!$C$9, $C$13, 100%, $E$13) + CHOOSE(CONTROL!$C$28, 0.0211, 0)</f>
        <v>26.429200000000002</v>
      </c>
      <c r="D326" s="4">
        <f>37.6691 * CHOOSE(CONTROL!$C$9, $C$13, 100%, $E$13) + CHOOSE(CONTROL!$C$28, 0.0021, 0)</f>
        <v>37.671199999999999</v>
      </c>
      <c r="E326" s="4">
        <f>171.451737219193 * CHOOSE(CONTROL!$C$9, $C$13, 100%, $E$13) + CHOOSE(CONTROL!$C$28, 0.0021, 0)</f>
        <v>171.45383721919302</v>
      </c>
    </row>
    <row r="327" spans="1:5" ht="15">
      <c r="A327" s="13">
        <v>51470</v>
      </c>
      <c r="B327" s="4">
        <f>26.1959 * CHOOSE(CONTROL!$C$9, $C$13, 100%, $E$13) + CHOOSE(CONTROL!$C$28, 0.0211, 0)</f>
        <v>26.217000000000002</v>
      </c>
      <c r="C327" s="4">
        <f>25.8326 * CHOOSE(CONTROL!$C$9, $C$13, 100%, $E$13) + CHOOSE(CONTROL!$C$28, 0.0211, 0)</f>
        <v>25.8537</v>
      </c>
      <c r="D327" s="4">
        <f>37.4971 * CHOOSE(CONTROL!$C$9, $C$13, 100%, $E$13) + CHOOSE(CONTROL!$C$28, 0.0021, 0)</f>
        <v>37.499200000000002</v>
      </c>
      <c r="E327" s="4">
        <f>167.656631397852 * CHOOSE(CONTROL!$C$9, $C$13, 100%, $E$13) + CHOOSE(CONTROL!$C$28, 0.0021, 0)</f>
        <v>167.65873139785202</v>
      </c>
    </row>
    <row r="328" spans="1:5" ht="15">
      <c r="A328" s="13">
        <v>51501</v>
      </c>
      <c r="B328" s="4">
        <f>25.7977 * CHOOSE(CONTROL!$C$9, $C$13, 100%, $E$13) + CHOOSE(CONTROL!$C$28, 0.0211, 0)</f>
        <v>25.8188</v>
      </c>
      <c r="C328" s="4">
        <f>25.4344 * CHOOSE(CONTROL!$C$9, $C$13, 100%, $E$13) + CHOOSE(CONTROL!$C$28, 0.0211, 0)</f>
        <v>25.455500000000001</v>
      </c>
      <c r="D328" s="4">
        <f>36.2305 * CHOOSE(CONTROL!$C$9, $C$13, 100%, $E$13) + CHOOSE(CONTROL!$C$28, 0.0021, 0)</f>
        <v>36.232599999999998</v>
      </c>
      <c r="E328" s="4">
        <f>165.030906009174 * CHOOSE(CONTROL!$C$9, $C$13, 100%, $E$13) + CHOOSE(CONTROL!$C$28, 0.0021, 0)</f>
        <v>165.03300600917402</v>
      </c>
    </row>
    <row r="329" spans="1:5" ht="15">
      <c r="A329" s="13">
        <v>51532</v>
      </c>
      <c r="B329" s="4">
        <f>24.7084 * CHOOSE(CONTROL!$C$9, $C$13, 100%, $E$13) + CHOOSE(CONTROL!$C$28, 0.0211, 0)</f>
        <v>24.729500000000002</v>
      </c>
      <c r="C329" s="4">
        <f>24.3451 * CHOOSE(CONTROL!$C$9, $C$13, 100%, $E$13) + CHOOSE(CONTROL!$C$28, 0.0211, 0)</f>
        <v>24.366199999999999</v>
      </c>
      <c r="D329" s="4">
        <f>34.8352 * CHOOSE(CONTROL!$C$9, $C$13, 100%, $E$13) + CHOOSE(CONTROL!$C$28, 0.0021, 0)</f>
        <v>34.837299999999999</v>
      </c>
      <c r="E329" s="4">
        <f>158.156698185638 * CHOOSE(CONTROL!$C$9, $C$13, 100%, $E$13) + CHOOSE(CONTROL!$C$28, 0.0021, 0)</f>
        <v>158.15879818563801</v>
      </c>
    </row>
    <row r="330" spans="1:5" ht="15">
      <c r="A330" s="13">
        <v>51560</v>
      </c>
      <c r="B330" s="4">
        <f>25.2767 * CHOOSE(CONTROL!$C$9, $C$13, 100%, $E$13) + CHOOSE(CONTROL!$C$28, 0.0211, 0)</f>
        <v>25.297800000000002</v>
      </c>
      <c r="C330" s="4">
        <f>24.9134 * CHOOSE(CONTROL!$C$9, $C$13, 100%, $E$13) + CHOOSE(CONTROL!$C$28, 0.0211, 0)</f>
        <v>24.9345</v>
      </c>
      <c r="D330" s="4">
        <f>35.9993 * CHOOSE(CONTROL!$C$9, $C$13, 100%, $E$13) + CHOOSE(CONTROL!$C$28, 0.0021, 0)</f>
        <v>36.001399999999997</v>
      </c>
      <c r="E330" s="4">
        <f>161.91196148179 * CHOOSE(CONTROL!$C$9, $C$13, 100%, $E$13) + CHOOSE(CONTROL!$C$28, 0.0021, 0)</f>
        <v>161.91406148179001</v>
      </c>
    </row>
    <row r="331" spans="1:5" ht="15">
      <c r="A331" s="13">
        <v>51591</v>
      </c>
      <c r="B331" s="4">
        <f>26.7691 * CHOOSE(CONTROL!$C$9, $C$13, 100%, $E$13) + CHOOSE(CONTROL!$C$28, 0.0211, 0)</f>
        <v>26.790200000000002</v>
      </c>
      <c r="C331" s="4">
        <f>26.4058 * CHOOSE(CONTROL!$C$9, $C$13, 100%, $E$13) + CHOOSE(CONTROL!$C$28, 0.0211, 0)</f>
        <v>26.4269</v>
      </c>
      <c r="D331" s="4">
        <f>37.8217 * CHOOSE(CONTROL!$C$9, $C$13, 100%, $E$13) + CHOOSE(CONTROL!$C$28, 0.0021, 0)</f>
        <v>37.823799999999999</v>
      </c>
      <c r="E331" s="4">
        <f>171.773482464297 * CHOOSE(CONTROL!$C$9, $C$13, 100%, $E$13) + CHOOSE(CONTROL!$C$28, 0.0021, 0)</f>
        <v>171.775582464297</v>
      </c>
    </row>
    <row r="332" spans="1:5" ht="15">
      <c r="A332" s="13">
        <v>51621</v>
      </c>
      <c r="B332" s="4">
        <f>27.8295 * CHOOSE(CONTROL!$C$9, $C$13, 100%, $E$13) + CHOOSE(CONTROL!$C$28, 0.0211, 0)</f>
        <v>27.8506</v>
      </c>
      <c r="C332" s="4">
        <f>27.4662 * CHOOSE(CONTROL!$C$9, $C$13, 100%, $E$13) + CHOOSE(CONTROL!$C$28, 0.0211, 0)</f>
        <v>27.487300000000001</v>
      </c>
      <c r="D332" s="4">
        <f>38.8714 * CHOOSE(CONTROL!$C$9, $C$13, 100%, $E$13) + CHOOSE(CONTROL!$C$28, 0.0021, 0)</f>
        <v>38.8735</v>
      </c>
      <c r="E332" s="4">
        <f>178.780224544414 * CHOOSE(CONTROL!$C$9, $C$13, 100%, $E$13) + CHOOSE(CONTROL!$C$28, 0.0021, 0)</f>
        <v>178.78232454441402</v>
      </c>
    </row>
    <row r="333" spans="1:5" ht="15">
      <c r="A333" s="13">
        <v>51652</v>
      </c>
      <c r="B333" s="4">
        <f>28.4774 * CHOOSE(CONTROL!$C$9, $C$13, 100%, $E$13) + CHOOSE(CONTROL!$C$28, 0.0415, 0)</f>
        <v>28.518899999999999</v>
      </c>
      <c r="C333" s="4">
        <f>28.1141 * CHOOSE(CONTROL!$C$9, $C$13, 100%, $E$13) + CHOOSE(CONTROL!$C$28, 0.0415, 0)</f>
        <v>28.1556</v>
      </c>
      <c r="D333" s="4">
        <f>38.4566 * CHOOSE(CONTROL!$C$9, $C$13, 100%, $E$13) + CHOOSE(CONTROL!$C$28, 0.0021, 0)</f>
        <v>38.4587</v>
      </c>
      <c r="E333" s="4">
        <f>183.061176027196 * CHOOSE(CONTROL!$C$9, $C$13, 100%, $E$13) + CHOOSE(CONTROL!$C$28, 0.0021, 0)</f>
        <v>183.06327602719603</v>
      </c>
    </row>
    <row r="334" spans="1:5" ht="15">
      <c r="A334" s="13">
        <v>51682</v>
      </c>
      <c r="B334" s="4">
        <f>28.565 * CHOOSE(CONTROL!$C$9, $C$13, 100%, $E$13) + CHOOSE(CONTROL!$C$28, 0.0415, 0)</f>
        <v>28.6065</v>
      </c>
      <c r="C334" s="4">
        <f>28.2017 * CHOOSE(CONTROL!$C$9, $C$13, 100%, $E$13) + CHOOSE(CONTROL!$C$28, 0.0415, 0)</f>
        <v>28.243199999999998</v>
      </c>
      <c r="D334" s="4">
        <f>38.7944 * CHOOSE(CONTROL!$C$9, $C$13, 100%, $E$13) + CHOOSE(CONTROL!$C$28, 0.0021, 0)</f>
        <v>38.796500000000002</v>
      </c>
      <c r="E334" s="4">
        <f>183.64040652913 * CHOOSE(CONTROL!$C$9, $C$13, 100%, $E$13) + CHOOSE(CONTROL!$C$28, 0.0021, 0)</f>
        <v>183.64250652913</v>
      </c>
    </row>
    <row r="335" spans="1:5" ht="15">
      <c r="A335" s="13">
        <v>51713</v>
      </c>
      <c r="B335" s="4">
        <f>28.5562 * CHOOSE(CONTROL!$C$9, $C$13, 100%, $E$13) + CHOOSE(CONTROL!$C$28, 0.0415, 0)</f>
        <v>28.5977</v>
      </c>
      <c r="C335" s="4">
        <f>28.1929 * CHOOSE(CONTROL!$C$9, $C$13, 100%, $E$13) + CHOOSE(CONTROL!$C$28, 0.0415, 0)</f>
        <v>28.234400000000001</v>
      </c>
      <c r="D335" s="4">
        <f>39.404 * CHOOSE(CONTROL!$C$9, $C$13, 100%, $E$13) + CHOOSE(CONTROL!$C$28, 0.0021, 0)</f>
        <v>39.406100000000002</v>
      </c>
      <c r="E335" s="4">
        <f>183.581996730615 * CHOOSE(CONTROL!$C$9, $C$13, 100%, $E$13) + CHOOSE(CONTROL!$C$28, 0.0021, 0)</f>
        <v>183.58409673061502</v>
      </c>
    </row>
    <row r="336" spans="1:5" ht="15">
      <c r="A336" s="13">
        <v>51744</v>
      </c>
      <c r="B336" s="4">
        <f>29.2213 * CHOOSE(CONTROL!$C$9, $C$13, 100%, $E$13) + CHOOSE(CONTROL!$C$28, 0.0415, 0)</f>
        <v>29.262799999999999</v>
      </c>
      <c r="C336" s="4">
        <f>28.8581 * CHOOSE(CONTROL!$C$9, $C$13, 100%, $E$13) + CHOOSE(CONTROL!$C$28, 0.0415, 0)</f>
        <v>28.8996</v>
      </c>
      <c r="D336" s="4">
        <f>39.0014 * CHOOSE(CONTROL!$C$9, $C$13, 100%, $E$13) + CHOOSE(CONTROL!$C$28, 0.0021, 0)</f>
        <v>39.003499999999995</v>
      </c>
      <c r="E336" s="4">
        <f>187.97733406882 * CHOOSE(CONTROL!$C$9, $C$13, 100%, $E$13) + CHOOSE(CONTROL!$C$28, 0.0021, 0)</f>
        <v>187.97943406882001</v>
      </c>
    </row>
    <row r="337" spans="1:5" ht="15">
      <c r="A337" s="13">
        <v>51774</v>
      </c>
      <c r="B337" s="4">
        <f>28.0877 * CHOOSE(CONTROL!$C$9, $C$13, 100%, $E$13) + CHOOSE(CONTROL!$C$28, 0.0415, 0)</f>
        <v>28.129200000000001</v>
      </c>
      <c r="C337" s="4">
        <f>27.7244 * CHOOSE(CONTROL!$C$9, $C$13, 100%, $E$13) + CHOOSE(CONTROL!$C$28, 0.0415, 0)</f>
        <v>27.765899999999998</v>
      </c>
      <c r="D337" s="4">
        <f>38.8112 * CHOOSE(CONTROL!$C$9, $C$13, 100%, $E$13) + CHOOSE(CONTROL!$C$28, 0.0021, 0)</f>
        <v>38.813299999999998</v>
      </c>
      <c r="E337" s="4">
        <f>180.486277409354 * CHOOSE(CONTROL!$C$9, $C$13, 100%, $E$13) + CHOOSE(CONTROL!$C$28, 0.0021, 0)</f>
        <v>180.488377409354</v>
      </c>
    </row>
    <row r="338" spans="1:5" ht="15">
      <c r="A338" s="13">
        <v>51805</v>
      </c>
      <c r="B338" s="4">
        <f>27.1801 * CHOOSE(CONTROL!$C$9, $C$13, 100%, $E$13) + CHOOSE(CONTROL!$C$28, 0.0211, 0)</f>
        <v>27.2012</v>
      </c>
      <c r="C338" s="4">
        <f>26.8169 * CHOOSE(CONTROL!$C$9, $C$13, 100%, $E$13) + CHOOSE(CONTROL!$C$28, 0.0211, 0)</f>
        <v>26.838000000000001</v>
      </c>
      <c r="D338" s="4">
        <f>38.302 * CHOOSE(CONTROL!$C$9, $C$13, 100%, $E$13) + CHOOSE(CONTROL!$C$28, 0.0021, 0)</f>
        <v>38.304099999999998</v>
      </c>
      <c r="E338" s="4">
        <f>174.489538095214 * CHOOSE(CONTROL!$C$9, $C$13, 100%, $E$13) + CHOOSE(CONTROL!$C$28, 0.0021, 0)</f>
        <v>174.491638095214</v>
      </c>
    </row>
    <row r="339" spans="1:5" ht="15">
      <c r="A339" s="13">
        <v>51835</v>
      </c>
      <c r="B339" s="4">
        <f>26.5956 * CHOOSE(CONTROL!$C$9, $C$13, 100%, $E$13) + CHOOSE(CONTROL!$C$28, 0.0211, 0)</f>
        <v>26.616700000000002</v>
      </c>
      <c r="C339" s="4">
        <f>26.2323 * CHOOSE(CONTROL!$C$9, $C$13, 100%, $E$13) + CHOOSE(CONTROL!$C$28, 0.0211, 0)</f>
        <v>26.253399999999999</v>
      </c>
      <c r="D339" s="4">
        <f>38.1269 * CHOOSE(CONTROL!$C$9, $C$13, 100%, $E$13) + CHOOSE(CONTROL!$C$28, 0.0021, 0)</f>
        <v>38.128999999999998</v>
      </c>
      <c r="E339" s="4">
        <f>170.627190168452 * CHOOSE(CONTROL!$C$9, $C$13, 100%, $E$13) + CHOOSE(CONTROL!$C$28, 0.0021, 0)</f>
        <v>170.629290168452</v>
      </c>
    </row>
    <row r="340" spans="1:5" ht="15">
      <c r="A340" s="13">
        <v>51866</v>
      </c>
      <c r="B340" s="4">
        <f>26.1912 * CHOOSE(CONTROL!$C$9, $C$13, 100%, $E$13) + CHOOSE(CONTROL!$C$28, 0.0211, 0)</f>
        <v>26.212299999999999</v>
      </c>
      <c r="C340" s="4">
        <f>25.8279 * CHOOSE(CONTROL!$C$9, $C$13, 100%, $E$13) + CHOOSE(CONTROL!$C$28, 0.0211, 0)</f>
        <v>25.849</v>
      </c>
      <c r="D340" s="4">
        <f>36.8379 * CHOOSE(CONTROL!$C$9, $C$13, 100%, $E$13) + CHOOSE(CONTROL!$C$28, 0.0021, 0)</f>
        <v>36.839999999999996</v>
      </c>
      <c r="E340" s="4">
        <f>167.954941886421 * CHOOSE(CONTROL!$C$9, $C$13, 100%, $E$13) + CHOOSE(CONTROL!$C$28, 0.0021, 0)</f>
        <v>167.95704188642102</v>
      </c>
    </row>
    <row r="341" spans="1:5" ht="15">
      <c r="A341" s="13">
        <v>51897</v>
      </c>
      <c r="B341" s="4">
        <f>25.0848 * CHOOSE(CONTROL!$C$9, $C$13, 100%, $E$13) + CHOOSE(CONTROL!$C$28, 0.0211, 0)</f>
        <v>25.105900000000002</v>
      </c>
      <c r="C341" s="4">
        <f>24.7215 * CHOOSE(CONTROL!$C$9, $C$13, 100%, $E$13) + CHOOSE(CONTROL!$C$28, 0.0211, 0)</f>
        <v>24.742599999999999</v>
      </c>
      <c r="D341" s="4">
        <f>35.418 * CHOOSE(CONTROL!$C$9, $C$13, 100%, $E$13) + CHOOSE(CONTROL!$C$28, 0.0021, 0)</f>
        <v>35.420099999999998</v>
      </c>
      <c r="E341" s="4">
        <f>160.958936087041 * CHOOSE(CONTROL!$C$9, $C$13, 100%, $E$13) + CHOOSE(CONTROL!$C$28, 0.0021, 0)</f>
        <v>160.96103608704101</v>
      </c>
    </row>
    <row r="342" spans="1:5" ht="15">
      <c r="A342" s="13">
        <v>51925</v>
      </c>
      <c r="B342" s="4">
        <f>25.662 * CHOOSE(CONTROL!$C$9, $C$13, 100%, $E$13) + CHOOSE(CONTROL!$C$28, 0.0211, 0)</f>
        <v>25.6831</v>
      </c>
      <c r="C342" s="4">
        <f>25.2987 * CHOOSE(CONTROL!$C$9, $C$13, 100%, $E$13) + CHOOSE(CONTROL!$C$28, 0.0211, 0)</f>
        <v>25.319800000000001</v>
      </c>
      <c r="D342" s="4">
        <f>36.6027 * CHOOSE(CONTROL!$C$9, $C$13, 100%, $E$13) + CHOOSE(CONTROL!$C$28, 0.0021, 0)</f>
        <v>36.604799999999997</v>
      </c>
      <c r="E342" s="4">
        <f>164.780735554338 * CHOOSE(CONTROL!$C$9, $C$13, 100%, $E$13) + CHOOSE(CONTROL!$C$28, 0.0021, 0)</f>
        <v>164.78283555433802</v>
      </c>
    </row>
    <row r="343" spans="1:5" ht="15">
      <c r="A343" s="13">
        <v>51956</v>
      </c>
      <c r="B343" s="4">
        <f>27.1779 * CHOOSE(CONTROL!$C$9, $C$13, 100%, $E$13) + CHOOSE(CONTROL!$C$28, 0.0211, 0)</f>
        <v>27.199000000000002</v>
      </c>
      <c r="C343" s="4">
        <f>26.8146 * CHOOSE(CONTROL!$C$9, $C$13, 100%, $E$13) + CHOOSE(CONTROL!$C$28, 0.0211, 0)</f>
        <v>26.835699999999999</v>
      </c>
      <c r="D343" s="4">
        <f>38.4572 * CHOOSE(CONTROL!$C$9, $C$13, 100%, $E$13) + CHOOSE(CONTROL!$C$28, 0.0021, 0)</f>
        <v>38.459299999999999</v>
      </c>
      <c r="E343" s="4">
        <f>174.816984058218 * CHOOSE(CONTROL!$C$9, $C$13, 100%, $E$13) + CHOOSE(CONTROL!$C$28, 0.0021, 0)</f>
        <v>174.81908405821801</v>
      </c>
    </row>
    <row r="344" spans="1:5" ht="15">
      <c r="A344" s="13">
        <v>51986</v>
      </c>
      <c r="B344" s="4">
        <f>28.2549 * CHOOSE(CONTROL!$C$9, $C$13, 100%, $E$13) + CHOOSE(CONTROL!$C$28, 0.0211, 0)</f>
        <v>28.276</v>
      </c>
      <c r="C344" s="4">
        <f>27.8917 * CHOOSE(CONTROL!$C$9, $C$13, 100%, $E$13) + CHOOSE(CONTROL!$C$28, 0.0211, 0)</f>
        <v>27.912800000000001</v>
      </c>
      <c r="D344" s="4">
        <f>39.5255 * CHOOSE(CONTROL!$C$9, $C$13, 100%, $E$13) + CHOOSE(CONTROL!$C$28, 0.0021, 0)</f>
        <v>39.5276</v>
      </c>
      <c r="E344" s="4">
        <f>181.947872370823 * CHOOSE(CONTROL!$C$9, $C$13, 100%, $E$13) + CHOOSE(CONTROL!$C$28, 0.0021, 0)</f>
        <v>181.94997237082302</v>
      </c>
    </row>
    <row r="345" spans="1:5" ht="15">
      <c r="A345" s="13">
        <v>52017</v>
      </c>
      <c r="B345" s="4">
        <f>28.913 * CHOOSE(CONTROL!$C$9, $C$13, 100%, $E$13) + CHOOSE(CONTROL!$C$28, 0.0415, 0)</f>
        <v>28.954499999999999</v>
      </c>
      <c r="C345" s="4">
        <f>28.5497 * CHOOSE(CONTROL!$C$9, $C$13, 100%, $E$13) + CHOOSE(CONTROL!$C$28, 0.0415, 0)</f>
        <v>28.591200000000001</v>
      </c>
      <c r="D345" s="4">
        <f>39.1033 * CHOOSE(CONTROL!$C$9, $C$13, 100%, $E$13) + CHOOSE(CONTROL!$C$28, 0.0021, 0)</f>
        <v>39.105399999999996</v>
      </c>
      <c r="E345" s="4">
        <f>186.304674226283 * CHOOSE(CONTROL!$C$9, $C$13, 100%, $E$13) + CHOOSE(CONTROL!$C$28, 0.0021, 0)</f>
        <v>186.30677422628301</v>
      </c>
    </row>
    <row r="346" spans="1:5" ht="15">
      <c r="A346" s="13">
        <v>52047</v>
      </c>
      <c r="B346" s="4">
        <f>29.002 * CHOOSE(CONTROL!$C$9, $C$13, 100%, $E$13) + CHOOSE(CONTROL!$C$28, 0.0415, 0)</f>
        <v>29.043499999999998</v>
      </c>
      <c r="C346" s="4">
        <f>28.6388 * CHOOSE(CONTROL!$C$9, $C$13, 100%, $E$13) + CHOOSE(CONTROL!$C$28, 0.0415, 0)</f>
        <v>28.680299999999999</v>
      </c>
      <c r="D346" s="4">
        <f>39.4471 * CHOOSE(CONTROL!$C$9, $C$13, 100%, $E$13) + CHOOSE(CONTROL!$C$28, 0.0021, 0)</f>
        <v>39.449199999999998</v>
      </c>
      <c r="E346" s="4">
        <f>186.894167598426 * CHOOSE(CONTROL!$C$9, $C$13, 100%, $E$13) + CHOOSE(CONTROL!$C$28, 0.0021, 0)</f>
        <v>186.89626759842602</v>
      </c>
    </row>
    <row r="347" spans="1:5" ht="15">
      <c r="A347" s="13">
        <v>52078</v>
      </c>
      <c r="B347" s="4">
        <f>28.9931 * CHOOSE(CONTROL!$C$9, $C$13, 100%, $E$13) + CHOOSE(CONTROL!$C$28, 0.0415, 0)</f>
        <v>29.034599999999998</v>
      </c>
      <c r="C347" s="4">
        <f>28.6298 * CHOOSE(CONTROL!$C$9, $C$13, 100%, $E$13) + CHOOSE(CONTROL!$C$28, 0.0415, 0)</f>
        <v>28.671299999999999</v>
      </c>
      <c r="D347" s="4">
        <f>40.0674 * CHOOSE(CONTROL!$C$9, $C$13, 100%, $E$13) + CHOOSE(CONTROL!$C$28, 0.0021, 0)</f>
        <v>40.069499999999998</v>
      </c>
      <c r="E347" s="4">
        <f>186.83472288863 * CHOOSE(CONTROL!$C$9, $C$13, 100%, $E$13) + CHOOSE(CONTROL!$C$28, 0.0021, 0)</f>
        <v>186.83682288863002</v>
      </c>
    </row>
    <row r="348" spans="1:5" ht="15">
      <c r="A348" s="13">
        <v>52109</v>
      </c>
      <c r="B348" s="4">
        <f>29.6687 * CHOOSE(CONTROL!$C$9, $C$13, 100%, $E$13) + CHOOSE(CONTROL!$C$28, 0.0415, 0)</f>
        <v>29.7102</v>
      </c>
      <c r="C348" s="4">
        <f>29.3054 * CHOOSE(CONTROL!$C$9, $C$13, 100%, $E$13) + CHOOSE(CONTROL!$C$28, 0.0415, 0)</f>
        <v>29.346899999999998</v>
      </c>
      <c r="D348" s="4">
        <f>39.6578 * CHOOSE(CONTROL!$C$9, $C$13, 100%, $E$13) + CHOOSE(CONTROL!$C$28, 0.0021, 0)</f>
        <v>39.6599</v>
      </c>
      <c r="E348" s="4">
        <f>191.307937300775 * CHOOSE(CONTROL!$C$9, $C$13, 100%, $E$13) + CHOOSE(CONTROL!$C$28, 0.0021, 0)</f>
        <v>191.31003730077501</v>
      </c>
    </row>
    <row r="349" spans="1:5" ht="15">
      <c r="A349" s="13">
        <v>52139</v>
      </c>
      <c r="B349" s="4">
        <f>28.5172 * CHOOSE(CONTROL!$C$9, $C$13, 100%, $E$13) + CHOOSE(CONTROL!$C$28, 0.0415, 0)</f>
        <v>28.558699999999998</v>
      </c>
      <c r="C349" s="4">
        <f>28.1539 * CHOOSE(CONTROL!$C$9, $C$13, 100%, $E$13) + CHOOSE(CONTROL!$C$28, 0.0415, 0)</f>
        <v>28.195399999999999</v>
      </c>
      <c r="D349" s="4">
        <f>39.4642 * CHOOSE(CONTROL!$C$9, $C$13, 100%, $E$13) + CHOOSE(CONTROL!$C$28, 0.0021, 0)</f>
        <v>39.466299999999997</v>
      </c>
      <c r="E349" s="4">
        <f>183.684153269446 * CHOOSE(CONTROL!$C$9, $C$13, 100%, $E$13) + CHOOSE(CONTROL!$C$28, 0.0021, 0)</f>
        <v>183.68625326944601</v>
      </c>
    </row>
    <row r="350" spans="1:5" ht="15">
      <c r="A350" s="13">
        <v>52170</v>
      </c>
      <c r="B350" s="4">
        <f>27.5954 * CHOOSE(CONTROL!$C$9, $C$13, 100%, $E$13) + CHOOSE(CONTROL!$C$28, 0.0211, 0)</f>
        <v>27.616500000000002</v>
      </c>
      <c r="C350" s="4">
        <f>27.2321 * CHOOSE(CONTROL!$C$9, $C$13, 100%, $E$13) + CHOOSE(CONTROL!$C$28, 0.0211, 0)</f>
        <v>27.2532</v>
      </c>
      <c r="D350" s="4">
        <f>38.946 * CHOOSE(CONTROL!$C$9, $C$13, 100%, $E$13) + CHOOSE(CONTROL!$C$28, 0.0021, 0)</f>
        <v>38.948099999999997</v>
      </c>
      <c r="E350" s="4">
        <f>177.58116306373 * CHOOSE(CONTROL!$C$9, $C$13, 100%, $E$13) + CHOOSE(CONTROL!$C$28, 0.0021, 0)</f>
        <v>177.58326306373002</v>
      </c>
    </row>
    <row r="351" spans="1:5" ht="15">
      <c r="A351" s="13">
        <v>52200</v>
      </c>
      <c r="B351" s="4">
        <f>27.0017 * CHOOSE(CONTROL!$C$9, $C$13, 100%, $E$13) + CHOOSE(CONTROL!$C$28, 0.0211, 0)</f>
        <v>27.0228</v>
      </c>
      <c r="C351" s="4">
        <f>26.6384 * CHOOSE(CONTROL!$C$9, $C$13, 100%, $E$13) + CHOOSE(CONTROL!$C$28, 0.0211, 0)</f>
        <v>26.659500000000001</v>
      </c>
      <c r="D351" s="4">
        <f>38.7678 * CHOOSE(CONTROL!$C$9, $C$13, 100%, $E$13) + CHOOSE(CONTROL!$C$28, 0.0021, 0)</f>
        <v>38.7699</v>
      </c>
      <c r="E351" s="4">
        <f>173.650381628473 * CHOOSE(CONTROL!$C$9, $C$13, 100%, $E$13) + CHOOSE(CONTROL!$C$28, 0.0021, 0)</f>
        <v>173.65248162847303</v>
      </c>
    </row>
    <row r="352" spans="1:5" ht="15">
      <c r="A352" s="13">
        <v>52231</v>
      </c>
      <c r="B352" s="4">
        <f>26.5909 * CHOOSE(CONTROL!$C$9, $C$13, 100%, $E$13) + CHOOSE(CONTROL!$C$28, 0.0211, 0)</f>
        <v>26.612000000000002</v>
      </c>
      <c r="C352" s="4">
        <f>26.2276 * CHOOSE(CONTROL!$C$9, $C$13, 100%, $E$13) + CHOOSE(CONTROL!$C$28, 0.0211, 0)</f>
        <v>26.248699999999999</v>
      </c>
      <c r="D352" s="4">
        <f>37.456 * CHOOSE(CONTROL!$C$9, $C$13, 100%, $E$13) + CHOOSE(CONTROL!$C$28, 0.0021, 0)</f>
        <v>37.458100000000002</v>
      </c>
      <c r="E352" s="4">
        <f>170.930786155309 * CHOOSE(CONTROL!$C$9, $C$13, 100%, $E$13) + CHOOSE(CONTROL!$C$28, 0.0021, 0)</f>
        <v>170.93288615530901</v>
      </c>
    </row>
    <row r="353" spans="1:5" ht="15">
      <c r="A353" s="13">
        <v>52262</v>
      </c>
      <c r="B353" s="4">
        <f>25.4671 * CHOOSE(CONTROL!$C$9, $C$13, 100%, $E$13) + CHOOSE(CONTROL!$C$28, 0.0211, 0)</f>
        <v>25.488199999999999</v>
      </c>
      <c r="C353" s="4">
        <f>25.1038 * CHOOSE(CONTROL!$C$9, $C$13, 100%, $E$13) + CHOOSE(CONTROL!$C$28, 0.0211, 0)</f>
        <v>25.1249</v>
      </c>
      <c r="D353" s="4">
        <f>36.011 * CHOOSE(CONTROL!$C$9, $C$13, 100%, $E$13) + CHOOSE(CONTROL!$C$28, 0.0021, 0)</f>
        <v>36.013100000000001</v>
      </c>
      <c r="E353" s="4">
        <f>163.810824350054 * CHOOSE(CONTROL!$C$9, $C$13, 100%, $E$13) + CHOOSE(CONTROL!$C$28, 0.0021, 0)</f>
        <v>163.812924350054</v>
      </c>
    </row>
    <row r="354" spans="1:5" ht="15">
      <c r="A354" s="13">
        <v>52290</v>
      </c>
      <c r="B354" s="4">
        <f>26.0534 * CHOOSE(CONTROL!$C$9, $C$13, 100%, $E$13) + CHOOSE(CONTROL!$C$28, 0.0211, 0)</f>
        <v>26.0745</v>
      </c>
      <c r="C354" s="4">
        <f>25.6901 * CHOOSE(CONTROL!$C$9, $C$13, 100%, $E$13) + CHOOSE(CONTROL!$C$28, 0.0211, 0)</f>
        <v>25.711200000000002</v>
      </c>
      <c r="D354" s="4">
        <f>37.2166 * CHOOSE(CONTROL!$C$9, $C$13, 100%, $E$13) + CHOOSE(CONTROL!$C$28, 0.0021, 0)</f>
        <v>37.218699999999998</v>
      </c>
      <c r="E354" s="4">
        <f>167.700338883749 * CHOOSE(CONTROL!$C$9, $C$13, 100%, $E$13) + CHOOSE(CONTROL!$C$28, 0.0021, 0)</f>
        <v>167.70243888374901</v>
      </c>
    </row>
    <row r="355" spans="1:5" ht="15">
      <c r="A355" s="13">
        <v>52321</v>
      </c>
      <c r="B355" s="4">
        <f>27.5931 * CHOOSE(CONTROL!$C$9, $C$13, 100%, $E$13) + CHOOSE(CONTROL!$C$28, 0.0211, 0)</f>
        <v>27.6142</v>
      </c>
      <c r="C355" s="4">
        <f>27.2298 * CHOOSE(CONTROL!$C$9, $C$13, 100%, $E$13) + CHOOSE(CONTROL!$C$28, 0.0211, 0)</f>
        <v>27.250900000000001</v>
      </c>
      <c r="D355" s="4">
        <f>39.1039 * CHOOSE(CONTROL!$C$9, $C$13, 100%, $E$13) + CHOOSE(CONTROL!$C$28, 0.0021, 0)</f>
        <v>39.106000000000002</v>
      </c>
      <c r="E355" s="4">
        <f>177.914410750586 * CHOOSE(CONTROL!$C$9, $C$13, 100%, $E$13) + CHOOSE(CONTROL!$C$28, 0.0021, 0)</f>
        <v>177.91651075058601</v>
      </c>
    </row>
    <row r="356" spans="1:5" ht="15">
      <c r="A356" s="13">
        <v>52351</v>
      </c>
      <c r="B356" s="4">
        <f>28.6871 * CHOOSE(CONTROL!$C$9, $C$13, 100%, $E$13) + CHOOSE(CONTROL!$C$28, 0.0211, 0)</f>
        <v>28.708200000000001</v>
      </c>
      <c r="C356" s="4">
        <f>28.3238 * CHOOSE(CONTROL!$C$9, $C$13, 100%, $E$13) + CHOOSE(CONTROL!$C$28, 0.0211, 0)</f>
        <v>28.344899999999999</v>
      </c>
      <c r="D356" s="4">
        <f>40.1911 * CHOOSE(CONTROL!$C$9, $C$13, 100%, $E$13) + CHOOSE(CONTROL!$C$28, 0.0021, 0)</f>
        <v>40.193199999999997</v>
      </c>
      <c r="E356" s="4">
        <f>185.171644932379 * CHOOSE(CONTROL!$C$9, $C$13, 100%, $E$13) + CHOOSE(CONTROL!$C$28, 0.0021, 0)</f>
        <v>185.17374493237901</v>
      </c>
    </row>
    <row r="357" spans="1:5" ht="15">
      <c r="A357" s="13">
        <v>52382</v>
      </c>
      <c r="B357" s="4">
        <f>29.3555 * CHOOSE(CONTROL!$C$9, $C$13, 100%, $E$13) + CHOOSE(CONTROL!$C$28, 0.0415, 0)</f>
        <v>29.396999999999998</v>
      </c>
      <c r="C357" s="4">
        <f>28.9922 * CHOOSE(CONTROL!$C$9, $C$13, 100%, $E$13) + CHOOSE(CONTROL!$C$28, 0.0415, 0)</f>
        <v>29.0337</v>
      </c>
      <c r="D357" s="4">
        <f>39.7615 * CHOOSE(CONTROL!$C$9, $C$13, 100%, $E$13) + CHOOSE(CONTROL!$C$28, 0.0021, 0)</f>
        <v>39.763599999999997</v>
      </c>
      <c r="E357" s="4">
        <f>189.605641085825 * CHOOSE(CONTROL!$C$9, $C$13, 100%, $E$13) + CHOOSE(CONTROL!$C$28, 0.0021, 0)</f>
        <v>189.60774108582501</v>
      </c>
    </row>
    <row r="358" spans="1:5" ht="15">
      <c r="A358" s="13">
        <v>52412</v>
      </c>
      <c r="B358" s="4">
        <f>29.4459 * CHOOSE(CONTROL!$C$9, $C$13, 100%, $E$13) + CHOOSE(CONTROL!$C$28, 0.0415, 0)</f>
        <v>29.487400000000001</v>
      </c>
      <c r="C358" s="4">
        <f>29.0826 * CHOOSE(CONTROL!$C$9, $C$13, 100%, $E$13) + CHOOSE(CONTROL!$C$28, 0.0415, 0)</f>
        <v>29.124099999999999</v>
      </c>
      <c r="D358" s="4">
        <f>40.1114 * CHOOSE(CONTROL!$C$9, $C$13, 100%, $E$13) + CHOOSE(CONTROL!$C$28, 0.0021, 0)</f>
        <v>40.113500000000002</v>
      </c>
      <c r="E358" s="4">
        <f>190.205579166849 * CHOOSE(CONTROL!$C$9, $C$13, 100%, $E$13) + CHOOSE(CONTROL!$C$28, 0.0021, 0)</f>
        <v>190.207679166849</v>
      </c>
    </row>
    <row r="359" spans="1:5" ht="15">
      <c r="A359" s="13">
        <v>52443</v>
      </c>
      <c r="B359" s="4">
        <f>29.4368 * CHOOSE(CONTROL!$C$9, $C$13, 100%, $E$13) + CHOOSE(CONTROL!$C$28, 0.0415, 0)</f>
        <v>29.478300000000001</v>
      </c>
      <c r="C359" s="4">
        <f>29.0735 * CHOOSE(CONTROL!$C$9, $C$13, 100%, $E$13) + CHOOSE(CONTROL!$C$28, 0.0415, 0)</f>
        <v>29.114999999999998</v>
      </c>
      <c r="D359" s="4">
        <f>40.7427 * CHOOSE(CONTROL!$C$9, $C$13, 100%, $E$13) + CHOOSE(CONTROL!$C$28, 0.0021, 0)</f>
        <v>40.744799999999998</v>
      </c>
      <c r="E359" s="4">
        <f>190.145081209099 * CHOOSE(CONTROL!$C$9, $C$13, 100%, $E$13) + CHOOSE(CONTROL!$C$28, 0.0021, 0)</f>
        <v>190.14718120909902</v>
      </c>
    </row>
    <row r="360" spans="1:5" ht="15">
      <c r="A360" s="13">
        <v>52474</v>
      </c>
      <c r="B360" s="4">
        <f>30.1231 * CHOOSE(CONTROL!$C$9, $C$13, 100%, $E$13) + CHOOSE(CONTROL!$C$28, 0.0415, 0)</f>
        <v>30.1646</v>
      </c>
      <c r="C360" s="4">
        <f>29.7598 * CHOOSE(CONTROL!$C$9, $C$13, 100%, $E$13) + CHOOSE(CONTROL!$C$28, 0.0415, 0)</f>
        <v>29.801299999999998</v>
      </c>
      <c r="D360" s="4">
        <f>40.3257 * CHOOSE(CONTROL!$C$9, $C$13, 100%, $E$13) + CHOOSE(CONTROL!$C$28, 0.0021, 0)</f>
        <v>40.327799999999996</v>
      </c>
      <c r="E360" s="4">
        <f>194.697552529806 * CHOOSE(CONTROL!$C$9, $C$13, 100%, $E$13) + CHOOSE(CONTROL!$C$28, 0.0021, 0)</f>
        <v>194.699652529806</v>
      </c>
    </row>
    <row r="361" spans="1:5" ht="15">
      <c r="A361" s="13">
        <v>52504</v>
      </c>
      <c r="B361" s="4">
        <f>28.9535 * CHOOSE(CONTROL!$C$9, $C$13, 100%, $E$13) + CHOOSE(CONTROL!$C$28, 0.0415, 0)</f>
        <v>28.994999999999997</v>
      </c>
      <c r="C361" s="4">
        <f>28.5902 * CHOOSE(CONTROL!$C$9, $C$13, 100%, $E$13) + CHOOSE(CONTROL!$C$28, 0.0415, 0)</f>
        <v>28.631699999999999</v>
      </c>
      <c r="D361" s="4">
        <f>40.1288 * CHOOSE(CONTROL!$C$9, $C$13, 100%, $E$13) + CHOOSE(CONTROL!$C$28, 0.0021, 0)</f>
        <v>40.130899999999997</v>
      </c>
      <c r="E361" s="4">
        <f>186.938689448334 * CHOOSE(CONTROL!$C$9, $C$13, 100%, $E$13) + CHOOSE(CONTROL!$C$28, 0.0021, 0)</f>
        <v>186.94078944833402</v>
      </c>
    </row>
    <row r="362" spans="1:5" ht="15">
      <c r="A362" s="13">
        <v>52535</v>
      </c>
      <c r="B362" s="4">
        <f>28.0172 * CHOOSE(CONTROL!$C$9, $C$13, 100%, $E$13) + CHOOSE(CONTROL!$C$28, 0.0211, 0)</f>
        <v>28.0383</v>
      </c>
      <c r="C362" s="4">
        <f>27.6539 * CHOOSE(CONTROL!$C$9, $C$13, 100%, $E$13) + CHOOSE(CONTROL!$C$28, 0.0211, 0)</f>
        <v>27.675000000000001</v>
      </c>
      <c r="D362" s="4">
        <f>39.6014 * CHOOSE(CONTROL!$C$9, $C$13, 100%, $E$13) + CHOOSE(CONTROL!$C$28, 0.0021, 0)</f>
        <v>39.603499999999997</v>
      </c>
      <c r="E362" s="4">
        <f>180.727565785973 * CHOOSE(CONTROL!$C$9, $C$13, 100%, $E$13) + CHOOSE(CONTROL!$C$28, 0.0021, 0)</f>
        <v>180.72966578597303</v>
      </c>
    </row>
    <row r="363" spans="1:5" ht="15">
      <c r="A363" s="13">
        <v>52565</v>
      </c>
      <c r="B363" s="4">
        <f>27.4141 * CHOOSE(CONTROL!$C$9, $C$13, 100%, $E$13) + CHOOSE(CONTROL!$C$28, 0.0211, 0)</f>
        <v>27.435200000000002</v>
      </c>
      <c r="C363" s="4">
        <f>27.0508 * CHOOSE(CONTROL!$C$9, $C$13, 100%, $E$13) + CHOOSE(CONTROL!$C$28, 0.0211, 0)</f>
        <v>27.071899999999999</v>
      </c>
      <c r="D363" s="4">
        <f>39.42 * CHOOSE(CONTROL!$C$9, $C$13, 100%, $E$13) + CHOOSE(CONTROL!$C$28, 0.0021, 0)</f>
        <v>39.4221</v>
      </c>
      <c r="E363" s="4">
        <f>176.727138329737 * CHOOSE(CONTROL!$C$9, $C$13, 100%, $E$13) + CHOOSE(CONTROL!$C$28, 0.0021, 0)</f>
        <v>176.729238329737</v>
      </c>
    </row>
    <row r="364" spans="1:5" ht="15">
      <c r="A364" s="13">
        <v>52596</v>
      </c>
      <c r="B364" s="4">
        <f>26.9969 * CHOOSE(CONTROL!$C$9, $C$13, 100%, $E$13) + CHOOSE(CONTROL!$C$28, 0.0211, 0)</f>
        <v>27.018000000000001</v>
      </c>
      <c r="C364" s="4">
        <f>26.6336 * CHOOSE(CONTROL!$C$9, $C$13, 100%, $E$13) + CHOOSE(CONTROL!$C$28, 0.0211, 0)</f>
        <v>26.654700000000002</v>
      </c>
      <c r="D364" s="4">
        <f>38.0851 * CHOOSE(CONTROL!$C$9, $C$13, 100%, $E$13) + CHOOSE(CONTROL!$C$28, 0.0021, 0)</f>
        <v>38.087199999999996</v>
      </c>
      <c r="E364" s="4">
        <f>173.959356762662 * CHOOSE(CONTROL!$C$9, $C$13, 100%, $E$13) + CHOOSE(CONTROL!$C$28, 0.0021, 0)</f>
        <v>173.96145676266201</v>
      </c>
    </row>
    <row r="365" spans="1:5" ht="15">
      <c r="A365" s="13">
        <v>52627</v>
      </c>
      <c r="B365" s="4">
        <f>25.8554 * CHOOSE(CONTROL!$C$9, $C$13, 100%, $E$13) + CHOOSE(CONTROL!$C$28, 0.0211, 0)</f>
        <v>25.8765</v>
      </c>
      <c r="C365" s="4">
        <f>25.4921 * CHOOSE(CONTROL!$C$9, $C$13, 100%, $E$13) + CHOOSE(CONTROL!$C$28, 0.0211, 0)</f>
        <v>25.513200000000001</v>
      </c>
      <c r="D365" s="4">
        <f>36.6146 * CHOOSE(CONTROL!$C$9, $C$13, 100%, $E$13) + CHOOSE(CONTROL!$C$28, 0.0021, 0)</f>
        <v>36.616700000000002</v>
      </c>
      <c r="E365" s="4">
        <f>166.713242685286 * CHOOSE(CONTROL!$C$9, $C$13, 100%, $E$13) + CHOOSE(CONTROL!$C$28, 0.0021, 0)</f>
        <v>166.715342685286</v>
      </c>
    </row>
    <row r="366" spans="1:5" ht="15">
      <c r="A366" s="13">
        <v>52655</v>
      </c>
      <c r="B366" s="4">
        <f>26.4509 * CHOOSE(CONTROL!$C$9, $C$13, 100%, $E$13) + CHOOSE(CONTROL!$C$28, 0.0211, 0)</f>
        <v>26.472000000000001</v>
      </c>
      <c r="C366" s="4">
        <f>26.0876 * CHOOSE(CONTROL!$C$9, $C$13, 100%, $E$13) + CHOOSE(CONTROL!$C$28, 0.0211, 0)</f>
        <v>26.108699999999999</v>
      </c>
      <c r="D366" s="4">
        <f>37.8415 * CHOOSE(CONTROL!$C$9, $C$13, 100%, $E$13) + CHOOSE(CONTROL!$C$28, 0.0021, 0)</f>
        <v>37.843600000000002</v>
      </c>
      <c r="E366" s="4">
        <f>170.671672068427 * CHOOSE(CONTROL!$C$9, $C$13, 100%, $E$13) + CHOOSE(CONTROL!$C$28, 0.0021, 0)</f>
        <v>170.67377206842701</v>
      </c>
    </row>
    <row r="367" spans="1:5" ht="15">
      <c r="A367" s="13">
        <v>52687</v>
      </c>
      <c r="B367" s="4">
        <f>28.0148 * CHOOSE(CONTROL!$C$9, $C$13, 100%, $E$13) + CHOOSE(CONTROL!$C$28, 0.0211, 0)</f>
        <v>28.035900000000002</v>
      </c>
      <c r="C367" s="4">
        <f>27.6516 * CHOOSE(CONTROL!$C$9, $C$13, 100%, $E$13) + CHOOSE(CONTROL!$C$28, 0.0211, 0)</f>
        <v>27.672699999999999</v>
      </c>
      <c r="D367" s="4">
        <f>39.7621 * CHOOSE(CONTROL!$C$9, $C$13, 100%, $E$13) + CHOOSE(CONTROL!$C$28, 0.0021, 0)</f>
        <v>39.764199999999995</v>
      </c>
      <c r="E367" s="4">
        <f>181.066717992267 * CHOOSE(CONTROL!$C$9, $C$13, 100%, $E$13) + CHOOSE(CONTROL!$C$28, 0.0021, 0)</f>
        <v>181.06881799226701</v>
      </c>
    </row>
    <row r="368" spans="1:5" ht="15">
      <c r="A368" s="13">
        <v>52717</v>
      </c>
      <c r="B368" s="4">
        <f>29.126 * CHOOSE(CONTROL!$C$9, $C$13, 100%, $E$13) + CHOOSE(CONTROL!$C$28, 0.0211, 0)</f>
        <v>29.147100000000002</v>
      </c>
      <c r="C368" s="4">
        <f>28.7627 * CHOOSE(CONTROL!$C$9, $C$13, 100%, $E$13) + CHOOSE(CONTROL!$C$28, 0.0211, 0)</f>
        <v>28.783799999999999</v>
      </c>
      <c r="D368" s="4">
        <f>40.8685 * CHOOSE(CONTROL!$C$9, $C$13, 100%, $E$13) + CHOOSE(CONTROL!$C$28, 0.0021, 0)</f>
        <v>40.870599999999996</v>
      </c>
      <c r="E368" s="4">
        <f>188.452536653357 * CHOOSE(CONTROL!$C$9, $C$13, 100%, $E$13) + CHOOSE(CONTROL!$C$28, 0.0021, 0)</f>
        <v>188.454636653357</v>
      </c>
    </row>
    <row r="369" spans="1:5" ht="15">
      <c r="A369" s="13">
        <v>52748</v>
      </c>
      <c r="B369" s="4">
        <f>29.8049 * CHOOSE(CONTROL!$C$9, $C$13, 100%, $E$13) + CHOOSE(CONTROL!$C$28, 0.0415, 0)</f>
        <v>29.846399999999999</v>
      </c>
      <c r="C369" s="4">
        <f>29.4417 * CHOOSE(CONTROL!$C$9, $C$13, 100%, $E$13) + CHOOSE(CONTROL!$C$28, 0.0415, 0)</f>
        <v>29.4832</v>
      </c>
      <c r="D369" s="4">
        <f>40.4313 * CHOOSE(CONTROL!$C$9, $C$13, 100%, $E$13) + CHOOSE(CONTROL!$C$28, 0.0021, 0)</f>
        <v>40.433399999999999</v>
      </c>
      <c r="E369" s="4">
        <f>192.965094841915 * CHOOSE(CONTROL!$C$9, $C$13, 100%, $E$13) + CHOOSE(CONTROL!$C$28, 0.0021, 0)</f>
        <v>192.96719484191502</v>
      </c>
    </row>
    <row r="370" spans="1:5" ht="15">
      <c r="A370" s="13">
        <v>52778</v>
      </c>
      <c r="B370" s="4">
        <f>29.8968 * CHOOSE(CONTROL!$C$9, $C$13, 100%, $E$13) + CHOOSE(CONTROL!$C$28, 0.0415, 0)</f>
        <v>29.938299999999998</v>
      </c>
      <c r="C370" s="4">
        <f>29.5335 * CHOOSE(CONTROL!$C$9, $C$13, 100%, $E$13) + CHOOSE(CONTROL!$C$28, 0.0415, 0)</f>
        <v>29.574999999999999</v>
      </c>
      <c r="D370" s="4">
        <f>40.7873 * CHOOSE(CONTROL!$C$9, $C$13, 100%, $E$13) + CHOOSE(CONTROL!$C$28, 0.0021, 0)</f>
        <v>40.789400000000001</v>
      </c>
      <c r="E370" s="4">
        <f>193.575662692328 * CHOOSE(CONTROL!$C$9, $C$13, 100%, $E$13) + CHOOSE(CONTROL!$C$28, 0.0021, 0)</f>
        <v>193.57776269232801</v>
      </c>
    </row>
    <row r="371" spans="1:5" ht="15">
      <c r="A371" s="13">
        <v>52809</v>
      </c>
      <c r="B371" s="4">
        <f>29.8875 * CHOOSE(CONTROL!$C$9, $C$13, 100%, $E$13) + CHOOSE(CONTROL!$C$28, 0.0415, 0)</f>
        <v>29.928999999999998</v>
      </c>
      <c r="C371" s="4">
        <f>29.5243 * CHOOSE(CONTROL!$C$9, $C$13, 100%, $E$13) + CHOOSE(CONTROL!$C$28, 0.0415, 0)</f>
        <v>29.565799999999999</v>
      </c>
      <c r="D371" s="4">
        <f>41.4298 * CHOOSE(CONTROL!$C$9, $C$13, 100%, $E$13) + CHOOSE(CONTROL!$C$28, 0.0021, 0)</f>
        <v>41.431899999999999</v>
      </c>
      <c r="E371" s="4">
        <f>193.51409282506 * CHOOSE(CONTROL!$C$9, $C$13, 100%, $E$13) + CHOOSE(CONTROL!$C$28, 0.0021, 0)</f>
        <v>193.51619282506002</v>
      </c>
    </row>
    <row r="372" spans="1:5" ht="15">
      <c r="A372" s="13">
        <v>52840</v>
      </c>
      <c r="B372" s="4">
        <f>30.5846 * CHOOSE(CONTROL!$C$9, $C$13, 100%, $E$13) + CHOOSE(CONTROL!$C$28, 0.0415, 0)</f>
        <v>30.626099999999997</v>
      </c>
      <c r="C372" s="4">
        <f>30.2213 * CHOOSE(CONTROL!$C$9, $C$13, 100%, $E$13) + CHOOSE(CONTROL!$C$28, 0.0415, 0)</f>
        <v>30.262799999999999</v>
      </c>
      <c r="D372" s="4">
        <f>41.0055 * CHOOSE(CONTROL!$C$9, $C$13, 100%, $E$13) + CHOOSE(CONTROL!$C$28, 0.0021, 0)</f>
        <v>41.007599999999996</v>
      </c>
      <c r="E372" s="4">
        <f>198.147225337018 * CHOOSE(CONTROL!$C$9, $C$13, 100%, $E$13) + CHOOSE(CONTROL!$C$28, 0.0021, 0)</f>
        <v>198.14932533701801</v>
      </c>
    </row>
    <row r="373" spans="1:5" ht="15">
      <c r="A373" s="13">
        <v>52870</v>
      </c>
      <c r="B373" s="4">
        <f>29.3966 * CHOOSE(CONTROL!$C$9, $C$13, 100%, $E$13) + CHOOSE(CONTROL!$C$28, 0.0415, 0)</f>
        <v>29.438099999999999</v>
      </c>
      <c r="C373" s="4">
        <f>29.0333 * CHOOSE(CONTROL!$C$9, $C$13, 100%, $E$13) + CHOOSE(CONTROL!$C$28, 0.0415, 0)</f>
        <v>29.0748</v>
      </c>
      <c r="D373" s="4">
        <f>40.8051 * CHOOSE(CONTROL!$C$9, $C$13, 100%, $E$13) + CHOOSE(CONTROL!$C$28, 0.0021, 0)</f>
        <v>40.807200000000002</v>
      </c>
      <c r="E373" s="4">
        <f>190.250889859826 * CHOOSE(CONTROL!$C$9, $C$13, 100%, $E$13) + CHOOSE(CONTROL!$C$28, 0.0021, 0)</f>
        <v>190.25298985982602</v>
      </c>
    </row>
    <row r="374" spans="1:5" ht="15">
      <c r="A374" s="13">
        <v>52901</v>
      </c>
      <c r="B374" s="4">
        <f>28.4456 * CHOOSE(CONTROL!$C$9, $C$13, 100%, $E$13) + CHOOSE(CONTROL!$C$28, 0.0211, 0)</f>
        <v>28.466699999999999</v>
      </c>
      <c r="C374" s="4">
        <f>28.0823 * CHOOSE(CONTROL!$C$9, $C$13, 100%, $E$13) + CHOOSE(CONTROL!$C$28, 0.0211, 0)</f>
        <v>28.103400000000001</v>
      </c>
      <c r="D374" s="4">
        <f>40.2683 * CHOOSE(CONTROL!$C$9, $C$13, 100%, $E$13) + CHOOSE(CONTROL!$C$28, 0.0021, 0)</f>
        <v>40.270400000000002</v>
      </c>
      <c r="E374" s="4">
        <f>183.929716820255 * CHOOSE(CONTROL!$C$9, $C$13, 100%, $E$13) + CHOOSE(CONTROL!$C$28, 0.0021, 0)</f>
        <v>183.93181682025502</v>
      </c>
    </row>
    <row r="375" spans="1:5" ht="15">
      <c r="A375" s="13">
        <v>52931</v>
      </c>
      <c r="B375" s="4">
        <f>27.833 * CHOOSE(CONTROL!$C$9, $C$13, 100%, $E$13) + CHOOSE(CONTROL!$C$28, 0.0211, 0)</f>
        <v>27.854099999999999</v>
      </c>
      <c r="C375" s="4">
        <f>27.4698 * CHOOSE(CONTROL!$C$9, $C$13, 100%, $E$13) + CHOOSE(CONTROL!$C$28, 0.0211, 0)</f>
        <v>27.4909</v>
      </c>
      <c r="D375" s="4">
        <f>40.0838 * CHOOSE(CONTROL!$C$9, $C$13, 100%, $E$13) + CHOOSE(CONTROL!$C$28, 0.0021, 0)</f>
        <v>40.085899999999995</v>
      </c>
      <c r="E375" s="4">
        <f>179.858409347122 * CHOOSE(CONTROL!$C$9, $C$13, 100%, $E$13) + CHOOSE(CONTROL!$C$28, 0.0021, 0)</f>
        <v>179.86050934712202</v>
      </c>
    </row>
    <row r="376" spans="1:5" ht="15">
      <c r="A376" s="13">
        <v>52962</v>
      </c>
      <c r="B376" s="4">
        <f>27.4093 * CHOOSE(CONTROL!$C$9, $C$13, 100%, $E$13) + CHOOSE(CONTROL!$C$28, 0.0211, 0)</f>
        <v>27.430400000000002</v>
      </c>
      <c r="C376" s="4">
        <f>27.046 * CHOOSE(CONTROL!$C$9, $C$13, 100%, $E$13) + CHOOSE(CONTROL!$C$28, 0.0211, 0)</f>
        <v>27.0671</v>
      </c>
      <c r="D376" s="4">
        <f>38.7253 * CHOOSE(CONTROL!$C$9, $C$13, 100%, $E$13) + CHOOSE(CONTROL!$C$28, 0.0021, 0)</f>
        <v>38.727399999999996</v>
      </c>
      <c r="E376" s="4">
        <f>177.041587919586 * CHOOSE(CONTROL!$C$9, $C$13, 100%, $E$13) + CHOOSE(CONTROL!$C$28, 0.0021, 0)</f>
        <v>177.04368791958601</v>
      </c>
    </row>
    <row r="377" spans="1:5" ht="15">
      <c r="A377" s="13">
        <v>52993</v>
      </c>
      <c r="B377" s="4">
        <f>26.2498 * CHOOSE(CONTROL!$C$9, $C$13, 100%, $E$13) + CHOOSE(CONTROL!$C$28, 0.0211, 0)</f>
        <v>26.270900000000001</v>
      </c>
      <c r="C377" s="4">
        <f>25.8865 * CHOOSE(CONTROL!$C$9, $C$13, 100%, $E$13) + CHOOSE(CONTROL!$C$28, 0.0211, 0)</f>
        <v>25.907600000000002</v>
      </c>
      <c r="D377" s="4">
        <f>37.2288 * CHOOSE(CONTROL!$C$9, $C$13, 100%, $E$13) + CHOOSE(CONTROL!$C$28, 0.0021, 0)</f>
        <v>37.230899999999998</v>
      </c>
      <c r="E377" s="4">
        <f>169.667086390155 * CHOOSE(CONTROL!$C$9, $C$13, 100%, $E$13) + CHOOSE(CONTROL!$C$28, 0.0021, 0)</f>
        <v>169.66918639015501</v>
      </c>
    </row>
    <row r="378" spans="1:5" ht="15">
      <c r="A378" s="13">
        <v>53021</v>
      </c>
      <c r="B378" s="4">
        <f>26.8547 * CHOOSE(CONTROL!$C$9, $C$13, 100%, $E$13) + CHOOSE(CONTROL!$C$28, 0.0211, 0)</f>
        <v>26.875800000000002</v>
      </c>
      <c r="C378" s="4">
        <f>26.4914 * CHOOSE(CONTROL!$C$9, $C$13, 100%, $E$13) + CHOOSE(CONTROL!$C$28, 0.0211, 0)</f>
        <v>26.512499999999999</v>
      </c>
      <c r="D378" s="4">
        <f>38.4774 * CHOOSE(CONTROL!$C$9, $C$13, 100%, $E$13) + CHOOSE(CONTROL!$C$28, 0.0021, 0)</f>
        <v>38.479500000000002</v>
      </c>
      <c r="E378" s="4">
        <f>173.69565166368 * CHOOSE(CONTROL!$C$9, $C$13, 100%, $E$13) + CHOOSE(CONTROL!$C$28, 0.0021, 0)</f>
        <v>173.69775166368001</v>
      </c>
    </row>
    <row r="379" spans="1:5" ht="15">
      <c r="A379" s="13">
        <v>53052</v>
      </c>
      <c r="B379" s="4">
        <f>28.4432 * CHOOSE(CONTROL!$C$9, $C$13, 100%, $E$13) + CHOOSE(CONTROL!$C$28, 0.0211, 0)</f>
        <v>28.464300000000001</v>
      </c>
      <c r="C379" s="4">
        <f>28.0799 * CHOOSE(CONTROL!$C$9, $C$13, 100%, $E$13) + CHOOSE(CONTROL!$C$28, 0.0211, 0)</f>
        <v>28.100999999999999</v>
      </c>
      <c r="D379" s="4">
        <f>40.4319 * CHOOSE(CONTROL!$C$9, $C$13, 100%, $E$13) + CHOOSE(CONTROL!$C$28, 0.0021, 0)</f>
        <v>40.433999999999997</v>
      </c>
      <c r="E379" s="4">
        <f>184.274878162917 * CHOOSE(CONTROL!$C$9, $C$13, 100%, $E$13) + CHOOSE(CONTROL!$C$28, 0.0021, 0)</f>
        <v>184.276978162917</v>
      </c>
    </row>
    <row r="380" spans="1:5" ht="15">
      <c r="A380" s="13">
        <v>53082</v>
      </c>
      <c r="B380" s="4">
        <f>29.5719 * CHOOSE(CONTROL!$C$9, $C$13, 100%, $E$13) + CHOOSE(CONTROL!$C$28, 0.0211, 0)</f>
        <v>29.593</v>
      </c>
      <c r="C380" s="4">
        <f>29.2086 * CHOOSE(CONTROL!$C$9, $C$13, 100%, $E$13) + CHOOSE(CONTROL!$C$28, 0.0211, 0)</f>
        <v>29.229700000000001</v>
      </c>
      <c r="D380" s="4">
        <f>41.5578 * CHOOSE(CONTROL!$C$9, $C$13, 100%, $E$13) + CHOOSE(CONTROL!$C$28, 0.0021, 0)</f>
        <v>41.559899999999999</v>
      </c>
      <c r="E380" s="4">
        <f>191.791559577355 * CHOOSE(CONTROL!$C$9, $C$13, 100%, $E$13) + CHOOSE(CONTROL!$C$28, 0.0021, 0)</f>
        <v>191.79365957735502</v>
      </c>
    </row>
    <row r="381" spans="1:5" ht="15">
      <c r="A381" s="13">
        <v>53113</v>
      </c>
      <c r="B381" s="4">
        <f>30.2615 * CHOOSE(CONTROL!$C$9, $C$13, 100%, $E$13) + CHOOSE(CONTROL!$C$28, 0.0415, 0)</f>
        <v>30.303000000000001</v>
      </c>
      <c r="C381" s="4">
        <f>29.8982 * CHOOSE(CONTROL!$C$9, $C$13, 100%, $E$13) + CHOOSE(CONTROL!$C$28, 0.0415, 0)</f>
        <v>29.939699999999998</v>
      </c>
      <c r="D381" s="4">
        <f>41.1129 * CHOOSE(CONTROL!$C$9, $C$13, 100%, $E$13) + CHOOSE(CONTROL!$C$28, 0.0021, 0)</f>
        <v>41.115000000000002</v>
      </c>
      <c r="E381" s="4">
        <f>196.384071771865 * CHOOSE(CONTROL!$C$9, $C$13, 100%, $E$13) + CHOOSE(CONTROL!$C$28, 0.0021, 0)</f>
        <v>196.38617177186501</v>
      </c>
    </row>
    <row r="382" spans="1:5" ht="15">
      <c r="A382" s="13">
        <v>53143</v>
      </c>
      <c r="B382" s="4">
        <f>30.3548 * CHOOSE(CONTROL!$C$9, $C$13, 100%, $E$13) + CHOOSE(CONTROL!$C$28, 0.0415, 0)</f>
        <v>30.3963</v>
      </c>
      <c r="C382" s="4">
        <f>29.9915 * CHOOSE(CONTROL!$C$9, $C$13, 100%, $E$13) + CHOOSE(CONTROL!$C$28, 0.0415, 0)</f>
        <v>30.032999999999998</v>
      </c>
      <c r="D382" s="4">
        <f>41.4753 * CHOOSE(CONTROL!$C$9, $C$13, 100%, $E$13) + CHOOSE(CONTROL!$C$28, 0.0021, 0)</f>
        <v>41.477399999999996</v>
      </c>
      <c r="E382" s="4">
        <f>197.0054577311 * CHOOSE(CONTROL!$C$9, $C$13, 100%, $E$13) + CHOOSE(CONTROL!$C$28, 0.0021, 0)</f>
        <v>197.00755773110001</v>
      </c>
    </row>
    <row r="383" spans="1:5" ht="15">
      <c r="A383" s="13">
        <v>53174</v>
      </c>
      <c r="B383" s="4">
        <f>30.3454 * CHOOSE(CONTROL!$C$9, $C$13, 100%, $E$13) + CHOOSE(CONTROL!$C$28, 0.0415, 0)</f>
        <v>30.386900000000001</v>
      </c>
      <c r="C383" s="4">
        <f>29.9821 * CHOOSE(CONTROL!$C$9, $C$13, 100%, $E$13) + CHOOSE(CONTROL!$C$28, 0.0415, 0)</f>
        <v>30.023599999999998</v>
      </c>
      <c r="D383" s="4">
        <f>42.1291 * CHOOSE(CONTROL!$C$9, $C$13, 100%, $E$13) + CHOOSE(CONTROL!$C$28, 0.0021, 0)</f>
        <v>42.1312</v>
      </c>
      <c r="E383" s="4">
        <f>196.942796962102 * CHOOSE(CONTROL!$C$9, $C$13, 100%, $E$13) + CHOOSE(CONTROL!$C$28, 0.0021, 0)</f>
        <v>196.94489696210201</v>
      </c>
    </row>
    <row r="384" spans="1:5" ht="15">
      <c r="A384" s="13">
        <v>53205</v>
      </c>
      <c r="B384" s="4">
        <f>31.0534 * CHOOSE(CONTROL!$C$9, $C$13, 100%, $E$13) + CHOOSE(CONTROL!$C$28, 0.0415, 0)</f>
        <v>31.094899999999999</v>
      </c>
      <c r="C384" s="4">
        <f>30.6901 * CHOOSE(CONTROL!$C$9, $C$13, 100%, $E$13) + CHOOSE(CONTROL!$C$28, 0.0415, 0)</f>
        <v>30.7316</v>
      </c>
      <c r="D384" s="4">
        <f>41.6973 * CHOOSE(CONTROL!$C$9, $C$13, 100%, $E$13) + CHOOSE(CONTROL!$C$28, 0.0021, 0)</f>
        <v>41.699399999999997</v>
      </c>
      <c r="E384" s="4">
        <f>201.658019829234 * CHOOSE(CONTROL!$C$9, $C$13, 100%, $E$13) + CHOOSE(CONTROL!$C$28, 0.0021, 0)</f>
        <v>201.66011982923402</v>
      </c>
    </row>
    <row r="385" spans="1:5" ht="15">
      <c r="A385" s="13">
        <v>53235</v>
      </c>
      <c r="B385" s="4">
        <f>29.8467 * CHOOSE(CONTROL!$C$9, $C$13, 100%, $E$13) + CHOOSE(CONTROL!$C$28, 0.0415, 0)</f>
        <v>29.888199999999998</v>
      </c>
      <c r="C385" s="4">
        <f>29.4834 * CHOOSE(CONTROL!$C$9, $C$13, 100%, $E$13) + CHOOSE(CONTROL!$C$28, 0.0415, 0)</f>
        <v>29.524899999999999</v>
      </c>
      <c r="D385" s="4">
        <f>41.4933 * CHOOSE(CONTROL!$C$9, $C$13, 100%, $E$13) + CHOOSE(CONTROL!$C$28, 0.0021, 0)</f>
        <v>41.495399999999997</v>
      </c>
      <c r="E385" s="4">
        <f>193.621776205184 * CHOOSE(CONTROL!$C$9, $C$13, 100%, $E$13) + CHOOSE(CONTROL!$C$28, 0.0021, 0)</f>
        <v>193.62387620518402</v>
      </c>
    </row>
    <row r="386" spans="1:5" ht="15">
      <c r="A386" s="13">
        <v>53266</v>
      </c>
      <c r="B386" s="4">
        <f>28.8807 * CHOOSE(CONTROL!$C$9, $C$13, 100%, $E$13) + CHOOSE(CONTROL!$C$28, 0.0211, 0)</f>
        <v>28.901800000000001</v>
      </c>
      <c r="C386" s="4">
        <f>28.5174 * CHOOSE(CONTROL!$C$9, $C$13, 100%, $E$13) + CHOOSE(CONTROL!$C$28, 0.0211, 0)</f>
        <v>28.538499999999999</v>
      </c>
      <c r="D386" s="4">
        <f>40.9471 * CHOOSE(CONTROL!$C$9, $C$13, 100%, $E$13) + CHOOSE(CONTROL!$C$28, 0.0021, 0)</f>
        <v>40.949199999999998</v>
      </c>
      <c r="E386" s="4">
        <f>187.188603921344 * CHOOSE(CONTROL!$C$9, $C$13, 100%, $E$13) + CHOOSE(CONTROL!$C$28, 0.0021, 0)</f>
        <v>187.19070392134401</v>
      </c>
    </row>
    <row r="387" spans="1:5" ht="15">
      <c r="A387" s="13">
        <v>53296</v>
      </c>
      <c r="B387" s="4">
        <f>28.2586 * CHOOSE(CONTROL!$C$9, $C$13, 100%, $E$13) + CHOOSE(CONTROL!$C$28, 0.0211, 0)</f>
        <v>28.279700000000002</v>
      </c>
      <c r="C387" s="4">
        <f>27.8953 * CHOOSE(CONTROL!$C$9, $C$13, 100%, $E$13) + CHOOSE(CONTROL!$C$28, 0.0211, 0)</f>
        <v>27.916399999999999</v>
      </c>
      <c r="D387" s="4">
        <f>40.7593 * CHOOSE(CONTROL!$C$9, $C$13, 100%, $E$13) + CHOOSE(CONTROL!$C$28, 0.0021, 0)</f>
        <v>40.761400000000002</v>
      </c>
      <c r="E387" s="4">
        <f>183.045160571322 * CHOOSE(CONTROL!$C$9, $C$13, 100%, $E$13) + CHOOSE(CONTROL!$C$28, 0.0021, 0)</f>
        <v>183.047260571322</v>
      </c>
    </row>
    <row r="388" spans="1:5" ht="15">
      <c r="A388" s="13">
        <v>53327</v>
      </c>
      <c r="B388" s="4">
        <f>27.8281 * CHOOSE(CONTROL!$C$9, $C$13, 100%, $E$13) + CHOOSE(CONTROL!$C$28, 0.0211, 0)</f>
        <v>27.8492</v>
      </c>
      <c r="C388" s="4">
        <f>27.4648 * CHOOSE(CONTROL!$C$9, $C$13, 100%, $E$13) + CHOOSE(CONTROL!$C$28, 0.0211, 0)</f>
        <v>27.485900000000001</v>
      </c>
      <c r="D388" s="4">
        <f>39.3768 * CHOOSE(CONTROL!$C$9, $C$13, 100%, $E$13) + CHOOSE(CONTROL!$C$28, 0.0021, 0)</f>
        <v>39.378900000000002</v>
      </c>
      <c r="E388" s="4">
        <f>180.178430389643 * CHOOSE(CONTROL!$C$9, $C$13, 100%, $E$13) + CHOOSE(CONTROL!$C$28, 0.0021, 0)</f>
        <v>180.18053038964302</v>
      </c>
    </row>
    <row r="389" spans="1:5" ht="15">
      <c r="A389" s="13">
        <v>53358</v>
      </c>
      <c r="B389" s="4">
        <f>26.6504 * CHOOSE(CONTROL!$C$9, $C$13, 100%, $E$13) + CHOOSE(CONTROL!$C$28, 0.0211, 0)</f>
        <v>26.671500000000002</v>
      </c>
      <c r="C389" s="4">
        <f>26.2871 * CHOOSE(CONTROL!$C$9, $C$13, 100%, $E$13) + CHOOSE(CONTROL!$C$28, 0.0211, 0)</f>
        <v>26.308199999999999</v>
      </c>
      <c r="D389" s="4">
        <f>37.8538 * CHOOSE(CONTROL!$C$9, $C$13, 100%, $E$13) + CHOOSE(CONTROL!$C$28, 0.0021, 0)</f>
        <v>37.855899999999998</v>
      </c>
      <c r="E389" s="4">
        <f>172.673266625057 * CHOOSE(CONTROL!$C$9, $C$13, 100%, $E$13) + CHOOSE(CONTROL!$C$28, 0.0021, 0)</f>
        <v>172.67536662505702</v>
      </c>
    </row>
    <row r="390" spans="1:5" ht="15">
      <c r="A390" s="13">
        <v>53386</v>
      </c>
      <c r="B390" s="4">
        <f>27.2648 * CHOOSE(CONTROL!$C$9, $C$13, 100%, $E$13) + CHOOSE(CONTROL!$C$28, 0.0211, 0)</f>
        <v>27.285900000000002</v>
      </c>
      <c r="C390" s="4">
        <f>26.9015 * CHOOSE(CONTROL!$C$9, $C$13, 100%, $E$13) + CHOOSE(CONTROL!$C$28, 0.0211, 0)</f>
        <v>26.922599999999999</v>
      </c>
      <c r="D390" s="4">
        <f>39.1245 * CHOOSE(CONTROL!$C$9, $C$13, 100%, $E$13) + CHOOSE(CONTROL!$C$28, 0.0021, 0)</f>
        <v>39.126599999999996</v>
      </c>
      <c r="E390" s="4">
        <f>176.773210464443 * CHOOSE(CONTROL!$C$9, $C$13, 100%, $E$13) + CHOOSE(CONTROL!$C$28, 0.0021, 0)</f>
        <v>176.77531046444301</v>
      </c>
    </row>
    <row r="391" spans="1:5" ht="15">
      <c r="A391" s="13">
        <v>53417</v>
      </c>
      <c r="B391" s="4">
        <f>28.8783 * CHOOSE(CONTROL!$C$9, $C$13, 100%, $E$13) + CHOOSE(CONTROL!$C$28, 0.0211, 0)</f>
        <v>28.8994</v>
      </c>
      <c r="C391" s="4">
        <f>28.515 * CHOOSE(CONTROL!$C$9, $C$13, 100%, $E$13) + CHOOSE(CONTROL!$C$28, 0.0211, 0)</f>
        <v>28.536100000000001</v>
      </c>
      <c r="D391" s="4">
        <f>41.1136 * CHOOSE(CONTROL!$C$9, $C$13, 100%, $E$13) + CHOOSE(CONTROL!$C$28, 0.0021, 0)</f>
        <v>41.115699999999997</v>
      </c>
      <c r="E391" s="4">
        <f>187.539880870917 * CHOOSE(CONTROL!$C$9, $C$13, 100%, $E$13) + CHOOSE(CONTROL!$C$28, 0.0021, 0)</f>
        <v>187.541980870917</v>
      </c>
    </row>
    <row r="392" spans="1:5" ht="15">
      <c r="A392" s="13">
        <v>53447</v>
      </c>
      <c r="B392" s="4">
        <f>30.0247 * CHOOSE(CONTROL!$C$9, $C$13, 100%, $E$13) + CHOOSE(CONTROL!$C$28, 0.0211, 0)</f>
        <v>30.0458</v>
      </c>
      <c r="C392" s="4">
        <f>29.6614 * CHOOSE(CONTROL!$C$9, $C$13, 100%, $E$13) + CHOOSE(CONTROL!$C$28, 0.0211, 0)</f>
        <v>29.682500000000001</v>
      </c>
      <c r="D392" s="4">
        <f>42.2594 * CHOOSE(CONTROL!$C$9, $C$13, 100%, $E$13) + CHOOSE(CONTROL!$C$28, 0.0021, 0)</f>
        <v>42.261499999999998</v>
      </c>
      <c r="E392" s="4">
        <f>195.189743679466 * CHOOSE(CONTROL!$C$9, $C$13, 100%, $E$13) + CHOOSE(CONTROL!$C$28, 0.0021, 0)</f>
        <v>195.19184367946602</v>
      </c>
    </row>
    <row r="393" spans="1:5" ht="15">
      <c r="A393" s="13">
        <v>53478</v>
      </c>
      <c r="B393" s="4">
        <f>30.7252 * CHOOSE(CONTROL!$C$9, $C$13, 100%, $E$13) + CHOOSE(CONTROL!$C$28, 0.0415, 0)</f>
        <v>30.7667</v>
      </c>
      <c r="C393" s="4">
        <f>30.3619 * CHOOSE(CONTROL!$C$9, $C$13, 100%, $E$13) + CHOOSE(CONTROL!$C$28, 0.0415, 0)</f>
        <v>30.403399999999998</v>
      </c>
      <c r="D393" s="4">
        <f>41.8066 * CHOOSE(CONTROL!$C$9, $C$13, 100%, $E$13) + CHOOSE(CONTROL!$C$28, 0.0021, 0)</f>
        <v>41.808700000000002</v>
      </c>
      <c r="E393" s="4">
        <f>199.863626513866 * CHOOSE(CONTROL!$C$9, $C$13, 100%, $E$13) + CHOOSE(CONTROL!$C$28, 0.0021, 0)</f>
        <v>199.86572651386601</v>
      </c>
    </row>
    <row r="394" spans="1:5" ht="15">
      <c r="A394" s="13">
        <v>53508</v>
      </c>
      <c r="B394" s="4">
        <f>30.8199 * CHOOSE(CONTROL!$C$9, $C$13, 100%, $E$13) + CHOOSE(CONTROL!$C$28, 0.0415, 0)</f>
        <v>30.8614</v>
      </c>
      <c r="C394" s="4">
        <f>30.4566 * CHOOSE(CONTROL!$C$9, $C$13, 100%, $E$13) + CHOOSE(CONTROL!$C$28, 0.0415, 0)</f>
        <v>30.498100000000001</v>
      </c>
      <c r="D394" s="4">
        <f>42.1753 * CHOOSE(CONTROL!$C$9, $C$13, 100%, $E$13) + CHOOSE(CONTROL!$C$28, 0.0021, 0)</f>
        <v>42.177399999999999</v>
      </c>
      <c r="E394" s="4">
        <f>200.496022258372 * CHOOSE(CONTROL!$C$9, $C$13, 100%, $E$13) + CHOOSE(CONTROL!$C$28, 0.0021, 0)</f>
        <v>200.49812225837201</v>
      </c>
    </row>
    <row r="395" spans="1:5" ht="15">
      <c r="A395" s="13">
        <v>53539</v>
      </c>
      <c r="B395" s="4">
        <f>30.8104 * CHOOSE(CONTROL!$C$9, $C$13, 100%, $E$13) + CHOOSE(CONTROL!$C$28, 0.0415, 0)</f>
        <v>30.851900000000001</v>
      </c>
      <c r="C395" s="4">
        <f>30.4471 * CHOOSE(CONTROL!$C$9, $C$13, 100%, $E$13) + CHOOSE(CONTROL!$C$28, 0.0415, 0)</f>
        <v>30.488599999999998</v>
      </c>
      <c r="D395" s="4">
        <f>42.8407 * CHOOSE(CONTROL!$C$9, $C$13, 100%, $E$13) + CHOOSE(CONTROL!$C$28, 0.0021, 0)</f>
        <v>42.842799999999997</v>
      </c>
      <c r="E395" s="4">
        <f>200.432251258926 * CHOOSE(CONTROL!$C$9, $C$13, 100%, $E$13) + CHOOSE(CONTROL!$C$28, 0.0021, 0)</f>
        <v>200.434351258926</v>
      </c>
    </row>
    <row r="396" spans="1:5" ht="15">
      <c r="A396" s="13">
        <v>53570</v>
      </c>
      <c r="B396" s="4">
        <f>31.5295 * CHOOSE(CONTROL!$C$9, $C$13, 100%, $E$13) + CHOOSE(CONTROL!$C$28, 0.0415, 0)</f>
        <v>31.570999999999998</v>
      </c>
      <c r="C396" s="4">
        <f>31.1662 * CHOOSE(CONTROL!$C$9, $C$13, 100%, $E$13) + CHOOSE(CONTROL!$C$28, 0.0415, 0)</f>
        <v>31.207699999999999</v>
      </c>
      <c r="D396" s="4">
        <f>42.4013 * CHOOSE(CONTROL!$C$9, $C$13, 100%, $E$13) + CHOOSE(CONTROL!$C$28, 0.0021, 0)</f>
        <v>42.403399999999998</v>
      </c>
      <c r="E396" s="4">
        <f>205.231018967241 * CHOOSE(CONTROL!$C$9, $C$13, 100%, $E$13) + CHOOSE(CONTROL!$C$28, 0.0021, 0)</f>
        <v>205.23311896724101</v>
      </c>
    </row>
    <row r="397" spans="1:5" ht="15">
      <c r="A397" s="13">
        <v>53600</v>
      </c>
      <c r="B397" s="4">
        <f>30.3039 * CHOOSE(CONTROL!$C$9, $C$13, 100%, $E$13) + CHOOSE(CONTROL!$C$28, 0.0415, 0)</f>
        <v>30.345399999999998</v>
      </c>
      <c r="C397" s="4">
        <f>29.9406 * CHOOSE(CONTROL!$C$9, $C$13, 100%, $E$13) + CHOOSE(CONTROL!$C$28, 0.0415, 0)</f>
        <v>29.982099999999999</v>
      </c>
      <c r="D397" s="4">
        <f>42.1937 * CHOOSE(CONTROL!$C$9, $C$13, 100%, $E$13) + CHOOSE(CONTROL!$C$28, 0.0021, 0)</f>
        <v>42.195799999999998</v>
      </c>
      <c r="E397" s="4">
        <f>197.052388288286 * CHOOSE(CONTROL!$C$9, $C$13, 100%, $E$13) + CHOOSE(CONTROL!$C$28, 0.0021, 0)</f>
        <v>197.05448828828602</v>
      </c>
    </row>
    <row r="398" spans="1:5" ht="15">
      <c r="A398" s="13">
        <v>53631</v>
      </c>
      <c r="B398" s="4">
        <f>29.3227 * CHOOSE(CONTROL!$C$9, $C$13, 100%, $E$13) + CHOOSE(CONTROL!$C$28, 0.0211, 0)</f>
        <v>29.343800000000002</v>
      </c>
      <c r="C398" s="4">
        <f>28.9594 * CHOOSE(CONTROL!$C$9, $C$13, 100%, $E$13) + CHOOSE(CONTROL!$C$28, 0.0211, 0)</f>
        <v>28.980499999999999</v>
      </c>
      <c r="D398" s="4">
        <f>41.6378 * CHOOSE(CONTROL!$C$9, $C$13, 100%, $E$13) + CHOOSE(CONTROL!$C$28, 0.0021, 0)</f>
        <v>41.639899999999997</v>
      </c>
      <c r="E398" s="4">
        <f>190.505232345158 * CHOOSE(CONTROL!$C$9, $C$13, 100%, $E$13) + CHOOSE(CONTROL!$C$28, 0.0021, 0)</f>
        <v>190.50733234515801</v>
      </c>
    </row>
    <row r="399" spans="1:5" ht="15">
      <c r="A399" s="13">
        <v>53661</v>
      </c>
      <c r="B399" s="4">
        <f>28.6908 * CHOOSE(CONTROL!$C$9, $C$13, 100%, $E$13) + CHOOSE(CONTROL!$C$28, 0.0211, 0)</f>
        <v>28.7119</v>
      </c>
      <c r="C399" s="4">
        <f>28.3275 * CHOOSE(CONTROL!$C$9, $C$13, 100%, $E$13) + CHOOSE(CONTROL!$C$28, 0.0211, 0)</f>
        <v>28.348600000000001</v>
      </c>
      <c r="D399" s="4">
        <f>41.4467 * CHOOSE(CONTROL!$C$9, $C$13, 100%, $E$13) + CHOOSE(CONTROL!$C$28, 0.0021, 0)</f>
        <v>41.448799999999999</v>
      </c>
      <c r="E399" s="4">
        <f>186.288375006788 * CHOOSE(CONTROL!$C$9, $C$13, 100%, $E$13) + CHOOSE(CONTROL!$C$28, 0.0021, 0)</f>
        <v>186.290475006788</v>
      </c>
    </row>
    <row r="400" spans="1:5" ht="15">
      <c r="A400" s="13">
        <v>53692</v>
      </c>
      <c r="B400" s="4">
        <f>28.2535 * CHOOSE(CONTROL!$C$9, $C$13, 100%, $E$13) + CHOOSE(CONTROL!$C$28, 0.0211, 0)</f>
        <v>28.2746</v>
      </c>
      <c r="C400" s="4">
        <f>27.8903 * CHOOSE(CONTROL!$C$9, $C$13, 100%, $E$13) + CHOOSE(CONTROL!$C$28, 0.0211, 0)</f>
        <v>27.9114</v>
      </c>
      <c r="D400" s="4">
        <f>40.0398 * CHOOSE(CONTROL!$C$9, $C$13, 100%, $E$13) + CHOOSE(CONTROL!$C$28, 0.0021, 0)</f>
        <v>40.041899999999998</v>
      </c>
      <c r="E400" s="4">
        <f>183.370851782132 * CHOOSE(CONTROL!$C$9, $C$13, 100%, $E$13) + CHOOSE(CONTROL!$C$28, 0.0021, 0)</f>
        <v>183.37295178213202</v>
      </c>
    </row>
    <row r="401" spans="1:5" ht="15">
      <c r="A401" s="13">
        <v>53723</v>
      </c>
      <c r="B401" s="4">
        <f>27.0573 * CHOOSE(CONTROL!$C$9, $C$13, 100%, $E$13) + CHOOSE(CONTROL!$C$28, 0.0211, 0)</f>
        <v>27.078400000000002</v>
      </c>
      <c r="C401" s="4">
        <f>26.694 * CHOOSE(CONTROL!$C$9, $C$13, 100%, $E$13) + CHOOSE(CONTROL!$C$28, 0.0211, 0)</f>
        <v>26.7151</v>
      </c>
      <c r="D401" s="4">
        <f>38.4899 * CHOOSE(CONTROL!$C$9, $C$13, 100%, $E$13) + CHOOSE(CONTROL!$C$28, 0.0021, 0)</f>
        <v>38.491999999999997</v>
      </c>
      <c r="E401" s="4">
        <f>175.732710694431 * CHOOSE(CONTROL!$C$9, $C$13, 100%, $E$13) + CHOOSE(CONTROL!$C$28, 0.0021, 0)</f>
        <v>175.73481069443102</v>
      </c>
    </row>
    <row r="402" spans="1:5" ht="15">
      <c r="A402" s="13">
        <v>53751</v>
      </c>
      <c r="B402" s="4">
        <f>27.6814 * CHOOSE(CONTROL!$C$9, $C$13, 100%, $E$13) + CHOOSE(CONTROL!$C$28, 0.0211, 0)</f>
        <v>27.702500000000001</v>
      </c>
      <c r="C402" s="4">
        <f>27.3181 * CHOOSE(CONTROL!$C$9, $C$13, 100%, $E$13) + CHOOSE(CONTROL!$C$28, 0.0211, 0)</f>
        <v>27.339200000000002</v>
      </c>
      <c r="D402" s="4">
        <f>39.783 * CHOOSE(CONTROL!$C$9, $C$13, 100%, $E$13) + CHOOSE(CONTROL!$C$28, 0.0021, 0)</f>
        <v>39.7851</v>
      </c>
      <c r="E402" s="4">
        <f>179.905297793015 * CHOOSE(CONTROL!$C$9, $C$13, 100%, $E$13) + CHOOSE(CONTROL!$C$28, 0.0021, 0)</f>
        <v>179.90739779301501</v>
      </c>
    </row>
    <row r="403" spans="1:5" ht="15">
      <c r="A403" s="13">
        <v>53782</v>
      </c>
      <c r="B403" s="4">
        <f>29.3203 * CHOOSE(CONTROL!$C$9, $C$13, 100%, $E$13) + CHOOSE(CONTROL!$C$28, 0.0211, 0)</f>
        <v>29.3414</v>
      </c>
      <c r="C403" s="4">
        <f>28.957 * CHOOSE(CONTROL!$C$9, $C$13, 100%, $E$13) + CHOOSE(CONTROL!$C$28, 0.0211, 0)</f>
        <v>28.978100000000001</v>
      </c>
      <c r="D403" s="4">
        <f>41.8073 * CHOOSE(CONTROL!$C$9, $C$13, 100%, $E$13) + CHOOSE(CONTROL!$C$28, 0.0021, 0)</f>
        <v>41.809399999999997</v>
      </c>
      <c r="E403" s="4">
        <f>190.862733258643 * CHOOSE(CONTROL!$C$9, $C$13, 100%, $E$13) + CHOOSE(CONTROL!$C$28, 0.0021, 0)</f>
        <v>190.86483325864302</v>
      </c>
    </row>
    <row r="404" spans="1:5" ht="15">
      <c r="A404" s="13">
        <v>53812</v>
      </c>
      <c r="B404" s="4">
        <f>30.4847 * CHOOSE(CONTROL!$C$9, $C$13, 100%, $E$13) + CHOOSE(CONTROL!$C$28, 0.0211, 0)</f>
        <v>30.505800000000001</v>
      </c>
      <c r="C404" s="4">
        <f>30.1214 * CHOOSE(CONTROL!$C$9, $C$13, 100%, $E$13) + CHOOSE(CONTROL!$C$28, 0.0211, 0)</f>
        <v>30.142500000000002</v>
      </c>
      <c r="D404" s="4">
        <f>42.9733 * CHOOSE(CONTROL!$C$9, $C$13, 100%, $E$13) + CHOOSE(CONTROL!$C$28, 0.0021, 0)</f>
        <v>42.9754</v>
      </c>
      <c r="E404" s="4">
        <f>198.648137183999 * CHOOSE(CONTROL!$C$9, $C$13, 100%, $E$13) + CHOOSE(CONTROL!$C$28, 0.0021, 0)</f>
        <v>198.65023718399902</v>
      </c>
    </row>
    <row r="405" spans="1:5" ht="15">
      <c r="A405" s="13">
        <v>53843</v>
      </c>
      <c r="B405" s="4">
        <f>31.1961 * CHOOSE(CONTROL!$C$9, $C$13, 100%, $E$13) + CHOOSE(CONTROL!$C$28, 0.0415, 0)</f>
        <v>31.2376</v>
      </c>
      <c r="C405" s="4">
        <f>30.8329 * CHOOSE(CONTROL!$C$9, $C$13, 100%, $E$13) + CHOOSE(CONTROL!$C$28, 0.0415, 0)</f>
        <v>30.874399999999998</v>
      </c>
      <c r="D405" s="4">
        <f>42.5125 * CHOOSE(CONTROL!$C$9, $C$13, 100%, $E$13) + CHOOSE(CONTROL!$C$28, 0.0021, 0)</f>
        <v>42.514600000000002</v>
      </c>
      <c r="E405" s="4">
        <f>203.404832392301 * CHOOSE(CONTROL!$C$9, $C$13, 100%, $E$13) + CHOOSE(CONTROL!$C$28, 0.0021, 0)</f>
        <v>203.406932392301</v>
      </c>
    </row>
    <row r="406" spans="1:5" ht="15">
      <c r="A406" s="13">
        <v>53873</v>
      </c>
      <c r="B406" s="4">
        <f>31.2924 * CHOOSE(CONTROL!$C$9, $C$13, 100%, $E$13) + CHOOSE(CONTROL!$C$28, 0.0415, 0)</f>
        <v>31.3339</v>
      </c>
      <c r="C406" s="4">
        <f>30.9291 * CHOOSE(CONTROL!$C$9, $C$13, 100%, $E$13) + CHOOSE(CONTROL!$C$28, 0.0415, 0)</f>
        <v>30.970599999999997</v>
      </c>
      <c r="D406" s="4">
        <f>42.8878 * CHOOSE(CONTROL!$C$9, $C$13, 100%, $E$13) + CHOOSE(CONTROL!$C$28, 0.0021, 0)</f>
        <v>42.889899999999997</v>
      </c>
      <c r="E406" s="4">
        <f>204.048432994675 * CHOOSE(CONTROL!$C$9, $C$13, 100%, $E$13) + CHOOSE(CONTROL!$C$28, 0.0021, 0)</f>
        <v>204.05053299467502</v>
      </c>
    </row>
    <row r="407" spans="1:5" ht="15">
      <c r="A407" s="13">
        <v>53904</v>
      </c>
      <c r="B407" s="4">
        <f>31.2827 * CHOOSE(CONTROL!$C$9, $C$13, 100%, $E$13) + CHOOSE(CONTROL!$C$28, 0.0415, 0)</f>
        <v>31.324199999999998</v>
      </c>
      <c r="C407" s="4">
        <f>30.9194 * CHOOSE(CONTROL!$C$9, $C$13, 100%, $E$13) + CHOOSE(CONTROL!$C$28, 0.0415, 0)</f>
        <v>30.960899999999999</v>
      </c>
      <c r="D407" s="4">
        <f>43.5649 * CHOOSE(CONTROL!$C$9, $C$13, 100%, $E$13) + CHOOSE(CONTROL!$C$28, 0.0021, 0)</f>
        <v>43.567</v>
      </c>
      <c r="E407" s="4">
        <f>203.983532093596 * CHOOSE(CONTROL!$C$9, $C$13, 100%, $E$13) + CHOOSE(CONTROL!$C$28, 0.0021, 0)</f>
        <v>203.98563209359602</v>
      </c>
    </row>
    <row r="408" spans="1:5" ht="15">
      <c r="A408" s="13">
        <v>53935</v>
      </c>
      <c r="B408" s="4">
        <f>32.0132 * CHOOSE(CONTROL!$C$9, $C$13, 100%, $E$13) + CHOOSE(CONTROL!$C$28, 0.0415, 0)</f>
        <v>32.054699999999997</v>
      </c>
      <c r="C408" s="4">
        <f>31.6499 * CHOOSE(CONTROL!$C$9, $C$13, 100%, $E$13) + CHOOSE(CONTROL!$C$28, 0.0415, 0)</f>
        <v>31.691399999999998</v>
      </c>
      <c r="D408" s="4">
        <f>43.1177 * CHOOSE(CONTROL!$C$9, $C$13, 100%, $E$13) + CHOOSE(CONTROL!$C$28, 0.0021, 0)</f>
        <v>43.119799999999998</v>
      </c>
      <c r="E408" s="4">
        <f>208.867324899845 * CHOOSE(CONTROL!$C$9, $C$13, 100%, $E$13) + CHOOSE(CONTROL!$C$28, 0.0021, 0)</f>
        <v>208.869424899845</v>
      </c>
    </row>
    <row r="409" spans="1:5" ht="15">
      <c r="A409" s="13">
        <v>53965</v>
      </c>
      <c r="B409" s="4">
        <f>30.7682 * CHOOSE(CONTROL!$C$9, $C$13, 100%, $E$13) + CHOOSE(CONTROL!$C$28, 0.0415, 0)</f>
        <v>30.809699999999999</v>
      </c>
      <c r="C409" s="4">
        <f>30.4049 * CHOOSE(CONTROL!$C$9, $C$13, 100%, $E$13) + CHOOSE(CONTROL!$C$28, 0.0415, 0)</f>
        <v>30.446400000000001</v>
      </c>
      <c r="D409" s="4">
        <f>42.9065 * CHOOSE(CONTROL!$C$9, $C$13, 100%, $E$13) + CHOOSE(CONTROL!$C$28, 0.0021, 0)</f>
        <v>42.9086</v>
      </c>
      <c r="E409" s="4">
        <f>200.54378433637 * CHOOSE(CONTROL!$C$9, $C$13, 100%, $E$13) + CHOOSE(CONTROL!$C$28, 0.0021, 0)</f>
        <v>200.54588433637002</v>
      </c>
    </row>
    <row r="410" spans="1:5" ht="15">
      <c r="A410" s="13">
        <v>53996</v>
      </c>
      <c r="B410" s="4">
        <f>29.7716 * CHOOSE(CONTROL!$C$9, $C$13, 100%, $E$13) + CHOOSE(CONTROL!$C$28, 0.0211, 0)</f>
        <v>29.7927</v>
      </c>
      <c r="C410" s="4">
        <f>29.4083 * CHOOSE(CONTROL!$C$9, $C$13, 100%, $E$13) + CHOOSE(CONTROL!$C$28, 0.0211, 0)</f>
        <v>29.429400000000001</v>
      </c>
      <c r="D410" s="4">
        <f>42.3408 * CHOOSE(CONTROL!$C$9, $C$13, 100%, $E$13) + CHOOSE(CONTROL!$C$28, 0.0021, 0)</f>
        <v>42.3429</v>
      </c>
      <c r="E410" s="4">
        <f>193.880625158851 * CHOOSE(CONTROL!$C$9, $C$13, 100%, $E$13) + CHOOSE(CONTROL!$C$28, 0.0021, 0)</f>
        <v>193.882725158851</v>
      </c>
    </row>
    <row r="411" spans="1:5" ht="15">
      <c r="A411" s="13">
        <v>54026</v>
      </c>
      <c r="B411" s="4">
        <f>29.1298 * CHOOSE(CONTROL!$C$9, $C$13, 100%, $E$13) + CHOOSE(CONTROL!$C$28, 0.0211, 0)</f>
        <v>29.1509</v>
      </c>
      <c r="C411" s="4">
        <f>28.7665 * CHOOSE(CONTROL!$C$9, $C$13, 100%, $E$13) + CHOOSE(CONTROL!$C$28, 0.0211, 0)</f>
        <v>28.787600000000001</v>
      </c>
      <c r="D411" s="4">
        <f>42.1463 * CHOOSE(CONTROL!$C$9, $C$13, 100%, $E$13) + CHOOSE(CONTROL!$C$28, 0.0021, 0)</f>
        <v>42.148399999999995</v>
      </c>
      <c r="E411" s="4">
        <f>189.589053074954 * CHOOSE(CONTROL!$C$9, $C$13, 100%, $E$13) + CHOOSE(CONTROL!$C$28, 0.0021, 0)</f>
        <v>189.59115307495401</v>
      </c>
    </row>
    <row r="412" spans="1:5" ht="15">
      <c r="A412" s="13">
        <v>54057</v>
      </c>
      <c r="B412" s="4">
        <f>28.6857 * CHOOSE(CONTROL!$C$9, $C$13, 100%, $E$13) + CHOOSE(CONTROL!$C$28, 0.0211, 0)</f>
        <v>28.706800000000001</v>
      </c>
      <c r="C412" s="4">
        <f>28.3224 * CHOOSE(CONTROL!$C$9, $C$13, 100%, $E$13) + CHOOSE(CONTROL!$C$28, 0.0211, 0)</f>
        <v>28.343499999999999</v>
      </c>
      <c r="D412" s="4">
        <f>40.7145 * CHOOSE(CONTROL!$C$9, $C$13, 100%, $E$13) + CHOOSE(CONTROL!$C$28, 0.0021, 0)</f>
        <v>40.7166</v>
      </c>
      <c r="E412" s="4">
        <f>186.619836850556 * CHOOSE(CONTROL!$C$9, $C$13, 100%, $E$13) + CHOOSE(CONTROL!$C$28, 0.0021, 0)</f>
        <v>186.62193685055601</v>
      </c>
    </row>
    <row r="413" spans="1:5" ht="15">
      <c r="A413" s="13">
        <v>54088</v>
      </c>
      <c r="B413" s="4">
        <f>27.4706 * CHOOSE(CONTROL!$C$9, $C$13, 100%, $E$13) + CHOOSE(CONTROL!$C$28, 0.0211, 0)</f>
        <v>27.491700000000002</v>
      </c>
      <c r="C413" s="4">
        <f>27.1073 * CHOOSE(CONTROL!$C$9, $C$13, 100%, $E$13) + CHOOSE(CONTROL!$C$28, 0.0211, 0)</f>
        <v>27.128399999999999</v>
      </c>
      <c r="D413" s="4">
        <f>39.1372 * CHOOSE(CONTROL!$C$9, $C$13, 100%, $E$13) + CHOOSE(CONTROL!$C$28, 0.0021, 0)</f>
        <v>39.139299999999999</v>
      </c>
      <c r="E413" s="4">
        <f>178.846362332796 * CHOOSE(CONTROL!$C$9, $C$13, 100%, $E$13) + CHOOSE(CONTROL!$C$28, 0.0021, 0)</f>
        <v>178.848462332796</v>
      </c>
    </row>
    <row r="414" spans="1:5" ht="15">
      <c r="A414" s="13">
        <v>54116</v>
      </c>
      <c r="B414" s="4">
        <f>28.1045 * CHOOSE(CONTROL!$C$9, $C$13, 100%, $E$13) + CHOOSE(CONTROL!$C$28, 0.0211, 0)</f>
        <v>28.125600000000002</v>
      </c>
      <c r="C414" s="4">
        <f>27.7412 * CHOOSE(CONTROL!$C$9, $C$13, 100%, $E$13) + CHOOSE(CONTROL!$C$28, 0.0211, 0)</f>
        <v>27.7623</v>
      </c>
      <c r="D414" s="4">
        <f>40.4532 * CHOOSE(CONTROL!$C$9, $C$13, 100%, $E$13) + CHOOSE(CONTROL!$C$28, 0.0021, 0)</f>
        <v>40.455300000000001</v>
      </c>
      <c r="E414" s="4">
        <f>183.092879791895 * CHOOSE(CONTROL!$C$9, $C$13, 100%, $E$13) + CHOOSE(CONTROL!$C$28, 0.0021, 0)</f>
        <v>183.09497979189501</v>
      </c>
    </row>
    <row r="415" spans="1:5" ht="15">
      <c r="A415" s="13">
        <v>54148</v>
      </c>
      <c r="B415" s="4">
        <f>29.7691 * CHOOSE(CONTROL!$C$9, $C$13, 100%, $E$13) + CHOOSE(CONTROL!$C$28, 0.0211, 0)</f>
        <v>29.790200000000002</v>
      </c>
      <c r="C415" s="4">
        <f>29.4059 * CHOOSE(CONTROL!$C$9, $C$13, 100%, $E$13) + CHOOSE(CONTROL!$C$28, 0.0211, 0)</f>
        <v>29.427</v>
      </c>
      <c r="D415" s="4">
        <f>42.5132 * CHOOSE(CONTROL!$C$9, $C$13, 100%, $E$13) + CHOOSE(CONTROL!$C$28, 0.0021, 0)</f>
        <v>42.515299999999996</v>
      </c>
      <c r="E415" s="4">
        <f>194.24446031313 * CHOOSE(CONTROL!$C$9, $C$13, 100%, $E$13) + CHOOSE(CONTROL!$C$28, 0.0021, 0)</f>
        <v>194.24656031313</v>
      </c>
    </row>
    <row r="416" spans="1:5" ht="15">
      <c r="A416" s="13">
        <v>54178</v>
      </c>
      <c r="B416" s="4">
        <f>30.9519 * CHOOSE(CONTROL!$C$9, $C$13, 100%, $E$13) + CHOOSE(CONTROL!$C$28, 0.0211, 0)</f>
        <v>30.972999999999999</v>
      </c>
      <c r="C416" s="4">
        <f>30.5886 * CHOOSE(CONTROL!$C$9, $C$13, 100%, $E$13) + CHOOSE(CONTROL!$C$28, 0.0211, 0)</f>
        <v>30.6097</v>
      </c>
      <c r="D416" s="4">
        <f>43.6999 * CHOOSE(CONTROL!$C$9, $C$13, 100%, $E$13) + CHOOSE(CONTROL!$C$28, 0.0021, 0)</f>
        <v>43.701999999999998</v>
      </c>
      <c r="E416" s="4">
        <f>202.167806887819 * CHOOSE(CONTROL!$C$9, $C$13, 100%, $E$13) + CHOOSE(CONTROL!$C$28, 0.0021, 0)</f>
        <v>202.16990688781902</v>
      </c>
    </row>
    <row r="417" spans="1:5" ht="15">
      <c r="A417" s="13">
        <v>54209</v>
      </c>
      <c r="B417" s="4">
        <f>31.6745 * CHOOSE(CONTROL!$C$9, $C$13, 100%, $E$13) + CHOOSE(CONTROL!$C$28, 0.0415, 0)</f>
        <v>31.715999999999998</v>
      </c>
      <c r="C417" s="4">
        <f>31.3113 * CHOOSE(CONTROL!$C$9, $C$13, 100%, $E$13) + CHOOSE(CONTROL!$C$28, 0.0415, 0)</f>
        <v>31.352799999999998</v>
      </c>
      <c r="D417" s="4">
        <f>43.231 * CHOOSE(CONTROL!$C$9, $C$13, 100%, $E$13) + CHOOSE(CONTROL!$C$28, 0.0021, 0)</f>
        <v>43.2331</v>
      </c>
      <c r="E417" s="4">
        <f>207.008781748839 * CHOOSE(CONTROL!$C$9, $C$13, 100%, $E$13) + CHOOSE(CONTROL!$C$28, 0.0021, 0)</f>
        <v>207.01088174883901</v>
      </c>
    </row>
    <row r="418" spans="1:5" ht="15">
      <c r="A418" s="13">
        <v>54239</v>
      </c>
      <c r="B418" s="4">
        <f>31.7723 * CHOOSE(CONTROL!$C$9, $C$13, 100%, $E$13) + CHOOSE(CONTROL!$C$28, 0.0415, 0)</f>
        <v>31.813800000000001</v>
      </c>
      <c r="C418" s="4">
        <f>31.409 * CHOOSE(CONTROL!$C$9, $C$13, 100%, $E$13) + CHOOSE(CONTROL!$C$28, 0.0415, 0)</f>
        <v>31.450499999999998</v>
      </c>
      <c r="D418" s="4">
        <f>43.6128 * CHOOSE(CONTROL!$C$9, $C$13, 100%, $E$13) + CHOOSE(CONTROL!$C$28, 0.0021, 0)</f>
        <v>43.614899999999999</v>
      </c>
      <c r="E418" s="4">
        <f>207.663785737993 * CHOOSE(CONTROL!$C$9, $C$13, 100%, $E$13) + CHOOSE(CONTROL!$C$28, 0.0021, 0)</f>
        <v>207.66588573799302</v>
      </c>
    </row>
    <row r="419" spans="1:5" ht="15">
      <c r="A419" s="13">
        <v>54270</v>
      </c>
      <c r="B419" s="4">
        <f>31.7625 * CHOOSE(CONTROL!$C$9, $C$13, 100%, $E$13) + CHOOSE(CONTROL!$C$28, 0.0415, 0)</f>
        <v>31.803999999999998</v>
      </c>
      <c r="C419" s="4">
        <f>31.3992 * CHOOSE(CONTROL!$C$9, $C$13, 100%, $E$13) + CHOOSE(CONTROL!$C$28, 0.0415, 0)</f>
        <v>31.4407</v>
      </c>
      <c r="D419" s="4">
        <f>44.3019 * CHOOSE(CONTROL!$C$9, $C$13, 100%, $E$13) + CHOOSE(CONTROL!$C$28, 0.0021, 0)</f>
        <v>44.304000000000002</v>
      </c>
      <c r="E419" s="4">
        <f>207.597734915557 * CHOOSE(CONTROL!$C$9, $C$13, 100%, $E$13) + CHOOSE(CONTROL!$C$28, 0.0021, 0)</f>
        <v>207.59983491555701</v>
      </c>
    </row>
    <row r="420" spans="1:5" ht="15">
      <c r="A420" s="13">
        <v>54301</v>
      </c>
      <c r="B420" s="4">
        <f>32.5044 * CHOOSE(CONTROL!$C$9, $C$13, 100%, $E$13) + CHOOSE(CONTROL!$C$28, 0.0415, 0)</f>
        <v>32.545899999999996</v>
      </c>
      <c r="C420" s="4">
        <f>32.1411 * CHOOSE(CONTROL!$C$9, $C$13, 100%, $E$13) + CHOOSE(CONTROL!$C$28, 0.0415, 0)</f>
        <v>32.182600000000001</v>
      </c>
      <c r="D420" s="4">
        <f>43.8468 * CHOOSE(CONTROL!$C$9, $C$13, 100%, $E$13) + CHOOSE(CONTROL!$C$28, 0.0021, 0)</f>
        <v>43.8489</v>
      </c>
      <c r="E420" s="4">
        <f>212.568059303848 * CHOOSE(CONTROL!$C$9, $C$13, 100%, $E$13) + CHOOSE(CONTROL!$C$28, 0.0021, 0)</f>
        <v>212.57015930384802</v>
      </c>
    </row>
    <row r="421" spans="1:5" ht="15">
      <c r="A421" s="13">
        <v>54331</v>
      </c>
      <c r="B421" s="4">
        <f>31.2399 * CHOOSE(CONTROL!$C$9, $C$13, 100%, $E$13) + CHOOSE(CONTROL!$C$28, 0.0415, 0)</f>
        <v>31.281399999999998</v>
      </c>
      <c r="C421" s="4">
        <f>30.8766 * CHOOSE(CONTROL!$C$9, $C$13, 100%, $E$13) + CHOOSE(CONTROL!$C$28, 0.0415, 0)</f>
        <v>30.918099999999999</v>
      </c>
      <c r="D421" s="4">
        <f>43.6318 * CHOOSE(CONTROL!$C$9, $C$13, 100%, $E$13) + CHOOSE(CONTROL!$C$28, 0.0021, 0)</f>
        <v>43.633899999999997</v>
      </c>
      <c r="E421" s="4">
        <f>204.097041326463 * CHOOSE(CONTROL!$C$9, $C$13, 100%, $E$13) + CHOOSE(CONTROL!$C$28, 0.0021, 0)</f>
        <v>204.09914132646301</v>
      </c>
    </row>
    <row r="422" spans="1:5" ht="15">
      <c r="A422" s="13">
        <v>54362</v>
      </c>
      <c r="B422" s="4">
        <f>30.2276 * CHOOSE(CONTROL!$C$9, $C$13, 100%, $E$13) + CHOOSE(CONTROL!$C$28, 0.0211, 0)</f>
        <v>30.248699999999999</v>
      </c>
      <c r="C422" s="4">
        <f>29.8643 * CHOOSE(CONTROL!$C$9, $C$13, 100%, $E$13) + CHOOSE(CONTROL!$C$28, 0.0211, 0)</f>
        <v>29.885400000000001</v>
      </c>
      <c r="D422" s="4">
        <f>43.0561 * CHOOSE(CONTROL!$C$9, $C$13, 100%, $E$13) + CHOOSE(CONTROL!$C$28, 0.0021, 0)</f>
        <v>43.058199999999999</v>
      </c>
      <c r="E422" s="4">
        <f>197.315823556393 * CHOOSE(CONTROL!$C$9, $C$13, 100%, $E$13) + CHOOSE(CONTROL!$C$28, 0.0021, 0)</f>
        <v>197.31792355639303</v>
      </c>
    </row>
    <row r="423" spans="1:5" ht="15">
      <c r="A423" s="13">
        <v>54392</v>
      </c>
      <c r="B423" s="4">
        <f>29.5757 * CHOOSE(CONTROL!$C$9, $C$13, 100%, $E$13) + CHOOSE(CONTROL!$C$28, 0.0211, 0)</f>
        <v>29.596800000000002</v>
      </c>
      <c r="C423" s="4">
        <f>29.2124 * CHOOSE(CONTROL!$C$9, $C$13, 100%, $E$13) + CHOOSE(CONTROL!$C$28, 0.0211, 0)</f>
        <v>29.233499999999999</v>
      </c>
      <c r="D423" s="4">
        <f>42.8582 * CHOOSE(CONTROL!$C$9, $C$13, 100%, $E$13) + CHOOSE(CONTROL!$C$28, 0.0021, 0)</f>
        <v>42.860299999999995</v>
      </c>
      <c r="E423" s="4">
        <f>192.948212922829 * CHOOSE(CONTROL!$C$9, $C$13, 100%, $E$13) + CHOOSE(CONTROL!$C$28, 0.0021, 0)</f>
        <v>192.950312922829</v>
      </c>
    </row>
    <row r="424" spans="1:5" ht="15">
      <c r="A424" s="13">
        <v>54423</v>
      </c>
      <c r="B424" s="4">
        <f>29.1246 * CHOOSE(CONTROL!$C$9, $C$13, 100%, $E$13) + CHOOSE(CONTROL!$C$28, 0.0211, 0)</f>
        <v>29.145700000000001</v>
      </c>
      <c r="C424" s="4">
        <f>28.7613 * CHOOSE(CONTROL!$C$9, $C$13, 100%, $E$13) + CHOOSE(CONTROL!$C$28, 0.0211, 0)</f>
        <v>28.782399999999999</v>
      </c>
      <c r="D424" s="4">
        <f>41.4011 * CHOOSE(CONTROL!$C$9, $C$13, 100%, $E$13) + CHOOSE(CONTROL!$C$28, 0.0021, 0)</f>
        <v>41.403199999999998</v>
      </c>
      <c r="E424" s="4">
        <f>189.926387796393 * CHOOSE(CONTROL!$C$9, $C$13, 100%, $E$13) + CHOOSE(CONTROL!$C$28, 0.0021, 0)</f>
        <v>189.928487796393</v>
      </c>
    </row>
    <row r="425" spans="1:5" ht="15">
      <c r="A425" s="13">
        <v>54454</v>
      </c>
      <c r="B425" s="4">
        <f>27.8904 * CHOOSE(CONTROL!$C$9, $C$13, 100%, $E$13) + CHOOSE(CONTROL!$C$28, 0.0211, 0)</f>
        <v>27.9115</v>
      </c>
      <c r="C425" s="4">
        <f>27.5271 * CHOOSE(CONTROL!$C$9, $C$13, 100%, $E$13) + CHOOSE(CONTROL!$C$28, 0.0211, 0)</f>
        <v>27.548200000000001</v>
      </c>
      <c r="D425" s="4">
        <f>39.796 * CHOOSE(CONTROL!$C$9, $C$13, 100%, $E$13) + CHOOSE(CONTROL!$C$28, 0.0021, 0)</f>
        <v>39.798099999999998</v>
      </c>
      <c r="E425" s="4">
        <f>182.015181995867 * CHOOSE(CONTROL!$C$9, $C$13, 100%, $E$13) + CHOOSE(CONTROL!$C$28, 0.0021, 0)</f>
        <v>182.01728199586702</v>
      </c>
    </row>
    <row r="426" spans="1:5" ht="15">
      <c r="A426" s="13">
        <v>54482</v>
      </c>
      <c r="B426" s="4">
        <f>28.5343 * CHOOSE(CONTROL!$C$9, $C$13, 100%, $E$13) + CHOOSE(CONTROL!$C$28, 0.0211, 0)</f>
        <v>28.555400000000002</v>
      </c>
      <c r="C426" s="4">
        <f>28.171 * CHOOSE(CONTROL!$C$9, $C$13, 100%, $E$13) + CHOOSE(CONTROL!$C$28, 0.0211, 0)</f>
        <v>28.1921</v>
      </c>
      <c r="D426" s="4">
        <f>41.1352 * CHOOSE(CONTROL!$C$9, $C$13, 100%, $E$13) + CHOOSE(CONTROL!$C$28, 0.0021, 0)</f>
        <v>41.137299999999996</v>
      </c>
      <c r="E426" s="4">
        <f>186.336939721798 * CHOOSE(CONTROL!$C$9, $C$13, 100%, $E$13) + CHOOSE(CONTROL!$C$28, 0.0021, 0)</f>
        <v>186.339039721798</v>
      </c>
    </row>
    <row r="427" spans="1:5" ht="15">
      <c r="A427" s="13">
        <v>54513</v>
      </c>
      <c r="B427" s="4">
        <f>30.2251 * CHOOSE(CONTROL!$C$9, $C$13, 100%, $E$13) + CHOOSE(CONTROL!$C$28, 0.0211, 0)</f>
        <v>30.246200000000002</v>
      </c>
      <c r="C427" s="4">
        <f>29.8618 * CHOOSE(CONTROL!$C$9, $C$13, 100%, $E$13) + CHOOSE(CONTROL!$C$28, 0.0211, 0)</f>
        <v>29.882899999999999</v>
      </c>
      <c r="D427" s="4">
        <f>43.2316 * CHOOSE(CONTROL!$C$9, $C$13, 100%, $E$13) + CHOOSE(CONTROL!$C$28, 0.0021, 0)</f>
        <v>43.233699999999999</v>
      </c>
      <c r="E427" s="4">
        <f>197.686105182247 * CHOOSE(CONTROL!$C$9, $C$13, 100%, $E$13) + CHOOSE(CONTROL!$C$28, 0.0021, 0)</f>
        <v>197.688205182247</v>
      </c>
    </row>
    <row r="428" spans="1:5" ht="15">
      <c r="A428" s="13">
        <v>54543</v>
      </c>
      <c r="B428" s="4">
        <f>31.4265 * CHOOSE(CONTROL!$C$9, $C$13, 100%, $E$13) + CHOOSE(CONTROL!$C$28, 0.0211, 0)</f>
        <v>31.447600000000001</v>
      </c>
      <c r="C428" s="4">
        <f>31.0632 * CHOOSE(CONTROL!$C$9, $C$13, 100%, $E$13) + CHOOSE(CONTROL!$C$28, 0.0211, 0)</f>
        <v>31.084299999999999</v>
      </c>
      <c r="D428" s="4">
        <f>44.4392 * CHOOSE(CONTROL!$C$9, $C$13, 100%, $E$13) + CHOOSE(CONTROL!$C$28, 0.0021, 0)</f>
        <v>44.441299999999998</v>
      </c>
      <c r="E428" s="4">
        <f>205.749838489412 * CHOOSE(CONTROL!$C$9, $C$13, 100%, $E$13) + CHOOSE(CONTROL!$C$28, 0.0021, 0)</f>
        <v>205.75193848941203</v>
      </c>
    </row>
    <row r="429" spans="1:5" ht="15">
      <c r="A429" s="13">
        <v>54574</v>
      </c>
      <c r="B429" s="4">
        <f>32.1605 * CHOOSE(CONTROL!$C$9, $C$13, 100%, $E$13) + CHOOSE(CONTROL!$C$28, 0.0415, 0)</f>
        <v>32.201999999999998</v>
      </c>
      <c r="C429" s="4">
        <f>31.7972 * CHOOSE(CONTROL!$C$9, $C$13, 100%, $E$13) + CHOOSE(CONTROL!$C$28, 0.0415, 0)</f>
        <v>31.838699999999999</v>
      </c>
      <c r="D429" s="4">
        <f>43.962 * CHOOSE(CONTROL!$C$9, $C$13, 100%, $E$13) + CHOOSE(CONTROL!$C$28, 0.0021, 0)</f>
        <v>43.964100000000002</v>
      </c>
      <c r="E429" s="4">
        <f>210.676586279374 * CHOOSE(CONTROL!$C$9, $C$13, 100%, $E$13) + CHOOSE(CONTROL!$C$28, 0.0021, 0)</f>
        <v>210.67868627937401</v>
      </c>
    </row>
    <row r="430" spans="1:5" ht="15">
      <c r="A430" s="13">
        <v>54604</v>
      </c>
      <c r="B430" s="4">
        <f>32.2598 * CHOOSE(CONTROL!$C$9, $C$13, 100%, $E$13) + CHOOSE(CONTROL!$C$28, 0.0415, 0)</f>
        <v>32.301299999999998</v>
      </c>
      <c r="C430" s="4">
        <f>31.8965 * CHOOSE(CONTROL!$C$9, $C$13, 100%, $E$13) + CHOOSE(CONTROL!$C$28, 0.0415, 0)</f>
        <v>31.937999999999999</v>
      </c>
      <c r="D430" s="4">
        <f>44.3507 * CHOOSE(CONTROL!$C$9, $C$13, 100%, $E$13) + CHOOSE(CONTROL!$C$28, 0.0021, 0)</f>
        <v>44.352800000000002</v>
      </c>
      <c r="E430" s="4">
        <f>211.34319570178 * CHOOSE(CONTROL!$C$9, $C$13, 100%, $E$13) + CHOOSE(CONTROL!$C$28, 0.0021, 0)</f>
        <v>211.34529570178</v>
      </c>
    </row>
    <row r="431" spans="1:5" ht="15">
      <c r="A431" s="13">
        <v>54635</v>
      </c>
      <c r="B431" s="4">
        <f>32.2498 * CHOOSE(CONTROL!$C$9, $C$13, 100%, $E$13) + CHOOSE(CONTROL!$C$28, 0.0415, 0)</f>
        <v>32.2913</v>
      </c>
      <c r="C431" s="4">
        <f>31.8865 * CHOOSE(CONTROL!$C$9, $C$13, 100%, $E$13) + CHOOSE(CONTROL!$C$28, 0.0415, 0)</f>
        <v>31.928000000000001</v>
      </c>
      <c r="D431" s="4">
        <f>45.0519 * CHOOSE(CONTROL!$C$9, $C$13, 100%, $E$13) + CHOOSE(CONTROL!$C$28, 0.0021, 0)</f>
        <v>45.054000000000002</v>
      </c>
      <c r="E431" s="4">
        <f>211.275974583554 * CHOOSE(CONTROL!$C$9, $C$13, 100%, $E$13) + CHOOSE(CONTROL!$C$28, 0.0021, 0)</f>
        <v>211.278074583554</v>
      </c>
    </row>
    <row r="432" spans="1:5" ht="15">
      <c r="A432" s="13">
        <v>54666</v>
      </c>
      <c r="B432" s="4">
        <f>33.0034 * CHOOSE(CONTROL!$C$9, $C$13, 100%, $E$13) + CHOOSE(CONTROL!$C$28, 0.0415, 0)</f>
        <v>33.044899999999998</v>
      </c>
      <c r="C432" s="4">
        <f>32.6401 * CHOOSE(CONTROL!$C$9, $C$13, 100%, $E$13) + CHOOSE(CONTROL!$C$28, 0.0415, 0)</f>
        <v>32.681599999999996</v>
      </c>
      <c r="D432" s="4">
        <f>44.5888 * CHOOSE(CONTROL!$C$9, $C$13, 100%, $E$13) + CHOOSE(CONTROL!$C$28, 0.0021, 0)</f>
        <v>44.590899999999998</v>
      </c>
      <c r="E432" s="4">
        <f>216.334363730042 * CHOOSE(CONTROL!$C$9, $C$13, 100%, $E$13) + CHOOSE(CONTROL!$C$28, 0.0021, 0)</f>
        <v>216.33646373004203</v>
      </c>
    </row>
    <row r="433" spans="1:5" ht="15">
      <c r="A433" s="13">
        <v>54696</v>
      </c>
      <c r="B433" s="4">
        <f>31.719 * CHOOSE(CONTROL!$C$9, $C$13, 100%, $E$13) + CHOOSE(CONTROL!$C$28, 0.0415, 0)</f>
        <v>31.7605</v>
      </c>
      <c r="C433" s="4">
        <f>31.3557 * CHOOSE(CONTROL!$C$9, $C$13, 100%, $E$13) + CHOOSE(CONTROL!$C$28, 0.0415, 0)</f>
        <v>31.397199999999998</v>
      </c>
      <c r="D433" s="4">
        <f>44.37 * CHOOSE(CONTROL!$C$9, $C$13, 100%, $E$13) + CHOOSE(CONTROL!$C$28, 0.0021, 0)</f>
        <v>44.372099999999996</v>
      </c>
      <c r="E433" s="4">
        <f>207.713255317589 * CHOOSE(CONTROL!$C$9, $C$13, 100%, $E$13) + CHOOSE(CONTROL!$C$28, 0.0021, 0)</f>
        <v>207.715355317589</v>
      </c>
    </row>
    <row r="434" spans="1:5" ht="15">
      <c r="A434" s="13">
        <v>54727</v>
      </c>
      <c r="B434" s="4">
        <f>30.6908 * CHOOSE(CONTROL!$C$9, $C$13, 100%, $E$13) + CHOOSE(CONTROL!$C$28, 0.0211, 0)</f>
        <v>30.7119</v>
      </c>
      <c r="C434" s="4">
        <f>30.3275 * CHOOSE(CONTROL!$C$9, $C$13, 100%, $E$13) + CHOOSE(CONTROL!$C$28, 0.0211, 0)</f>
        <v>30.348600000000001</v>
      </c>
      <c r="D434" s="4">
        <f>43.7842 * CHOOSE(CONTROL!$C$9, $C$13, 100%, $E$13) + CHOOSE(CONTROL!$C$28, 0.0021, 0)</f>
        <v>43.786299999999997</v>
      </c>
      <c r="E434" s="4">
        <f>200.811887179744 * CHOOSE(CONTROL!$C$9, $C$13, 100%, $E$13) + CHOOSE(CONTROL!$C$28, 0.0021, 0)</f>
        <v>200.813987179744</v>
      </c>
    </row>
    <row r="435" spans="1:5" ht="15">
      <c r="A435" s="13">
        <v>54757</v>
      </c>
      <c r="B435" s="4">
        <f>30.0286 * CHOOSE(CONTROL!$C$9, $C$13, 100%, $E$13) + CHOOSE(CONTROL!$C$28, 0.0211, 0)</f>
        <v>30.049700000000001</v>
      </c>
      <c r="C435" s="4">
        <f>29.6653 * CHOOSE(CONTROL!$C$9, $C$13, 100%, $E$13) + CHOOSE(CONTROL!$C$28, 0.0211, 0)</f>
        <v>29.686399999999999</v>
      </c>
      <c r="D435" s="4">
        <f>43.5827 * CHOOSE(CONTROL!$C$9, $C$13, 100%, $E$13) + CHOOSE(CONTROL!$C$28, 0.0021, 0)</f>
        <v>43.584800000000001</v>
      </c>
      <c r="E435" s="4">
        <f>196.366890737066 * CHOOSE(CONTROL!$C$9, $C$13, 100%, $E$13) + CHOOSE(CONTROL!$C$28, 0.0021, 0)</f>
        <v>196.36899073706601</v>
      </c>
    </row>
    <row r="436" spans="1:5" ht="15">
      <c r="A436" s="13">
        <v>54788</v>
      </c>
      <c r="B436" s="4">
        <f>29.5704 * CHOOSE(CONTROL!$C$9, $C$13, 100%, $E$13) + CHOOSE(CONTROL!$C$28, 0.0211, 0)</f>
        <v>29.5915</v>
      </c>
      <c r="C436" s="4">
        <f>29.2071 * CHOOSE(CONTROL!$C$9, $C$13, 100%, $E$13) + CHOOSE(CONTROL!$C$28, 0.0211, 0)</f>
        <v>29.228200000000001</v>
      </c>
      <c r="D436" s="4">
        <f>42.0999 * CHOOSE(CONTROL!$C$9, $C$13, 100%, $E$13) + CHOOSE(CONTROL!$C$28, 0.0021, 0)</f>
        <v>42.101999999999997</v>
      </c>
      <c r="E436" s="4">
        <f>193.291524578238 * CHOOSE(CONTROL!$C$9, $C$13, 100%, $E$13) + CHOOSE(CONTROL!$C$28, 0.0021, 0)</f>
        <v>193.29362457823802</v>
      </c>
    </row>
    <row r="437" spans="1:5" ht="15">
      <c r="A437" s="13">
        <v>54819</v>
      </c>
      <c r="B437" s="4">
        <f>28.3168 * CHOOSE(CONTROL!$C$9, $C$13, 100%, $E$13) + CHOOSE(CONTROL!$C$28, 0.0211, 0)</f>
        <v>28.337900000000001</v>
      </c>
      <c r="C437" s="4">
        <f>27.9536 * CHOOSE(CONTROL!$C$9, $C$13, 100%, $E$13) + CHOOSE(CONTROL!$C$28, 0.0211, 0)</f>
        <v>27.974700000000002</v>
      </c>
      <c r="D437" s="4">
        <f>40.4664 * CHOOSE(CONTROL!$C$9, $C$13, 100%, $E$13) + CHOOSE(CONTROL!$C$28, 0.0021, 0)</f>
        <v>40.468499999999999</v>
      </c>
      <c r="E437" s="4">
        <f>185.240147156817 * CHOOSE(CONTROL!$C$9, $C$13, 100%, $E$13) + CHOOSE(CONTROL!$C$28, 0.0021, 0)</f>
        <v>185.242247156817</v>
      </c>
    </row>
    <row r="438" spans="1:5" ht="15">
      <c r="A438" s="13">
        <v>54847</v>
      </c>
      <c r="B438" s="4">
        <f>28.9708 * CHOOSE(CONTROL!$C$9, $C$13, 100%, $E$13) + CHOOSE(CONTROL!$C$28, 0.0211, 0)</f>
        <v>28.991900000000001</v>
      </c>
      <c r="C438" s="4">
        <f>28.6075 * CHOOSE(CONTROL!$C$9, $C$13, 100%, $E$13) + CHOOSE(CONTROL!$C$28, 0.0211, 0)</f>
        <v>28.628600000000002</v>
      </c>
      <c r="D438" s="4">
        <f>41.8293 * CHOOSE(CONTROL!$C$9, $C$13, 100%, $E$13) + CHOOSE(CONTROL!$C$28, 0.0021, 0)</f>
        <v>41.831400000000002</v>
      </c>
      <c r="E438" s="4">
        <f>189.638478264965 * CHOOSE(CONTROL!$C$9, $C$13, 100%, $E$13) + CHOOSE(CONTROL!$C$28, 0.0021, 0)</f>
        <v>189.640578264965</v>
      </c>
    </row>
    <row r="439" spans="1:5" ht="15">
      <c r="A439" s="13">
        <v>54878</v>
      </c>
      <c r="B439" s="4">
        <f>30.6882 * CHOOSE(CONTROL!$C$9, $C$13, 100%, $E$13) + CHOOSE(CONTROL!$C$28, 0.0211, 0)</f>
        <v>30.709299999999999</v>
      </c>
      <c r="C439" s="4">
        <f>30.3249 * CHOOSE(CONTROL!$C$9, $C$13, 100%, $E$13) + CHOOSE(CONTROL!$C$28, 0.0211, 0)</f>
        <v>30.346</v>
      </c>
      <c r="D439" s="4">
        <f>43.9627 * CHOOSE(CONTROL!$C$9, $C$13, 100%, $E$13) + CHOOSE(CONTROL!$C$28, 0.0021, 0)</f>
        <v>43.964799999999997</v>
      </c>
      <c r="E439" s="4">
        <f>201.188729496471 * CHOOSE(CONTROL!$C$9, $C$13, 100%, $E$13) + CHOOSE(CONTROL!$C$28, 0.0021, 0)</f>
        <v>201.19082949647103</v>
      </c>
    </row>
    <row r="440" spans="1:5" ht="15">
      <c r="A440" s="13">
        <v>54908</v>
      </c>
      <c r="B440" s="4">
        <f>31.9085 * CHOOSE(CONTROL!$C$9, $C$13, 100%, $E$13) + CHOOSE(CONTROL!$C$28, 0.0211, 0)</f>
        <v>31.929600000000001</v>
      </c>
      <c r="C440" s="4">
        <f>31.5452 * CHOOSE(CONTROL!$C$9, $C$13, 100%, $E$13) + CHOOSE(CONTROL!$C$28, 0.0211, 0)</f>
        <v>31.566300000000002</v>
      </c>
      <c r="D440" s="4">
        <f>45.1917 * CHOOSE(CONTROL!$C$9, $C$13, 100%, $E$13) + CHOOSE(CONTROL!$C$28, 0.0021, 0)</f>
        <v>45.193799999999996</v>
      </c>
      <c r="E440" s="4">
        <f>209.395336923792 * CHOOSE(CONTROL!$C$9, $C$13, 100%, $E$13) + CHOOSE(CONTROL!$C$28, 0.0021, 0)</f>
        <v>209.39743692379201</v>
      </c>
    </row>
    <row r="441" spans="1:5" ht="15">
      <c r="A441" s="13">
        <v>54939</v>
      </c>
      <c r="B441" s="4">
        <f>32.654 * CHOOSE(CONTROL!$C$9, $C$13, 100%, $E$13) + CHOOSE(CONTROL!$C$28, 0.0415, 0)</f>
        <v>32.695500000000003</v>
      </c>
      <c r="C441" s="4">
        <f>32.2907 * CHOOSE(CONTROL!$C$9, $C$13, 100%, $E$13) + CHOOSE(CONTROL!$C$28, 0.0415, 0)</f>
        <v>32.3322</v>
      </c>
      <c r="D441" s="4">
        <f>44.7061 * CHOOSE(CONTROL!$C$9, $C$13, 100%, $E$13) + CHOOSE(CONTROL!$C$28, 0.0021, 0)</f>
        <v>44.708199999999998</v>
      </c>
      <c r="E441" s="4">
        <f>214.409377376956 * CHOOSE(CONTROL!$C$9, $C$13, 100%, $E$13) + CHOOSE(CONTROL!$C$28, 0.0021, 0)</f>
        <v>214.41147737695601</v>
      </c>
    </row>
    <row r="442" spans="1:5" ht="15">
      <c r="A442" s="13">
        <v>54969</v>
      </c>
      <c r="B442" s="4">
        <f>32.7549 * CHOOSE(CONTROL!$C$9, $C$13, 100%, $E$13) + CHOOSE(CONTROL!$C$28, 0.0415, 0)</f>
        <v>32.796399999999998</v>
      </c>
      <c r="C442" s="4">
        <f>32.3916 * CHOOSE(CONTROL!$C$9, $C$13, 100%, $E$13) + CHOOSE(CONTROL!$C$28, 0.0415, 0)</f>
        <v>32.433099999999996</v>
      </c>
      <c r="D442" s="4">
        <f>45.1016 * CHOOSE(CONTROL!$C$9, $C$13, 100%, $E$13) + CHOOSE(CONTROL!$C$28, 0.0021, 0)</f>
        <v>45.103699999999996</v>
      </c>
      <c r="E442" s="4">
        <f>215.087797858964 * CHOOSE(CONTROL!$C$9, $C$13, 100%, $E$13) + CHOOSE(CONTROL!$C$28, 0.0021, 0)</f>
        <v>215.08989785896401</v>
      </c>
    </row>
    <row r="443" spans="1:5" ht="15">
      <c r="A443" s="13">
        <v>55000</v>
      </c>
      <c r="B443" s="4">
        <f>32.7447 * CHOOSE(CONTROL!$C$9, $C$13, 100%, $E$13) + CHOOSE(CONTROL!$C$28, 0.0415, 0)</f>
        <v>32.786200000000001</v>
      </c>
      <c r="C443" s="4">
        <f>32.3814 * CHOOSE(CONTROL!$C$9, $C$13, 100%, $E$13) + CHOOSE(CONTROL!$C$28, 0.0415, 0)</f>
        <v>32.422899999999998</v>
      </c>
      <c r="D443" s="4">
        <f>45.8152 * CHOOSE(CONTROL!$C$9, $C$13, 100%, $E$13) + CHOOSE(CONTROL!$C$28, 0.0021, 0)</f>
        <v>45.817299999999996</v>
      </c>
      <c r="E443" s="4">
        <f>215.019385709518 * CHOOSE(CONTROL!$C$9, $C$13, 100%, $E$13) + CHOOSE(CONTROL!$C$28, 0.0021, 0)</f>
        <v>215.021485709518</v>
      </c>
    </row>
    <row r="444" spans="1:5" ht="15">
      <c r="A444" s="13">
        <v>55031</v>
      </c>
      <c r="B444" s="4">
        <f>33.5102 * CHOOSE(CONTROL!$C$9, $C$13, 100%, $E$13) + CHOOSE(CONTROL!$C$28, 0.0415, 0)</f>
        <v>33.551699999999997</v>
      </c>
      <c r="C444" s="4">
        <f>33.1469 * CHOOSE(CONTROL!$C$9, $C$13, 100%, $E$13) + CHOOSE(CONTROL!$C$28, 0.0415, 0)</f>
        <v>33.188400000000001</v>
      </c>
      <c r="D444" s="4">
        <f>45.3439 * CHOOSE(CONTROL!$C$9, $C$13, 100%, $E$13) + CHOOSE(CONTROL!$C$28, 0.0021, 0)</f>
        <v>45.345999999999997</v>
      </c>
      <c r="E444" s="4">
        <f>220.167399955347 * CHOOSE(CONTROL!$C$9, $C$13, 100%, $E$13) + CHOOSE(CONTROL!$C$28, 0.0021, 0)</f>
        <v>220.16949995534702</v>
      </c>
    </row>
    <row r="445" spans="1:5" ht="15">
      <c r="A445" s="13">
        <v>55061</v>
      </c>
      <c r="B445" s="4">
        <f>32.2056 * CHOOSE(CONTROL!$C$9, $C$13, 100%, $E$13) + CHOOSE(CONTROL!$C$28, 0.0415, 0)</f>
        <v>32.247099999999996</v>
      </c>
      <c r="C445" s="4">
        <f>31.8423 * CHOOSE(CONTROL!$C$9, $C$13, 100%, $E$13) + CHOOSE(CONTROL!$C$28, 0.0415, 0)</f>
        <v>31.883800000000001</v>
      </c>
      <c r="D445" s="4">
        <f>45.1212 * CHOOSE(CONTROL!$C$9, $C$13, 100%, $E$13) + CHOOSE(CONTROL!$C$28, 0.0021, 0)</f>
        <v>45.1233</v>
      </c>
      <c r="E445" s="4">
        <f>211.393541788868 * CHOOSE(CONTROL!$C$9, $C$13, 100%, $E$13) + CHOOSE(CONTROL!$C$28, 0.0021, 0)</f>
        <v>211.39564178886801</v>
      </c>
    </row>
    <row r="446" spans="1:5" ht="15">
      <c r="A446" s="13">
        <v>55092</v>
      </c>
      <c r="B446" s="4">
        <f>31.1612 * CHOOSE(CONTROL!$C$9, $C$13, 100%, $E$13) + CHOOSE(CONTROL!$C$28, 0.0211, 0)</f>
        <v>31.182300000000001</v>
      </c>
      <c r="C446" s="4">
        <f>30.798 * CHOOSE(CONTROL!$C$9, $C$13, 100%, $E$13) + CHOOSE(CONTROL!$C$28, 0.0211, 0)</f>
        <v>30.819099999999999</v>
      </c>
      <c r="D446" s="4">
        <f>44.525 * CHOOSE(CONTROL!$C$9, $C$13, 100%, $E$13) + CHOOSE(CONTROL!$C$28, 0.0021, 0)</f>
        <v>44.527099999999997</v>
      </c>
      <c r="E446" s="4">
        <f>204.369894445721 * CHOOSE(CONTROL!$C$9, $C$13, 100%, $E$13) + CHOOSE(CONTROL!$C$28, 0.0021, 0)</f>
        <v>204.37199444572101</v>
      </c>
    </row>
    <row r="447" spans="1:5" ht="15">
      <c r="A447" s="13">
        <v>55122</v>
      </c>
      <c r="B447" s="4">
        <f>30.4886 * CHOOSE(CONTROL!$C$9, $C$13, 100%, $E$13) + CHOOSE(CONTROL!$C$28, 0.0211, 0)</f>
        <v>30.509700000000002</v>
      </c>
      <c r="C447" s="4">
        <f>30.1253 * CHOOSE(CONTROL!$C$9, $C$13, 100%, $E$13) + CHOOSE(CONTROL!$C$28, 0.0211, 0)</f>
        <v>30.1464</v>
      </c>
      <c r="D447" s="4">
        <f>44.3201 * CHOOSE(CONTROL!$C$9, $C$13, 100%, $E$13) + CHOOSE(CONTROL!$C$28, 0.0021, 0)</f>
        <v>44.322199999999995</v>
      </c>
      <c r="E447" s="4">
        <f>199.846141063588 * CHOOSE(CONTROL!$C$9, $C$13, 100%, $E$13) + CHOOSE(CONTROL!$C$28, 0.0021, 0)</f>
        <v>199.84824106358801</v>
      </c>
    </row>
    <row r="448" spans="1:5" ht="15">
      <c r="A448" s="13">
        <v>55153</v>
      </c>
      <c r="B448" s="4">
        <f>30.0232 * CHOOSE(CONTROL!$C$9, $C$13, 100%, $E$13) + CHOOSE(CONTROL!$C$28, 0.0211, 0)</f>
        <v>30.0443</v>
      </c>
      <c r="C448" s="4">
        <f>29.6599 * CHOOSE(CONTROL!$C$9, $C$13, 100%, $E$13) + CHOOSE(CONTROL!$C$28, 0.0211, 0)</f>
        <v>29.681000000000001</v>
      </c>
      <c r="D448" s="4">
        <f>42.811 * CHOOSE(CONTROL!$C$9, $C$13, 100%, $E$13) + CHOOSE(CONTROL!$C$28, 0.0021, 0)</f>
        <v>42.813099999999999</v>
      </c>
      <c r="E448" s="4">
        <f>196.716285226423 * CHOOSE(CONTROL!$C$9, $C$13, 100%, $E$13) + CHOOSE(CONTROL!$C$28, 0.0021, 0)</f>
        <v>196.71838522642301</v>
      </c>
    </row>
    <row r="449" spans="1:5" ht="15">
      <c r="A449" s="13">
        <v>55184</v>
      </c>
      <c r="B449" s="4">
        <f>28.7499 * CHOOSE(CONTROL!$C$9, $C$13, 100%, $E$13) + CHOOSE(CONTROL!$C$28, 0.0211, 0)</f>
        <v>28.771000000000001</v>
      </c>
      <c r="C449" s="4">
        <f>28.3867 * CHOOSE(CONTROL!$C$9, $C$13, 100%, $E$13) + CHOOSE(CONTROL!$C$28, 0.0211, 0)</f>
        <v>28.407800000000002</v>
      </c>
      <c r="D449" s="4">
        <f>41.1487 * CHOOSE(CONTROL!$C$9, $C$13, 100%, $E$13) + CHOOSE(CONTROL!$C$28, 0.0021, 0)</f>
        <v>41.150799999999997</v>
      </c>
      <c r="E449" s="4">
        <f>188.522252607798 * CHOOSE(CONTROL!$C$9, $C$13, 100%, $E$13) + CHOOSE(CONTROL!$C$28, 0.0021, 0)</f>
        <v>188.52435260779802</v>
      </c>
    </row>
    <row r="450" spans="1:5" ht="15">
      <c r="A450" s="13">
        <v>55212</v>
      </c>
      <c r="B450" s="4">
        <f>29.4142 * CHOOSE(CONTROL!$C$9, $C$13, 100%, $E$13) + CHOOSE(CONTROL!$C$28, 0.0211, 0)</f>
        <v>29.435300000000002</v>
      </c>
      <c r="C450" s="4">
        <f>29.0509 * CHOOSE(CONTROL!$C$9, $C$13, 100%, $E$13) + CHOOSE(CONTROL!$C$28, 0.0211, 0)</f>
        <v>29.071999999999999</v>
      </c>
      <c r="D450" s="4">
        <f>42.5356 * CHOOSE(CONTROL!$C$9, $C$13, 100%, $E$13) + CHOOSE(CONTROL!$C$28, 0.0021, 0)</f>
        <v>42.537700000000001</v>
      </c>
      <c r="E450" s="4">
        <f>192.998513833833 * CHOOSE(CONTROL!$C$9, $C$13, 100%, $E$13) + CHOOSE(CONTROL!$C$28, 0.0021, 0)</f>
        <v>193.000613833833</v>
      </c>
    </row>
    <row r="451" spans="1:5" ht="15">
      <c r="A451" s="13">
        <v>55243</v>
      </c>
      <c r="B451" s="4">
        <f>31.1586 * CHOOSE(CONTROL!$C$9, $C$13, 100%, $E$13) + CHOOSE(CONTROL!$C$28, 0.0211, 0)</f>
        <v>31.1797</v>
      </c>
      <c r="C451" s="4">
        <f>30.7954 * CHOOSE(CONTROL!$C$9, $C$13, 100%, $E$13) + CHOOSE(CONTROL!$C$28, 0.0211, 0)</f>
        <v>30.816500000000001</v>
      </c>
      <c r="D451" s="4">
        <f>44.7068 * CHOOSE(CONTROL!$C$9, $C$13, 100%, $E$13) + CHOOSE(CONTROL!$C$28, 0.0021, 0)</f>
        <v>44.7089</v>
      </c>
      <c r="E451" s="4">
        <f>204.753413696367 * CHOOSE(CONTROL!$C$9, $C$13, 100%, $E$13) + CHOOSE(CONTROL!$C$28, 0.0021, 0)</f>
        <v>204.75551369636702</v>
      </c>
    </row>
    <row r="452" spans="1:5" ht="15">
      <c r="A452" s="13">
        <v>55273</v>
      </c>
      <c r="B452" s="4">
        <f>32.3981 * CHOOSE(CONTROL!$C$9, $C$13, 100%, $E$13) + CHOOSE(CONTROL!$C$28, 0.0211, 0)</f>
        <v>32.419199999999996</v>
      </c>
      <c r="C452" s="4">
        <f>32.0348 * CHOOSE(CONTROL!$C$9, $C$13, 100%, $E$13) + CHOOSE(CONTROL!$C$28, 0.0211, 0)</f>
        <v>32.055899999999994</v>
      </c>
      <c r="D452" s="4">
        <f>45.9574 * CHOOSE(CONTROL!$C$9, $C$13, 100%, $E$13) + CHOOSE(CONTROL!$C$28, 0.0021, 0)</f>
        <v>45.959499999999998</v>
      </c>
      <c r="E452" s="4">
        <f>213.105426703335 * CHOOSE(CONTROL!$C$9, $C$13, 100%, $E$13) + CHOOSE(CONTROL!$C$28, 0.0021, 0)</f>
        <v>213.10752670333503</v>
      </c>
    </row>
    <row r="453" spans="1:5" ht="15">
      <c r="A453" s="13">
        <v>55304</v>
      </c>
      <c r="B453" s="4">
        <f>33.1553 * CHOOSE(CONTROL!$C$9, $C$13, 100%, $E$13) + CHOOSE(CONTROL!$C$28, 0.0415, 0)</f>
        <v>33.196799999999996</v>
      </c>
      <c r="C453" s="4">
        <f>32.792 * CHOOSE(CONTROL!$C$9, $C$13, 100%, $E$13) + CHOOSE(CONTROL!$C$28, 0.0415, 0)</f>
        <v>32.833500000000001</v>
      </c>
      <c r="D453" s="4">
        <f>45.4632 * CHOOSE(CONTROL!$C$9, $C$13, 100%, $E$13) + CHOOSE(CONTROL!$C$28, 0.0021, 0)</f>
        <v>45.465299999999999</v>
      </c>
      <c r="E453" s="4">
        <f>218.208306480778 * CHOOSE(CONTROL!$C$9, $C$13, 100%, $E$13) + CHOOSE(CONTROL!$C$28, 0.0021, 0)</f>
        <v>218.210406480778</v>
      </c>
    </row>
    <row r="454" spans="1:5" ht="15">
      <c r="A454" s="13">
        <v>55334</v>
      </c>
      <c r="B454" s="4">
        <f>33.2578 * CHOOSE(CONTROL!$C$9, $C$13, 100%, $E$13) + CHOOSE(CONTROL!$C$28, 0.0415, 0)</f>
        <v>33.299300000000002</v>
      </c>
      <c r="C454" s="4">
        <f>32.8945 * CHOOSE(CONTROL!$C$9, $C$13, 100%, $E$13) + CHOOSE(CONTROL!$C$28, 0.0415, 0)</f>
        <v>32.936</v>
      </c>
      <c r="D454" s="4">
        <f>45.8657 * CHOOSE(CONTROL!$C$9, $C$13, 100%, $E$13) + CHOOSE(CONTROL!$C$28, 0.0021, 0)</f>
        <v>45.867799999999995</v>
      </c>
      <c r="E454" s="4">
        <f>218.898747292052 * CHOOSE(CONTROL!$C$9, $C$13, 100%, $E$13) + CHOOSE(CONTROL!$C$28, 0.0021, 0)</f>
        <v>218.90084729205202</v>
      </c>
    </row>
    <row r="455" spans="1:5" ht="15">
      <c r="A455" s="13">
        <v>55365</v>
      </c>
      <c r="B455" s="4">
        <f>33.2475 * CHOOSE(CONTROL!$C$9, $C$13, 100%, $E$13) + CHOOSE(CONTROL!$C$28, 0.0415, 0)</f>
        <v>33.289000000000001</v>
      </c>
      <c r="C455" s="4">
        <f>32.8842 * CHOOSE(CONTROL!$C$9, $C$13, 100%, $E$13) + CHOOSE(CONTROL!$C$28, 0.0415, 0)</f>
        <v>32.925699999999999</v>
      </c>
      <c r="D455" s="4">
        <f>46.5919 * CHOOSE(CONTROL!$C$9, $C$13, 100%, $E$13) + CHOOSE(CONTROL!$C$28, 0.0021, 0)</f>
        <v>46.594000000000001</v>
      </c>
      <c r="E455" s="4">
        <f>218.829123008563 * CHOOSE(CONTROL!$C$9, $C$13, 100%, $E$13) + CHOOSE(CONTROL!$C$28, 0.0021, 0)</f>
        <v>218.831223008563</v>
      </c>
    </row>
    <row r="456" spans="1:5" ht="15">
      <c r="A456" s="13">
        <v>55396</v>
      </c>
      <c r="B456" s="4">
        <f>34.025 * CHOOSE(CONTROL!$C$9, $C$13, 100%, $E$13) + CHOOSE(CONTROL!$C$28, 0.0415, 0)</f>
        <v>34.066499999999998</v>
      </c>
      <c r="C456" s="4">
        <f>33.6617 * CHOOSE(CONTROL!$C$9, $C$13, 100%, $E$13) + CHOOSE(CONTROL!$C$28, 0.0415, 0)</f>
        <v>33.703200000000002</v>
      </c>
      <c r="D456" s="4">
        <f>46.1123 * CHOOSE(CONTROL!$C$9, $C$13, 100%, $E$13) + CHOOSE(CONTROL!$C$28, 0.0021, 0)</f>
        <v>46.114399999999996</v>
      </c>
      <c r="E456" s="4">
        <f>224.068350341173 * CHOOSE(CONTROL!$C$9, $C$13, 100%, $E$13) + CHOOSE(CONTROL!$C$28, 0.0021, 0)</f>
        <v>224.070450341173</v>
      </c>
    </row>
    <row r="457" spans="1:5" ht="15">
      <c r="A457" s="13">
        <v>55426</v>
      </c>
      <c r="B457" s="4">
        <f>32.6999 * CHOOSE(CONTROL!$C$9, $C$13, 100%, $E$13) + CHOOSE(CONTROL!$C$28, 0.0415, 0)</f>
        <v>32.741399999999999</v>
      </c>
      <c r="C457" s="4">
        <f>32.3366 * CHOOSE(CONTROL!$C$9, $C$13, 100%, $E$13) + CHOOSE(CONTROL!$C$28, 0.0415, 0)</f>
        <v>32.378099999999996</v>
      </c>
      <c r="D457" s="4">
        <f>45.8857 * CHOOSE(CONTROL!$C$9, $C$13, 100%, $E$13) + CHOOSE(CONTROL!$C$28, 0.0021, 0)</f>
        <v>45.887799999999999</v>
      </c>
      <c r="E457" s="4">
        <f>215.139035983601 * CHOOSE(CONTROL!$C$9, $C$13, 100%, $E$13) + CHOOSE(CONTROL!$C$28, 0.0021, 0)</f>
        <v>215.141135983601</v>
      </c>
    </row>
    <row r="458" spans="1:5" ht="15">
      <c r="A458" s="13">
        <v>55457</v>
      </c>
      <c r="B458" s="4">
        <f>31.6391 * CHOOSE(CONTROL!$C$9, $C$13, 100%, $E$13) + CHOOSE(CONTROL!$C$28, 0.0211, 0)</f>
        <v>31.6602</v>
      </c>
      <c r="C458" s="4">
        <f>31.2758 * CHOOSE(CONTROL!$C$9, $C$13, 100%, $E$13) + CHOOSE(CONTROL!$C$28, 0.0211, 0)</f>
        <v>31.296900000000001</v>
      </c>
      <c r="D458" s="4">
        <f>45.279 * CHOOSE(CONTROL!$C$9, $C$13, 100%, $E$13) + CHOOSE(CONTROL!$C$28, 0.0021, 0)</f>
        <v>45.281100000000002</v>
      </c>
      <c r="E458" s="4">
        <f>207.990942878644 * CHOOSE(CONTROL!$C$9, $C$13, 100%, $E$13) + CHOOSE(CONTROL!$C$28, 0.0021, 0)</f>
        <v>207.99304287864402</v>
      </c>
    </row>
    <row r="459" spans="1:5" ht="15">
      <c r="A459" s="13">
        <v>55487</v>
      </c>
      <c r="B459" s="4">
        <f>30.9559 * CHOOSE(CONTROL!$C$9, $C$13, 100%, $E$13) + CHOOSE(CONTROL!$C$28, 0.0211, 0)</f>
        <v>30.977</v>
      </c>
      <c r="C459" s="4">
        <f>30.5926 * CHOOSE(CONTROL!$C$9, $C$13, 100%, $E$13) + CHOOSE(CONTROL!$C$28, 0.0211, 0)</f>
        <v>30.613700000000001</v>
      </c>
      <c r="D459" s="4">
        <f>45.0704 * CHOOSE(CONTROL!$C$9, $C$13, 100%, $E$13) + CHOOSE(CONTROL!$C$28, 0.0021, 0)</f>
        <v>45.072499999999998</v>
      </c>
      <c r="E459" s="4">
        <f>203.387037132879 * CHOOSE(CONTROL!$C$9, $C$13, 100%, $E$13) + CHOOSE(CONTROL!$C$28, 0.0021, 0)</f>
        <v>203.389137132879</v>
      </c>
    </row>
    <row r="460" spans="1:5" ht="15">
      <c r="A460" s="13">
        <v>55518</v>
      </c>
      <c r="B460" s="4">
        <f>30.4832 * CHOOSE(CONTROL!$C$9, $C$13, 100%, $E$13) + CHOOSE(CONTROL!$C$28, 0.0211, 0)</f>
        <v>30.504300000000001</v>
      </c>
      <c r="C460" s="4">
        <f>30.1199 * CHOOSE(CONTROL!$C$9, $C$13, 100%, $E$13) + CHOOSE(CONTROL!$C$28, 0.0211, 0)</f>
        <v>30.141000000000002</v>
      </c>
      <c r="D460" s="4">
        <f>43.5347 * CHOOSE(CONTROL!$C$9, $C$13, 100%, $E$13) + CHOOSE(CONTROL!$C$28, 0.0021, 0)</f>
        <v>43.536799999999999</v>
      </c>
      <c r="E460" s="4">
        <f>200.201726163219 * CHOOSE(CONTROL!$C$9, $C$13, 100%, $E$13) + CHOOSE(CONTROL!$C$28, 0.0021, 0)</f>
        <v>200.20382616321902</v>
      </c>
    </row>
    <row r="461" spans="1:5" ht="15">
      <c r="A461" s="13">
        <v>55549</v>
      </c>
      <c r="B461" s="4">
        <f>29.1899 * CHOOSE(CONTROL!$C$9, $C$13, 100%, $E$13) + CHOOSE(CONTROL!$C$28, 0.0211, 0)</f>
        <v>29.211000000000002</v>
      </c>
      <c r="C461" s="4">
        <f>28.8266 * CHOOSE(CONTROL!$C$9, $C$13, 100%, $E$13) + CHOOSE(CONTROL!$C$28, 0.0211, 0)</f>
        <v>28.8477</v>
      </c>
      <c r="D461" s="4">
        <f>41.843 * CHOOSE(CONTROL!$C$9, $C$13, 100%, $E$13) + CHOOSE(CONTROL!$C$28, 0.0021, 0)</f>
        <v>41.845100000000002</v>
      </c>
      <c r="E461" s="4">
        <f>191.8625107668 * CHOOSE(CONTROL!$C$9, $C$13, 100%, $E$13) + CHOOSE(CONTROL!$C$28, 0.0021, 0)</f>
        <v>191.86461076680001</v>
      </c>
    </row>
    <row r="462" spans="1:5" ht="15">
      <c r="A462" s="13">
        <v>55577</v>
      </c>
      <c r="B462" s="4">
        <f>29.8646 * CHOOSE(CONTROL!$C$9, $C$13, 100%, $E$13) + CHOOSE(CONTROL!$C$28, 0.0211, 0)</f>
        <v>29.8857</v>
      </c>
      <c r="C462" s="4">
        <f>29.5013 * CHOOSE(CONTROL!$C$9, $C$13, 100%, $E$13) + CHOOSE(CONTROL!$C$28, 0.0211, 0)</f>
        <v>29.522400000000001</v>
      </c>
      <c r="D462" s="4">
        <f>43.2544 * CHOOSE(CONTROL!$C$9, $C$13, 100%, $E$13) + CHOOSE(CONTROL!$C$28, 0.0021, 0)</f>
        <v>43.256499999999996</v>
      </c>
      <c r="E462" s="4">
        <f>196.418082885184 * CHOOSE(CONTROL!$C$9, $C$13, 100%, $E$13) + CHOOSE(CONTROL!$C$28, 0.0021, 0)</f>
        <v>196.420182885184</v>
      </c>
    </row>
    <row r="463" spans="1:5" ht="15">
      <c r="A463" s="13">
        <v>55609</v>
      </c>
      <c r="B463" s="4">
        <f>31.6364 * CHOOSE(CONTROL!$C$9, $C$13, 100%, $E$13) + CHOOSE(CONTROL!$C$28, 0.0211, 0)</f>
        <v>31.657499999999999</v>
      </c>
      <c r="C463" s="4">
        <f>31.2732 * CHOOSE(CONTROL!$C$9, $C$13, 100%, $E$13) + CHOOSE(CONTROL!$C$28, 0.0211, 0)</f>
        <v>31.2943</v>
      </c>
      <c r="D463" s="4">
        <f>45.4639 * CHOOSE(CONTROL!$C$9, $C$13, 100%, $E$13) + CHOOSE(CONTROL!$C$28, 0.0021, 0)</f>
        <v>45.466000000000001</v>
      </c>
      <c r="E463" s="4">
        <f>208.381257365866 * CHOOSE(CONTROL!$C$9, $C$13, 100%, $E$13) + CHOOSE(CONTROL!$C$28, 0.0021, 0)</f>
        <v>208.383357365866</v>
      </c>
    </row>
    <row r="464" spans="1:5" ht="15">
      <c r="A464" s="13">
        <v>55639</v>
      </c>
      <c r="B464" s="4">
        <f>32.8954 * CHOOSE(CONTROL!$C$9, $C$13, 100%, $E$13) + CHOOSE(CONTROL!$C$28, 0.0211, 0)</f>
        <v>32.916499999999999</v>
      </c>
      <c r="C464" s="4">
        <f>32.5321 * CHOOSE(CONTROL!$C$9, $C$13, 100%, $E$13) + CHOOSE(CONTROL!$C$28, 0.0211, 0)</f>
        <v>32.553199999999997</v>
      </c>
      <c r="D464" s="4">
        <f>46.7367 * CHOOSE(CONTROL!$C$9, $C$13, 100%, $E$13) + CHOOSE(CONTROL!$C$28, 0.0021, 0)</f>
        <v>46.738799999999998</v>
      </c>
      <c r="E464" s="4">
        <f>216.881252264652 * CHOOSE(CONTROL!$C$9, $C$13, 100%, $E$13) + CHOOSE(CONTROL!$C$28, 0.0021, 0)</f>
        <v>216.88335226465202</v>
      </c>
    </row>
    <row r="465" spans="1:5" ht="15">
      <c r="A465" s="13">
        <v>55670</v>
      </c>
      <c r="B465" s="4">
        <f>33.6645 * CHOOSE(CONTROL!$C$9, $C$13, 100%, $E$13) + CHOOSE(CONTROL!$C$28, 0.0415, 0)</f>
        <v>33.705999999999996</v>
      </c>
      <c r="C465" s="4">
        <f>33.3013 * CHOOSE(CONTROL!$C$9, $C$13, 100%, $E$13) + CHOOSE(CONTROL!$C$28, 0.0415, 0)</f>
        <v>33.342799999999997</v>
      </c>
      <c r="D465" s="4">
        <f>46.2338 * CHOOSE(CONTROL!$C$9, $C$13, 100%, $E$13) + CHOOSE(CONTROL!$C$28, 0.0021, 0)</f>
        <v>46.235900000000001</v>
      </c>
      <c r="E465" s="4">
        <f>222.074545431364 * CHOOSE(CONTROL!$C$9, $C$13, 100%, $E$13) + CHOOSE(CONTROL!$C$28, 0.0021, 0)</f>
        <v>222.076645431364</v>
      </c>
    </row>
    <row r="466" spans="1:5" ht="15">
      <c r="A466" s="13">
        <v>55700</v>
      </c>
      <c r="B466" s="4">
        <f>33.7686 * CHOOSE(CONTROL!$C$9, $C$13, 100%, $E$13) + CHOOSE(CONTROL!$C$28, 0.0415, 0)</f>
        <v>33.810099999999998</v>
      </c>
      <c r="C466" s="4">
        <f>33.4053 * CHOOSE(CONTROL!$C$9, $C$13, 100%, $E$13) + CHOOSE(CONTROL!$C$28, 0.0415, 0)</f>
        <v>33.446799999999996</v>
      </c>
      <c r="D466" s="4">
        <f>46.6434 * CHOOSE(CONTROL!$C$9, $C$13, 100%, $E$13) + CHOOSE(CONTROL!$C$28, 0.0021, 0)</f>
        <v>46.645499999999998</v>
      </c>
      <c r="E466" s="4">
        <f>222.77721954943 * CHOOSE(CONTROL!$C$9, $C$13, 100%, $E$13) + CHOOSE(CONTROL!$C$28, 0.0021, 0)</f>
        <v>222.77931954943</v>
      </c>
    </row>
    <row r="467" spans="1:5" ht="15">
      <c r="A467" s="13">
        <v>55731</v>
      </c>
      <c r="B467" s="4">
        <f>33.7581 * CHOOSE(CONTROL!$C$9, $C$13, 100%, $E$13) + CHOOSE(CONTROL!$C$28, 0.0415, 0)</f>
        <v>33.799599999999998</v>
      </c>
      <c r="C467" s="4">
        <f>33.3948 * CHOOSE(CONTROL!$C$9, $C$13, 100%, $E$13) + CHOOSE(CONTROL!$C$28, 0.0415, 0)</f>
        <v>33.436299999999996</v>
      </c>
      <c r="D467" s="4">
        <f>47.3824 * CHOOSE(CONTROL!$C$9, $C$13, 100%, $E$13) + CHOOSE(CONTROL!$C$28, 0.0021, 0)</f>
        <v>47.384499999999996</v>
      </c>
      <c r="E467" s="4">
        <f>222.706361655171 * CHOOSE(CONTROL!$C$9, $C$13, 100%, $E$13) + CHOOSE(CONTROL!$C$28, 0.0021, 0)</f>
        <v>222.70846165517102</v>
      </c>
    </row>
    <row r="468" spans="1:5" ht="15">
      <c r="A468" s="13">
        <v>55762</v>
      </c>
      <c r="B468" s="4">
        <f>34.5478 * CHOOSE(CONTROL!$C$9, $C$13, 100%, $E$13) + CHOOSE(CONTROL!$C$28, 0.0415, 0)</f>
        <v>34.589300000000001</v>
      </c>
      <c r="C468" s="4">
        <f>34.1846 * CHOOSE(CONTROL!$C$9, $C$13, 100%, $E$13) + CHOOSE(CONTROL!$C$28, 0.0415, 0)</f>
        <v>34.226100000000002</v>
      </c>
      <c r="D468" s="4">
        <f>46.8943 * CHOOSE(CONTROL!$C$9, $C$13, 100%, $E$13) + CHOOSE(CONTROL!$C$28, 0.0021, 0)</f>
        <v>46.8964</v>
      </c>
      <c r="E468" s="4">
        <f>228.03841819814 * CHOOSE(CONTROL!$C$9, $C$13, 100%, $E$13) + CHOOSE(CONTROL!$C$28, 0.0021, 0)</f>
        <v>228.04051819814001</v>
      </c>
    </row>
    <row r="469" spans="1:5" ht="15">
      <c r="A469" s="13">
        <v>55792</v>
      </c>
      <c r="B469" s="4">
        <f>33.2019 * CHOOSE(CONTROL!$C$9, $C$13, 100%, $E$13) + CHOOSE(CONTROL!$C$28, 0.0415, 0)</f>
        <v>33.243400000000001</v>
      </c>
      <c r="C469" s="4">
        <f>32.8386 * CHOOSE(CONTROL!$C$9, $C$13, 100%, $E$13) + CHOOSE(CONTROL!$C$28, 0.0415, 0)</f>
        <v>32.880099999999999</v>
      </c>
      <c r="D469" s="4">
        <f>46.6637 * CHOOSE(CONTROL!$C$9, $C$13, 100%, $E$13) + CHOOSE(CONTROL!$C$28, 0.0021, 0)</f>
        <v>46.665799999999997</v>
      </c>
      <c r="E469" s="4">
        <f>218.950893259459 * CHOOSE(CONTROL!$C$9, $C$13, 100%, $E$13) + CHOOSE(CONTROL!$C$28, 0.0021, 0)</f>
        <v>218.95299325945902</v>
      </c>
    </row>
    <row r="470" spans="1:5" ht="15">
      <c r="A470" s="13">
        <v>55823</v>
      </c>
      <c r="B470" s="4">
        <f>32.1244 * CHOOSE(CONTROL!$C$9, $C$13, 100%, $E$13) + CHOOSE(CONTROL!$C$28, 0.0211, 0)</f>
        <v>32.145499999999998</v>
      </c>
      <c r="C470" s="4">
        <f>31.7612 * CHOOSE(CONTROL!$C$9, $C$13, 100%, $E$13) + CHOOSE(CONTROL!$C$28, 0.0211, 0)</f>
        <v>31.782299999999999</v>
      </c>
      <c r="D470" s="4">
        <f>46.0463 * CHOOSE(CONTROL!$C$9, $C$13, 100%, $E$13) + CHOOSE(CONTROL!$C$28, 0.0021, 0)</f>
        <v>46.048400000000001</v>
      </c>
      <c r="E470" s="4">
        <f>211.676149448896 * CHOOSE(CONTROL!$C$9, $C$13, 100%, $E$13) + CHOOSE(CONTROL!$C$28, 0.0021, 0)</f>
        <v>211.67824944889603</v>
      </c>
    </row>
    <row r="471" spans="1:5" ht="15">
      <c r="A471" s="13">
        <v>55853</v>
      </c>
      <c r="B471" s="4">
        <f>31.4305 * CHOOSE(CONTROL!$C$9, $C$13, 100%, $E$13) + CHOOSE(CONTROL!$C$28, 0.0211, 0)</f>
        <v>31.451599999999999</v>
      </c>
      <c r="C471" s="4">
        <f>31.0672 * CHOOSE(CONTROL!$C$9, $C$13, 100%, $E$13) + CHOOSE(CONTROL!$C$28, 0.0211, 0)</f>
        <v>31.0883</v>
      </c>
      <c r="D471" s="4">
        <f>45.834 * CHOOSE(CONTROL!$C$9, $C$13, 100%, $E$13) + CHOOSE(CONTROL!$C$28, 0.0021, 0)</f>
        <v>45.836100000000002</v>
      </c>
      <c r="E471" s="4">
        <f>206.990671191038 * CHOOSE(CONTROL!$C$9, $C$13, 100%, $E$13) + CHOOSE(CONTROL!$C$28, 0.0021, 0)</f>
        <v>206.992771191038</v>
      </c>
    </row>
    <row r="472" spans="1:5" ht="15">
      <c r="A472" s="13">
        <v>55884</v>
      </c>
      <c r="B472" s="4">
        <f>30.9504 * CHOOSE(CONTROL!$C$9, $C$13, 100%, $E$13) + CHOOSE(CONTROL!$C$28, 0.0211, 0)</f>
        <v>30.971499999999999</v>
      </c>
      <c r="C472" s="4">
        <f>30.5871 * CHOOSE(CONTROL!$C$9, $C$13, 100%, $E$13) + CHOOSE(CONTROL!$C$28, 0.0211, 0)</f>
        <v>30.6082</v>
      </c>
      <c r="D472" s="4">
        <f>44.2712 * CHOOSE(CONTROL!$C$9, $C$13, 100%, $E$13) + CHOOSE(CONTROL!$C$28, 0.0021, 0)</f>
        <v>44.273299999999999</v>
      </c>
      <c r="E472" s="4">
        <f>203.748922528701 * CHOOSE(CONTROL!$C$9, $C$13, 100%, $E$13) + CHOOSE(CONTROL!$C$28, 0.0021, 0)</f>
        <v>203.75102252870101</v>
      </c>
    </row>
    <row r="473" spans="1:5" ht="15">
      <c r="A473" s="13">
        <v>55915</v>
      </c>
      <c r="B473" s="4">
        <f>29.6367 * CHOOSE(CONTROL!$C$9, $C$13, 100%, $E$13) + CHOOSE(CONTROL!$C$28, 0.0211, 0)</f>
        <v>29.657800000000002</v>
      </c>
      <c r="C473" s="4">
        <f>29.2734 * CHOOSE(CONTROL!$C$9, $C$13, 100%, $E$13) + CHOOSE(CONTROL!$C$28, 0.0211, 0)</f>
        <v>29.294499999999999</v>
      </c>
      <c r="D473" s="4">
        <f>42.5496 * CHOOSE(CONTROL!$C$9, $C$13, 100%, $E$13) + CHOOSE(CONTROL!$C$28, 0.0021, 0)</f>
        <v>42.551699999999997</v>
      </c>
      <c r="E473" s="4">
        <f>195.261951989947 * CHOOSE(CONTROL!$C$9, $C$13, 100%, $E$13) + CHOOSE(CONTROL!$C$28, 0.0021, 0)</f>
        <v>195.26405198994701</v>
      </c>
    </row>
    <row r="474" spans="1:5" ht="15">
      <c r="A474" s="13">
        <v>55943</v>
      </c>
      <c r="B474" s="4">
        <f>30.3221 * CHOOSE(CONTROL!$C$9, $C$13, 100%, $E$13) + CHOOSE(CONTROL!$C$28, 0.0211, 0)</f>
        <v>30.3432</v>
      </c>
      <c r="C474" s="4">
        <f>29.9588 * CHOOSE(CONTROL!$C$9, $C$13, 100%, $E$13) + CHOOSE(CONTROL!$C$28, 0.0211, 0)</f>
        <v>29.979900000000001</v>
      </c>
      <c r="D474" s="4">
        <f>43.9859 * CHOOSE(CONTROL!$C$9, $C$13, 100%, $E$13) + CHOOSE(CONTROL!$C$28, 0.0021, 0)</f>
        <v>43.988</v>
      </c>
      <c r="E474" s="4">
        <f>199.898240239859 * CHOOSE(CONTROL!$C$9, $C$13, 100%, $E$13) + CHOOSE(CONTROL!$C$28, 0.0021, 0)</f>
        <v>199.90034023985902</v>
      </c>
    </row>
    <row r="475" spans="1:5" ht="15">
      <c r="A475" s="13">
        <v>55974</v>
      </c>
      <c r="B475" s="4">
        <f>32.1218 * CHOOSE(CONTROL!$C$9, $C$13, 100%, $E$13) + CHOOSE(CONTROL!$C$28, 0.0211, 0)</f>
        <v>32.142899999999997</v>
      </c>
      <c r="C475" s="4">
        <f>31.7585 * CHOOSE(CONTROL!$C$9, $C$13, 100%, $E$13) + CHOOSE(CONTROL!$C$28, 0.0211, 0)</f>
        <v>31.779600000000002</v>
      </c>
      <c r="D475" s="4">
        <f>46.2345 * CHOOSE(CONTROL!$C$9, $C$13, 100%, $E$13) + CHOOSE(CONTROL!$C$28, 0.0021, 0)</f>
        <v>46.236599999999996</v>
      </c>
      <c r="E475" s="4">
        <f>212.073379571447 * CHOOSE(CONTROL!$C$9, $C$13, 100%, $E$13) + CHOOSE(CONTROL!$C$28, 0.0021, 0)</f>
        <v>212.075479571447</v>
      </c>
    </row>
    <row r="476" spans="1:5" ht="15">
      <c r="A476" s="13">
        <v>56004</v>
      </c>
      <c r="B476" s="4">
        <f>33.4005 * CHOOSE(CONTROL!$C$9, $C$13, 100%, $E$13) + CHOOSE(CONTROL!$C$28, 0.0211, 0)</f>
        <v>33.421599999999998</v>
      </c>
      <c r="C476" s="4">
        <f>33.0372 * CHOOSE(CONTROL!$C$9, $C$13, 100%, $E$13) + CHOOSE(CONTROL!$C$28, 0.0211, 0)</f>
        <v>33.058299999999996</v>
      </c>
      <c r="D476" s="4">
        <f>47.5297 * CHOOSE(CONTROL!$C$9, $C$13, 100%, $E$13) + CHOOSE(CONTROL!$C$28, 0.0021, 0)</f>
        <v>47.531799999999997</v>
      </c>
      <c r="E476" s="4">
        <f>220.723978321605 * CHOOSE(CONTROL!$C$9, $C$13, 100%, $E$13) + CHOOSE(CONTROL!$C$28, 0.0021, 0)</f>
        <v>220.726078321605</v>
      </c>
    </row>
    <row r="477" spans="1:5" ht="15">
      <c r="A477" s="13">
        <v>56035</v>
      </c>
      <c r="B477" s="4">
        <f>34.1817 * CHOOSE(CONTROL!$C$9, $C$13, 100%, $E$13) + CHOOSE(CONTROL!$C$28, 0.0415, 0)</f>
        <v>34.223199999999999</v>
      </c>
      <c r="C477" s="4">
        <f>33.8185 * CHOOSE(CONTROL!$C$9, $C$13, 100%, $E$13) + CHOOSE(CONTROL!$C$28, 0.0415, 0)</f>
        <v>33.86</v>
      </c>
      <c r="D477" s="4">
        <f>47.0179 * CHOOSE(CONTROL!$C$9, $C$13, 100%, $E$13) + CHOOSE(CONTROL!$C$28, 0.0021, 0)</f>
        <v>47.019999999999996</v>
      </c>
      <c r="E477" s="4">
        <f>226.009286832036 * CHOOSE(CONTROL!$C$9, $C$13, 100%, $E$13) + CHOOSE(CONTROL!$C$28, 0.0021, 0)</f>
        <v>226.01138683203601</v>
      </c>
    </row>
    <row r="478" spans="1:5" ht="15">
      <c r="A478" s="13">
        <v>56065</v>
      </c>
      <c r="B478" s="4">
        <f>34.2875 * CHOOSE(CONTROL!$C$9, $C$13, 100%, $E$13) + CHOOSE(CONTROL!$C$28, 0.0415, 0)</f>
        <v>34.329000000000001</v>
      </c>
      <c r="C478" s="4">
        <f>33.9242 * CHOOSE(CONTROL!$C$9, $C$13, 100%, $E$13) + CHOOSE(CONTROL!$C$28, 0.0415, 0)</f>
        <v>33.965699999999998</v>
      </c>
      <c r="D478" s="4">
        <f>47.4348 * CHOOSE(CONTROL!$C$9, $C$13, 100%, $E$13) + CHOOSE(CONTROL!$C$28, 0.0021, 0)</f>
        <v>47.436900000000001</v>
      </c>
      <c r="E478" s="4">
        <f>226.724411007978 * CHOOSE(CONTROL!$C$9, $C$13, 100%, $E$13) + CHOOSE(CONTROL!$C$28, 0.0021, 0)</f>
        <v>226.72651100797802</v>
      </c>
    </row>
    <row r="479" spans="1:5" ht="15">
      <c r="A479" s="13">
        <v>56096</v>
      </c>
      <c r="B479" s="4">
        <f>34.2768 * CHOOSE(CONTROL!$C$9, $C$13, 100%, $E$13) + CHOOSE(CONTROL!$C$28, 0.0415, 0)</f>
        <v>34.318300000000001</v>
      </c>
      <c r="C479" s="4">
        <f>33.9135 * CHOOSE(CONTROL!$C$9, $C$13, 100%, $E$13) + CHOOSE(CONTROL!$C$28, 0.0415, 0)</f>
        <v>33.954999999999998</v>
      </c>
      <c r="D479" s="4">
        <f>48.1869 * CHOOSE(CONTROL!$C$9, $C$13, 100%, $E$13) + CHOOSE(CONTROL!$C$28, 0.0021, 0)</f>
        <v>48.189</v>
      </c>
      <c r="E479" s="4">
        <f>226.652297645698 * CHOOSE(CONTROL!$C$9, $C$13, 100%, $E$13) + CHOOSE(CONTROL!$C$28, 0.0021, 0)</f>
        <v>226.65439764569803</v>
      </c>
    </row>
    <row r="480" spans="1:5" ht="15">
      <c r="A480" s="13">
        <v>56127</v>
      </c>
      <c r="B480" s="4">
        <f>35.0789 * CHOOSE(CONTROL!$C$9, $C$13, 100%, $E$13) + CHOOSE(CONTROL!$C$28, 0.0415, 0)</f>
        <v>35.120399999999997</v>
      </c>
      <c r="C480" s="4">
        <f>34.7157 * CHOOSE(CONTROL!$C$9, $C$13, 100%, $E$13) + CHOOSE(CONTROL!$C$28, 0.0415, 0)</f>
        <v>34.757199999999997</v>
      </c>
      <c r="D480" s="4">
        <f>47.6902 * CHOOSE(CONTROL!$C$9, $C$13, 100%, $E$13) + CHOOSE(CONTROL!$C$28, 0.0021, 0)</f>
        <v>47.692299999999996</v>
      </c>
      <c r="E480" s="4">
        <f>232.07882815726 * CHOOSE(CONTROL!$C$9, $C$13, 100%, $E$13) + CHOOSE(CONTROL!$C$28, 0.0021, 0)</f>
        <v>232.08092815726002</v>
      </c>
    </row>
    <row r="481" spans="1:5" ht="15">
      <c r="A481" s="13">
        <v>56157</v>
      </c>
      <c r="B481" s="4">
        <f>33.7118 * CHOOSE(CONTROL!$C$9, $C$13, 100%, $E$13) + CHOOSE(CONTROL!$C$28, 0.0415, 0)</f>
        <v>33.753299999999996</v>
      </c>
      <c r="C481" s="4">
        <f>33.3485 * CHOOSE(CONTROL!$C$9, $C$13, 100%, $E$13) + CHOOSE(CONTROL!$C$28, 0.0415, 0)</f>
        <v>33.39</v>
      </c>
      <c r="D481" s="4">
        <f>47.4555 * CHOOSE(CONTROL!$C$9, $C$13, 100%, $E$13) + CHOOSE(CONTROL!$C$28, 0.0021, 0)</f>
        <v>47.457599999999999</v>
      </c>
      <c r="E481" s="4">
        <f>222.830289444864 * CHOOSE(CONTROL!$C$9, $C$13, 100%, $E$13) + CHOOSE(CONTROL!$C$28, 0.0021, 0)</f>
        <v>222.83238944486402</v>
      </c>
    </row>
    <row r="482" spans="1:5" ht="15">
      <c r="A482" s="13">
        <v>56188</v>
      </c>
      <c r="B482" s="4">
        <f>32.6174 * CHOOSE(CONTROL!$C$9, $C$13, 100%, $E$13) + CHOOSE(CONTROL!$C$28, 0.0211, 0)</f>
        <v>32.638500000000001</v>
      </c>
      <c r="C482" s="4">
        <f>32.2542 * CHOOSE(CONTROL!$C$9, $C$13, 100%, $E$13) + CHOOSE(CONTROL!$C$28, 0.0211, 0)</f>
        <v>32.275299999999994</v>
      </c>
      <c r="D482" s="4">
        <f>46.8271 * CHOOSE(CONTROL!$C$9, $C$13, 100%, $E$13) + CHOOSE(CONTROL!$C$28, 0.0021, 0)</f>
        <v>46.8292</v>
      </c>
      <c r="E482" s="4">
        <f>215.426650917462 * CHOOSE(CONTROL!$C$9, $C$13, 100%, $E$13) + CHOOSE(CONTROL!$C$28, 0.0021, 0)</f>
        <v>215.42875091746203</v>
      </c>
    </row>
    <row r="483" spans="1:5" ht="15">
      <c r="A483" s="13">
        <v>56218</v>
      </c>
      <c r="B483" s="4">
        <f>31.9126 * CHOOSE(CONTROL!$C$9, $C$13, 100%, $E$13) + CHOOSE(CONTROL!$C$28, 0.0211, 0)</f>
        <v>31.933700000000002</v>
      </c>
      <c r="C483" s="4">
        <f>31.5493 * CHOOSE(CONTROL!$C$9, $C$13, 100%, $E$13) + CHOOSE(CONTROL!$C$28, 0.0211, 0)</f>
        <v>31.570399999999999</v>
      </c>
      <c r="D483" s="4">
        <f>46.6111 * CHOOSE(CONTROL!$C$9, $C$13, 100%, $E$13) + CHOOSE(CONTROL!$C$28, 0.0021, 0)</f>
        <v>46.613199999999999</v>
      </c>
      <c r="E483" s="4">
        <f>210.658154836704 * CHOOSE(CONTROL!$C$9, $C$13, 100%, $E$13) + CHOOSE(CONTROL!$C$28, 0.0021, 0)</f>
        <v>210.66025483670401</v>
      </c>
    </row>
    <row r="484" spans="1:5" ht="15">
      <c r="A484" s="13">
        <v>56249</v>
      </c>
      <c r="B484" s="4">
        <f>31.4249 * CHOOSE(CONTROL!$C$9, $C$13, 100%, $E$13) + CHOOSE(CONTROL!$C$28, 0.0211, 0)</f>
        <v>31.446000000000002</v>
      </c>
      <c r="C484" s="4">
        <f>31.0616 * CHOOSE(CONTROL!$C$9, $C$13, 100%, $E$13) + CHOOSE(CONTROL!$C$28, 0.0211, 0)</f>
        <v>31.082699999999999</v>
      </c>
      <c r="D484" s="4">
        <f>45.0206 * CHOOSE(CONTROL!$C$9, $C$13, 100%, $E$13) + CHOOSE(CONTROL!$C$28, 0.0021, 0)</f>
        <v>45.0227</v>
      </c>
      <c r="E484" s="4">
        <f>207.358968512399 * CHOOSE(CONTROL!$C$9, $C$13, 100%, $E$13) + CHOOSE(CONTROL!$C$28, 0.0021, 0)</f>
        <v>207.36106851239902</v>
      </c>
    </row>
    <row r="485" spans="1:5" ht="15">
      <c r="A485" s="13">
        <v>56280</v>
      </c>
      <c r="B485" s="4">
        <f>30.0906 * CHOOSE(CONTROL!$C$9, $C$13, 100%, $E$13) + CHOOSE(CONTROL!$C$28, 0.0211, 0)</f>
        <v>30.111699999999999</v>
      </c>
      <c r="C485" s="4">
        <f>29.7273 * CHOOSE(CONTROL!$C$9, $C$13, 100%, $E$13) + CHOOSE(CONTROL!$C$28, 0.0211, 0)</f>
        <v>29.7484</v>
      </c>
      <c r="D485" s="4">
        <f>43.2686 * CHOOSE(CONTROL!$C$9, $C$13, 100%, $E$13) + CHOOSE(CONTROL!$C$28, 0.0021, 0)</f>
        <v>43.270699999999998</v>
      </c>
      <c r="E485" s="4">
        <f>198.721624889326 * CHOOSE(CONTROL!$C$9, $C$13, 100%, $E$13) + CHOOSE(CONTROL!$C$28, 0.0021, 0)</f>
        <v>198.72372488932601</v>
      </c>
    </row>
    <row r="486" spans="1:5" ht="15">
      <c r="A486" s="13">
        <v>56308</v>
      </c>
      <c r="B486" s="4">
        <f>30.7867 * CHOOSE(CONTROL!$C$9, $C$13, 100%, $E$13) + CHOOSE(CONTROL!$C$28, 0.0211, 0)</f>
        <v>30.8078</v>
      </c>
      <c r="C486" s="4">
        <f>30.4234 * CHOOSE(CONTROL!$C$9, $C$13, 100%, $E$13) + CHOOSE(CONTROL!$C$28, 0.0211, 0)</f>
        <v>30.444500000000001</v>
      </c>
      <c r="D486" s="4">
        <f>44.7304 * CHOOSE(CONTROL!$C$9, $C$13, 100%, $E$13) + CHOOSE(CONTROL!$C$28, 0.0021, 0)</f>
        <v>44.732500000000002</v>
      </c>
      <c r="E486" s="4">
        <f>203.440059408127 * CHOOSE(CONTROL!$C$9, $C$13, 100%, $E$13) + CHOOSE(CONTROL!$C$28, 0.0021, 0)</f>
        <v>203.44215940812703</v>
      </c>
    </row>
    <row r="487" spans="1:5" ht="15">
      <c r="A487" s="13">
        <v>56339</v>
      </c>
      <c r="B487" s="4">
        <f>32.6147 * CHOOSE(CONTROL!$C$9, $C$13, 100%, $E$13) + CHOOSE(CONTROL!$C$28, 0.0211, 0)</f>
        <v>32.635799999999996</v>
      </c>
      <c r="C487" s="4">
        <f>32.2514 * CHOOSE(CONTROL!$C$9, $C$13, 100%, $E$13) + CHOOSE(CONTROL!$C$28, 0.0211, 0)</f>
        <v>32.272499999999994</v>
      </c>
      <c r="D487" s="4">
        <f>47.0187 * CHOOSE(CONTROL!$C$9, $C$13, 100%, $E$13) + CHOOSE(CONTROL!$C$28, 0.0021, 0)</f>
        <v>47.020800000000001</v>
      </c>
      <c r="E487" s="4">
        <f>215.830919207335 * CHOOSE(CONTROL!$C$9, $C$13, 100%, $E$13) + CHOOSE(CONTROL!$C$28, 0.0021, 0)</f>
        <v>215.83301920733501</v>
      </c>
    </row>
    <row r="488" spans="1:5" ht="15">
      <c r="A488" s="13">
        <v>56369</v>
      </c>
      <c r="B488" s="4">
        <f>33.9135 * CHOOSE(CONTROL!$C$9, $C$13, 100%, $E$13) + CHOOSE(CONTROL!$C$28, 0.0211, 0)</f>
        <v>33.934599999999996</v>
      </c>
      <c r="C488" s="4">
        <f>33.5503 * CHOOSE(CONTROL!$C$9, $C$13, 100%, $E$13) + CHOOSE(CONTROL!$C$28, 0.0211, 0)</f>
        <v>33.571399999999997</v>
      </c>
      <c r="D488" s="4">
        <f>48.3368 * CHOOSE(CONTROL!$C$9, $C$13, 100%, $E$13) + CHOOSE(CONTROL!$C$28, 0.0021, 0)</f>
        <v>48.338899999999995</v>
      </c>
      <c r="E488" s="4">
        <f>224.634790224591 * CHOOSE(CONTROL!$C$9, $C$13, 100%, $E$13) + CHOOSE(CONTROL!$C$28, 0.0021, 0)</f>
        <v>224.63689022459101</v>
      </c>
    </row>
    <row r="489" spans="1:5" ht="15">
      <c r="A489" s="13">
        <v>56400</v>
      </c>
      <c r="B489" s="4">
        <f>34.7071 * CHOOSE(CONTROL!$C$9, $C$13, 100%, $E$13) + CHOOSE(CONTROL!$C$28, 0.0415, 0)</f>
        <v>34.748599999999996</v>
      </c>
      <c r="C489" s="4">
        <f>34.3438 * CHOOSE(CONTROL!$C$9, $C$13, 100%, $E$13) + CHOOSE(CONTROL!$C$28, 0.0415, 0)</f>
        <v>34.385300000000001</v>
      </c>
      <c r="D489" s="4">
        <f>47.8159 * CHOOSE(CONTROL!$C$9, $C$13, 100%, $E$13) + CHOOSE(CONTROL!$C$28, 0.0021, 0)</f>
        <v>47.817999999999998</v>
      </c>
      <c r="E489" s="4">
        <f>230.013744416794 * CHOOSE(CONTROL!$C$9, $C$13, 100%, $E$13) + CHOOSE(CONTROL!$C$28, 0.0021, 0)</f>
        <v>230.01584441679401</v>
      </c>
    </row>
    <row r="490" spans="1:5" ht="15">
      <c r="A490" s="13">
        <v>56430</v>
      </c>
      <c r="B490" s="4">
        <f>34.8145 * CHOOSE(CONTROL!$C$9, $C$13, 100%, $E$13) + CHOOSE(CONTROL!$C$28, 0.0415, 0)</f>
        <v>34.856000000000002</v>
      </c>
      <c r="C490" s="4">
        <f>34.4512 * CHOOSE(CONTROL!$C$9, $C$13, 100%, $E$13) + CHOOSE(CONTROL!$C$28, 0.0415, 0)</f>
        <v>34.492699999999999</v>
      </c>
      <c r="D490" s="4">
        <f>48.2401 * CHOOSE(CONTROL!$C$9, $C$13, 100%, $E$13) + CHOOSE(CONTROL!$C$28, 0.0021, 0)</f>
        <v>48.242199999999997</v>
      </c>
      <c r="E490" s="4">
        <f>230.741539242117 * CHOOSE(CONTROL!$C$9, $C$13, 100%, $E$13) + CHOOSE(CONTROL!$C$28, 0.0021, 0)</f>
        <v>230.74363924211701</v>
      </c>
    </row>
    <row r="491" spans="1:5" ht="15">
      <c r="A491" s="13">
        <v>56461</v>
      </c>
      <c r="B491" s="4">
        <f>34.8036 * CHOOSE(CONTROL!$C$9, $C$13, 100%, $E$13) + CHOOSE(CONTROL!$C$28, 0.0415, 0)</f>
        <v>34.845100000000002</v>
      </c>
      <c r="C491" s="4">
        <f>34.4403 * CHOOSE(CONTROL!$C$9, $C$13, 100%, $E$13) + CHOOSE(CONTROL!$C$28, 0.0415, 0)</f>
        <v>34.4818</v>
      </c>
      <c r="D491" s="4">
        <f>49.0055 * CHOOSE(CONTROL!$C$9, $C$13, 100%, $E$13) + CHOOSE(CONTROL!$C$28, 0.0021, 0)</f>
        <v>49.007599999999996</v>
      </c>
      <c r="E491" s="4">
        <f>230.668148167295 * CHOOSE(CONTROL!$C$9, $C$13, 100%, $E$13) + CHOOSE(CONTROL!$C$28, 0.0021, 0)</f>
        <v>230.670248167295</v>
      </c>
    </row>
    <row r="492" spans="1:5" ht="15">
      <c r="A492" s="13">
        <v>56492</v>
      </c>
      <c r="B492" s="4">
        <f>35.6184 * CHOOSE(CONTROL!$C$9, $C$13, 100%, $E$13) + CHOOSE(CONTROL!$C$28, 0.0415, 0)</f>
        <v>35.6599</v>
      </c>
      <c r="C492" s="4">
        <f>35.2551 * CHOOSE(CONTROL!$C$9, $C$13, 100%, $E$13) + CHOOSE(CONTROL!$C$28, 0.0415, 0)</f>
        <v>35.296599999999998</v>
      </c>
      <c r="D492" s="4">
        <f>48.5001 * CHOOSE(CONTROL!$C$9, $C$13, 100%, $E$13) + CHOOSE(CONTROL!$C$28, 0.0021, 0)</f>
        <v>48.502200000000002</v>
      </c>
      <c r="E492" s="4">
        <f>236.190826547692 * CHOOSE(CONTROL!$C$9, $C$13, 100%, $E$13) + CHOOSE(CONTROL!$C$28, 0.0021, 0)</f>
        <v>236.19292654769202</v>
      </c>
    </row>
    <row r="493" spans="1:5" ht="15">
      <c r="A493" s="13">
        <v>56522</v>
      </c>
      <c r="B493" s="4">
        <f>34.2298 * CHOOSE(CONTROL!$C$9, $C$13, 100%, $E$13) + CHOOSE(CONTROL!$C$28, 0.0415, 0)</f>
        <v>34.271299999999997</v>
      </c>
      <c r="C493" s="4">
        <f>33.8665 * CHOOSE(CONTROL!$C$9, $C$13, 100%, $E$13) + CHOOSE(CONTROL!$C$28, 0.0415, 0)</f>
        <v>33.908000000000001</v>
      </c>
      <c r="D493" s="4">
        <f>48.2612 * CHOOSE(CONTROL!$C$9, $C$13, 100%, $E$13) + CHOOSE(CONTROL!$C$28, 0.0021, 0)</f>
        <v>48.263300000000001</v>
      </c>
      <c r="E493" s="4">
        <f>226.778421201699 * CHOOSE(CONTROL!$C$9, $C$13, 100%, $E$13) + CHOOSE(CONTROL!$C$28, 0.0021, 0)</f>
        <v>226.780521201699</v>
      </c>
    </row>
    <row r="494" spans="1:5" ht="15">
      <c r="A494" s="13">
        <v>56553</v>
      </c>
      <c r="B494" s="4">
        <f>33.1182 * CHOOSE(CONTROL!$C$9, $C$13, 100%, $E$13) + CHOOSE(CONTROL!$C$28, 0.0211, 0)</f>
        <v>33.139299999999999</v>
      </c>
      <c r="C494" s="4">
        <f>32.7549 * CHOOSE(CONTROL!$C$9, $C$13, 100%, $E$13) + CHOOSE(CONTROL!$C$28, 0.0211, 0)</f>
        <v>32.775999999999996</v>
      </c>
      <c r="D494" s="4">
        <f>47.6218 * CHOOSE(CONTROL!$C$9, $C$13, 100%, $E$13) + CHOOSE(CONTROL!$C$28, 0.0021, 0)</f>
        <v>47.623899999999999</v>
      </c>
      <c r="E494" s="4">
        <f>219.243604186584 * CHOOSE(CONTROL!$C$9, $C$13, 100%, $E$13) + CHOOSE(CONTROL!$C$28, 0.0021, 0)</f>
        <v>219.24570418658402</v>
      </c>
    </row>
    <row r="495" spans="1:5" ht="15">
      <c r="A495" s="13">
        <v>56583</v>
      </c>
      <c r="B495" s="4">
        <f>32.4022 * CHOOSE(CONTROL!$C$9, $C$13, 100%, $E$13) + CHOOSE(CONTROL!$C$28, 0.0211, 0)</f>
        <v>32.423299999999998</v>
      </c>
      <c r="C495" s="4">
        <f>32.0389 * CHOOSE(CONTROL!$C$9, $C$13, 100%, $E$13) + CHOOSE(CONTROL!$C$28, 0.0211, 0)</f>
        <v>32.059999999999995</v>
      </c>
      <c r="D495" s="4">
        <f>47.4019 * CHOOSE(CONTROL!$C$9, $C$13, 100%, $E$13) + CHOOSE(CONTROL!$C$28, 0.0021, 0)</f>
        <v>47.403999999999996</v>
      </c>
      <c r="E495" s="4">
        <f>214.390619363942 * CHOOSE(CONTROL!$C$9, $C$13, 100%, $E$13) + CHOOSE(CONTROL!$C$28, 0.0021, 0)</f>
        <v>214.39271936394201</v>
      </c>
    </row>
    <row r="496" spans="1:5" ht="15">
      <c r="A496" s="13">
        <v>56614</v>
      </c>
      <c r="B496" s="4">
        <f>31.9069 * CHOOSE(CONTROL!$C$9, $C$13, 100%, $E$13) + CHOOSE(CONTROL!$C$28, 0.0211, 0)</f>
        <v>31.928000000000001</v>
      </c>
      <c r="C496" s="4">
        <f>31.5436 * CHOOSE(CONTROL!$C$9, $C$13, 100%, $E$13) + CHOOSE(CONTROL!$C$28, 0.0211, 0)</f>
        <v>31.564700000000002</v>
      </c>
      <c r="D496" s="4">
        <f>45.7834 * CHOOSE(CONTROL!$C$9, $C$13, 100%, $E$13) + CHOOSE(CONTROL!$C$28, 0.0021, 0)</f>
        <v>45.785499999999999</v>
      </c>
      <c r="E496" s="4">
        <f>211.03297769081 * CHOOSE(CONTROL!$C$9, $C$13, 100%, $E$13) + CHOOSE(CONTROL!$C$28, 0.0021, 0)</f>
        <v>211.03507769081</v>
      </c>
    </row>
    <row r="497" spans="1:5" ht="15">
      <c r="A497" s="13">
        <v>56645</v>
      </c>
      <c r="B497" s="4">
        <f>30.5516 * CHOOSE(CONTROL!$C$9, $C$13, 100%, $E$13) + CHOOSE(CONTROL!$C$28, 0.0211, 0)</f>
        <v>30.572700000000001</v>
      </c>
      <c r="C497" s="4">
        <f>30.1883 * CHOOSE(CONTROL!$C$9, $C$13, 100%, $E$13) + CHOOSE(CONTROL!$C$28, 0.0211, 0)</f>
        <v>30.209400000000002</v>
      </c>
      <c r="D497" s="4">
        <f>44.0004 * CHOOSE(CONTROL!$C$9, $C$13, 100%, $E$13) + CHOOSE(CONTROL!$C$28, 0.0021, 0)</f>
        <v>44.002499999999998</v>
      </c>
      <c r="E497" s="4">
        <f>202.242596656451 * CHOOSE(CONTROL!$C$9, $C$13, 100%, $E$13) + CHOOSE(CONTROL!$C$28, 0.0021, 0)</f>
        <v>202.24469665645103</v>
      </c>
    </row>
    <row r="498" spans="1:5" ht="15">
      <c r="A498" s="13">
        <v>56673</v>
      </c>
      <c r="B498" s="4">
        <f>31.2587 * CHOOSE(CONTROL!$C$9, $C$13, 100%, $E$13) + CHOOSE(CONTROL!$C$28, 0.0211, 0)</f>
        <v>31.279800000000002</v>
      </c>
      <c r="C498" s="4">
        <f>30.8954 * CHOOSE(CONTROL!$C$9, $C$13, 100%, $E$13) + CHOOSE(CONTROL!$C$28, 0.0211, 0)</f>
        <v>30.916499999999999</v>
      </c>
      <c r="D498" s="4">
        <f>45.488 * CHOOSE(CONTROL!$C$9, $C$13, 100%, $E$13) + CHOOSE(CONTROL!$C$28, 0.0021, 0)</f>
        <v>45.490099999999998</v>
      </c>
      <c r="E498" s="4">
        <f>207.044632920833 * CHOOSE(CONTROL!$C$9, $C$13, 100%, $E$13) + CHOOSE(CONTROL!$C$28, 0.0021, 0)</f>
        <v>207.04673292083302</v>
      </c>
    </row>
    <row r="499" spans="1:5" ht="15">
      <c r="A499" s="13">
        <v>56704</v>
      </c>
      <c r="B499" s="4">
        <f>33.1154 * CHOOSE(CONTROL!$C$9, $C$13, 100%, $E$13) + CHOOSE(CONTROL!$C$28, 0.0211, 0)</f>
        <v>33.136499999999998</v>
      </c>
      <c r="C499" s="4">
        <f>32.7521 * CHOOSE(CONTROL!$C$9, $C$13, 100%, $E$13) + CHOOSE(CONTROL!$C$28, 0.0211, 0)</f>
        <v>32.773199999999996</v>
      </c>
      <c r="D499" s="4">
        <f>47.8167 * CHOOSE(CONTROL!$C$9, $C$13, 100%, $E$13) + CHOOSE(CONTROL!$C$28, 0.0021, 0)</f>
        <v>47.818799999999996</v>
      </c>
      <c r="E499" s="4">
        <f>219.655035346807 * CHOOSE(CONTROL!$C$9, $C$13, 100%, $E$13) + CHOOSE(CONTROL!$C$28, 0.0021, 0)</f>
        <v>219.65713534680702</v>
      </c>
    </row>
    <row r="500" spans="1:5" ht="15">
      <c r="A500" s="13">
        <v>56734</v>
      </c>
      <c r="B500" s="4">
        <f>34.4347 * CHOOSE(CONTROL!$C$9, $C$13, 100%, $E$13) + CHOOSE(CONTROL!$C$28, 0.0211, 0)</f>
        <v>34.455799999999996</v>
      </c>
      <c r="C500" s="4">
        <f>34.0714 * CHOOSE(CONTROL!$C$9, $C$13, 100%, $E$13) + CHOOSE(CONTROL!$C$28, 0.0211, 0)</f>
        <v>34.092499999999994</v>
      </c>
      <c r="D500" s="4">
        <f>49.1581 * CHOOSE(CONTROL!$C$9, $C$13, 100%, $E$13) + CHOOSE(CONTROL!$C$28, 0.0021, 0)</f>
        <v>49.160199999999996</v>
      </c>
      <c r="E500" s="4">
        <f>228.614894326171 * CHOOSE(CONTROL!$C$9, $C$13, 100%, $E$13) + CHOOSE(CONTROL!$C$28, 0.0021, 0)</f>
        <v>228.61699432617101</v>
      </c>
    </row>
    <row r="501" spans="1:5" ht="15">
      <c r="A501" s="13">
        <v>56765</v>
      </c>
      <c r="B501" s="4">
        <f>35.2407 * CHOOSE(CONTROL!$C$9, $C$13, 100%, $E$13) + CHOOSE(CONTROL!$C$28, 0.0415, 0)</f>
        <v>35.282199999999996</v>
      </c>
      <c r="C501" s="4">
        <f>34.8774 * CHOOSE(CONTROL!$C$9, $C$13, 100%, $E$13) + CHOOSE(CONTROL!$C$28, 0.0415, 0)</f>
        <v>34.918900000000001</v>
      </c>
      <c r="D501" s="4">
        <f>48.628 * CHOOSE(CONTROL!$C$9, $C$13, 100%, $E$13) + CHOOSE(CONTROL!$C$28, 0.0021, 0)</f>
        <v>48.630099999999999</v>
      </c>
      <c r="E501" s="4">
        <f>234.089153424712 * CHOOSE(CONTROL!$C$9, $C$13, 100%, $E$13) + CHOOSE(CONTROL!$C$28, 0.0021, 0)</f>
        <v>234.09125342471202</v>
      </c>
    </row>
    <row r="502" spans="1:5" ht="15">
      <c r="A502" s="13">
        <v>56795</v>
      </c>
      <c r="B502" s="4">
        <f>35.3497 * CHOOSE(CONTROL!$C$9, $C$13, 100%, $E$13) + CHOOSE(CONTROL!$C$28, 0.0415, 0)</f>
        <v>35.391199999999998</v>
      </c>
      <c r="C502" s="4">
        <f>34.9865 * CHOOSE(CONTROL!$C$9, $C$13, 100%, $E$13) + CHOOSE(CONTROL!$C$28, 0.0415, 0)</f>
        <v>35.027999999999999</v>
      </c>
      <c r="D502" s="4">
        <f>49.0597 * CHOOSE(CONTROL!$C$9, $C$13, 100%, $E$13) + CHOOSE(CONTROL!$C$28, 0.0021, 0)</f>
        <v>49.061799999999998</v>
      </c>
      <c r="E502" s="4">
        <f>234.829843399386 * CHOOSE(CONTROL!$C$9, $C$13, 100%, $E$13) + CHOOSE(CONTROL!$C$28, 0.0021, 0)</f>
        <v>234.83194339938601</v>
      </c>
    </row>
    <row r="503" spans="1:5" ht="15">
      <c r="A503" s="13">
        <v>56826</v>
      </c>
      <c r="B503" s="4">
        <f>35.3388 * CHOOSE(CONTROL!$C$9, $C$13, 100%, $E$13) + CHOOSE(CONTROL!$C$28, 0.0415, 0)</f>
        <v>35.380299999999998</v>
      </c>
      <c r="C503" s="4">
        <f>34.9755 * CHOOSE(CONTROL!$C$9, $C$13, 100%, $E$13) + CHOOSE(CONTROL!$C$28, 0.0415, 0)</f>
        <v>35.016999999999996</v>
      </c>
      <c r="D503" s="4">
        <f>49.8387 * CHOOSE(CONTROL!$C$9, $C$13, 100%, $E$13) + CHOOSE(CONTROL!$C$28, 0.0021, 0)</f>
        <v>49.840800000000002</v>
      </c>
      <c r="E503" s="4">
        <f>234.755151973369 * CHOOSE(CONTROL!$C$9, $C$13, 100%, $E$13) + CHOOSE(CONTROL!$C$28, 0.0021, 0)</f>
        <v>234.75725197336902</v>
      </c>
    </row>
    <row r="504" spans="1:5" ht="15">
      <c r="A504" s="13">
        <v>56857</v>
      </c>
      <c r="B504" s="4">
        <f>36.1663 * CHOOSE(CONTROL!$C$9, $C$13, 100%, $E$13) + CHOOSE(CONTROL!$C$28, 0.0415, 0)</f>
        <v>36.207799999999999</v>
      </c>
      <c r="C504" s="4">
        <f>35.803 * CHOOSE(CONTROL!$C$9, $C$13, 100%, $E$13) + CHOOSE(CONTROL!$C$28, 0.0415, 0)</f>
        <v>35.844499999999996</v>
      </c>
      <c r="D504" s="4">
        <f>49.3242 * CHOOSE(CONTROL!$C$9, $C$13, 100%, $E$13) + CHOOSE(CONTROL!$C$28, 0.0021, 0)</f>
        <v>49.326299999999996</v>
      </c>
      <c r="E504" s="4">
        <f>240.375681781195 * CHOOSE(CONTROL!$C$9, $C$13, 100%, $E$13) + CHOOSE(CONTROL!$C$28, 0.0021, 0)</f>
        <v>240.37778178119501</v>
      </c>
    </row>
    <row r="505" spans="1:5" ht="15">
      <c r="A505" s="13">
        <v>56887</v>
      </c>
      <c r="B505" s="4">
        <f>34.7559 * CHOOSE(CONTROL!$C$9, $C$13, 100%, $E$13) + CHOOSE(CONTROL!$C$28, 0.0415, 0)</f>
        <v>34.797399999999996</v>
      </c>
      <c r="C505" s="4">
        <f>34.3926 * CHOOSE(CONTROL!$C$9, $C$13, 100%, $E$13) + CHOOSE(CONTROL!$C$28, 0.0415, 0)</f>
        <v>34.434100000000001</v>
      </c>
      <c r="D505" s="4">
        <f>49.0812 * CHOOSE(CONTROL!$C$9, $C$13, 100%, $E$13) + CHOOSE(CONTROL!$C$28, 0.0021, 0)</f>
        <v>49.083300000000001</v>
      </c>
      <c r="E505" s="4">
        <f>230.796506394435 * CHOOSE(CONTROL!$C$9, $C$13, 100%, $E$13) + CHOOSE(CONTROL!$C$28, 0.0021, 0)</f>
        <v>230.79860639443501</v>
      </c>
    </row>
    <row r="506" spans="1:5" ht="15">
      <c r="A506" s="13">
        <v>56918</v>
      </c>
      <c r="B506" s="4">
        <f>33.6268 * CHOOSE(CONTROL!$C$9, $C$13, 100%, $E$13) + CHOOSE(CONTROL!$C$28, 0.0211, 0)</f>
        <v>33.6479</v>
      </c>
      <c r="C506" s="4">
        <f>33.2635 * CHOOSE(CONTROL!$C$9, $C$13, 100%, $E$13) + CHOOSE(CONTROL!$C$28, 0.0211, 0)</f>
        <v>33.284599999999998</v>
      </c>
      <c r="D506" s="4">
        <f>48.4304 * CHOOSE(CONTROL!$C$9, $C$13, 100%, $E$13) + CHOOSE(CONTROL!$C$28, 0.0021, 0)</f>
        <v>48.432499999999997</v>
      </c>
      <c r="E506" s="4">
        <f>223.128186656627 * CHOOSE(CONTROL!$C$9, $C$13, 100%, $E$13) + CHOOSE(CONTROL!$C$28, 0.0021, 0)</f>
        <v>223.13028665662702</v>
      </c>
    </row>
    <row r="507" spans="1:5" ht="15">
      <c r="A507" s="13">
        <v>56948</v>
      </c>
      <c r="B507" s="4">
        <f>32.8996 * CHOOSE(CONTROL!$C$9, $C$13, 100%, $E$13) + CHOOSE(CONTROL!$C$28, 0.0211, 0)</f>
        <v>32.920699999999997</v>
      </c>
      <c r="C507" s="4">
        <f>32.5363 * CHOOSE(CONTROL!$C$9, $C$13, 100%, $E$13) + CHOOSE(CONTROL!$C$28, 0.0211, 0)</f>
        <v>32.557399999999994</v>
      </c>
      <c r="D507" s="4">
        <f>48.2067 * CHOOSE(CONTROL!$C$9, $C$13, 100%, $E$13) + CHOOSE(CONTROL!$C$28, 0.0021, 0)</f>
        <v>48.208799999999997</v>
      </c>
      <c r="E507" s="4">
        <f>218.189216111212 * CHOOSE(CONTROL!$C$9, $C$13, 100%, $E$13) + CHOOSE(CONTROL!$C$28, 0.0021, 0)</f>
        <v>218.19131611121202</v>
      </c>
    </row>
    <row r="508" spans="1:5" ht="15">
      <c r="A508" s="13">
        <v>56979</v>
      </c>
      <c r="B508" s="4">
        <f>32.3964 * CHOOSE(CONTROL!$C$9, $C$13, 100%, $E$13) + CHOOSE(CONTROL!$C$28, 0.0211, 0)</f>
        <v>32.417499999999997</v>
      </c>
      <c r="C508" s="4">
        <f>32.0332 * CHOOSE(CONTROL!$C$9, $C$13, 100%, $E$13) + CHOOSE(CONTROL!$C$28, 0.0211, 0)</f>
        <v>32.054299999999998</v>
      </c>
      <c r="D508" s="4">
        <f>46.5595 * CHOOSE(CONTROL!$C$9, $C$13, 100%, $E$13) + CHOOSE(CONTROL!$C$28, 0.0021, 0)</f>
        <v>46.561599999999999</v>
      </c>
      <c r="E508" s="4">
        <f>214.772083370906 * CHOOSE(CONTROL!$C$9, $C$13, 100%, $E$13) + CHOOSE(CONTROL!$C$28, 0.0021, 0)</f>
        <v>214.774183370906</v>
      </c>
    </row>
    <row r="509" spans="1:5" ht="15">
      <c r="A509" s="13">
        <v>57010</v>
      </c>
      <c r="B509" s="4">
        <f>31.0199 * CHOOSE(CONTROL!$C$9, $C$13, 100%, $E$13) + CHOOSE(CONTROL!$C$28, 0.0211, 0)</f>
        <v>31.041</v>
      </c>
      <c r="C509" s="4">
        <f>30.6566 * CHOOSE(CONTROL!$C$9, $C$13, 100%, $E$13) + CHOOSE(CONTROL!$C$28, 0.0211, 0)</f>
        <v>30.677700000000002</v>
      </c>
      <c r="D509" s="4">
        <f>44.7451 * CHOOSE(CONTROL!$C$9, $C$13, 100%, $E$13) + CHOOSE(CONTROL!$C$28, 0.0021, 0)</f>
        <v>44.747199999999999</v>
      </c>
      <c r="E509" s="4">
        <f>205.82595339145 * CHOOSE(CONTROL!$C$9, $C$13, 100%, $E$13) + CHOOSE(CONTROL!$C$28, 0.0021, 0)</f>
        <v>205.82805339145003</v>
      </c>
    </row>
    <row r="510" spans="1:5" ht="15">
      <c r="A510" s="13">
        <v>57038</v>
      </c>
      <c r="B510" s="4">
        <f>31.738 * CHOOSE(CONTROL!$C$9, $C$13, 100%, $E$13) + CHOOSE(CONTROL!$C$28, 0.0211, 0)</f>
        <v>31.7591</v>
      </c>
      <c r="C510" s="4">
        <f>31.3748 * CHOOSE(CONTROL!$C$9, $C$13, 100%, $E$13) + CHOOSE(CONTROL!$C$28, 0.0211, 0)</f>
        <v>31.395900000000001</v>
      </c>
      <c r="D510" s="4">
        <f>46.259 * CHOOSE(CONTROL!$C$9, $C$13, 100%, $E$13) + CHOOSE(CONTROL!$C$28, 0.0021, 0)</f>
        <v>46.261099999999999</v>
      </c>
      <c r="E510" s="4">
        <f>210.713072666406 * CHOOSE(CONTROL!$C$9, $C$13, 100%, $E$13) + CHOOSE(CONTROL!$C$28, 0.0021, 0)</f>
        <v>210.715172666406</v>
      </c>
    </row>
    <row r="511" spans="1:5" ht="15">
      <c r="A511" s="13">
        <v>57070</v>
      </c>
      <c r="B511" s="4">
        <f>33.624 * CHOOSE(CONTROL!$C$9, $C$13, 100%, $E$13) + CHOOSE(CONTROL!$C$28, 0.0211, 0)</f>
        <v>33.645099999999999</v>
      </c>
      <c r="C511" s="4">
        <f>33.2607 * CHOOSE(CONTROL!$C$9, $C$13, 100%, $E$13) + CHOOSE(CONTROL!$C$28, 0.0211, 0)</f>
        <v>33.281799999999997</v>
      </c>
      <c r="D511" s="4">
        <f>48.6288 * CHOOSE(CONTROL!$C$9, $C$13, 100%, $E$13) + CHOOSE(CONTROL!$C$28, 0.0021, 0)</f>
        <v>48.630899999999997</v>
      </c>
      <c r="E511" s="4">
        <f>223.546907599732 * CHOOSE(CONTROL!$C$9, $C$13, 100%, $E$13) + CHOOSE(CONTROL!$C$28, 0.0021, 0)</f>
        <v>223.54900759973202</v>
      </c>
    </row>
    <row r="512" spans="1:5" ht="15">
      <c r="A512" s="13">
        <v>57100</v>
      </c>
      <c r="B512" s="4">
        <f>34.964 * CHOOSE(CONTROL!$C$9, $C$13, 100%, $E$13) + CHOOSE(CONTROL!$C$28, 0.0211, 0)</f>
        <v>34.985099999999996</v>
      </c>
      <c r="C512" s="4">
        <f>34.6007 * CHOOSE(CONTROL!$C$9, $C$13, 100%, $E$13) + CHOOSE(CONTROL!$C$28, 0.0211, 0)</f>
        <v>34.6218</v>
      </c>
      <c r="D512" s="4">
        <f>49.9939 * CHOOSE(CONTROL!$C$9, $C$13, 100%, $E$13) + CHOOSE(CONTROL!$C$28, 0.0021, 0)</f>
        <v>49.995999999999995</v>
      </c>
      <c r="E512" s="4">
        <f>232.665518353198 * CHOOSE(CONTROL!$C$9, $C$13, 100%, $E$13) + CHOOSE(CONTROL!$C$28, 0.0021, 0)</f>
        <v>232.66761835319801</v>
      </c>
    </row>
    <row r="513" spans="1:5" ht="15">
      <c r="A513" s="13">
        <v>57131</v>
      </c>
      <c r="B513" s="4">
        <f>35.7827 * CHOOSE(CONTROL!$C$9, $C$13, 100%, $E$13) + CHOOSE(CONTROL!$C$28, 0.0415, 0)</f>
        <v>35.824199999999998</v>
      </c>
      <c r="C513" s="4">
        <f>35.4194 * CHOOSE(CONTROL!$C$9, $C$13, 100%, $E$13) + CHOOSE(CONTROL!$C$28, 0.0415, 0)</f>
        <v>35.460900000000002</v>
      </c>
      <c r="D513" s="4">
        <f>49.4545 * CHOOSE(CONTROL!$C$9, $C$13, 100%, $E$13) + CHOOSE(CONTROL!$C$28, 0.0021, 0)</f>
        <v>49.456600000000002</v>
      </c>
      <c r="E513" s="4">
        <f>238.236770980967 * CHOOSE(CONTROL!$C$9, $C$13, 100%, $E$13) + CHOOSE(CONTROL!$C$28, 0.0021, 0)</f>
        <v>238.23887098096702</v>
      </c>
    </row>
    <row r="514" spans="1:5" ht="15">
      <c r="A514" s="13">
        <v>57161</v>
      </c>
      <c r="B514" s="4">
        <f>35.8935 * CHOOSE(CONTROL!$C$9, $C$13, 100%, $E$13) + CHOOSE(CONTROL!$C$28, 0.0415, 0)</f>
        <v>35.935000000000002</v>
      </c>
      <c r="C514" s="4">
        <f>35.5302 * CHOOSE(CONTROL!$C$9, $C$13, 100%, $E$13) + CHOOSE(CONTROL!$C$28, 0.0415, 0)</f>
        <v>35.5717</v>
      </c>
      <c r="D514" s="4">
        <f>49.8938 * CHOOSE(CONTROL!$C$9, $C$13, 100%, $E$13) + CHOOSE(CONTROL!$C$28, 0.0021, 0)</f>
        <v>49.895899999999997</v>
      </c>
      <c r="E514" s="4">
        <f>238.990584582677 * CHOOSE(CONTROL!$C$9, $C$13, 100%, $E$13) + CHOOSE(CONTROL!$C$28, 0.0021, 0)</f>
        <v>238.99268458267701</v>
      </c>
    </row>
    <row r="515" spans="1:5" ht="15">
      <c r="A515" s="13">
        <v>57192</v>
      </c>
      <c r="B515" s="4">
        <f>35.8823 * CHOOSE(CONTROL!$C$9, $C$13, 100%, $E$13) + CHOOSE(CONTROL!$C$28, 0.0415, 0)</f>
        <v>35.9238</v>
      </c>
      <c r="C515" s="4">
        <f>35.519 * CHOOSE(CONTROL!$C$9, $C$13, 100%, $E$13) + CHOOSE(CONTROL!$C$28, 0.0415, 0)</f>
        <v>35.560499999999998</v>
      </c>
      <c r="D515" s="4">
        <f>50.6865 * CHOOSE(CONTROL!$C$9, $C$13, 100%, $E$13) + CHOOSE(CONTROL!$C$28, 0.0021, 0)</f>
        <v>50.688600000000001</v>
      </c>
      <c r="E515" s="4">
        <f>238.914569765698 * CHOOSE(CONTROL!$C$9, $C$13, 100%, $E$13) + CHOOSE(CONTROL!$C$28, 0.0021, 0)</f>
        <v>238.916669765698</v>
      </c>
    </row>
    <row r="516" spans="1:5" ht="15">
      <c r="A516" s="13">
        <v>57223</v>
      </c>
      <c r="B516" s="4">
        <f>36.7229 * CHOOSE(CONTROL!$C$9, $C$13, 100%, $E$13) + CHOOSE(CONTROL!$C$28, 0.0415, 0)</f>
        <v>36.764400000000002</v>
      </c>
      <c r="C516" s="4">
        <f>36.3596 * CHOOSE(CONTROL!$C$9, $C$13, 100%, $E$13) + CHOOSE(CONTROL!$C$28, 0.0415, 0)</f>
        <v>36.4011</v>
      </c>
      <c r="D516" s="4">
        <f>50.163 * CHOOSE(CONTROL!$C$9, $C$13, 100%, $E$13) + CHOOSE(CONTROL!$C$28, 0.0021, 0)</f>
        <v>50.165099999999995</v>
      </c>
      <c r="E516" s="4">
        <f>244.634684743384 * CHOOSE(CONTROL!$C$9, $C$13, 100%, $E$13) + CHOOSE(CONTROL!$C$28, 0.0021, 0)</f>
        <v>244.63678474338403</v>
      </c>
    </row>
    <row r="517" spans="1:5" ht="15">
      <c r="A517" s="13">
        <v>57253</v>
      </c>
      <c r="B517" s="4">
        <f>35.2903 * CHOOSE(CONTROL!$C$9, $C$13, 100%, $E$13) + CHOOSE(CONTROL!$C$28, 0.0415, 0)</f>
        <v>35.331800000000001</v>
      </c>
      <c r="C517" s="4">
        <f>34.927 * CHOOSE(CONTROL!$C$9, $C$13, 100%, $E$13) + CHOOSE(CONTROL!$C$28, 0.0415, 0)</f>
        <v>34.968499999999999</v>
      </c>
      <c r="D517" s="4">
        <f>49.9157 * CHOOSE(CONTROL!$C$9, $C$13, 100%, $E$13) + CHOOSE(CONTROL!$C$28, 0.0021, 0)</f>
        <v>49.9178</v>
      </c>
      <c r="E517" s="4">
        <f>234.885784465799 * CHOOSE(CONTROL!$C$9, $C$13, 100%, $E$13) + CHOOSE(CONTROL!$C$28, 0.0021, 0)</f>
        <v>234.887884465799</v>
      </c>
    </row>
    <row r="518" spans="1:5" ht="15">
      <c r="A518" s="13">
        <v>57284</v>
      </c>
      <c r="B518" s="4">
        <f>34.1434 * CHOOSE(CONTROL!$C$9, $C$13, 100%, $E$13) + CHOOSE(CONTROL!$C$28, 0.0211, 0)</f>
        <v>34.164499999999997</v>
      </c>
      <c r="C518" s="4">
        <f>33.7801 * CHOOSE(CONTROL!$C$9, $C$13, 100%, $E$13) + CHOOSE(CONTROL!$C$28, 0.0211, 0)</f>
        <v>33.801199999999994</v>
      </c>
      <c r="D518" s="4">
        <f>49.2534 * CHOOSE(CONTROL!$C$9, $C$13, 100%, $E$13) + CHOOSE(CONTROL!$C$28, 0.0021, 0)</f>
        <v>49.255499999999998</v>
      </c>
      <c r="E518" s="4">
        <f>227.081596589266 * CHOOSE(CONTROL!$C$9, $C$13, 100%, $E$13) + CHOOSE(CONTROL!$C$28, 0.0021, 0)</f>
        <v>227.08369658926603</v>
      </c>
    </row>
    <row r="519" spans="1:5" ht="15">
      <c r="A519" s="13">
        <v>57314</v>
      </c>
      <c r="B519" s="4">
        <f>33.4048 * CHOOSE(CONTROL!$C$9, $C$13, 100%, $E$13) + CHOOSE(CONTROL!$C$28, 0.0211, 0)</f>
        <v>33.425899999999999</v>
      </c>
      <c r="C519" s="4">
        <f>33.0415 * CHOOSE(CONTROL!$C$9, $C$13, 100%, $E$13) + CHOOSE(CONTROL!$C$28, 0.0211, 0)</f>
        <v>33.062599999999996</v>
      </c>
      <c r="D519" s="4">
        <f>49.0257 * CHOOSE(CONTROL!$C$9, $C$13, 100%, $E$13) + CHOOSE(CONTROL!$C$28, 0.0021, 0)</f>
        <v>49.027799999999999</v>
      </c>
      <c r="E519" s="4">
        <f>222.055116816514 * CHOOSE(CONTROL!$C$9, $C$13, 100%, $E$13) + CHOOSE(CONTROL!$C$28, 0.0021, 0)</f>
        <v>222.057216816514</v>
      </c>
    </row>
    <row r="520" spans="1:5" ht="15">
      <c r="A520" s="13">
        <v>57345</v>
      </c>
      <c r="B520" s="4">
        <f>32.8937 * CHOOSE(CONTROL!$C$9, $C$13, 100%, $E$13) + CHOOSE(CONTROL!$C$28, 0.0211, 0)</f>
        <v>32.9148</v>
      </c>
      <c r="C520" s="4">
        <f>32.5304 * CHOOSE(CONTROL!$C$9, $C$13, 100%, $E$13) + CHOOSE(CONTROL!$C$28, 0.0211, 0)</f>
        <v>32.551499999999997</v>
      </c>
      <c r="D520" s="4">
        <f>47.3495 * CHOOSE(CONTROL!$C$9, $C$13, 100%, $E$13) + CHOOSE(CONTROL!$C$28, 0.0021, 0)</f>
        <v>47.351599999999998</v>
      </c>
      <c r="E520" s="4">
        <f>218.577438939715 * CHOOSE(CONTROL!$C$9, $C$13, 100%, $E$13) + CHOOSE(CONTROL!$C$28, 0.0021, 0)</f>
        <v>218.57953893971501</v>
      </c>
    </row>
    <row r="521" spans="1:5" ht="15">
      <c r="A521" s="13">
        <v>57376</v>
      </c>
      <c r="B521" s="4">
        <f>31.4955 * CHOOSE(CONTROL!$C$9, $C$13, 100%, $E$13) + CHOOSE(CONTROL!$C$28, 0.0211, 0)</f>
        <v>31.5166</v>
      </c>
      <c r="C521" s="4">
        <f>31.1322 * CHOOSE(CONTROL!$C$9, $C$13, 100%, $E$13) + CHOOSE(CONTROL!$C$28, 0.0211, 0)</f>
        <v>31.153300000000002</v>
      </c>
      <c r="D521" s="4">
        <f>45.5029 * CHOOSE(CONTROL!$C$9, $C$13, 100%, $E$13) + CHOOSE(CONTROL!$C$28, 0.0021, 0)</f>
        <v>45.504999999999995</v>
      </c>
      <c r="E521" s="4">
        <f>209.472800438098 * CHOOSE(CONTROL!$C$9, $C$13, 100%, $E$13) + CHOOSE(CONTROL!$C$28, 0.0021, 0)</f>
        <v>209.47490043809802</v>
      </c>
    </row>
    <row r="522" spans="1:5" ht="15">
      <c r="A522" s="13">
        <v>57404</v>
      </c>
      <c r="B522" s="4">
        <f>32.225 * CHOOSE(CONTROL!$C$9, $C$13, 100%, $E$13) + CHOOSE(CONTROL!$C$28, 0.0211, 0)</f>
        <v>32.246099999999998</v>
      </c>
      <c r="C522" s="4">
        <f>31.8617 * CHOOSE(CONTROL!$C$9, $C$13, 100%, $E$13) + CHOOSE(CONTROL!$C$28, 0.0211, 0)</f>
        <v>31.8828</v>
      </c>
      <c r="D522" s="4">
        <f>47.0436 * CHOOSE(CONTROL!$C$9, $C$13, 100%, $E$13) + CHOOSE(CONTROL!$C$28, 0.0021, 0)</f>
        <v>47.045699999999997</v>
      </c>
      <c r="E522" s="4">
        <f>214.446510233836 * CHOOSE(CONTROL!$C$9, $C$13, 100%, $E$13) + CHOOSE(CONTROL!$C$28, 0.0021, 0)</f>
        <v>214.44861023383601</v>
      </c>
    </row>
    <row r="523" spans="1:5" ht="15">
      <c r="A523" s="13">
        <v>57435</v>
      </c>
      <c r="B523" s="4">
        <f>34.1406 * CHOOSE(CONTROL!$C$9, $C$13, 100%, $E$13) + CHOOSE(CONTROL!$C$28, 0.0211, 0)</f>
        <v>34.161699999999996</v>
      </c>
      <c r="C523" s="4">
        <f>33.7773 * CHOOSE(CONTROL!$C$9, $C$13, 100%, $E$13) + CHOOSE(CONTROL!$C$28, 0.0211, 0)</f>
        <v>33.798399999999994</v>
      </c>
      <c r="D523" s="4">
        <f>49.4553 * CHOOSE(CONTROL!$C$9, $C$13, 100%, $E$13) + CHOOSE(CONTROL!$C$28, 0.0021, 0)</f>
        <v>49.4574</v>
      </c>
      <c r="E523" s="4">
        <f>227.507736476433 * CHOOSE(CONTROL!$C$9, $C$13, 100%, $E$13) + CHOOSE(CONTROL!$C$28, 0.0021, 0)</f>
        <v>227.50983647643301</v>
      </c>
    </row>
    <row r="524" spans="1:5" ht="15">
      <c r="A524" s="13">
        <v>57465</v>
      </c>
      <c r="B524" s="4">
        <f>35.5016 * CHOOSE(CONTROL!$C$9, $C$13, 100%, $E$13) + CHOOSE(CONTROL!$C$28, 0.0211, 0)</f>
        <v>35.5227</v>
      </c>
      <c r="C524" s="4">
        <f>35.1383 * CHOOSE(CONTROL!$C$9, $C$13, 100%, $E$13) + CHOOSE(CONTROL!$C$28, 0.0211, 0)</f>
        <v>35.159399999999998</v>
      </c>
      <c r="D524" s="4">
        <f>50.8445 * CHOOSE(CONTROL!$C$9, $C$13, 100%, $E$13) + CHOOSE(CONTROL!$C$28, 0.0021, 0)</f>
        <v>50.846599999999995</v>
      </c>
      <c r="E524" s="4">
        <f>236.787911785524 * CHOOSE(CONTROL!$C$9, $C$13, 100%, $E$13) + CHOOSE(CONTROL!$C$28, 0.0021, 0)</f>
        <v>236.790011785524</v>
      </c>
    </row>
    <row r="525" spans="1:5" ht="15">
      <c r="A525" s="13">
        <v>57496</v>
      </c>
      <c r="B525" s="4">
        <f>36.3332 * CHOOSE(CONTROL!$C$9, $C$13, 100%, $E$13) + CHOOSE(CONTROL!$C$28, 0.0415, 0)</f>
        <v>36.374699999999997</v>
      </c>
      <c r="C525" s="4">
        <f>35.9699 * CHOOSE(CONTROL!$C$9, $C$13, 100%, $E$13) + CHOOSE(CONTROL!$C$28, 0.0415, 0)</f>
        <v>36.011400000000002</v>
      </c>
      <c r="D525" s="4">
        <f>50.2955 * CHOOSE(CONTROL!$C$9, $C$13, 100%, $E$13) + CHOOSE(CONTROL!$C$28, 0.0021, 0)</f>
        <v>50.297599999999996</v>
      </c>
      <c r="E525" s="4">
        <f>242.457876484618 * CHOOSE(CONTROL!$C$9, $C$13, 100%, $E$13) + CHOOSE(CONTROL!$C$28, 0.0021, 0)</f>
        <v>242.45997648461801</v>
      </c>
    </row>
    <row r="526" spans="1:5" ht="15">
      <c r="A526" s="13">
        <v>57526</v>
      </c>
      <c r="B526" s="4">
        <f>36.4457 * CHOOSE(CONTROL!$C$9, $C$13, 100%, $E$13) + CHOOSE(CONTROL!$C$28, 0.0415, 0)</f>
        <v>36.487200000000001</v>
      </c>
      <c r="C526" s="4">
        <f>36.0824 * CHOOSE(CONTROL!$C$9, $C$13, 100%, $E$13) + CHOOSE(CONTROL!$C$28, 0.0415, 0)</f>
        <v>36.123899999999999</v>
      </c>
      <c r="D526" s="4">
        <f>50.7426 * CHOOSE(CONTROL!$C$9, $C$13, 100%, $E$13) + CHOOSE(CONTROL!$C$28, 0.0021, 0)</f>
        <v>50.744700000000002</v>
      </c>
      <c r="E526" s="4">
        <f>243.225046239242 * CHOOSE(CONTROL!$C$9, $C$13, 100%, $E$13) + CHOOSE(CONTROL!$C$28, 0.0021, 0)</f>
        <v>243.22714623924202</v>
      </c>
    </row>
    <row r="527" spans="1:5" ht="15">
      <c r="A527" s="13">
        <v>57557</v>
      </c>
      <c r="B527" s="4">
        <f>36.4344 * CHOOSE(CONTROL!$C$9, $C$13, 100%, $E$13) + CHOOSE(CONTROL!$C$28, 0.0415, 0)</f>
        <v>36.475899999999996</v>
      </c>
      <c r="C527" s="4">
        <f>36.0711 * CHOOSE(CONTROL!$C$9, $C$13, 100%, $E$13) + CHOOSE(CONTROL!$C$28, 0.0415, 0)</f>
        <v>36.1126</v>
      </c>
      <c r="D527" s="4">
        <f>51.5493 * CHOOSE(CONTROL!$C$9, $C$13, 100%, $E$13) + CHOOSE(CONTROL!$C$28, 0.0021, 0)</f>
        <v>51.551400000000001</v>
      </c>
      <c r="E527" s="4">
        <f>243.147684583314 * CHOOSE(CONTROL!$C$9, $C$13, 100%, $E$13) + CHOOSE(CONTROL!$C$28, 0.0021, 0)</f>
        <v>243.14978458331402</v>
      </c>
    </row>
    <row r="528" spans="1:5" ht="15">
      <c r="A528" s="13">
        <v>57588</v>
      </c>
      <c r="B528" s="4">
        <f>37.2882 * CHOOSE(CONTROL!$C$9, $C$13, 100%, $E$13) + CHOOSE(CONTROL!$C$28, 0.0415, 0)</f>
        <v>37.329700000000003</v>
      </c>
      <c r="C528" s="4">
        <f>36.9249 * CHOOSE(CONTROL!$C$9, $C$13, 100%, $E$13) + CHOOSE(CONTROL!$C$28, 0.0415, 0)</f>
        <v>36.9664</v>
      </c>
      <c r="D528" s="4">
        <f>51.0166 * CHOOSE(CONTROL!$C$9, $C$13, 100%, $E$13) + CHOOSE(CONTROL!$C$28, 0.0021, 0)</f>
        <v>51.018699999999995</v>
      </c>
      <c r="E528" s="4">
        <f>248.969149191934 * CHOOSE(CONTROL!$C$9, $C$13, 100%, $E$13) + CHOOSE(CONTROL!$C$28, 0.0021, 0)</f>
        <v>248.97124919193402</v>
      </c>
    </row>
    <row r="529" spans="1:5" ht="15">
      <c r="A529" s="13">
        <v>57618</v>
      </c>
      <c r="B529" s="4">
        <f>35.833 * CHOOSE(CONTROL!$C$9, $C$13, 100%, $E$13) + CHOOSE(CONTROL!$C$28, 0.0415, 0)</f>
        <v>35.874499999999998</v>
      </c>
      <c r="C529" s="4">
        <f>35.4697 * CHOOSE(CONTROL!$C$9, $C$13, 100%, $E$13) + CHOOSE(CONTROL!$C$28, 0.0415, 0)</f>
        <v>35.511200000000002</v>
      </c>
      <c r="D529" s="4">
        <f>50.7649 * CHOOSE(CONTROL!$C$9, $C$13, 100%, $E$13) + CHOOSE(CONTROL!$C$28, 0.0021, 0)</f>
        <v>50.766999999999996</v>
      </c>
      <c r="E529" s="4">
        <f>239.047516819103 * CHOOSE(CONTROL!$C$9, $C$13, 100%, $E$13) + CHOOSE(CONTROL!$C$28, 0.0021, 0)</f>
        <v>239.04961681910302</v>
      </c>
    </row>
    <row r="530" spans="1:5" ht="15">
      <c r="A530" s="13">
        <v>57649</v>
      </c>
      <c r="B530" s="4">
        <f>34.6682 * CHOOSE(CONTROL!$C$9, $C$13, 100%, $E$13) + CHOOSE(CONTROL!$C$28, 0.0211, 0)</f>
        <v>34.689299999999996</v>
      </c>
      <c r="C530" s="4">
        <f>34.3049 * CHOOSE(CONTROL!$C$9, $C$13, 100%, $E$13) + CHOOSE(CONTROL!$C$28, 0.0211, 0)</f>
        <v>34.326000000000001</v>
      </c>
      <c r="D530" s="4">
        <f>50.0909 * CHOOSE(CONTROL!$C$9, $C$13, 100%, $E$13) + CHOOSE(CONTROL!$C$28, 0.0021, 0)</f>
        <v>50.092999999999996</v>
      </c>
      <c r="E530" s="4">
        <f>231.105053477109 * CHOOSE(CONTROL!$C$9, $C$13, 100%, $E$13) + CHOOSE(CONTROL!$C$28, 0.0021, 0)</f>
        <v>231.10715347710902</v>
      </c>
    </row>
    <row r="531" spans="1:5" ht="15">
      <c r="A531" s="13">
        <v>57679</v>
      </c>
      <c r="B531" s="4">
        <f>33.9179 * CHOOSE(CONTROL!$C$9, $C$13, 100%, $E$13) + CHOOSE(CONTROL!$C$28, 0.0211, 0)</f>
        <v>33.939</v>
      </c>
      <c r="C531" s="4">
        <f>33.5546 * CHOOSE(CONTROL!$C$9, $C$13, 100%, $E$13) + CHOOSE(CONTROL!$C$28, 0.0211, 0)</f>
        <v>33.575699999999998</v>
      </c>
      <c r="D531" s="4">
        <f>49.8592 * CHOOSE(CONTROL!$C$9, $C$13, 100%, $E$13) + CHOOSE(CONTROL!$C$28, 0.0021, 0)</f>
        <v>49.8613</v>
      </c>
      <c r="E531" s="4">
        <f>225.989513978836 * CHOOSE(CONTROL!$C$9, $C$13, 100%, $E$13) + CHOOSE(CONTROL!$C$28, 0.0021, 0)</f>
        <v>225.991613978836</v>
      </c>
    </row>
    <row r="532" spans="1:5" ht="15">
      <c r="A532" s="13">
        <v>57710</v>
      </c>
      <c r="B532" s="4">
        <f>33.3988 * CHOOSE(CONTROL!$C$9, $C$13, 100%, $E$13) + CHOOSE(CONTROL!$C$28, 0.0211, 0)</f>
        <v>33.419899999999998</v>
      </c>
      <c r="C532" s="4">
        <f>33.0355 * CHOOSE(CONTROL!$C$9, $C$13, 100%, $E$13) + CHOOSE(CONTROL!$C$28, 0.0211, 0)</f>
        <v>33.056599999999996</v>
      </c>
      <c r="D532" s="4">
        <f>48.1533 * CHOOSE(CONTROL!$C$9, $C$13, 100%, $E$13) + CHOOSE(CONTROL!$C$28, 0.0021, 0)</f>
        <v>48.1554</v>
      </c>
      <c r="E532" s="4">
        <f>222.450218220106 * CHOOSE(CONTROL!$C$9, $C$13, 100%, $E$13) + CHOOSE(CONTROL!$C$28, 0.0021, 0)</f>
        <v>222.45231822010601</v>
      </c>
    </row>
    <row r="533" spans="1:5" ht="15">
      <c r="A533" s="13">
        <v>57741</v>
      </c>
      <c r="B533" s="4">
        <f>31.9786 * CHOOSE(CONTROL!$C$9, $C$13, 100%, $E$13) + CHOOSE(CONTROL!$C$28, 0.0211, 0)</f>
        <v>31.999700000000001</v>
      </c>
      <c r="C533" s="4">
        <f>31.6153 * CHOOSE(CONTROL!$C$9, $C$13, 100%, $E$13) + CHOOSE(CONTROL!$C$28, 0.0211, 0)</f>
        <v>31.636400000000002</v>
      </c>
      <c r="D533" s="4">
        <f>46.2742 * CHOOSE(CONTROL!$C$9, $C$13, 100%, $E$13) + CHOOSE(CONTROL!$C$28, 0.0021, 0)</f>
        <v>46.276299999999999</v>
      </c>
      <c r="E533" s="4">
        <f>213.184262724771 * CHOOSE(CONTROL!$C$9, $C$13, 100%, $E$13) + CHOOSE(CONTROL!$C$28, 0.0021, 0)</f>
        <v>213.18636272477102</v>
      </c>
    </row>
    <row r="534" spans="1:5" ht="15">
      <c r="A534" s="13">
        <v>57769</v>
      </c>
      <c r="B534" s="4">
        <f>32.7195 * CHOOSE(CONTROL!$C$9, $C$13, 100%, $E$13) + CHOOSE(CONTROL!$C$28, 0.0211, 0)</f>
        <v>32.740599999999993</v>
      </c>
      <c r="C534" s="4">
        <f>32.3562 * CHOOSE(CONTROL!$C$9, $C$13, 100%, $E$13) + CHOOSE(CONTROL!$C$28, 0.0211, 0)</f>
        <v>32.377299999999998</v>
      </c>
      <c r="D534" s="4">
        <f>47.842 * CHOOSE(CONTROL!$C$9, $C$13, 100%, $E$13) + CHOOSE(CONTROL!$C$28, 0.0021, 0)</f>
        <v>47.844099999999997</v>
      </c>
      <c r="E534" s="4">
        <f>218.24609726173 * CHOOSE(CONTROL!$C$9, $C$13, 100%, $E$13) + CHOOSE(CONTROL!$C$28, 0.0021, 0)</f>
        <v>218.24819726173001</v>
      </c>
    </row>
    <row r="535" spans="1:5" ht="15">
      <c r="A535" s="13">
        <v>57800</v>
      </c>
      <c r="B535" s="4">
        <f>34.6653 * CHOOSE(CONTROL!$C$9, $C$13, 100%, $E$13) + CHOOSE(CONTROL!$C$28, 0.0211, 0)</f>
        <v>34.686399999999999</v>
      </c>
      <c r="C535" s="4">
        <f>34.302 * CHOOSE(CONTROL!$C$9, $C$13, 100%, $E$13) + CHOOSE(CONTROL!$C$28, 0.0211, 0)</f>
        <v>34.323099999999997</v>
      </c>
      <c r="D535" s="4">
        <f>50.2963 * CHOOSE(CONTROL!$C$9, $C$13, 100%, $E$13) + CHOOSE(CONTROL!$C$28, 0.0021, 0)</f>
        <v>50.298400000000001</v>
      </c>
      <c r="E535" s="4">
        <f>231.538743758011 * CHOOSE(CONTROL!$C$9, $C$13, 100%, $E$13) + CHOOSE(CONTROL!$C$28, 0.0021, 0)</f>
        <v>231.54084375801102</v>
      </c>
    </row>
    <row r="536" spans="1:5" ht="15">
      <c r="A536" s="13">
        <v>57830</v>
      </c>
      <c r="B536" s="4">
        <f>36.0477 * CHOOSE(CONTROL!$C$9, $C$13, 100%, $E$13) + CHOOSE(CONTROL!$C$28, 0.0211, 0)</f>
        <v>36.068799999999996</v>
      </c>
      <c r="C536" s="4">
        <f>35.6844 * CHOOSE(CONTROL!$C$9, $C$13, 100%, $E$13) + CHOOSE(CONTROL!$C$28, 0.0211, 0)</f>
        <v>35.705499999999994</v>
      </c>
      <c r="D536" s="4">
        <f>51.7101 * CHOOSE(CONTROL!$C$9, $C$13, 100%, $E$13) + CHOOSE(CONTROL!$C$28, 0.0021, 0)</f>
        <v>51.712199999999996</v>
      </c>
      <c r="E536" s="4">
        <f>240.983346241424 * CHOOSE(CONTROL!$C$9, $C$13, 100%, $E$13) + CHOOSE(CONTROL!$C$28, 0.0021, 0)</f>
        <v>240.985446241424</v>
      </c>
    </row>
    <row r="537" spans="1:5" ht="15">
      <c r="A537" s="13">
        <v>57861</v>
      </c>
      <c r="B537" s="4">
        <f>36.8924 * CHOOSE(CONTROL!$C$9, $C$13, 100%, $E$13) + CHOOSE(CONTROL!$C$28, 0.0415, 0)</f>
        <v>36.933900000000001</v>
      </c>
      <c r="C537" s="4">
        <f>36.5291 * CHOOSE(CONTROL!$C$9, $C$13, 100%, $E$13) + CHOOSE(CONTROL!$C$28, 0.0415, 0)</f>
        <v>36.570599999999999</v>
      </c>
      <c r="D537" s="4">
        <f>51.1515 * CHOOSE(CONTROL!$C$9, $C$13, 100%, $E$13) + CHOOSE(CONTROL!$C$28, 0.0021, 0)</f>
        <v>51.153599999999997</v>
      </c>
      <c r="E537" s="4">
        <f>246.753772003259 * CHOOSE(CONTROL!$C$9, $C$13, 100%, $E$13) + CHOOSE(CONTROL!$C$28, 0.0021, 0)</f>
        <v>246.75587200325901</v>
      </c>
    </row>
    <row r="538" spans="1:5" ht="15">
      <c r="A538" s="13">
        <v>57891</v>
      </c>
      <c r="B538" s="4">
        <f>37.0067 * CHOOSE(CONTROL!$C$9, $C$13, 100%, $E$13) + CHOOSE(CONTROL!$C$28, 0.0415, 0)</f>
        <v>37.048200000000001</v>
      </c>
      <c r="C538" s="4">
        <f>36.6434 * CHOOSE(CONTROL!$C$9, $C$13, 100%, $E$13) + CHOOSE(CONTROL!$C$28, 0.0415, 0)</f>
        <v>36.684899999999999</v>
      </c>
      <c r="D538" s="4">
        <f>51.6064 * CHOOSE(CONTROL!$C$9, $C$13, 100%, $E$13) + CHOOSE(CONTROL!$C$28, 0.0021, 0)</f>
        <v>51.608499999999999</v>
      </c>
      <c r="E538" s="4">
        <f>247.534534556595 * CHOOSE(CONTROL!$C$9, $C$13, 100%, $E$13) + CHOOSE(CONTROL!$C$28, 0.0021, 0)</f>
        <v>247.536634556595</v>
      </c>
    </row>
    <row r="539" spans="1:5" ht="15">
      <c r="A539" s="13">
        <v>57922</v>
      </c>
      <c r="B539" s="4">
        <f>36.9951 * CHOOSE(CONTROL!$C$9, $C$13, 100%, $E$13) + CHOOSE(CONTROL!$C$28, 0.0415, 0)</f>
        <v>37.0366</v>
      </c>
      <c r="C539" s="4">
        <f>36.6319 * CHOOSE(CONTROL!$C$9, $C$13, 100%, $E$13) + CHOOSE(CONTROL!$C$28, 0.0415, 0)</f>
        <v>36.673400000000001</v>
      </c>
      <c r="D539" s="4">
        <f>52.4274 * CHOOSE(CONTROL!$C$9, $C$13, 100%, $E$13) + CHOOSE(CONTROL!$C$28, 0.0021, 0)</f>
        <v>52.429499999999997</v>
      </c>
      <c r="E539" s="4">
        <f>247.455802198275 * CHOOSE(CONTROL!$C$9, $C$13, 100%, $E$13) + CHOOSE(CONTROL!$C$28, 0.0021, 0)</f>
        <v>247.45790219827501</v>
      </c>
    </row>
    <row r="540" spans="1:5" ht="15">
      <c r="A540" s="13">
        <v>57953</v>
      </c>
      <c r="B540" s="4">
        <f>37.8624 * CHOOSE(CONTROL!$C$9, $C$13, 100%, $E$13) + CHOOSE(CONTROL!$C$28, 0.0415, 0)</f>
        <v>37.9039</v>
      </c>
      <c r="C540" s="4">
        <f>37.4991 * CHOOSE(CONTROL!$C$9, $C$13, 100%, $E$13) + CHOOSE(CONTROL!$C$28, 0.0415, 0)</f>
        <v>37.540599999999998</v>
      </c>
      <c r="D540" s="4">
        <f>51.8852 * CHOOSE(CONTROL!$C$9, $C$13, 100%, $E$13) + CHOOSE(CONTROL!$C$28, 0.0021, 0)</f>
        <v>51.887299999999996</v>
      </c>
      <c r="E540" s="4">
        <f>253.38041216182 * CHOOSE(CONTROL!$C$9, $C$13, 100%, $E$13) + CHOOSE(CONTROL!$C$28, 0.0021, 0)</f>
        <v>253.38251216182002</v>
      </c>
    </row>
    <row r="541" spans="1:5" ht="15">
      <c r="A541" s="13">
        <v>57983</v>
      </c>
      <c r="B541" s="4">
        <f>36.3843 * CHOOSE(CONTROL!$C$9, $C$13, 100%, $E$13) + CHOOSE(CONTROL!$C$28, 0.0415, 0)</f>
        <v>36.425800000000002</v>
      </c>
      <c r="C541" s="4">
        <f>36.0211 * CHOOSE(CONTROL!$C$9, $C$13, 100%, $E$13) + CHOOSE(CONTROL!$C$28, 0.0415, 0)</f>
        <v>36.062599999999996</v>
      </c>
      <c r="D541" s="4">
        <f>51.6291 * CHOOSE(CONTROL!$C$9, $C$13, 100%, $E$13) + CHOOSE(CONTROL!$C$28, 0.0021, 0)</f>
        <v>51.6312</v>
      </c>
      <c r="E541" s="4">
        <f>243.28298720734 * CHOOSE(CONTROL!$C$9, $C$13, 100%, $E$13) + CHOOSE(CONTROL!$C$28, 0.0021, 0)</f>
        <v>243.28508720734001</v>
      </c>
    </row>
    <row r="542" spans="1:5" ht="15">
      <c r="A542" s="13">
        <v>58014</v>
      </c>
      <c r="B542" s="4">
        <f>35.2011 * CHOOSE(CONTROL!$C$9, $C$13, 100%, $E$13) + CHOOSE(CONTROL!$C$28, 0.0211, 0)</f>
        <v>35.222199999999994</v>
      </c>
      <c r="C542" s="4">
        <f>34.8379 * CHOOSE(CONTROL!$C$9, $C$13, 100%, $E$13) + CHOOSE(CONTROL!$C$28, 0.0211, 0)</f>
        <v>34.858999999999995</v>
      </c>
      <c r="D542" s="4">
        <f>50.9432 * CHOOSE(CONTROL!$C$9, $C$13, 100%, $E$13) + CHOOSE(CONTROL!$C$28, 0.0021, 0)</f>
        <v>50.945299999999996</v>
      </c>
      <c r="E542" s="4">
        <f>235.199798419869 * CHOOSE(CONTROL!$C$9, $C$13, 100%, $E$13) + CHOOSE(CONTROL!$C$28, 0.0021, 0)</f>
        <v>235.20189841986902</v>
      </c>
    </row>
    <row r="543" spans="1:5" ht="15">
      <c r="A543" s="13">
        <v>58044</v>
      </c>
      <c r="B543" s="4">
        <f>34.4391 * CHOOSE(CONTROL!$C$9, $C$13, 100%, $E$13) + CHOOSE(CONTROL!$C$28, 0.0211, 0)</f>
        <v>34.4602</v>
      </c>
      <c r="C543" s="4">
        <f>34.0758 * CHOOSE(CONTROL!$C$9, $C$13, 100%, $E$13) + CHOOSE(CONTROL!$C$28, 0.0211, 0)</f>
        <v>34.096899999999998</v>
      </c>
      <c r="D543" s="4">
        <f>50.7074 * CHOOSE(CONTROL!$C$9, $C$13, 100%, $E$13) + CHOOSE(CONTROL!$C$28, 0.0021, 0)</f>
        <v>50.709499999999998</v>
      </c>
      <c r="E543" s="4">
        <f>229.99362122599 * CHOOSE(CONTROL!$C$9, $C$13, 100%, $E$13) + CHOOSE(CONTROL!$C$28, 0.0021, 0)</f>
        <v>229.99572122599002</v>
      </c>
    </row>
    <row r="544" spans="1:5" ht="15">
      <c r="A544" s="13">
        <v>58075</v>
      </c>
      <c r="B544" s="4">
        <f>33.9118 * CHOOSE(CONTROL!$C$9, $C$13, 100%, $E$13) + CHOOSE(CONTROL!$C$28, 0.0211, 0)</f>
        <v>33.932899999999997</v>
      </c>
      <c r="C544" s="4">
        <f>33.5486 * CHOOSE(CONTROL!$C$9, $C$13, 100%, $E$13) + CHOOSE(CONTROL!$C$28, 0.0211, 0)</f>
        <v>33.569699999999997</v>
      </c>
      <c r="D544" s="4">
        <f>48.9714 * CHOOSE(CONTROL!$C$9, $C$13, 100%, $E$13) + CHOOSE(CONTROL!$C$28, 0.0021, 0)</f>
        <v>48.973500000000001</v>
      </c>
      <c r="E544" s="4">
        <f>226.391615832872 * CHOOSE(CONTROL!$C$9, $C$13, 100%, $E$13) + CHOOSE(CONTROL!$C$28, 0.0021, 0)</f>
        <v>226.393715832872</v>
      </c>
    </row>
    <row r="545" spans="1:5" ht="15">
      <c r="A545" s="13">
        <v>58106</v>
      </c>
      <c r="B545" s="4">
        <f>32.4693 * CHOOSE(CONTROL!$C$9, $C$13, 100%, $E$13) + CHOOSE(CONTROL!$C$28, 0.0211, 0)</f>
        <v>32.490399999999994</v>
      </c>
      <c r="C545" s="4">
        <f>32.106 * CHOOSE(CONTROL!$C$9, $C$13, 100%, $E$13) + CHOOSE(CONTROL!$C$28, 0.0211, 0)</f>
        <v>32.127099999999999</v>
      </c>
      <c r="D545" s="4">
        <f>47.059 * CHOOSE(CONTROL!$C$9, $C$13, 100%, $E$13) + CHOOSE(CONTROL!$C$28, 0.0021, 0)</f>
        <v>47.061099999999996</v>
      </c>
      <c r="E545" s="4">
        <f>216.961485111449 * CHOOSE(CONTROL!$C$9, $C$13, 100%, $E$13) + CHOOSE(CONTROL!$C$28, 0.0021, 0)</f>
        <v>216.96358511144902</v>
      </c>
    </row>
    <row r="546" spans="1:5" ht="15">
      <c r="A546" s="13">
        <v>58134</v>
      </c>
      <c r="B546" s="4">
        <f>33.2219 * CHOOSE(CONTROL!$C$9, $C$13, 100%, $E$13) + CHOOSE(CONTROL!$C$28, 0.0211, 0)</f>
        <v>33.242999999999995</v>
      </c>
      <c r="C546" s="4">
        <f>32.8586 * CHOOSE(CONTROL!$C$9, $C$13, 100%, $E$13) + CHOOSE(CONTROL!$C$28, 0.0211, 0)</f>
        <v>32.8797</v>
      </c>
      <c r="D546" s="4">
        <f>48.6546 * CHOOSE(CONTROL!$C$9, $C$13, 100%, $E$13) + CHOOSE(CONTROL!$C$28, 0.0021, 0)</f>
        <v>48.656700000000001</v>
      </c>
      <c r="E546" s="4">
        <f>222.11300579356 * CHOOSE(CONTROL!$C$9, $C$13, 100%, $E$13) + CHOOSE(CONTROL!$C$28, 0.0021, 0)</f>
        <v>222.11510579356002</v>
      </c>
    </row>
    <row r="547" spans="1:5" ht="15">
      <c r="A547" s="13">
        <v>58165</v>
      </c>
      <c r="B547" s="4">
        <f>35.1982 * CHOOSE(CONTROL!$C$9, $C$13, 100%, $E$13) + CHOOSE(CONTROL!$C$28, 0.0211, 0)</f>
        <v>35.219299999999997</v>
      </c>
      <c r="C547" s="4">
        <f>34.8349 * CHOOSE(CONTROL!$C$9, $C$13, 100%, $E$13) + CHOOSE(CONTROL!$C$28, 0.0211, 0)</f>
        <v>34.855999999999995</v>
      </c>
      <c r="D547" s="4">
        <f>51.1523 * CHOOSE(CONTROL!$C$9, $C$13, 100%, $E$13) + CHOOSE(CONTROL!$C$28, 0.0021, 0)</f>
        <v>51.154399999999995</v>
      </c>
      <c r="E547" s="4">
        <f>235.641172873218 * CHOOSE(CONTROL!$C$9, $C$13, 100%, $E$13) + CHOOSE(CONTROL!$C$28, 0.0021, 0)</f>
        <v>235.64327287321802</v>
      </c>
    </row>
    <row r="548" spans="1:5" ht="15">
      <c r="A548" s="13">
        <v>58195</v>
      </c>
      <c r="B548" s="4">
        <f>36.6024 * CHOOSE(CONTROL!$C$9, $C$13, 100%, $E$13) + CHOOSE(CONTROL!$C$28, 0.0211, 0)</f>
        <v>36.6235</v>
      </c>
      <c r="C548" s="4">
        <f>36.2391 * CHOOSE(CONTROL!$C$9, $C$13, 100%, $E$13) + CHOOSE(CONTROL!$C$28, 0.0211, 0)</f>
        <v>36.260199999999998</v>
      </c>
      <c r="D548" s="4">
        <f>52.591 * CHOOSE(CONTROL!$C$9, $C$13, 100%, $E$13) + CHOOSE(CONTROL!$C$28, 0.0021, 0)</f>
        <v>52.5931</v>
      </c>
      <c r="E548" s="4">
        <f>245.253115869846 * CHOOSE(CONTROL!$C$9, $C$13, 100%, $E$13) + CHOOSE(CONTROL!$C$28, 0.0021, 0)</f>
        <v>245.25521586984601</v>
      </c>
    </row>
    <row r="549" spans="1:5" ht="15">
      <c r="A549" s="13">
        <v>58226</v>
      </c>
      <c r="B549" s="4">
        <f>37.4603 * CHOOSE(CONTROL!$C$9, $C$13, 100%, $E$13) + CHOOSE(CONTROL!$C$28, 0.0415, 0)</f>
        <v>37.501799999999996</v>
      </c>
      <c r="C549" s="4">
        <f>37.0971 * CHOOSE(CONTROL!$C$9, $C$13, 100%, $E$13) + CHOOSE(CONTROL!$C$28, 0.0415, 0)</f>
        <v>37.138599999999997</v>
      </c>
      <c r="D549" s="4">
        <f>52.0225 * CHOOSE(CONTROL!$C$9, $C$13, 100%, $E$13) + CHOOSE(CONTROL!$C$28, 0.0021, 0)</f>
        <v>52.0246</v>
      </c>
      <c r="E549" s="4">
        <f>251.125782674663 * CHOOSE(CONTROL!$C$9, $C$13, 100%, $E$13) + CHOOSE(CONTROL!$C$28, 0.0021, 0)</f>
        <v>251.127882674663</v>
      </c>
    </row>
    <row r="550" spans="1:5" ht="15">
      <c r="A550" s="13">
        <v>58256</v>
      </c>
      <c r="B550" s="4">
        <f>37.5764 * CHOOSE(CONTROL!$C$9, $C$13, 100%, $E$13) + CHOOSE(CONTROL!$C$28, 0.0415, 0)</f>
        <v>37.617899999999999</v>
      </c>
      <c r="C550" s="4">
        <f>37.2131 * CHOOSE(CONTROL!$C$9, $C$13, 100%, $E$13) + CHOOSE(CONTROL!$C$28, 0.0415, 0)</f>
        <v>37.254599999999996</v>
      </c>
      <c r="D550" s="4">
        <f>52.4855 * CHOOSE(CONTROL!$C$9, $C$13, 100%, $E$13) + CHOOSE(CONTROL!$C$28, 0.0021, 0)</f>
        <v>52.4876</v>
      </c>
      <c r="E550" s="4">
        <f>251.920378865423 * CHOOSE(CONTROL!$C$9, $C$13, 100%, $E$13) + CHOOSE(CONTROL!$C$28, 0.0021, 0)</f>
        <v>251.92247886542302</v>
      </c>
    </row>
    <row r="551" spans="1:5" ht="15">
      <c r="A551" s="13">
        <v>58287</v>
      </c>
      <c r="B551" s="4">
        <f>37.5647 * CHOOSE(CONTROL!$C$9, $C$13, 100%, $E$13) + CHOOSE(CONTROL!$C$28, 0.0415, 0)</f>
        <v>37.606200000000001</v>
      </c>
      <c r="C551" s="4">
        <f>37.2014 * CHOOSE(CONTROL!$C$9, $C$13, 100%, $E$13) + CHOOSE(CONTROL!$C$28, 0.0415, 0)</f>
        <v>37.242899999999999</v>
      </c>
      <c r="D551" s="4">
        <f>53.321 * CHOOSE(CONTROL!$C$9, $C$13, 100%, $E$13) + CHOOSE(CONTROL!$C$28, 0.0021, 0)</f>
        <v>53.323099999999997</v>
      </c>
      <c r="E551" s="4">
        <f>251.840251518456 * CHOOSE(CONTROL!$C$9, $C$13, 100%, $E$13) + CHOOSE(CONTROL!$C$28, 0.0021, 0)</f>
        <v>251.84235151845601</v>
      </c>
    </row>
    <row r="552" spans="1:5" ht="15">
      <c r="A552" s="13">
        <v>58318</v>
      </c>
      <c r="B552" s="4">
        <f>38.4456 * CHOOSE(CONTROL!$C$9, $C$13, 100%, $E$13) + CHOOSE(CONTROL!$C$28, 0.0415, 0)</f>
        <v>38.487099999999998</v>
      </c>
      <c r="C552" s="4">
        <f>38.0823 * CHOOSE(CONTROL!$C$9, $C$13, 100%, $E$13) + CHOOSE(CONTROL!$C$28, 0.0415, 0)</f>
        <v>38.123799999999996</v>
      </c>
      <c r="D552" s="4">
        <f>52.7692 * CHOOSE(CONTROL!$C$9, $C$13, 100%, $E$13) + CHOOSE(CONTROL!$C$28, 0.0021, 0)</f>
        <v>52.771299999999997</v>
      </c>
      <c r="E552" s="4">
        <f>257.869834377751 * CHOOSE(CONTROL!$C$9, $C$13, 100%, $E$13) + CHOOSE(CONTROL!$C$28, 0.0021, 0)</f>
        <v>257.87193437775096</v>
      </c>
    </row>
    <row r="553" spans="1:5" ht="15">
      <c r="A553" s="13">
        <v>58348</v>
      </c>
      <c r="B553" s="4">
        <f>36.9443 * CHOOSE(CONTROL!$C$9, $C$13, 100%, $E$13) + CHOOSE(CONTROL!$C$28, 0.0415, 0)</f>
        <v>36.985799999999998</v>
      </c>
      <c r="C553" s="4">
        <f>36.581 * CHOOSE(CONTROL!$C$9, $C$13, 100%, $E$13) + CHOOSE(CONTROL!$C$28, 0.0415, 0)</f>
        <v>36.622500000000002</v>
      </c>
      <c r="D553" s="4">
        <f>52.5086 * CHOOSE(CONTROL!$C$9, $C$13, 100%, $E$13) + CHOOSE(CONTROL!$C$28, 0.0021, 0)</f>
        <v>52.5107</v>
      </c>
      <c r="E553" s="4">
        <f>247.593502129185 * CHOOSE(CONTROL!$C$9, $C$13, 100%, $E$13) + CHOOSE(CONTROL!$C$28, 0.0021, 0)</f>
        <v>247.59560212918501</v>
      </c>
    </row>
    <row r="554" spans="1:5" ht="15">
      <c r="A554" s="13">
        <v>58379</v>
      </c>
      <c r="B554" s="4">
        <f>35.7425 * CHOOSE(CONTROL!$C$9, $C$13, 100%, $E$13) + CHOOSE(CONTROL!$C$28, 0.0211, 0)</f>
        <v>35.763599999999997</v>
      </c>
      <c r="C554" s="4">
        <f>35.3792 * CHOOSE(CONTROL!$C$9, $C$13, 100%, $E$13) + CHOOSE(CONTROL!$C$28, 0.0211, 0)</f>
        <v>35.400299999999994</v>
      </c>
      <c r="D554" s="4">
        <f>51.8106 * CHOOSE(CONTROL!$C$9, $C$13, 100%, $E$13) + CHOOSE(CONTROL!$C$28, 0.0021, 0)</f>
        <v>51.8127</v>
      </c>
      <c r="E554" s="4">
        <f>239.367094507201 * CHOOSE(CONTROL!$C$9, $C$13, 100%, $E$13) + CHOOSE(CONTROL!$C$28, 0.0021, 0)</f>
        <v>239.369194507201</v>
      </c>
    </row>
    <row r="555" spans="1:5" ht="15">
      <c r="A555" s="13">
        <v>58409</v>
      </c>
      <c r="B555" s="4">
        <f>34.9685 * CHOOSE(CONTROL!$C$9, $C$13, 100%, $E$13) + CHOOSE(CONTROL!$C$28, 0.0211, 0)</f>
        <v>34.989599999999996</v>
      </c>
      <c r="C555" s="4">
        <f>34.6052 * CHOOSE(CONTROL!$C$9, $C$13, 100%, $E$13) + CHOOSE(CONTROL!$C$28, 0.0211, 0)</f>
        <v>34.626300000000001</v>
      </c>
      <c r="D555" s="4">
        <f>51.5706 * CHOOSE(CONTROL!$C$9, $C$13, 100%, $E$13) + CHOOSE(CONTROL!$C$28, 0.0021, 0)</f>
        <v>51.572699999999998</v>
      </c>
      <c r="E555" s="4">
        <f>234.068673688984 * CHOOSE(CONTROL!$C$9, $C$13, 100%, $E$13) + CHOOSE(CONTROL!$C$28, 0.0021, 0)</f>
        <v>234.07077368898402</v>
      </c>
    </row>
    <row r="556" spans="1:5" ht="15">
      <c r="A556" s="13">
        <v>58440</v>
      </c>
      <c r="B556" s="4">
        <f>34.4329 * CHOOSE(CONTROL!$C$9, $C$13, 100%, $E$13) + CHOOSE(CONTROL!$C$28, 0.0211, 0)</f>
        <v>34.453999999999994</v>
      </c>
      <c r="C556" s="4">
        <f>34.0697 * CHOOSE(CONTROL!$C$9, $C$13, 100%, $E$13) + CHOOSE(CONTROL!$C$28, 0.0211, 0)</f>
        <v>34.090799999999994</v>
      </c>
      <c r="D556" s="4">
        <f>49.8039 * CHOOSE(CONTROL!$C$9, $C$13, 100%, $E$13) + CHOOSE(CONTROL!$C$28, 0.0021, 0)</f>
        <v>49.805999999999997</v>
      </c>
      <c r="E556" s="4">
        <f>230.402847565226 * CHOOSE(CONTROL!$C$9, $C$13, 100%, $E$13) + CHOOSE(CONTROL!$C$28, 0.0021, 0)</f>
        <v>230.40494756522602</v>
      </c>
    </row>
    <row r="557" spans="1:5" ht="15">
      <c r="A557" s="13">
        <v>58471</v>
      </c>
      <c r="B557" s="4">
        <f>32.9677 * CHOOSE(CONTROL!$C$9, $C$13, 100%, $E$13) + CHOOSE(CONTROL!$C$28, 0.0211, 0)</f>
        <v>32.988799999999998</v>
      </c>
      <c r="C557" s="4">
        <f>32.6044 * CHOOSE(CONTROL!$C$9, $C$13, 100%, $E$13) + CHOOSE(CONTROL!$C$28, 0.0211, 0)</f>
        <v>32.625499999999995</v>
      </c>
      <c r="D557" s="4">
        <f>47.8578 * CHOOSE(CONTROL!$C$9, $C$13, 100%, $E$13) + CHOOSE(CONTROL!$C$28, 0.0021, 0)</f>
        <v>47.859899999999996</v>
      </c>
      <c r="E557" s="4">
        <f>220.805632742872 * CHOOSE(CONTROL!$C$9, $C$13, 100%, $E$13) + CHOOSE(CONTROL!$C$28, 0.0021, 0)</f>
        <v>220.80773274287202</v>
      </c>
    </row>
    <row r="558" spans="1:5" ht="15">
      <c r="A558" s="13">
        <v>58499</v>
      </c>
      <c r="B558" s="4">
        <f>33.7321 * CHOOSE(CONTROL!$C$9, $C$13, 100%, $E$13) + CHOOSE(CONTROL!$C$28, 0.0211, 0)</f>
        <v>33.7532</v>
      </c>
      <c r="C558" s="4">
        <f>33.3688 * CHOOSE(CONTROL!$C$9, $C$13, 100%, $E$13) + CHOOSE(CONTROL!$C$28, 0.0211, 0)</f>
        <v>33.389899999999997</v>
      </c>
      <c r="D558" s="4">
        <f>49.4815 * CHOOSE(CONTROL!$C$9, $C$13, 100%, $E$13) + CHOOSE(CONTROL!$C$28, 0.0021, 0)</f>
        <v>49.483599999999996</v>
      </c>
      <c r="E558" s="4">
        <f>226.048428639191 * CHOOSE(CONTROL!$C$9, $C$13, 100%, $E$13) + CHOOSE(CONTROL!$C$28, 0.0021, 0)</f>
        <v>226.05052863919101</v>
      </c>
    </row>
    <row r="559" spans="1:5" ht="15">
      <c r="A559" s="13">
        <v>58531</v>
      </c>
      <c r="B559" s="4">
        <f>35.7395 * CHOOSE(CONTROL!$C$9, $C$13, 100%, $E$13) + CHOOSE(CONTROL!$C$28, 0.0211, 0)</f>
        <v>35.760599999999997</v>
      </c>
      <c r="C559" s="4">
        <f>35.3762 * CHOOSE(CONTROL!$C$9, $C$13, 100%, $E$13) + CHOOSE(CONTROL!$C$28, 0.0211, 0)</f>
        <v>35.397299999999994</v>
      </c>
      <c r="D559" s="4">
        <f>52.0233 * CHOOSE(CONTROL!$C$9, $C$13, 100%, $E$13) + CHOOSE(CONTROL!$C$28, 0.0021, 0)</f>
        <v>52.025399999999998</v>
      </c>
      <c r="E559" s="4">
        <f>239.816289282018 * CHOOSE(CONTROL!$C$9, $C$13, 100%, $E$13) + CHOOSE(CONTROL!$C$28, 0.0021, 0)</f>
        <v>239.81838928201802</v>
      </c>
    </row>
    <row r="560" spans="1:5" ht="15">
      <c r="A560" s="13">
        <v>58561</v>
      </c>
      <c r="B560" s="4">
        <f>37.1658 * CHOOSE(CONTROL!$C$9, $C$13, 100%, $E$13) + CHOOSE(CONTROL!$C$28, 0.0211, 0)</f>
        <v>37.186899999999994</v>
      </c>
      <c r="C560" s="4">
        <f>36.8025 * CHOOSE(CONTROL!$C$9, $C$13, 100%, $E$13) + CHOOSE(CONTROL!$C$28, 0.0211, 0)</f>
        <v>36.823599999999999</v>
      </c>
      <c r="D560" s="4">
        <f>53.4875 * CHOOSE(CONTROL!$C$9, $C$13, 100%, $E$13) + CHOOSE(CONTROL!$C$28, 0.0021, 0)</f>
        <v>53.489599999999996</v>
      </c>
      <c r="E560" s="4">
        <f>249.598537749614 * CHOOSE(CONTROL!$C$9, $C$13, 100%, $E$13) + CHOOSE(CONTROL!$C$28, 0.0021, 0)</f>
        <v>249.60063774961401</v>
      </c>
    </row>
    <row r="561" spans="1:5" ht="15">
      <c r="A561" s="13">
        <v>58592</v>
      </c>
      <c r="B561" s="4">
        <f>38.0372 * CHOOSE(CONTROL!$C$9, $C$13, 100%, $E$13) + CHOOSE(CONTROL!$C$28, 0.0415, 0)</f>
        <v>38.078699999999998</v>
      </c>
      <c r="C561" s="4">
        <f>37.674 * CHOOSE(CONTROL!$C$9, $C$13, 100%, $E$13) + CHOOSE(CONTROL!$C$28, 0.0415, 0)</f>
        <v>37.715499999999999</v>
      </c>
      <c r="D561" s="4">
        <f>52.9089 * CHOOSE(CONTROL!$C$9, $C$13, 100%, $E$13) + CHOOSE(CONTROL!$C$28, 0.0021, 0)</f>
        <v>52.911000000000001</v>
      </c>
      <c r="E561" s="4">
        <f>255.57525711554 * CHOOSE(CONTROL!$C$9, $C$13, 100%, $E$13) + CHOOSE(CONTROL!$C$28, 0.0021, 0)</f>
        <v>255.57735711554002</v>
      </c>
    </row>
    <row r="562" spans="1:5" ht="15">
      <c r="A562" s="13">
        <v>58622</v>
      </c>
      <c r="B562" s="4">
        <f>38.1552 * CHOOSE(CONTROL!$C$9, $C$13, 100%, $E$13) + CHOOSE(CONTROL!$C$28, 0.0415, 0)</f>
        <v>38.1967</v>
      </c>
      <c r="C562" s="4">
        <f>37.7919 * CHOOSE(CONTROL!$C$9, $C$13, 100%, $E$13) + CHOOSE(CONTROL!$C$28, 0.0415, 0)</f>
        <v>37.833399999999997</v>
      </c>
      <c r="D562" s="4">
        <f>53.3801 * CHOOSE(CONTROL!$C$9, $C$13, 100%, $E$13) + CHOOSE(CONTROL!$C$28, 0.0021, 0)</f>
        <v>53.382199999999997</v>
      </c>
      <c r="E562" s="4">
        <f>256.383932049645 * CHOOSE(CONTROL!$C$9, $C$13, 100%, $E$13) + CHOOSE(CONTROL!$C$28, 0.0021, 0)</f>
        <v>256.386032049645</v>
      </c>
    </row>
    <row r="563" spans="1:5" ht="15">
      <c r="A563" s="13">
        <v>58653</v>
      </c>
      <c r="B563" s="4">
        <f>38.1433 * CHOOSE(CONTROL!$C$9, $C$13, 100%, $E$13) + CHOOSE(CONTROL!$C$28, 0.0415, 0)</f>
        <v>38.184800000000003</v>
      </c>
      <c r="C563" s="4">
        <f>37.78 * CHOOSE(CONTROL!$C$9, $C$13, 100%, $E$13) + CHOOSE(CONTROL!$C$28, 0.0415, 0)</f>
        <v>37.8215</v>
      </c>
      <c r="D563" s="4">
        <f>54.2304 * CHOOSE(CONTROL!$C$9, $C$13, 100%, $E$13) + CHOOSE(CONTROL!$C$28, 0.0021, 0)</f>
        <v>54.232500000000002</v>
      </c>
      <c r="E563" s="4">
        <f>256.302384997466 * CHOOSE(CONTROL!$C$9, $C$13, 100%, $E$13) + CHOOSE(CONTROL!$C$28, 0.0021, 0)</f>
        <v>256.30448499746598</v>
      </c>
    </row>
    <row r="564" spans="1:5" ht="15">
      <c r="A564" s="13">
        <v>58684</v>
      </c>
      <c r="B564" s="4">
        <f>39.038 * CHOOSE(CONTROL!$C$9, $C$13, 100%, $E$13) + CHOOSE(CONTROL!$C$28, 0.0415, 0)</f>
        <v>39.079499999999996</v>
      </c>
      <c r="C564" s="4">
        <f>38.6747 * CHOOSE(CONTROL!$C$9, $C$13, 100%, $E$13) + CHOOSE(CONTROL!$C$28, 0.0415, 0)</f>
        <v>38.716200000000001</v>
      </c>
      <c r="D564" s="4">
        <f>53.6689 * CHOOSE(CONTROL!$C$9, $C$13, 100%, $E$13) + CHOOSE(CONTROL!$C$28, 0.0021, 0)</f>
        <v>53.670999999999999</v>
      </c>
      <c r="E564" s="4">
        <f>262.438800673909 * CHOOSE(CONTROL!$C$9, $C$13, 100%, $E$13) + CHOOSE(CONTROL!$C$28, 0.0021, 0)</f>
        <v>262.44090067390897</v>
      </c>
    </row>
    <row r="565" spans="1:5" ht="15">
      <c r="A565" s="13">
        <v>58714</v>
      </c>
      <c r="B565" s="4">
        <f>37.5131 * CHOOSE(CONTROL!$C$9, $C$13, 100%, $E$13) + CHOOSE(CONTROL!$C$28, 0.0415, 0)</f>
        <v>37.554600000000001</v>
      </c>
      <c r="C565" s="4">
        <f>37.1498 * CHOOSE(CONTROL!$C$9, $C$13, 100%, $E$13) + CHOOSE(CONTROL!$C$28, 0.0415, 0)</f>
        <v>37.191299999999998</v>
      </c>
      <c r="D565" s="4">
        <f>53.4036 * CHOOSE(CONTROL!$C$9, $C$13, 100%, $E$13) + CHOOSE(CONTROL!$C$28, 0.0021, 0)</f>
        <v>53.405699999999996</v>
      </c>
      <c r="E565" s="4">
        <f>251.980391231998 * CHOOSE(CONTROL!$C$9, $C$13, 100%, $E$13) + CHOOSE(CONTROL!$C$28, 0.0021, 0)</f>
        <v>251.98249123199801</v>
      </c>
    </row>
    <row r="566" spans="1:5" ht="15">
      <c r="A566" s="13">
        <v>58745</v>
      </c>
      <c r="B566" s="4">
        <f>36.2924 * CHOOSE(CONTROL!$C$9, $C$13, 100%, $E$13) + CHOOSE(CONTROL!$C$28, 0.0211, 0)</f>
        <v>36.313499999999998</v>
      </c>
      <c r="C566" s="4">
        <f>35.9291 * CHOOSE(CONTROL!$C$9, $C$13, 100%, $E$13) + CHOOSE(CONTROL!$C$28, 0.0211, 0)</f>
        <v>35.950199999999995</v>
      </c>
      <c r="D566" s="4">
        <f>52.6933 * CHOOSE(CONTROL!$C$9, $C$13, 100%, $E$13) + CHOOSE(CONTROL!$C$28, 0.0021, 0)</f>
        <v>52.695399999999999</v>
      </c>
      <c r="E566" s="4">
        <f>243.608227208324 * CHOOSE(CONTROL!$C$9, $C$13, 100%, $E$13) + CHOOSE(CONTROL!$C$28, 0.0021, 0)</f>
        <v>243.61032720832401</v>
      </c>
    </row>
    <row r="567" spans="1:5" ht="15">
      <c r="A567" s="13">
        <v>58775</v>
      </c>
      <c r="B567" s="4">
        <f>35.5062 * CHOOSE(CONTROL!$C$9, $C$13, 100%, $E$13) + CHOOSE(CONTROL!$C$28, 0.0211, 0)</f>
        <v>35.527299999999997</v>
      </c>
      <c r="C567" s="4">
        <f>35.1429 * CHOOSE(CONTROL!$C$9, $C$13, 100%, $E$13) + CHOOSE(CONTROL!$C$28, 0.0211, 0)</f>
        <v>35.163999999999994</v>
      </c>
      <c r="D567" s="4">
        <f>52.449 * CHOOSE(CONTROL!$C$9, $C$13, 100%, $E$13) + CHOOSE(CONTROL!$C$28, 0.0021, 0)</f>
        <v>52.451099999999997</v>
      </c>
      <c r="E567" s="4">
        <f>238.215928383012 * CHOOSE(CONTROL!$C$9, $C$13, 100%, $E$13) + CHOOSE(CONTROL!$C$28, 0.0021, 0)</f>
        <v>238.21802838301201</v>
      </c>
    </row>
    <row r="568" spans="1:5" ht="15">
      <c r="A568" s="13">
        <v>58806</v>
      </c>
      <c r="B568" s="4">
        <f>34.9622 * CHOOSE(CONTROL!$C$9, $C$13, 100%, $E$13) + CHOOSE(CONTROL!$C$28, 0.0211, 0)</f>
        <v>34.9833</v>
      </c>
      <c r="C568" s="4">
        <f>34.5989 * CHOOSE(CONTROL!$C$9, $C$13, 100%, $E$13) + CHOOSE(CONTROL!$C$28, 0.0211, 0)</f>
        <v>34.619999999999997</v>
      </c>
      <c r="D568" s="4">
        <f>50.6511 * CHOOSE(CONTROL!$C$9, $C$13, 100%, $E$13) + CHOOSE(CONTROL!$C$28, 0.0021, 0)</f>
        <v>50.653199999999998</v>
      </c>
      <c r="E568" s="4">
        <f>234.485150745839 * CHOOSE(CONTROL!$C$9, $C$13, 100%, $E$13) + CHOOSE(CONTROL!$C$28, 0.0021, 0)</f>
        <v>234.48725074583902</v>
      </c>
    </row>
    <row r="569" spans="1:5" ht="15">
      <c r="A569" s="13">
        <v>58837</v>
      </c>
      <c r="B569" s="4">
        <f>33.474 * CHOOSE(CONTROL!$C$9, $C$13, 100%, $E$13) + CHOOSE(CONTROL!$C$28, 0.0211, 0)</f>
        <v>33.495099999999994</v>
      </c>
      <c r="C569" s="4">
        <f>33.1107 * CHOOSE(CONTROL!$C$9, $C$13, 100%, $E$13) + CHOOSE(CONTROL!$C$28, 0.0211, 0)</f>
        <v>33.131799999999998</v>
      </c>
      <c r="D569" s="4">
        <f>48.6706 * CHOOSE(CONTROL!$C$9, $C$13, 100%, $E$13) + CHOOSE(CONTROL!$C$28, 0.0021, 0)</f>
        <v>48.672699999999999</v>
      </c>
      <c r="E569" s="4">
        <f>224.71789140794 * CHOOSE(CONTROL!$C$9, $C$13, 100%, $E$13) + CHOOSE(CONTROL!$C$28, 0.0021, 0)</f>
        <v>224.71999140794</v>
      </c>
    </row>
    <row r="570" spans="1:5" ht="15">
      <c r="A570" s="13">
        <v>58865</v>
      </c>
      <c r="B570" s="4">
        <f>34.2504 * CHOOSE(CONTROL!$C$9, $C$13, 100%, $E$13) + CHOOSE(CONTROL!$C$28, 0.0211, 0)</f>
        <v>34.271499999999996</v>
      </c>
      <c r="C570" s="4">
        <f>33.8871 * CHOOSE(CONTROL!$C$9, $C$13, 100%, $E$13) + CHOOSE(CONTROL!$C$28, 0.0211, 0)</f>
        <v>33.908199999999994</v>
      </c>
      <c r="D570" s="4">
        <f>50.323 * CHOOSE(CONTROL!$C$9, $C$13, 100%, $E$13) + CHOOSE(CONTROL!$C$28, 0.0021, 0)</f>
        <v>50.325099999999999</v>
      </c>
      <c r="E570" s="4">
        <f>230.053579742824 * CHOOSE(CONTROL!$C$9, $C$13, 100%, $E$13) + CHOOSE(CONTROL!$C$28, 0.0021, 0)</f>
        <v>230.05567974282403</v>
      </c>
    </row>
    <row r="571" spans="1:5" ht="15">
      <c r="A571" s="13">
        <v>58893</v>
      </c>
      <c r="B571" s="4">
        <f>36.2894 * CHOOSE(CONTROL!$C$9, $C$13, 100%, $E$13) + CHOOSE(CONTROL!$C$28, 0.0211, 0)</f>
        <v>36.310499999999998</v>
      </c>
      <c r="C571" s="4">
        <f>35.9261 * CHOOSE(CONTROL!$C$9, $C$13, 100%, $E$13) + CHOOSE(CONTROL!$C$28, 0.0211, 0)</f>
        <v>35.947199999999995</v>
      </c>
      <c r="D571" s="4">
        <f>52.9098 * CHOOSE(CONTROL!$C$9, $C$13, 100%, $E$13) + CHOOSE(CONTROL!$C$28, 0.0021, 0)</f>
        <v>52.911899999999996</v>
      </c>
      <c r="E571" s="4">
        <f>244.065380865929 * CHOOSE(CONTROL!$C$9, $C$13, 100%, $E$13) + CHOOSE(CONTROL!$C$28, 0.0021, 0)</f>
        <v>244.06748086592901</v>
      </c>
    </row>
    <row r="572" spans="1:5" ht="15">
      <c r="A572" s="13">
        <v>58926</v>
      </c>
      <c r="B572" s="4">
        <f>37.7381 * CHOOSE(CONTROL!$C$9, $C$13, 100%, $E$13) + CHOOSE(CONTROL!$C$28, 0.0211, 0)</f>
        <v>37.7592</v>
      </c>
      <c r="C572" s="4">
        <f>37.3748 * CHOOSE(CONTROL!$C$9, $C$13, 100%, $E$13) + CHOOSE(CONTROL!$C$28, 0.0211, 0)</f>
        <v>37.395899999999997</v>
      </c>
      <c r="D572" s="4">
        <f>54.3998 * CHOOSE(CONTROL!$C$9, $C$13, 100%, $E$13) + CHOOSE(CONTROL!$C$28, 0.0021, 0)</f>
        <v>54.401899999999998</v>
      </c>
      <c r="E572" s="4">
        <f>254.020952295697 * CHOOSE(CONTROL!$C$9, $C$13, 100%, $E$13) + CHOOSE(CONTROL!$C$28, 0.0021, 0)</f>
        <v>254.023052295697</v>
      </c>
    </row>
    <row r="573" spans="1:5" ht="15">
      <c r="A573" s="13">
        <v>58957</v>
      </c>
      <c r="B573" s="4">
        <f>38.6232 * CHOOSE(CONTROL!$C$9, $C$13, 100%, $E$13) + CHOOSE(CONTROL!$C$28, 0.0415, 0)</f>
        <v>38.664699999999996</v>
      </c>
      <c r="C573" s="4">
        <f>38.2599 * CHOOSE(CONTROL!$C$9, $C$13, 100%, $E$13) + CHOOSE(CONTROL!$C$28, 0.0415, 0)</f>
        <v>38.301400000000001</v>
      </c>
      <c r="D573" s="4">
        <f>53.811 * CHOOSE(CONTROL!$C$9, $C$13, 100%, $E$13) + CHOOSE(CONTROL!$C$28, 0.0021, 0)</f>
        <v>53.813099999999999</v>
      </c>
      <c r="E573" s="4">
        <f>260.103567837539 * CHOOSE(CONTROL!$C$9, $C$13, 100%, $E$13) + CHOOSE(CONTROL!$C$28, 0.0021, 0)</f>
        <v>260.10566783753899</v>
      </c>
    </row>
    <row r="574" spans="1:5" ht="15">
      <c r="A574" s="13">
        <v>58987</v>
      </c>
      <c r="B574" s="4">
        <f>38.743 * CHOOSE(CONTROL!$C$9, $C$13, 100%, $E$13) + CHOOSE(CONTROL!$C$28, 0.0415, 0)</f>
        <v>38.784500000000001</v>
      </c>
      <c r="C574" s="4">
        <f>38.3797 * CHOOSE(CONTROL!$C$9, $C$13, 100%, $E$13) + CHOOSE(CONTROL!$C$28, 0.0415, 0)</f>
        <v>38.421199999999999</v>
      </c>
      <c r="D574" s="4">
        <f>54.2906 * CHOOSE(CONTROL!$C$9, $C$13, 100%, $E$13) + CHOOSE(CONTROL!$C$28, 0.0021, 0)</f>
        <v>54.292699999999996</v>
      </c>
      <c r="E574" s="4">
        <f>260.926570963723 * CHOOSE(CONTROL!$C$9, $C$13, 100%, $E$13) + CHOOSE(CONTROL!$C$28, 0.0021, 0)</f>
        <v>260.92867096372299</v>
      </c>
    </row>
    <row r="575" spans="1:5" ht="15">
      <c r="A575" s="13">
        <v>59018</v>
      </c>
      <c r="B575" s="4">
        <f>38.7309 * CHOOSE(CONTROL!$C$9, $C$13, 100%, $E$13) + CHOOSE(CONTROL!$C$28, 0.0415, 0)</f>
        <v>38.772399999999998</v>
      </c>
      <c r="C575" s="4">
        <f>38.3676 * CHOOSE(CONTROL!$C$9, $C$13, 100%, $E$13) + CHOOSE(CONTROL!$C$28, 0.0415, 0)</f>
        <v>38.409100000000002</v>
      </c>
      <c r="D575" s="4">
        <f>55.1558 * CHOOSE(CONTROL!$C$9, $C$13, 100%, $E$13) + CHOOSE(CONTROL!$C$28, 0.0021, 0)</f>
        <v>55.157899999999998</v>
      </c>
      <c r="E575" s="4">
        <f>260.843579051839 * CHOOSE(CONTROL!$C$9, $C$13, 100%, $E$13) + CHOOSE(CONTROL!$C$28, 0.0021, 0)</f>
        <v>260.845679051839</v>
      </c>
    </row>
    <row r="576" spans="1:5" ht="15">
      <c r="A576" s="13">
        <v>59049</v>
      </c>
      <c r="B576" s="4">
        <f>39.6397 * CHOOSE(CONTROL!$C$9, $C$13, 100%, $E$13) + CHOOSE(CONTROL!$C$28, 0.0415, 0)</f>
        <v>39.681199999999997</v>
      </c>
      <c r="C576" s="4">
        <f>39.2764 * CHOOSE(CONTROL!$C$9, $C$13, 100%, $E$13) + CHOOSE(CONTROL!$C$28, 0.0415, 0)</f>
        <v>39.317900000000002</v>
      </c>
      <c r="D576" s="4">
        <f>54.5844 * CHOOSE(CONTROL!$C$9, $C$13, 100%, $E$13) + CHOOSE(CONTROL!$C$28, 0.0021, 0)</f>
        <v>54.586500000000001</v>
      </c>
      <c r="E576" s="4">
        <f>267.08872042112 * CHOOSE(CONTROL!$C$9, $C$13, 100%, $E$13) + CHOOSE(CONTROL!$C$28, 0.0021, 0)</f>
        <v>267.09082042111999</v>
      </c>
    </row>
    <row r="577" spans="1:5" ht="15">
      <c r="A577" s="13">
        <v>59079</v>
      </c>
      <c r="B577" s="4">
        <f>38.0908 * CHOOSE(CONTROL!$C$9, $C$13, 100%, $E$13) + CHOOSE(CONTROL!$C$28, 0.0415, 0)</f>
        <v>38.132300000000001</v>
      </c>
      <c r="C577" s="4">
        <f>37.7275 * CHOOSE(CONTROL!$C$9, $C$13, 100%, $E$13) + CHOOSE(CONTROL!$C$28, 0.0415, 0)</f>
        <v>37.768999999999998</v>
      </c>
      <c r="D577" s="4">
        <f>54.3144 * CHOOSE(CONTROL!$C$9, $C$13, 100%, $E$13) + CHOOSE(CONTROL!$C$28, 0.0021, 0)</f>
        <v>54.316499999999998</v>
      </c>
      <c r="E577" s="4">
        <f>256.44500772198 * CHOOSE(CONTROL!$C$9, $C$13, 100%, $E$13) + CHOOSE(CONTROL!$C$28, 0.0021, 0)</f>
        <v>256.44710772197999</v>
      </c>
    </row>
    <row r="578" spans="1:5" ht="15">
      <c r="A578" s="13">
        <v>59110</v>
      </c>
      <c r="B578" s="4">
        <f>36.8509 * CHOOSE(CONTROL!$C$9, $C$13, 100%, $E$13) + CHOOSE(CONTROL!$C$28, 0.0211, 0)</f>
        <v>36.872</v>
      </c>
      <c r="C578" s="4">
        <f>36.4877 * CHOOSE(CONTROL!$C$9, $C$13, 100%, $E$13) + CHOOSE(CONTROL!$C$28, 0.0211, 0)</f>
        <v>36.508799999999994</v>
      </c>
      <c r="D578" s="4">
        <f>53.5915 * CHOOSE(CONTROL!$C$9, $C$13, 100%, $E$13) + CHOOSE(CONTROL!$C$28, 0.0021, 0)</f>
        <v>53.593600000000002</v>
      </c>
      <c r="E578" s="4">
        <f>247.924504768542 * CHOOSE(CONTROL!$C$9, $C$13, 100%, $E$13) + CHOOSE(CONTROL!$C$28, 0.0021, 0)</f>
        <v>247.92660476854201</v>
      </c>
    </row>
    <row r="579" spans="1:5" ht="15">
      <c r="A579" s="13">
        <v>59140</v>
      </c>
      <c r="B579" s="4">
        <f>36.0524 * CHOOSE(CONTROL!$C$9, $C$13, 100%, $E$13) + CHOOSE(CONTROL!$C$28, 0.0211, 0)</f>
        <v>36.073499999999996</v>
      </c>
      <c r="C579" s="4">
        <f>35.6891 * CHOOSE(CONTROL!$C$9, $C$13, 100%, $E$13) + CHOOSE(CONTROL!$C$28, 0.0211, 0)</f>
        <v>35.7102</v>
      </c>
      <c r="D579" s="4">
        <f>53.343 * CHOOSE(CONTROL!$C$9, $C$13, 100%, $E$13) + CHOOSE(CONTROL!$C$28, 0.0021, 0)</f>
        <v>53.345100000000002</v>
      </c>
      <c r="E579" s="4">
        <f>242.436664595203 * CHOOSE(CONTROL!$C$9, $C$13, 100%, $E$13) + CHOOSE(CONTROL!$C$28, 0.0021, 0)</f>
        <v>242.43876459520303</v>
      </c>
    </row>
    <row r="580" spans="1:5" ht="15">
      <c r="A580" s="13">
        <v>59171</v>
      </c>
      <c r="B580" s="4">
        <f>35.4998 * CHOOSE(CONTROL!$C$9, $C$13, 100%, $E$13) + CHOOSE(CONTROL!$C$28, 0.0211, 0)</f>
        <v>35.520899999999997</v>
      </c>
      <c r="C580" s="4">
        <f>35.1366 * CHOOSE(CONTROL!$C$9, $C$13, 100%, $E$13) + CHOOSE(CONTROL!$C$28, 0.0211, 0)</f>
        <v>35.157699999999998</v>
      </c>
      <c r="D580" s="4">
        <f>51.5133 * CHOOSE(CONTROL!$C$9, $C$13, 100%, $E$13) + CHOOSE(CONTROL!$C$28, 0.0021, 0)</f>
        <v>51.5154</v>
      </c>
      <c r="E580" s="4">
        <f>238.639784626504 * CHOOSE(CONTROL!$C$9, $C$13, 100%, $E$13) + CHOOSE(CONTROL!$C$28, 0.0021, 0)</f>
        <v>238.64188462650401</v>
      </c>
    </row>
    <row r="581" spans="1:5" ht="15">
      <c r="A581" s="13">
        <v>59202</v>
      </c>
      <c r="B581" s="4">
        <f>33.9882 * CHOOSE(CONTROL!$C$9, $C$13, 100%, $E$13) + CHOOSE(CONTROL!$C$28, 0.0211, 0)</f>
        <v>34.009299999999996</v>
      </c>
      <c r="C581" s="4">
        <f>33.6249 * CHOOSE(CONTROL!$C$9, $C$13, 100%, $E$13) + CHOOSE(CONTROL!$C$28, 0.0211, 0)</f>
        <v>33.645999999999994</v>
      </c>
      <c r="D581" s="4">
        <f>49.4978 * CHOOSE(CONTROL!$C$9, $C$13, 100%, $E$13) + CHOOSE(CONTROL!$C$28, 0.0021, 0)</f>
        <v>49.499899999999997</v>
      </c>
      <c r="E581" s="4">
        <f>228.699467905494 * CHOOSE(CONTROL!$C$9, $C$13, 100%, $E$13) + CHOOSE(CONTROL!$C$28, 0.0021, 0)</f>
        <v>228.70156790549402</v>
      </c>
    </row>
    <row r="582" spans="1:5" ht="15">
      <c r="A582" s="13">
        <v>59230</v>
      </c>
      <c r="B582" s="4">
        <f>34.7768 * CHOOSE(CONTROL!$C$9, $C$13, 100%, $E$13) + CHOOSE(CONTROL!$C$28, 0.0211, 0)</f>
        <v>34.797899999999998</v>
      </c>
      <c r="C582" s="4">
        <f>34.4135 * CHOOSE(CONTROL!$C$9, $C$13, 100%, $E$13) + CHOOSE(CONTROL!$C$28, 0.0211, 0)</f>
        <v>34.434599999999996</v>
      </c>
      <c r="D582" s="4">
        <f>51.1794 * CHOOSE(CONTROL!$C$9, $C$13, 100%, $E$13) + CHOOSE(CONTROL!$C$28, 0.0021, 0)</f>
        <v>51.1815</v>
      </c>
      <c r="E582" s="4">
        <f>234.129694557463 * CHOOSE(CONTROL!$C$9, $C$13, 100%, $E$13) + CHOOSE(CONTROL!$C$28, 0.0021, 0)</f>
        <v>234.13179455746302</v>
      </c>
    </row>
    <row r="583" spans="1:5" ht="15">
      <c r="A583" s="13">
        <v>59261</v>
      </c>
      <c r="B583" s="4">
        <f>36.8479 * CHOOSE(CONTROL!$C$9, $C$13, 100%, $E$13) + CHOOSE(CONTROL!$C$28, 0.0211, 0)</f>
        <v>36.869</v>
      </c>
      <c r="C583" s="4">
        <f>36.4846 * CHOOSE(CONTROL!$C$9, $C$13, 100%, $E$13) + CHOOSE(CONTROL!$C$28, 0.0211, 0)</f>
        <v>36.505699999999997</v>
      </c>
      <c r="D583" s="4">
        <f>53.8119 * CHOOSE(CONTROL!$C$9, $C$13, 100%, $E$13) + CHOOSE(CONTROL!$C$28, 0.0021, 0)</f>
        <v>53.814</v>
      </c>
      <c r="E583" s="4">
        <f>248.389758325302 * CHOOSE(CONTROL!$C$9, $C$13, 100%, $E$13) + CHOOSE(CONTROL!$C$28, 0.0021, 0)</f>
        <v>248.39185832530202</v>
      </c>
    </row>
    <row r="584" spans="1:5" ht="15">
      <c r="A584" s="13">
        <v>59291</v>
      </c>
      <c r="B584" s="4">
        <f>38.3193 * CHOOSE(CONTROL!$C$9, $C$13, 100%, $E$13) + CHOOSE(CONTROL!$C$28, 0.0211, 0)</f>
        <v>38.340399999999995</v>
      </c>
      <c r="C584" s="4">
        <f>37.9561 * CHOOSE(CONTROL!$C$9, $C$13, 100%, $E$13) + CHOOSE(CONTROL!$C$28, 0.0211, 0)</f>
        <v>37.977199999999996</v>
      </c>
      <c r="D584" s="4">
        <f>55.3283 * CHOOSE(CONTROL!$C$9, $C$13, 100%, $E$13) + CHOOSE(CONTROL!$C$28, 0.0021, 0)</f>
        <v>55.330399999999997</v>
      </c>
      <c r="E584" s="4">
        <f>258.521723672689 * CHOOSE(CONTROL!$C$9, $C$13, 100%, $E$13) + CHOOSE(CONTROL!$C$28, 0.0021, 0)</f>
        <v>258.52382367268899</v>
      </c>
    </row>
    <row r="585" spans="1:5" ht="15">
      <c r="A585" s="13">
        <v>59322</v>
      </c>
      <c r="B585" s="4">
        <f>39.2184 * CHOOSE(CONTROL!$C$9, $C$13, 100%, $E$13) + CHOOSE(CONTROL!$C$28, 0.0415, 0)</f>
        <v>39.259900000000002</v>
      </c>
      <c r="C585" s="4">
        <f>38.8551 * CHOOSE(CONTROL!$C$9, $C$13, 100%, $E$13) + CHOOSE(CONTROL!$C$28, 0.0415, 0)</f>
        <v>38.896599999999999</v>
      </c>
      <c r="D585" s="4">
        <f>54.7291 * CHOOSE(CONTROL!$C$9, $C$13, 100%, $E$13) + CHOOSE(CONTROL!$C$28, 0.0021, 0)</f>
        <v>54.731200000000001</v>
      </c>
      <c r="E585" s="4">
        <f>264.712111670623 * CHOOSE(CONTROL!$C$9, $C$13, 100%, $E$13) + CHOOSE(CONTROL!$C$28, 0.0021, 0)</f>
        <v>264.714211670623</v>
      </c>
    </row>
    <row r="586" spans="1:5" ht="15">
      <c r="A586" s="13">
        <v>59352</v>
      </c>
      <c r="B586" s="4">
        <f>39.34 * CHOOSE(CONTROL!$C$9, $C$13, 100%, $E$13) + CHOOSE(CONTROL!$C$28, 0.0415, 0)</f>
        <v>39.381500000000003</v>
      </c>
      <c r="C586" s="4">
        <f>38.9768 * CHOOSE(CONTROL!$C$9, $C$13, 100%, $E$13) + CHOOSE(CONTROL!$C$28, 0.0415, 0)</f>
        <v>39.018299999999996</v>
      </c>
      <c r="D586" s="4">
        <f>55.2171 * CHOOSE(CONTROL!$C$9, $C$13, 100%, $E$13) + CHOOSE(CONTROL!$C$28, 0.0021, 0)</f>
        <v>55.219200000000001</v>
      </c>
      <c r="E586" s="4">
        <f>265.549696857382 * CHOOSE(CONTROL!$C$9, $C$13, 100%, $E$13) + CHOOSE(CONTROL!$C$28, 0.0021, 0)</f>
        <v>265.55179685738199</v>
      </c>
    </row>
    <row r="587" spans="1:5" ht="15">
      <c r="A587" s="13">
        <v>59383</v>
      </c>
      <c r="B587" s="4">
        <f>39.3278 * CHOOSE(CONTROL!$C$9, $C$13, 100%, $E$13) + CHOOSE(CONTROL!$C$28, 0.0415, 0)</f>
        <v>39.369300000000003</v>
      </c>
      <c r="C587" s="4">
        <f>38.9645 * CHOOSE(CONTROL!$C$9, $C$13, 100%, $E$13) + CHOOSE(CONTROL!$C$28, 0.0415, 0)</f>
        <v>39.006</v>
      </c>
      <c r="D587" s="4">
        <f>56.0976 * CHOOSE(CONTROL!$C$9, $C$13, 100%, $E$13) + CHOOSE(CONTROL!$C$28, 0.0021, 0)</f>
        <v>56.099699999999999</v>
      </c>
      <c r="E587" s="4">
        <f>265.465234485608 * CHOOSE(CONTROL!$C$9, $C$13, 100%, $E$13) + CHOOSE(CONTROL!$C$28, 0.0021, 0)</f>
        <v>265.46733448560798</v>
      </c>
    </row>
    <row r="588" spans="1:5" ht="15">
      <c r="A588" s="13">
        <v>59414</v>
      </c>
      <c r="B588" s="4">
        <f>40.2508 * CHOOSE(CONTROL!$C$9, $C$13, 100%, $E$13) + CHOOSE(CONTROL!$C$28, 0.0415, 0)</f>
        <v>40.292299999999997</v>
      </c>
      <c r="C588" s="4">
        <f>39.8876 * CHOOSE(CONTROL!$C$9, $C$13, 100%, $E$13) + CHOOSE(CONTROL!$C$28, 0.0415, 0)</f>
        <v>39.929099999999998</v>
      </c>
      <c r="D588" s="4">
        <f>55.5161 * CHOOSE(CONTROL!$C$9, $C$13, 100%, $E$13) + CHOOSE(CONTROL!$C$28, 0.0021, 0)</f>
        <v>55.5182</v>
      </c>
      <c r="E588" s="4">
        <f>271.8210279616 * CHOOSE(CONTROL!$C$9, $C$13, 100%, $E$13) + CHOOSE(CONTROL!$C$28, 0.0021, 0)</f>
        <v>271.82312796159999</v>
      </c>
    </row>
    <row r="589" spans="1:5" ht="15">
      <c r="A589" s="13">
        <v>59444</v>
      </c>
      <c r="B589" s="4">
        <f>38.6776 * CHOOSE(CONTROL!$C$9, $C$13, 100%, $E$13) + CHOOSE(CONTROL!$C$28, 0.0415, 0)</f>
        <v>38.719099999999997</v>
      </c>
      <c r="C589" s="4">
        <f>38.3144 * CHOOSE(CONTROL!$C$9, $C$13, 100%, $E$13) + CHOOSE(CONTROL!$C$28, 0.0415, 0)</f>
        <v>38.355899999999998</v>
      </c>
      <c r="D589" s="4">
        <f>55.2413 * CHOOSE(CONTROL!$C$9, $C$13, 100%, $E$13) + CHOOSE(CONTROL!$C$28, 0.0021, 0)</f>
        <v>55.243400000000001</v>
      </c>
      <c r="E589" s="4">
        <f>260.988728781587 * CHOOSE(CONTROL!$C$9, $C$13, 100%, $E$13) + CHOOSE(CONTROL!$C$28, 0.0021, 0)</f>
        <v>260.99082878158697</v>
      </c>
    </row>
    <row r="590" spans="1:5" ht="15">
      <c r="A590" s="13">
        <v>59475</v>
      </c>
      <c r="B590" s="4">
        <f>37.4183 * CHOOSE(CONTROL!$C$9, $C$13, 100%, $E$13) + CHOOSE(CONTROL!$C$28, 0.0211, 0)</f>
        <v>37.439399999999999</v>
      </c>
      <c r="C590" s="4">
        <f>37.055 * CHOOSE(CONTROL!$C$9, $C$13, 100%, $E$13) + CHOOSE(CONTROL!$C$28, 0.0211, 0)</f>
        <v>37.076099999999997</v>
      </c>
      <c r="D590" s="4">
        <f>54.5057 * CHOOSE(CONTROL!$C$9, $C$13, 100%, $E$13) + CHOOSE(CONTROL!$C$28, 0.0021, 0)</f>
        <v>54.507799999999996</v>
      </c>
      <c r="E590" s="4">
        <f>252.317258612792 * CHOOSE(CONTROL!$C$9, $C$13, 100%, $E$13) + CHOOSE(CONTROL!$C$28, 0.0021, 0)</f>
        <v>252.319358612792</v>
      </c>
    </row>
    <row r="591" spans="1:5" ht="15">
      <c r="A591" s="13">
        <v>59505</v>
      </c>
      <c r="B591" s="4">
        <f>36.6071 * CHOOSE(CONTROL!$C$9, $C$13, 100%, $E$13) + CHOOSE(CONTROL!$C$28, 0.0211, 0)</f>
        <v>36.6282</v>
      </c>
      <c r="C591" s="4">
        <f>36.2438 * CHOOSE(CONTROL!$C$9, $C$13, 100%, $E$13) + CHOOSE(CONTROL!$C$28, 0.0211, 0)</f>
        <v>36.264899999999997</v>
      </c>
      <c r="D591" s="4">
        <f>54.2528 * CHOOSE(CONTROL!$C$9, $C$13, 100%, $E$13) + CHOOSE(CONTROL!$C$28, 0.0021, 0)</f>
        <v>54.254899999999999</v>
      </c>
      <c r="E591" s="4">
        <f>246.732184279238 * CHOOSE(CONTROL!$C$9, $C$13, 100%, $E$13) + CHOOSE(CONTROL!$C$28, 0.0021, 0)</f>
        <v>246.73428427923801</v>
      </c>
    </row>
    <row r="592" spans="1:5" ht="15">
      <c r="A592" s="13">
        <v>59536</v>
      </c>
      <c r="B592" s="4">
        <f>36.0459 * CHOOSE(CONTROL!$C$9, $C$13, 100%, $E$13) + CHOOSE(CONTROL!$C$28, 0.0211, 0)</f>
        <v>36.067</v>
      </c>
      <c r="C592" s="4">
        <f>35.6826 * CHOOSE(CONTROL!$C$9, $C$13, 100%, $E$13) + CHOOSE(CONTROL!$C$28, 0.0211, 0)</f>
        <v>35.703699999999998</v>
      </c>
      <c r="D592" s="4">
        <f>52.3908 * CHOOSE(CONTROL!$C$9, $C$13, 100%, $E$13) + CHOOSE(CONTROL!$C$28, 0.0021, 0)</f>
        <v>52.392899999999997</v>
      </c>
      <c r="E592" s="4">
        <f>242.868030770579 * CHOOSE(CONTROL!$C$9, $C$13, 100%, $E$13) + CHOOSE(CONTROL!$C$28, 0.0021, 0)</f>
        <v>242.87013077057901</v>
      </c>
    </row>
    <row r="593" spans="1:5" ht="15">
      <c r="A593" s="13">
        <v>59567</v>
      </c>
      <c r="B593" s="4">
        <f>34.5105 * CHOOSE(CONTROL!$C$9, $C$13, 100%, $E$13) + CHOOSE(CONTROL!$C$28, 0.0211, 0)</f>
        <v>34.531599999999997</v>
      </c>
      <c r="C593" s="4">
        <f>34.1472 * CHOOSE(CONTROL!$C$9, $C$13, 100%, $E$13) + CHOOSE(CONTROL!$C$28, 0.0211, 0)</f>
        <v>34.168299999999995</v>
      </c>
      <c r="D593" s="4">
        <f>50.3397 * CHOOSE(CONTROL!$C$9, $C$13, 100%, $E$13) + CHOOSE(CONTROL!$C$28, 0.0021, 0)</f>
        <v>50.341799999999999</v>
      </c>
      <c r="E593" s="4">
        <f>232.75159041657 * CHOOSE(CONTROL!$C$9, $C$13, 100%, $E$13) + CHOOSE(CONTROL!$C$28, 0.0021, 0)</f>
        <v>232.75369041657001</v>
      </c>
    </row>
    <row r="594" spans="1:5" ht="15">
      <c r="A594" s="13">
        <v>59595</v>
      </c>
      <c r="B594" s="4">
        <f>35.3115 * CHOOSE(CONTROL!$C$9, $C$13, 100%, $E$13) + CHOOSE(CONTROL!$C$28, 0.0211, 0)</f>
        <v>35.332599999999999</v>
      </c>
      <c r="C594" s="4">
        <f>34.9482 * CHOOSE(CONTROL!$C$9, $C$13, 100%, $E$13) + CHOOSE(CONTROL!$C$28, 0.0211, 0)</f>
        <v>34.969299999999997</v>
      </c>
      <c r="D594" s="4">
        <f>52.051 * CHOOSE(CONTROL!$C$9, $C$13, 100%, $E$13) + CHOOSE(CONTROL!$C$28, 0.0021, 0)</f>
        <v>52.053100000000001</v>
      </c>
      <c r="E594" s="4">
        <f>238.278030425999 * CHOOSE(CONTROL!$C$9, $C$13, 100%, $E$13) + CHOOSE(CONTROL!$C$28, 0.0021, 0)</f>
        <v>238.280130425999</v>
      </c>
    </row>
    <row r="595" spans="1:5" ht="15">
      <c r="A595" s="13">
        <v>59626</v>
      </c>
      <c r="B595" s="4">
        <f>37.4151 * CHOOSE(CONTROL!$C$9, $C$13, 100%, $E$13) + CHOOSE(CONTROL!$C$28, 0.0211, 0)</f>
        <v>37.436199999999999</v>
      </c>
      <c r="C595" s="4">
        <f>37.0518 * CHOOSE(CONTROL!$C$9, $C$13, 100%, $E$13) + CHOOSE(CONTROL!$C$28, 0.0211, 0)</f>
        <v>37.072899999999997</v>
      </c>
      <c r="D595" s="4">
        <f>54.7299 * CHOOSE(CONTROL!$C$9, $C$13, 100%, $E$13) + CHOOSE(CONTROL!$C$28, 0.0021, 0)</f>
        <v>54.731999999999999</v>
      </c>
      <c r="E595" s="4">
        <f>252.790755583619 * CHOOSE(CONTROL!$C$9, $C$13, 100%, $E$13) + CHOOSE(CONTROL!$C$28, 0.0021, 0)</f>
        <v>252.792855583619</v>
      </c>
    </row>
    <row r="596" spans="1:5" ht="15">
      <c r="A596" s="13">
        <v>59656</v>
      </c>
      <c r="B596" s="4">
        <f>38.9098 * CHOOSE(CONTROL!$C$9, $C$13, 100%, $E$13) + CHOOSE(CONTROL!$C$28, 0.0211, 0)</f>
        <v>38.930899999999994</v>
      </c>
      <c r="C596" s="4">
        <f>38.5465 * CHOOSE(CONTROL!$C$9, $C$13, 100%, $E$13) + CHOOSE(CONTROL!$C$28, 0.0211, 0)</f>
        <v>38.567599999999999</v>
      </c>
      <c r="D596" s="4">
        <f>56.2731 * CHOOSE(CONTROL!$C$9, $C$13, 100%, $E$13) + CHOOSE(CONTROL!$C$28, 0.0021, 0)</f>
        <v>56.275199999999998</v>
      </c>
      <c r="E596" s="4">
        <f>263.1022402156 * CHOOSE(CONTROL!$C$9, $C$13, 100%, $E$13) + CHOOSE(CONTROL!$C$28, 0.0021, 0)</f>
        <v>263.10434021559996</v>
      </c>
    </row>
    <row r="597" spans="1:5" ht="15">
      <c r="A597" s="13">
        <v>59687</v>
      </c>
      <c r="B597" s="4">
        <f>39.8229 * CHOOSE(CONTROL!$C$9, $C$13, 100%, $E$13) + CHOOSE(CONTROL!$C$28, 0.0415, 0)</f>
        <v>39.864399999999996</v>
      </c>
      <c r="C597" s="4">
        <f>39.4597 * CHOOSE(CONTROL!$C$9, $C$13, 100%, $E$13) + CHOOSE(CONTROL!$C$28, 0.0415, 0)</f>
        <v>39.501199999999997</v>
      </c>
      <c r="D597" s="4">
        <f>55.6633 * CHOOSE(CONTROL!$C$9, $C$13, 100%, $E$13) + CHOOSE(CONTROL!$C$28, 0.0021, 0)</f>
        <v>55.665399999999998</v>
      </c>
      <c r="E597" s="4">
        <f>269.402310193945 * CHOOSE(CONTROL!$C$9, $C$13, 100%, $E$13) + CHOOSE(CONTROL!$C$28, 0.0021, 0)</f>
        <v>269.40441019394501</v>
      </c>
    </row>
    <row r="598" spans="1:5" ht="15">
      <c r="A598" s="13">
        <v>59717</v>
      </c>
      <c r="B598" s="4">
        <f>39.9465 * CHOOSE(CONTROL!$C$9, $C$13, 100%, $E$13) + CHOOSE(CONTROL!$C$28, 0.0415, 0)</f>
        <v>39.988</v>
      </c>
      <c r="C598" s="4">
        <f>39.5832 * CHOOSE(CONTROL!$C$9, $C$13, 100%, $E$13) + CHOOSE(CONTROL!$C$28, 0.0415, 0)</f>
        <v>39.624699999999997</v>
      </c>
      <c r="D598" s="4">
        <f>56.1599 * CHOOSE(CONTROL!$C$9, $C$13, 100%, $E$13) + CHOOSE(CONTROL!$C$28, 0.0021, 0)</f>
        <v>56.161999999999999</v>
      </c>
      <c r="E598" s="4">
        <f>270.254735807843 * CHOOSE(CONTROL!$C$9, $C$13, 100%, $E$13) + CHOOSE(CONTROL!$C$28, 0.0021, 0)</f>
        <v>270.256835807843</v>
      </c>
    </row>
    <row r="599" spans="1:5" ht="15">
      <c r="A599" s="13">
        <v>59748</v>
      </c>
      <c r="B599" s="4">
        <f>39.934 * CHOOSE(CONTROL!$C$9, $C$13, 100%, $E$13) + CHOOSE(CONTROL!$C$28, 0.0415, 0)</f>
        <v>39.975499999999997</v>
      </c>
      <c r="C599" s="4">
        <f>39.5708 * CHOOSE(CONTROL!$C$9, $C$13, 100%, $E$13) + CHOOSE(CONTROL!$C$28, 0.0415, 0)</f>
        <v>39.612299999999998</v>
      </c>
      <c r="D599" s="4">
        <f>57.056 * CHOOSE(CONTROL!$C$9, $C$13, 100%, $E$13) + CHOOSE(CONTROL!$C$28, 0.0021, 0)</f>
        <v>57.058099999999996</v>
      </c>
      <c r="E599" s="4">
        <f>270.168776922408 * CHOOSE(CONTROL!$C$9, $C$13, 100%, $E$13) + CHOOSE(CONTROL!$C$28, 0.0021, 0)</f>
        <v>270.17087692240796</v>
      </c>
    </row>
    <row r="600" spans="1:5" ht="15">
      <c r="A600" s="13">
        <v>59779</v>
      </c>
      <c r="B600" s="4">
        <f>40.8716 * CHOOSE(CONTROL!$C$9, $C$13, 100%, $E$13) + CHOOSE(CONTROL!$C$28, 0.0415, 0)</f>
        <v>40.9131</v>
      </c>
      <c r="C600" s="4">
        <f>40.5083 * CHOOSE(CONTROL!$C$9, $C$13, 100%, $E$13) + CHOOSE(CONTROL!$C$28, 0.0415, 0)</f>
        <v>40.549799999999998</v>
      </c>
      <c r="D600" s="4">
        <f>56.4642 * CHOOSE(CONTROL!$C$9, $C$13, 100%, $E$13) + CHOOSE(CONTROL!$C$28, 0.0021, 0)</f>
        <v>56.466299999999997</v>
      </c>
      <c r="E600" s="4">
        <f>276.637183051397 * CHOOSE(CONTROL!$C$9, $C$13, 100%, $E$13) + CHOOSE(CONTROL!$C$28, 0.0021, 0)</f>
        <v>276.639283051397</v>
      </c>
    </row>
    <row r="601" spans="1:5" ht="15">
      <c r="A601" s="13">
        <v>59809</v>
      </c>
      <c r="B601" s="4">
        <f>39.2737 * CHOOSE(CONTROL!$C$9, $C$13, 100%, $E$13) + CHOOSE(CONTROL!$C$28, 0.0415, 0)</f>
        <v>39.315199999999997</v>
      </c>
      <c r="C601" s="4">
        <f>38.9104 * CHOOSE(CONTROL!$C$9, $C$13, 100%, $E$13) + CHOOSE(CONTROL!$C$28, 0.0415, 0)</f>
        <v>38.951900000000002</v>
      </c>
      <c r="D601" s="4">
        <f>56.1846 * CHOOSE(CONTROL!$C$9, $C$13, 100%, $E$13) + CHOOSE(CONTROL!$C$28, 0.0021, 0)</f>
        <v>56.186700000000002</v>
      </c>
      <c r="E601" s="4">
        <f>265.61295599435 * CHOOSE(CONTROL!$C$9, $C$13, 100%, $E$13) + CHOOSE(CONTROL!$C$28, 0.0021, 0)</f>
        <v>265.61505599434997</v>
      </c>
    </row>
    <row r="602" spans="1:5" ht="15">
      <c r="A602" s="13">
        <v>59840</v>
      </c>
      <c r="B602" s="4">
        <f>37.9945 * CHOOSE(CONTROL!$C$9, $C$13, 100%, $E$13) + CHOOSE(CONTROL!$C$28, 0.0211, 0)</f>
        <v>38.015599999999999</v>
      </c>
      <c r="C602" s="4">
        <f>37.6312 * CHOOSE(CONTROL!$C$9, $C$13, 100%, $E$13) + CHOOSE(CONTROL!$C$28, 0.0211, 0)</f>
        <v>37.652299999999997</v>
      </c>
      <c r="D602" s="4">
        <f>55.436 * CHOOSE(CONTROL!$C$9, $C$13, 100%, $E$13) + CHOOSE(CONTROL!$C$28, 0.0021, 0)</f>
        <v>55.438099999999999</v>
      </c>
      <c r="E602" s="4">
        <f>256.78784375635 * CHOOSE(CONTROL!$C$9, $C$13, 100%, $E$13) + CHOOSE(CONTROL!$C$28, 0.0021, 0)</f>
        <v>256.78994375635</v>
      </c>
    </row>
    <row r="603" spans="1:5" ht="15">
      <c r="A603" s="13">
        <v>59870</v>
      </c>
      <c r="B603" s="4">
        <f>37.1706 * CHOOSE(CONTROL!$C$9, $C$13, 100%, $E$13) + CHOOSE(CONTROL!$C$28, 0.0211, 0)</f>
        <v>37.191699999999997</v>
      </c>
      <c r="C603" s="4">
        <f>36.8073 * CHOOSE(CONTROL!$C$9, $C$13, 100%, $E$13) + CHOOSE(CONTROL!$C$28, 0.0211, 0)</f>
        <v>36.828399999999995</v>
      </c>
      <c r="D603" s="4">
        <f>55.1786 * CHOOSE(CONTROL!$C$9, $C$13, 100%, $E$13) + CHOOSE(CONTROL!$C$28, 0.0021, 0)</f>
        <v>55.180700000000002</v>
      </c>
      <c r="E603" s="4">
        <f>251.103812456956 * CHOOSE(CONTROL!$C$9, $C$13, 100%, $E$13) + CHOOSE(CONTROL!$C$28, 0.0021, 0)</f>
        <v>251.10591245695602</v>
      </c>
    </row>
    <row r="604" spans="1:5" ht="15">
      <c r="A604" s="13">
        <v>59901</v>
      </c>
      <c r="B604" s="4">
        <f>36.6006 * CHOOSE(CONTROL!$C$9, $C$13, 100%, $E$13) + CHOOSE(CONTROL!$C$28, 0.0211, 0)</f>
        <v>36.621699999999997</v>
      </c>
      <c r="C604" s="4">
        <f>36.2373 * CHOOSE(CONTROL!$C$9, $C$13, 100%, $E$13) + CHOOSE(CONTROL!$C$28, 0.0211, 0)</f>
        <v>36.258399999999995</v>
      </c>
      <c r="D604" s="4">
        <f>53.2837 * CHOOSE(CONTROL!$C$9, $C$13, 100%, $E$13) + CHOOSE(CONTROL!$C$28, 0.0021, 0)</f>
        <v>53.285800000000002</v>
      </c>
      <c r="E604" s="4">
        <f>247.171193448302 * CHOOSE(CONTROL!$C$9, $C$13, 100%, $E$13) + CHOOSE(CONTROL!$C$28, 0.0021, 0)</f>
        <v>247.17329344830202</v>
      </c>
    </row>
    <row r="605" spans="1:5" ht="15">
      <c r="A605" s="13">
        <v>59932</v>
      </c>
      <c r="B605" s="4">
        <f>35.041 * CHOOSE(CONTROL!$C$9, $C$13, 100%, $E$13) + CHOOSE(CONTROL!$C$28, 0.0211, 0)</f>
        <v>35.062099999999994</v>
      </c>
      <c r="C605" s="4">
        <f>34.6777 * CHOOSE(CONTROL!$C$9, $C$13, 100%, $E$13) + CHOOSE(CONTROL!$C$28, 0.0211, 0)</f>
        <v>34.698799999999999</v>
      </c>
      <c r="D605" s="4">
        <f>51.1964 * CHOOSE(CONTROL!$C$9, $C$13, 100%, $E$13) + CHOOSE(CONTROL!$C$28, 0.0021, 0)</f>
        <v>51.198499999999996</v>
      </c>
      <c r="E605" s="4">
        <f>236.875508883251 * CHOOSE(CONTROL!$C$9, $C$13, 100%, $E$13) + CHOOSE(CONTROL!$C$28, 0.0021, 0)</f>
        <v>236.87760888325101</v>
      </c>
    </row>
    <row r="606" spans="1:5" ht="15">
      <c r="A606" s="13">
        <v>59961</v>
      </c>
      <c r="B606" s="4">
        <f>35.8546 * CHOOSE(CONTROL!$C$9, $C$13, 100%, $E$13) + CHOOSE(CONTROL!$C$28, 0.0211, 0)</f>
        <v>35.875699999999995</v>
      </c>
      <c r="C606" s="4">
        <f>35.4913 * CHOOSE(CONTROL!$C$9, $C$13, 100%, $E$13) + CHOOSE(CONTROL!$C$28, 0.0211, 0)</f>
        <v>35.5124</v>
      </c>
      <c r="D606" s="4">
        <f>52.9379 * CHOOSE(CONTROL!$C$9, $C$13, 100%, $E$13) + CHOOSE(CONTROL!$C$28, 0.0021, 0)</f>
        <v>52.94</v>
      </c>
      <c r="E606" s="4">
        <f>242.499866969069 * CHOOSE(CONTROL!$C$9, $C$13, 100%, $E$13) + CHOOSE(CONTROL!$C$28, 0.0021, 0)</f>
        <v>242.501966969069</v>
      </c>
    </row>
    <row r="607" spans="1:5" ht="15">
      <c r="A607" s="13">
        <v>59992</v>
      </c>
      <c r="B607" s="4">
        <f>37.9913 * CHOOSE(CONTROL!$C$9, $C$13, 100%, $E$13) + CHOOSE(CONTROL!$C$28, 0.0211, 0)</f>
        <v>38.0124</v>
      </c>
      <c r="C607" s="4">
        <f>37.628 * CHOOSE(CONTROL!$C$9, $C$13, 100%, $E$13) + CHOOSE(CONTROL!$C$28, 0.0211, 0)</f>
        <v>37.649099999999997</v>
      </c>
      <c r="D607" s="4">
        <f>55.6642 * CHOOSE(CONTROL!$C$9, $C$13, 100%, $E$13) + CHOOSE(CONTROL!$C$28, 0.0021, 0)</f>
        <v>55.6663</v>
      </c>
      <c r="E607" s="4">
        <f>257.269730198967 * CHOOSE(CONTROL!$C$9, $C$13, 100%, $E$13) + CHOOSE(CONTROL!$C$28, 0.0021, 0)</f>
        <v>257.271830198967</v>
      </c>
    </row>
    <row r="608" spans="1:5" ht="15">
      <c r="A608" s="13">
        <v>60022</v>
      </c>
      <c r="B608" s="4">
        <f>39.5094 * CHOOSE(CONTROL!$C$9, $C$13, 100%, $E$13) + CHOOSE(CONTROL!$C$28, 0.0211, 0)</f>
        <v>39.530499999999996</v>
      </c>
      <c r="C608" s="4">
        <f>39.1462 * CHOOSE(CONTROL!$C$9, $C$13, 100%, $E$13) + CHOOSE(CONTROL!$C$28, 0.0211, 0)</f>
        <v>39.167299999999997</v>
      </c>
      <c r="D608" s="4">
        <f>57.2346 * CHOOSE(CONTROL!$C$9, $C$13, 100%, $E$13) + CHOOSE(CONTROL!$C$28, 0.0021, 0)</f>
        <v>57.236699999999999</v>
      </c>
      <c r="E608" s="4">
        <f>267.763914858117 * CHOOSE(CONTROL!$C$9, $C$13, 100%, $E$13) + CHOOSE(CONTROL!$C$28, 0.0021, 0)</f>
        <v>267.76601485811699</v>
      </c>
    </row>
    <row r="609" spans="1:5" ht="15">
      <c r="A609" s="13">
        <v>60053</v>
      </c>
      <c r="B609" s="4">
        <f>40.437 * CHOOSE(CONTROL!$C$9, $C$13, 100%, $E$13) + CHOOSE(CONTROL!$C$28, 0.0415, 0)</f>
        <v>40.478499999999997</v>
      </c>
      <c r="C609" s="4">
        <f>40.0737 * CHOOSE(CONTROL!$C$9, $C$13, 100%, $E$13) + CHOOSE(CONTROL!$C$28, 0.0415, 0)</f>
        <v>40.115200000000002</v>
      </c>
      <c r="D609" s="4">
        <f>56.6141 * CHOOSE(CONTROL!$C$9, $C$13, 100%, $E$13) + CHOOSE(CONTROL!$C$28, 0.0021, 0)</f>
        <v>56.616199999999999</v>
      </c>
      <c r="E609" s="4">
        <f>274.175610174354 * CHOOSE(CONTROL!$C$9, $C$13, 100%, $E$13) + CHOOSE(CONTROL!$C$28, 0.0021, 0)</f>
        <v>274.17771017435399</v>
      </c>
    </row>
    <row r="610" spans="1:5" ht="15">
      <c r="A610" s="13">
        <v>60083</v>
      </c>
      <c r="B610" s="4">
        <f>40.5625 * CHOOSE(CONTROL!$C$9, $C$13, 100%, $E$13) + CHOOSE(CONTROL!$C$28, 0.0415, 0)</f>
        <v>40.603999999999999</v>
      </c>
      <c r="C610" s="4">
        <f>40.1992 * CHOOSE(CONTROL!$C$9, $C$13, 100%, $E$13) + CHOOSE(CONTROL!$C$28, 0.0415, 0)</f>
        <v>40.240699999999997</v>
      </c>
      <c r="D610" s="4">
        <f>57.1195 * CHOOSE(CONTROL!$C$9, $C$13, 100%, $E$13) + CHOOSE(CONTROL!$C$28, 0.0021, 0)</f>
        <v>57.121600000000001</v>
      </c>
      <c r="E610" s="4">
        <f>275.043139159723 * CHOOSE(CONTROL!$C$9, $C$13, 100%, $E$13) + CHOOSE(CONTROL!$C$28, 0.0021, 0)</f>
        <v>275.045239159723</v>
      </c>
    </row>
    <row r="611" spans="1:5" ht="15">
      <c r="A611" s="13">
        <v>60114</v>
      </c>
      <c r="B611" s="4">
        <f>40.5498 * CHOOSE(CONTROL!$C$9, $C$13, 100%, $E$13) + CHOOSE(CONTROL!$C$28, 0.0415, 0)</f>
        <v>40.591299999999997</v>
      </c>
      <c r="C611" s="4">
        <f>40.1866 * CHOOSE(CONTROL!$C$9, $C$13, 100%, $E$13) + CHOOSE(CONTROL!$C$28, 0.0415, 0)</f>
        <v>40.228099999999998</v>
      </c>
      <c r="D611" s="4">
        <f>58.0314 * CHOOSE(CONTROL!$C$9, $C$13, 100%, $E$13) + CHOOSE(CONTROL!$C$28, 0.0021, 0)</f>
        <v>58.033499999999997</v>
      </c>
      <c r="E611" s="4">
        <f>274.955657245232 * CHOOSE(CONTROL!$C$9, $C$13, 100%, $E$13) + CHOOSE(CONTROL!$C$28, 0.0021, 0)</f>
        <v>274.95775724523196</v>
      </c>
    </row>
    <row r="612" spans="1:5" ht="15">
      <c r="A612" s="13">
        <v>60145</v>
      </c>
      <c r="B612" s="4">
        <f>41.5022 * CHOOSE(CONTROL!$C$9, $C$13, 100%, $E$13) + CHOOSE(CONTROL!$C$28, 0.0415, 0)</f>
        <v>41.543700000000001</v>
      </c>
      <c r="C612" s="4">
        <f>41.1389 * CHOOSE(CONTROL!$C$9, $C$13, 100%, $E$13) + CHOOSE(CONTROL!$C$28, 0.0415, 0)</f>
        <v>41.180399999999999</v>
      </c>
      <c r="D612" s="4">
        <f>57.4291 * CHOOSE(CONTROL!$C$9, $C$13, 100%, $E$13) + CHOOSE(CONTROL!$C$28, 0.0021, 0)</f>
        <v>57.431199999999997</v>
      </c>
      <c r="E612" s="4">
        <f>281.53867131068 * CHOOSE(CONTROL!$C$9, $C$13, 100%, $E$13) + CHOOSE(CONTROL!$C$28, 0.0021, 0)</f>
        <v>281.54077131067999</v>
      </c>
    </row>
    <row r="613" spans="1:5" ht="15">
      <c r="A613" s="13">
        <v>60175</v>
      </c>
      <c r="B613" s="4">
        <f>39.8791 * CHOOSE(CONTROL!$C$9, $C$13, 100%, $E$13) + CHOOSE(CONTROL!$C$28, 0.0415, 0)</f>
        <v>39.9206</v>
      </c>
      <c r="C613" s="4">
        <f>39.5158 * CHOOSE(CONTROL!$C$9, $C$13, 100%, $E$13) + CHOOSE(CONTROL!$C$28, 0.0415, 0)</f>
        <v>39.557299999999998</v>
      </c>
      <c r="D613" s="4">
        <f>57.1446 * CHOOSE(CONTROL!$C$9, $C$13, 100%, $E$13) + CHOOSE(CONTROL!$C$28, 0.0021, 0)</f>
        <v>57.146699999999996</v>
      </c>
      <c r="E613" s="4">
        <f>270.319115777209 * CHOOSE(CONTROL!$C$9, $C$13, 100%, $E$13) + CHOOSE(CONTROL!$C$28, 0.0021, 0)</f>
        <v>270.32121577720898</v>
      </c>
    </row>
    <row r="614" spans="1:5" ht="15">
      <c r="A614" s="13">
        <v>60206</v>
      </c>
      <c r="B614" s="4">
        <f>38.5798 * CHOOSE(CONTROL!$C$9, $C$13, 100%, $E$13) + CHOOSE(CONTROL!$C$28, 0.0211, 0)</f>
        <v>38.600899999999996</v>
      </c>
      <c r="C614" s="4">
        <f>38.2165 * CHOOSE(CONTROL!$C$9, $C$13, 100%, $E$13) + CHOOSE(CONTROL!$C$28, 0.0211, 0)</f>
        <v>38.2376</v>
      </c>
      <c r="D614" s="4">
        <f>56.3827 * CHOOSE(CONTROL!$C$9, $C$13, 100%, $E$13) + CHOOSE(CONTROL!$C$28, 0.0021, 0)</f>
        <v>56.384799999999998</v>
      </c>
      <c r="E614" s="4">
        <f>261.337639222799 * CHOOSE(CONTROL!$C$9, $C$13, 100%, $E$13) + CHOOSE(CONTROL!$C$28, 0.0021, 0)</f>
        <v>261.33973922279898</v>
      </c>
    </row>
    <row r="615" spans="1:5" ht="15">
      <c r="A615" s="13">
        <v>60236</v>
      </c>
      <c r="B615" s="4">
        <f>37.7429 * CHOOSE(CONTROL!$C$9, $C$13, 100%, $E$13) + CHOOSE(CONTROL!$C$28, 0.0211, 0)</f>
        <v>37.763999999999996</v>
      </c>
      <c r="C615" s="4">
        <f>37.3797 * CHOOSE(CONTROL!$C$9, $C$13, 100%, $E$13) + CHOOSE(CONTROL!$C$28, 0.0211, 0)</f>
        <v>37.400799999999997</v>
      </c>
      <c r="D615" s="4">
        <f>56.1208 * CHOOSE(CONTROL!$C$9, $C$13, 100%, $E$13) + CHOOSE(CONTROL!$C$28, 0.0021, 0)</f>
        <v>56.122900000000001</v>
      </c>
      <c r="E615" s="4">
        <f>255.552897627081 * CHOOSE(CONTROL!$C$9, $C$13, 100%, $E$13) + CHOOSE(CONTROL!$C$28, 0.0021, 0)</f>
        <v>255.55499762708101</v>
      </c>
    </row>
    <row r="616" spans="1:5" ht="15">
      <c r="A616" s="13">
        <v>60267</v>
      </c>
      <c r="B616" s="4">
        <f>37.164 * CHOOSE(CONTROL!$C$9, $C$13, 100%, $E$13) + CHOOSE(CONTROL!$C$28, 0.0211, 0)</f>
        <v>37.185099999999998</v>
      </c>
      <c r="C616" s="4">
        <f>36.8007 * CHOOSE(CONTROL!$C$9, $C$13, 100%, $E$13) + CHOOSE(CONTROL!$C$28, 0.0211, 0)</f>
        <v>36.821799999999996</v>
      </c>
      <c r="D616" s="4">
        <f>54.1924 * CHOOSE(CONTROL!$C$9, $C$13, 100%, $E$13) + CHOOSE(CONTROL!$C$28, 0.0021, 0)</f>
        <v>54.194499999999998</v>
      </c>
      <c r="E616" s="4">
        <f>251.550600039117 * CHOOSE(CONTROL!$C$9, $C$13, 100%, $E$13) + CHOOSE(CONTROL!$C$28, 0.0021, 0)</f>
        <v>251.55270003911701</v>
      </c>
    </row>
    <row r="617" spans="1:5" ht="15">
      <c r="A617" s="13">
        <v>60298</v>
      </c>
      <c r="B617" s="4">
        <f>35.5798 * CHOOSE(CONTROL!$C$9, $C$13, 100%, $E$13) + CHOOSE(CONTROL!$C$28, 0.0211, 0)</f>
        <v>35.600899999999996</v>
      </c>
      <c r="C617" s="4">
        <f>35.2166 * CHOOSE(CONTROL!$C$9, $C$13, 100%, $E$13) + CHOOSE(CONTROL!$C$28, 0.0211, 0)</f>
        <v>35.237699999999997</v>
      </c>
      <c r="D617" s="4">
        <f>52.0682 * CHOOSE(CONTROL!$C$9, $C$13, 100%, $E$13) + CHOOSE(CONTROL!$C$28, 0.0021, 0)</f>
        <v>52.070299999999996</v>
      </c>
      <c r="E617" s="4">
        <f>241.072495394234 * CHOOSE(CONTROL!$C$9, $C$13, 100%, $E$13) + CHOOSE(CONTROL!$C$28, 0.0021, 0)</f>
        <v>241.07459539423402</v>
      </c>
    </row>
    <row r="618" spans="1:5" ht="15">
      <c r="A618" s="13">
        <v>60326</v>
      </c>
      <c r="B618" s="4">
        <f>36.4063 * CHOOSE(CONTROL!$C$9, $C$13, 100%, $E$13) + CHOOSE(CONTROL!$C$28, 0.0211, 0)</f>
        <v>36.427399999999999</v>
      </c>
      <c r="C618" s="4">
        <f>36.043 * CHOOSE(CONTROL!$C$9, $C$13, 100%, $E$13) + CHOOSE(CONTROL!$C$28, 0.0211, 0)</f>
        <v>36.064099999999996</v>
      </c>
      <c r="D618" s="4">
        <f>53.8405 * CHOOSE(CONTROL!$C$9, $C$13, 100%, $E$13) + CHOOSE(CONTROL!$C$28, 0.0021, 0)</f>
        <v>53.842599999999997</v>
      </c>
      <c r="E618" s="4">
        <f>246.796506479766 * CHOOSE(CONTROL!$C$9, $C$13, 100%, $E$13) + CHOOSE(CONTROL!$C$28, 0.0021, 0)</f>
        <v>246.79860647976602</v>
      </c>
    </row>
    <row r="619" spans="1:5" ht="15">
      <c r="A619" s="13">
        <v>60357</v>
      </c>
      <c r="B619" s="4">
        <f>38.5766 * CHOOSE(CONTROL!$C$9, $C$13, 100%, $E$13) + CHOOSE(CONTROL!$C$28, 0.0211, 0)</f>
        <v>38.597699999999996</v>
      </c>
      <c r="C619" s="4">
        <f>38.2133 * CHOOSE(CONTROL!$C$9, $C$13, 100%, $E$13) + CHOOSE(CONTROL!$C$28, 0.0211, 0)</f>
        <v>38.234399999999994</v>
      </c>
      <c r="D619" s="4">
        <f>56.615 * CHOOSE(CONTROL!$C$9, $C$13, 100%, $E$13) + CHOOSE(CONTROL!$C$28, 0.0021, 0)</f>
        <v>56.617100000000001</v>
      </c>
      <c r="E619" s="4">
        <f>261.828063782797 * CHOOSE(CONTROL!$C$9, $C$13, 100%, $E$13) + CHOOSE(CONTROL!$C$28, 0.0021, 0)</f>
        <v>261.830163782797</v>
      </c>
    </row>
    <row r="620" spans="1:5" ht="15">
      <c r="A620" s="13">
        <v>60387</v>
      </c>
      <c r="B620" s="4">
        <f>40.1186 * CHOOSE(CONTROL!$C$9, $C$13, 100%, $E$13) + CHOOSE(CONTROL!$C$28, 0.0211, 0)</f>
        <v>40.139699999999998</v>
      </c>
      <c r="C620" s="4">
        <f>39.7553 * CHOOSE(CONTROL!$C$9, $C$13, 100%, $E$13) + CHOOSE(CONTROL!$C$28, 0.0211, 0)</f>
        <v>39.776399999999995</v>
      </c>
      <c r="D620" s="4">
        <f>58.2131 * CHOOSE(CONTROL!$C$9, $C$13, 100%, $E$13) + CHOOSE(CONTROL!$C$28, 0.0021, 0)</f>
        <v>58.215199999999996</v>
      </c>
      <c r="E620" s="4">
        <f>272.50818556844 * CHOOSE(CONTROL!$C$9, $C$13, 100%, $E$13) + CHOOSE(CONTROL!$C$28, 0.0021, 0)</f>
        <v>272.51028556844</v>
      </c>
    </row>
    <row r="621" spans="1:5" ht="15">
      <c r="A621" s="13">
        <v>60418</v>
      </c>
      <c r="B621" s="4">
        <f>41.0607 * CHOOSE(CONTROL!$C$9, $C$13, 100%, $E$13) + CHOOSE(CONTROL!$C$28, 0.0415, 0)</f>
        <v>41.102199999999996</v>
      </c>
      <c r="C621" s="4">
        <f>40.6974 * CHOOSE(CONTROL!$C$9, $C$13, 100%, $E$13) + CHOOSE(CONTROL!$C$28, 0.0415, 0)</f>
        <v>40.738900000000001</v>
      </c>
      <c r="D621" s="4">
        <f>57.5816 * CHOOSE(CONTROL!$C$9, $C$13, 100%, $E$13) + CHOOSE(CONTROL!$C$28, 0.0021, 0)</f>
        <v>57.5837</v>
      </c>
      <c r="E621" s="4">
        <f>279.033484012672 * CHOOSE(CONTROL!$C$9, $C$13, 100%, $E$13) + CHOOSE(CONTROL!$C$28, 0.0021, 0)</f>
        <v>279.03558401267196</v>
      </c>
    </row>
    <row r="622" spans="1:5" ht="15">
      <c r="A622" s="13">
        <v>60448</v>
      </c>
      <c r="B622" s="4">
        <f>41.1882 * CHOOSE(CONTROL!$C$9, $C$13, 100%, $E$13) + CHOOSE(CONTROL!$C$28, 0.0415, 0)</f>
        <v>41.229700000000001</v>
      </c>
      <c r="C622" s="4">
        <f>40.8249 * CHOOSE(CONTROL!$C$9, $C$13, 100%, $E$13) + CHOOSE(CONTROL!$C$28, 0.0415, 0)</f>
        <v>40.866399999999999</v>
      </c>
      <c r="D622" s="4">
        <f>58.0959 * CHOOSE(CONTROL!$C$9, $C$13, 100%, $E$13) + CHOOSE(CONTROL!$C$28, 0.0021, 0)</f>
        <v>58.097999999999999</v>
      </c>
      <c r="E622" s="4">
        <f>279.916383972722 * CHOOSE(CONTROL!$C$9, $C$13, 100%, $E$13) + CHOOSE(CONTROL!$C$28, 0.0021, 0)</f>
        <v>279.91848397272196</v>
      </c>
    </row>
    <row r="623" spans="1:5" ht="15">
      <c r="A623" s="13">
        <v>60479</v>
      </c>
      <c r="B623" s="4">
        <f>41.1753 * CHOOSE(CONTROL!$C$9, $C$13, 100%, $E$13) + CHOOSE(CONTROL!$C$28, 0.0415, 0)</f>
        <v>41.216799999999999</v>
      </c>
      <c r="C623" s="4">
        <f>40.812 * CHOOSE(CONTROL!$C$9, $C$13, 100%, $E$13) + CHOOSE(CONTROL!$C$28, 0.0415, 0)</f>
        <v>40.853499999999997</v>
      </c>
      <c r="D623" s="4">
        <f>59.024 * CHOOSE(CONTROL!$C$9, $C$13, 100%, $E$13) + CHOOSE(CONTROL!$C$28, 0.0021, 0)</f>
        <v>59.0261</v>
      </c>
      <c r="E623" s="4">
        <f>279.827352043977 * CHOOSE(CONTROL!$C$9, $C$13, 100%, $E$13) + CHOOSE(CONTROL!$C$28, 0.0021, 0)</f>
        <v>279.82945204397697</v>
      </c>
    </row>
    <row r="624" spans="1:5" ht="15">
      <c r="A624" s="13">
        <v>60510</v>
      </c>
      <c r="B624" s="4">
        <f>42.1426 * CHOOSE(CONTROL!$C$9, $C$13, 100%, $E$13) + CHOOSE(CONTROL!$C$28, 0.0415, 0)</f>
        <v>42.184100000000001</v>
      </c>
      <c r="C624" s="4">
        <f>41.7793 * CHOOSE(CONTROL!$C$9, $C$13, 100%, $E$13) + CHOOSE(CONTROL!$C$28, 0.0415, 0)</f>
        <v>41.820799999999998</v>
      </c>
      <c r="D624" s="4">
        <f>58.4111 * CHOOSE(CONTROL!$C$9, $C$13, 100%, $E$13) + CHOOSE(CONTROL!$C$28, 0.0021, 0)</f>
        <v>58.413199999999996</v>
      </c>
      <c r="E624" s="4">
        <f>286.527004682001 * CHOOSE(CONTROL!$C$9, $C$13, 100%, $E$13) + CHOOSE(CONTROL!$C$28, 0.0021, 0)</f>
        <v>286.52910468200099</v>
      </c>
    </row>
    <row r="625" spans="1:5" ht="15">
      <c r="A625" s="13">
        <v>60540</v>
      </c>
      <c r="B625" s="4">
        <f>40.494 * CHOOSE(CONTROL!$C$9, $C$13, 100%, $E$13) + CHOOSE(CONTROL!$C$28, 0.0415, 0)</f>
        <v>40.535499999999999</v>
      </c>
      <c r="C625" s="4">
        <f>40.1307 * CHOOSE(CONTROL!$C$9, $C$13, 100%, $E$13) + CHOOSE(CONTROL!$C$28, 0.0415, 0)</f>
        <v>40.172199999999997</v>
      </c>
      <c r="D625" s="4">
        <f>58.1215 * CHOOSE(CONTROL!$C$9, $C$13, 100%, $E$13) + CHOOSE(CONTROL!$C$28, 0.0021, 0)</f>
        <v>58.123599999999996</v>
      </c>
      <c r="E625" s="4">
        <f>275.108659820519 * CHOOSE(CONTROL!$C$9, $C$13, 100%, $E$13) + CHOOSE(CONTROL!$C$28, 0.0021, 0)</f>
        <v>275.11075982051898</v>
      </c>
    </row>
    <row r="626" spans="1:5" ht="15">
      <c r="A626" s="13">
        <v>60571</v>
      </c>
      <c r="B626" s="4">
        <f>39.1743 * CHOOSE(CONTROL!$C$9, $C$13, 100%, $E$13) + CHOOSE(CONTROL!$C$28, 0.0211, 0)</f>
        <v>39.195399999999999</v>
      </c>
      <c r="C626" s="4">
        <f>38.811 * CHOOSE(CONTROL!$C$9, $C$13, 100%, $E$13) + CHOOSE(CONTROL!$C$28, 0.0211, 0)</f>
        <v>38.832099999999997</v>
      </c>
      <c r="D626" s="4">
        <f>57.3462 * CHOOSE(CONTROL!$C$9, $C$13, 100%, $E$13) + CHOOSE(CONTROL!$C$28, 0.0021, 0)</f>
        <v>57.348300000000002</v>
      </c>
      <c r="E626" s="4">
        <f>265.968048469416 * CHOOSE(CONTROL!$C$9, $C$13, 100%, $E$13) + CHOOSE(CONTROL!$C$28, 0.0021, 0)</f>
        <v>265.97014846941596</v>
      </c>
    </row>
    <row r="627" spans="1:5" ht="15">
      <c r="A627" s="13">
        <v>60601</v>
      </c>
      <c r="B627" s="4">
        <f>38.3243 * CHOOSE(CONTROL!$C$9, $C$13, 100%, $E$13) + CHOOSE(CONTROL!$C$28, 0.0211, 0)</f>
        <v>38.345399999999998</v>
      </c>
      <c r="C627" s="4">
        <f>37.961 * CHOOSE(CONTROL!$C$9, $C$13, 100%, $E$13) + CHOOSE(CONTROL!$C$28, 0.0211, 0)</f>
        <v>37.982099999999996</v>
      </c>
      <c r="D627" s="4">
        <f>57.0796 * CHOOSE(CONTROL!$C$9, $C$13, 100%, $E$13) + CHOOSE(CONTROL!$C$28, 0.0021, 0)</f>
        <v>57.081699999999998</v>
      </c>
      <c r="E627" s="4">
        <f>260.080812181186 * CHOOSE(CONTROL!$C$9, $C$13, 100%, $E$13) + CHOOSE(CONTROL!$C$28, 0.0021, 0)</f>
        <v>260.08291218118597</v>
      </c>
    </row>
    <row r="628" spans="1:5" ht="15">
      <c r="A628" s="13">
        <v>60632</v>
      </c>
      <c r="B628" s="4">
        <f>37.7362 * CHOOSE(CONTROL!$C$9, $C$13, 100%, $E$13) + CHOOSE(CONTROL!$C$28, 0.0211, 0)</f>
        <v>37.757299999999994</v>
      </c>
      <c r="C628" s="4">
        <f>37.3729 * CHOOSE(CONTROL!$C$9, $C$13, 100%, $E$13) + CHOOSE(CONTROL!$C$28, 0.0211, 0)</f>
        <v>37.393999999999998</v>
      </c>
      <c r="D628" s="4">
        <f>55.1172 * CHOOSE(CONTROL!$C$9, $C$13, 100%, $E$13) + CHOOSE(CONTROL!$C$28, 0.0021, 0)</f>
        <v>55.119299999999996</v>
      </c>
      <c r="E628" s="4">
        <f>256.007601441125 * CHOOSE(CONTROL!$C$9, $C$13, 100%, $E$13) + CHOOSE(CONTROL!$C$28, 0.0021, 0)</f>
        <v>256.009701441125</v>
      </c>
    </row>
    <row r="629" spans="1:5" ht="15">
      <c r="A629" s="13">
        <v>60663</v>
      </c>
      <c r="B629" s="4">
        <f>36.1272 * CHOOSE(CONTROL!$C$9, $C$13, 100%, $E$13) + CHOOSE(CONTROL!$C$28, 0.0211, 0)</f>
        <v>36.148299999999999</v>
      </c>
      <c r="C629" s="4">
        <f>35.7639 * CHOOSE(CONTROL!$C$9, $C$13, 100%, $E$13) + CHOOSE(CONTROL!$C$28, 0.0211, 0)</f>
        <v>35.784999999999997</v>
      </c>
      <c r="D629" s="4">
        <f>52.9554 * CHOOSE(CONTROL!$C$9, $C$13, 100%, $E$13) + CHOOSE(CONTROL!$C$28, 0.0021, 0)</f>
        <v>52.957499999999996</v>
      </c>
      <c r="E629" s="4">
        <f>245.343844577223 * CHOOSE(CONTROL!$C$9, $C$13, 100%, $E$13) + CHOOSE(CONTROL!$C$28, 0.0021, 0)</f>
        <v>245.34594457722301</v>
      </c>
    </row>
    <row r="630" spans="1:5" ht="15">
      <c r="A630" s="13">
        <v>60691</v>
      </c>
      <c r="B630" s="4">
        <f>36.9666 * CHOOSE(CONTROL!$C$9, $C$13, 100%, $E$13) + CHOOSE(CONTROL!$C$28, 0.0211, 0)</f>
        <v>36.987699999999997</v>
      </c>
      <c r="C630" s="4">
        <f>36.6033 * CHOOSE(CONTROL!$C$9, $C$13, 100%, $E$13) + CHOOSE(CONTROL!$C$28, 0.0211, 0)</f>
        <v>36.624399999999994</v>
      </c>
      <c r="D630" s="4">
        <f>54.7591 * CHOOSE(CONTROL!$C$9, $C$13, 100%, $E$13) + CHOOSE(CONTROL!$C$28, 0.0021, 0)</f>
        <v>54.761199999999995</v>
      </c>
      <c r="E630" s="4">
        <f>251.16927432536 * CHOOSE(CONTROL!$C$9, $C$13, 100%, $E$13) + CHOOSE(CONTROL!$C$28, 0.0021, 0)</f>
        <v>251.17137432536001</v>
      </c>
    </row>
    <row r="631" spans="1:5" ht="15">
      <c r="A631" s="13">
        <v>60722</v>
      </c>
      <c r="B631" s="4">
        <f>39.171 * CHOOSE(CONTROL!$C$9, $C$13, 100%, $E$13) + CHOOSE(CONTROL!$C$28, 0.0211, 0)</f>
        <v>39.192099999999996</v>
      </c>
      <c r="C631" s="4">
        <f>38.8077 * CHOOSE(CONTROL!$C$9, $C$13, 100%, $E$13) + CHOOSE(CONTROL!$C$28, 0.0211, 0)</f>
        <v>38.828799999999994</v>
      </c>
      <c r="D631" s="4">
        <f>57.5825 * CHOOSE(CONTROL!$C$9, $C$13, 100%, $E$13) + CHOOSE(CONTROL!$C$28, 0.0021, 0)</f>
        <v>57.584600000000002</v>
      </c>
      <c r="E631" s="4">
        <f>266.467162426105 * CHOOSE(CONTROL!$C$9, $C$13, 100%, $E$13) + CHOOSE(CONTROL!$C$28, 0.0021, 0)</f>
        <v>266.46926242610499</v>
      </c>
    </row>
    <row r="632" spans="1:5" ht="15">
      <c r="A632" s="13">
        <v>60752</v>
      </c>
      <c r="B632" s="4">
        <f>40.7373 * CHOOSE(CONTROL!$C$9, $C$13, 100%, $E$13) + CHOOSE(CONTROL!$C$28, 0.0211, 0)</f>
        <v>40.758399999999995</v>
      </c>
      <c r="C632" s="4">
        <f>40.374 * CHOOSE(CONTROL!$C$9, $C$13, 100%, $E$13) + CHOOSE(CONTROL!$C$28, 0.0211, 0)</f>
        <v>40.395099999999999</v>
      </c>
      <c r="D632" s="4">
        <f>59.209 * CHOOSE(CONTROL!$C$9, $C$13, 100%, $E$13) + CHOOSE(CONTROL!$C$28, 0.0021, 0)</f>
        <v>59.211100000000002</v>
      </c>
      <c r="E632" s="4">
        <f>277.336515792848 * CHOOSE(CONTROL!$C$9, $C$13, 100%, $E$13) + CHOOSE(CONTROL!$C$28, 0.0021, 0)</f>
        <v>277.33861579284797</v>
      </c>
    </row>
    <row r="633" spans="1:5" ht="15">
      <c r="A633" s="13">
        <v>60783</v>
      </c>
      <c r="B633" s="4">
        <f>41.6942 * CHOOSE(CONTROL!$C$9, $C$13, 100%, $E$13) + CHOOSE(CONTROL!$C$28, 0.0415, 0)</f>
        <v>41.735700000000001</v>
      </c>
      <c r="C633" s="4">
        <f>41.3309 * CHOOSE(CONTROL!$C$9, $C$13, 100%, $E$13) + CHOOSE(CONTROL!$C$28, 0.0415, 0)</f>
        <v>41.372399999999999</v>
      </c>
      <c r="D633" s="4">
        <f>58.5663 * CHOOSE(CONTROL!$C$9, $C$13, 100%, $E$13) + CHOOSE(CONTROL!$C$28, 0.0021, 0)</f>
        <v>58.568399999999997</v>
      </c>
      <c r="E633" s="4">
        <f>283.977430197885 * CHOOSE(CONTROL!$C$9, $C$13, 100%, $E$13) + CHOOSE(CONTROL!$C$28, 0.0021, 0)</f>
        <v>283.97953019788497</v>
      </c>
    </row>
    <row r="634" spans="1:5" ht="15">
      <c r="A634" s="13">
        <v>60813</v>
      </c>
      <c r="B634" s="4">
        <f>41.8237 * CHOOSE(CONTROL!$C$9, $C$13, 100%, $E$13) + CHOOSE(CONTROL!$C$28, 0.0415, 0)</f>
        <v>41.865200000000002</v>
      </c>
      <c r="C634" s="4">
        <f>41.4604 * CHOOSE(CONTROL!$C$9, $C$13, 100%, $E$13) + CHOOSE(CONTROL!$C$28, 0.0415, 0)</f>
        <v>41.501899999999999</v>
      </c>
      <c r="D634" s="4">
        <f>59.0897 * CHOOSE(CONTROL!$C$9, $C$13, 100%, $E$13) + CHOOSE(CONTROL!$C$28, 0.0021, 0)</f>
        <v>59.091799999999999</v>
      </c>
      <c r="E634" s="4">
        <f>284.875973477248 * CHOOSE(CONTROL!$C$9, $C$13, 100%, $E$13) + CHOOSE(CONTROL!$C$28, 0.0021, 0)</f>
        <v>284.87807347724799</v>
      </c>
    </row>
    <row r="635" spans="1:5" ht="15">
      <c r="A635" s="13">
        <v>60844</v>
      </c>
      <c r="B635" s="4">
        <f>41.8106 * CHOOSE(CONTROL!$C$9, $C$13, 100%, $E$13) + CHOOSE(CONTROL!$C$28, 0.0415, 0)</f>
        <v>41.8521</v>
      </c>
      <c r="C635" s="4">
        <f>41.4474 * CHOOSE(CONTROL!$C$9, $C$13, 100%, $E$13) + CHOOSE(CONTROL!$C$28, 0.0415, 0)</f>
        <v>41.488900000000001</v>
      </c>
      <c r="D635" s="4">
        <f>60.0341 * CHOOSE(CONTROL!$C$9, $C$13, 100%, $E$13) + CHOOSE(CONTROL!$C$28, 0.0021, 0)</f>
        <v>60.036200000000001</v>
      </c>
      <c r="E635" s="4">
        <f>284.785364070926 * CHOOSE(CONTROL!$C$9, $C$13, 100%, $E$13) + CHOOSE(CONTROL!$C$28, 0.0021, 0)</f>
        <v>284.78746407092598</v>
      </c>
    </row>
    <row r="636" spans="1:5" ht="15">
      <c r="A636" s="13">
        <v>60875</v>
      </c>
      <c r="B636" s="4">
        <f>42.7932 * CHOOSE(CONTROL!$C$9, $C$13, 100%, $E$13) + CHOOSE(CONTROL!$C$28, 0.0415, 0)</f>
        <v>42.834699999999998</v>
      </c>
      <c r="C636" s="4">
        <f>42.4299 * CHOOSE(CONTROL!$C$9, $C$13, 100%, $E$13) + CHOOSE(CONTROL!$C$28, 0.0415, 0)</f>
        <v>42.471400000000003</v>
      </c>
      <c r="D636" s="4">
        <f>59.4104 * CHOOSE(CONTROL!$C$9, $C$13, 100%, $E$13) + CHOOSE(CONTROL!$C$28, 0.0021, 0)</f>
        <v>59.412500000000001</v>
      </c>
      <c r="E636" s="4">
        <f>291.603721896677 * CHOOSE(CONTROL!$C$9, $C$13, 100%, $E$13) + CHOOSE(CONTROL!$C$28, 0.0021, 0)</f>
        <v>291.60582189667696</v>
      </c>
    </row>
    <row r="637" spans="1:5" ht="15">
      <c r="A637" s="13">
        <v>60905</v>
      </c>
      <c r="B637" s="4">
        <f>41.1186 * CHOOSE(CONTROL!$C$9, $C$13, 100%, $E$13) + CHOOSE(CONTROL!$C$28, 0.0415, 0)</f>
        <v>41.1601</v>
      </c>
      <c r="C637" s="4">
        <f>40.7554 * CHOOSE(CONTROL!$C$9, $C$13, 100%, $E$13) + CHOOSE(CONTROL!$C$28, 0.0415, 0)</f>
        <v>40.796900000000001</v>
      </c>
      <c r="D637" s="4">
        <f>59.1157 * CHOOSE(CONTROL!$C$9, $C$13, 100%, $E$13) + CHOOSE(CONTROL!$C$28, 0.0021, 0)</f>
        <v>59.117799999999995</v>
      </c>
      <c r="E637" s="4">
        <f>279.983065535845 * CHOOSE(CONTROL!$C$9, $C$13, 100%, $E$13) + CHOOSE(CONTROL!$C$28, 0.0021, 0)</f>
        <v>279.985165535845</v>
      </c>
    </row>
    <row r="638" spans="1:5" ht="15">
      <c r="A638" s="13">
        <v>60936</v>
      </c>
      <c r="B638" s="4">
        <f>39.7781 * CHOOSE(CONTROL!$C$9, $C$13, 100%, $E$13) + CHOOSE(CONTROL!$C$28, 0.0211, 0)</f>
        <v>39.799199999999999</v>
      </c>
      <c r="C638" s="4">
        <f>39.4149 * CHOOSE(CONTROL!$C$9, $C$13, 100%, $E$13) + CHOOSE(CONTROL!$C$28, 0.0211, 0)</f>
        <v>39.436</v>
      </c>
      <c r="D638" s="4">
        <f>58.3267 * CHOOSE(CONTROL!$C$9, $C$13, 100%, $E$13) + CHOOSE(CONTROL!$C$28, 0.0021, 0)</f>
        <v>58.328800000000001</v>
      </c>
      <c r="E638" s="4">
        <f>270.680499820091 * CHOOSE(CONTROL!$C$9, $C$13, 100%, $E$13) + CHOOSE(CONTROL!$C$28, 0.0021, 0)</f>
        <v>270.68259982009096</v>
      </c>
    </row>
    <row r="639" spans="1:5" ht="15">
      <c r="A639" s="13">
        <v>60966</v>
      </c>
      <c r="B639" s="4">
        <f>38.9148 * CHOOSE(CONTROL!$C$9, $C$13, 100%, $E$13) + CHOOSE(CONTROL!$C$28, 0.0211, 0)</f>
        <v>38.935899999999997</v>
      </c>
      <c r="C639" s="4">
        <f>38.5515 * CHOOSE(CONTROL!$C$9, $C$13, 100%, $E$13) + CHOOSE(CONTROL!$C$28, 0.0211, 0)</f>
        <v>38.572599999999994</v>
      </c>
      <c r="D639" s="4">
        <f>58.0554 * CHOOSE(CONTROL!$C$9, $C$13, 100%, $E$13) + CHOOSE(CONTROL!$C$28, 0.0021, 0)</f>
        <v>58.057499999999997</v>
      </c>
      <c r="E639" s="4">
        <f>264.68895282703 * CHOOSE(CONTROL!$C$9, $C$13, 100%, $E$13) + CHOOSE(CONTROL!$C$28, 0.0021, 0)</f>
        <v>264.69105282702998</v>
      </c>
    </row>
    <row r="640" spans="1:5" ht="15">
      <c r="A640" s="13">
        <v>60997</v>
      </c>
      <c r="B640" s="4">
        <f>38.3174 * CHOOSE(CONTROL!$C$9, $C$13, 100%, $E$13) + CHOOSE(CONTROL!$C$28, 0.0211, 0)</f>
        <v>38.338499999999996</v>
      </c>
      <c r="C640" s="4">
        <f>37.9541 * CHOOSE(CONTROL!$C$9, $C$13, 100%, $E$13) + CHOOSE(CONTROL!$C$28, 0.0211, 0)</f>
        <v>37.975199999999994</v>
      </c>
      <c r="D640" s="4">
        <f>56.0583 * CHOOSE(CONTROL!$C$9, $C$13, 100%, $E$13) + CHOOSE(CONTROL!$C$28, 0.0021, 0)</f>
        <v>56.060400000000001</v>
      </c>
      <c r="E640" s="4">
        <f>260.543572487786 * CHOOSE(CONTROL!$C$9, $C$13, 100%, $E$13) + CHOOSE(CONTROL!$C$28, 0.0021, 0)</f>
        <v>260.54567248778596</v>
      </c>
    </row>
    <row r="641" spans="1:5" ht="15">
      <c r="A641" s="13">
        <v>61028</v>
      </c>
      <c r="B641" s="4">
        <f>36.6831 * CHOOSE(CONTROL!$C$9, $C$13, 100%, $E$13) + CHOOSE(CONTROL!$C$28, 0.0211, 0)</f>
        <v>36.7042</v>
      </c>
      <c r="C641" s="4">
        <f>36.3198 * CHOOSE(CONTROL!$C$9, $C$13, 100%, $E$13) + CHOOSE(CONTROL!$C$28, 0.0211, 0)</f>
        <v>36.340899999999998</v>
      </c>
      <c r="D641" s="4">
        <f>53.8583 * CHOOSE(CONTROL!$C$9, $C$13, 100%, $E$13) + CHOOSE(CONTROL!$C$28, 0.0021, 0)</f>
        <v>53.860399999999998</v>
      </c>
      <c r="E641" s="4">
        <f>249.69087399828 * CHOOSE(CONTROL!$C$9, $C$13, 100%, $E$13) + CHOOSE(CONTROL!$C$28, 0.0021, 0)</f>
        <v>249.69297399828002</v>
      </c>
    </row>
    <row r="642" spans="1:5" ht="15">
      <c r="A642" s="13">
        <v>61056</v>
      </c>
      <c r="B642" s="4">
        <f>37.5357 * CHOOSE(CONTROL!$C$9, $C$13, 100%, $E$13) + CHOOSE(CONTROL!$C$28, 0.0211, 0)</f>
        <v>37.556799999999996</v>
      </c>
      <c r="C642" s="4">
        <f>37.1725 * CHOOSE(CONTROL!$C$9, $C$13, 100%, $E$13) + CHOOSE(CONTROL!$C$28, 0.0211, 0)</f>
        <v>37.193599999999996</v>
      </c>
      <c r="D642" s="4">
        <f>55.6939 * CHOOSE(CONTROL!$C$9, $C$13, 100%, $E$13) + CHOOSE(CONTROL!$C$28, 0.0021, 0)</f>
        <v>55.695999999999998</v>
      </c>
      <c r="E642" s="4">
        <f>255.619519356122 * CHOOSE(CONTROL!$C$9, $C$13, 100%, $E$13) + CHOOSE(CONTROL!$C$28, 0.0021, 0)</f>
        <v>255.62161935612201</v>
      </c>
    </row>
    <row r="643" spans="1:5" ht="15">
      <c r="A643" s="13">
        <v>61087</v>
      </c>
      <c r="B643" s="4">
        <f>39.7748 * CHOOSE(CONTROL!$C$9, $C$13, 100%, $E$13) + CHOOSE(CONTROL!$C$28, 0.0211, 0)</f>
        <v>39.795899999999996</v>
      </c>
      <c r="C643" s="4">
        <f>39.4115 * CHOOSE(CONTROL!$C$9, $C$13, 100%, $E$13) + CHOOSE(CONTROL!$C$28, 0.0211, 0)</f>
        <v>39.432599999999994</v>
      </c>
      <c r="D643" s="4">
        <f>58.5672 * CHOOSE(CONTROL!$C$9, $C$13, 100%, $E$13) + CHOOSE(CONTROL!$C$28, 0.0021, 0)</f>
        <v>58.569299999999998</v>
      </c>
      <c r="E643" s="4">
        <f>271.188457133163 * CHOOSE(CONTROL!$C$9, $C$13, 100%, $E$13) + CHOOSE(CONTROL!$C$28, 0.0021, 0)</f>
        <v>271.190557133163</v>
      </c>
    </row>
    <row r="644" spans="1:5" ht="15">
      <c r="A644" s="13">
        <v>61117</v>
      </c>
      <c r="B644" s="4">
        <f>41.3657 * CHOOSE(CONTROL!$C$9, $C$13, 100%, $E$13) + CHOOSE(CONTROL!$C$28, 0.0211, 0)</f>
        <v>41.386799999999994</v>
      </c>
      <c r="C644" s="4">
        <f>41.0024 * CHOOSE(CONTROL!$C$9, $C$13, 100%, $E$13) + CHOOSE(CONTROL!$C$28, 0.0211, 0)</f>
        <v>41.023499999999999</v>
      </c>
      <c r="D644" s="4">
        <f>60.2224 * CHOOSE(CONTROL!$C$9, $C$13, 100%, $E$13) + CHOOSE(CONTROL!$C$28, 0.0021, 0)</f>
        <v>60.224499999999999</v>
      </c>
      <c r="E644" s="4">
        <f>282.250394907127 * CHOOSE(CONTROL!$C$9, $C$13, 100%, $E$13) + CHOOSE(CONTROL!$C$28, 0.0021, 0)</f>
        <v>282.25249490712696</v>
      </c>
    </row>
    <row r="645" spans="1:5" ht="15">
      <c r="A645" s="13">
        <v>61148</v>
      </c>
      <c r="B645" s="4">
        <f>42.3377 * CHOOSE(CONTROL!$C$9, $C$13, 100%, $E$13) + CHOOSE(CONTROL!$C$28, 0.0415, 0)</f>
        <v>42.379199999999997</v>
      </c>
      <c r="C645" s="4">
        <f>41.9744 * CHOOSE(CONTROL!$C$9, $C$13, 100%, $E$13) + CHOOSE(CONTROL!$C$28, 0.0415, 0)</f>
        <v>42.015900000000002</v>
      </c>
      <c r="D645" s="4">
        <f>59.5683 * CHOOSE(CONTROL!$C$9, $C$13, 100%, $E$13) + CHOOSE(CONTROL!$C$28, 0.0021, 0)</f>
        <v>59.570399999999999</v>
      </c>
      <c r="E645" s="4">
        <f>289.008973769372 * CHOOSE(CONTROL!$C$9, $C$13, 100%, $E$13) + CHOOSE(CONTROL!$C$28, 0.0021, 0)</f>
        <v>289.01107376937199</v>
      </c>
    </row>
    <row r="646" spans="1:5" ht="15">
      <c r="A646" s="13">
        <v>61178</v>
      </c>
      <c r="B646" s="4">
        <f>42.4692 * CHOOSE(CONTROL!$C$9, $C$13, 100%, $E$13) + CHOOSE(CONTROL!$C$28, 0.0415, 0)</f>
        <v>42.5107</v>
      </c>
      <c r="C646" s="4">
        <f>42.1059 * CHOOSE(CONTROL!$C$9, $C$13, 100%, $E$13) + CHOOSE(CONTROL!$C$28, 0.0415, 0)</f>
        <v>42.147399999999998</v>
      </c>
      <c r="D646" s="4">
        <f>60.101 * CHOOSE(CONTROL!$C$9, $C$13, 100%, $E$13) + CHOOSE(CONTROL!$C$28, 0.0021, 0)</f>
        <v>60.103099999999998</v>
      </c>
      <c r="E646" s="4">
        <f>289.923437538112 * CHOOSE(CONTROL!$C$9, $C$13, 100%, $E$13) + CHOOSE(CONTROL!$C$28, 0.0021, 0)</f>
        <v>289.925537538112</v>
      </c>
    </row>
    <row r="647" spans="1:5" ht="15">
      <c r="A647" s="13">
        <v>61209</v>
      </c>
      <c r="B647" s="4">
        <f>42.4559 * CHOOSE(CONTROL!$C$9, $C$13, 100%, $E$13) + CHOOSE(CONTROL!$C$28, 0.0415, 0)</f>
        <v>42.497399999999999</v>
      </c>
      <c r="C647" s="4">
        <f>42.0927 * CHOOSE(CONTROL!$C$9, $C$13, 100%, $E$13) + CHOOSE(CONTROL!$C$28, 0.0415, 0)</f>
        <v>42.1342</v>
      </c>
      <c r="D647" s="4">
        <f>61.0621 * CHOOSE(CONTROL!$C$9, $C$13, 100%, $E$13) + CHOOSE(CONTROL!$C$28, 0.0021, 0)</f>
        <v>61.0642</v>
      </c>
      <c r="E647" s="4">
        <f>289.83122270429 * CHOOSE(CONTROL!$C$9, $C$13, 100%, $E$13) + CHOOSE(CONTROL!$C$28, 0.0021, 0)</f>
        <v>289.83332270428997</v>
      </c>
    </row>
    <row r="648" spans="1:5" ht="15">
      <c r="A648" s="13">
        <v>61240</v>
      </c>
      <c r="B648" s="4">
        <f>43.4539 * CHOOSE(CONTROL!$C$9, $C$13, 100%, $E$13) + CHOOSE(CONTROL!$C$28, 0.0415, 0)</f>
        <v>43.495399999999997</v>
      </c>
      <c r="C648" s="4">
        <f>43.0906 * CHOOSE(CONTROL!$C$9, $C$13, 100%, $E$13) + CHOOSE(CONTROL!$C$28, 0.0415, 0)</f>
        <v>43.132100000000001</v>
      </c>
      <c r="D648" s="4">
        <f>60.4274 * CHOOSE(CONTROL!$C$9, $C$13, 100%, $E$13) + CHOOSE(CONTROL!$C$28, 0.0021, 0)</f>
        <v>60.429499999999997</v>
      </c>
      <c r="E648" s="4">
        <f>296.770388949437 * CHOOSE(CONTROL!$C$9, $C$13, 100%, $E$13) + CHOOSE(CONTROL!$C$28, 0.0021, 0)</f>
        <v>296.77248894943699</v>
      </c>
    </row>
    <row r="649" spans="1:5" ht="15">
      <c r="A649" s="13">
        <v>61270</v>
      </c>
      <c r="B649" s="4">
        <f>41.7531 * CHOOSE(CONTROL!$C$9, $C$13, 100%, $E$13) + CHOOSE(CONTROL!$C$28, 0.0415, 0)</f>
        <v>41.794600000000003</v>
      </c>
      <c r="C649" s="4">
        <f>41.3898 * CHOOSE(CONTROL!$C$9, $C$13, 100%, $E$13) + CHOOSE(CONTROL!$C$28, 0.0415, 0)</f>
        <v>41.4313</v>
      </c>
      <c r="D649" s="4">
        <f>60.1275 * CHOOSE(CONTROL!$C$9, $C$13, 100%, $E$13) + CHOOSE(CONTROL!$C$28, 0.0021, 0)</f>
        <v>60.129599999999996</v>
      </c>
      <c r="E649" s="4">
        <f>284.943836511694 * CHOOSE(CONTROL!$C$9, $C$13, 100%, $E$13) + CHOOSE(CONTROL!$C$28, 0.0021, 0)</f>
        <v>284.94593651169396</v>
      </c>
    </row>
    <row r="650" spans="1:5" ht="15">
      <c r="A650" s="13">
        <v>61301</v>
      </c>
      <c r="B650" s="4">
        <f>40.3915 * CHOOSE(CONTROL!$C$9, $C$13, 100%, $E$13) + CHOOSE(CONTROL!$C$28, 0.0211, 0)</f>
        <v>40.412599999999998</v>
      </c>
      <c r="C650" s="4">
        <f>40.0282 * CHOOSE(CONTROL!$C$9, $C$13, 100%, $E$13) + CHOOSE(CONTROL!$C$28, 0.0211, 0)</f>
        <v>40.049299999999995</v>
      </c>
      <c r="D650" s="4">
        <f>59.3245 * CHOOSE(CONTROL!$C$9, $C$13, 100%, $E$13) + CHOOSE(CONTROL!$C$28, 0.0021, 0)</f>
        <v>59.326599999999999</v>
      </c>
      <c r="E650" s="4">
        <f>275.476446905912 * CHOOSE(CONTROL!$C$9, $C$13, 100%, $E$13) + CHOOSE(CONTROL!$C$28, 0.0021, 0)</f>
        <v>275.47854690591197</v>
      </c>
    </row>
    <row r="651" spans="1:5" ht="15">
      <c r="A651" s="13">
        <v>61331</v>
      </c>
      <c r="B651" s="4">
        <f>39.5145 * CHOOSE(CONTROL!$C$9, $C$13, 100%, $E$13) + CHOOSE(CONTROL!$C$28, 0.0211, 0)</f>
        <v>39.535599999999995</v>
      </c>
      <c r="C651" s="4">
        <f>39.1513 * CHOOSE(CONTROL!$C$9, $C$13, 100%, $E$13) + CHOOSE(CONTROL!$C$28, 0.0211, 0)</f>
        <v>39.172399999999996</v>
      </c>
      <c r="D651" s="4">
        <f>59.0484 * CHOOSE(CONTROL!$C$9, $C$13, 100%, $E$13) + CHOOSE(CONTROL!$C$28, 0.0021, 0)</f>
        <v>59.0505</v>
      </c>
      <c r="E651" s="4">
        <f>269.378741019396 * CHOOSE(CONTROL!$C$9, $C$13, 100%, $E$13) + CHOOSE(CONTROL!$C$28, 0.0021, 0)</f>
        <v>269.38084101939597</v>
      </c>
    </row>
    <row r="652" spans="1:5" ht="15">
      <c r="A652" s="13">
        <v>61362</v>
      </c>
      <c r="B652" s="4">
        <f>38.9078 * CHOOSE(CONTROL!$C$9, $C$13, 100%, $E$13) + CHOOSE(CONTROL!$C$28, 0.0211, 0)</f>
        <v>38.928899999999999</v>
      </c>
      <c r="C652" s="4">
        <f>38.5445 * CHOOSE(CONTROL!$C$9, $C$13, 100%, $E$13) + CHOOSE(CONTROL!$C$28, 0.0211, 0)</f>
        <v>38.565599999999996</v>
      </c>
      <c r="D652" s="4">
        <f>57.016 * CHOOSE(CONTROL!$C$9, $C$13, 100%, $E$13) + CHOOSE(CONTROL!$C$28, 0.0021, 0)</f>
        <v>57.018099999999997</v>
      </c>
      <c r="E652" s="4">
        <f>265.159912372014 * CHOOSE(CONTROL!$C$9, $C$13, 100%, $E$13) + CHOOSE(CONTROL!$C$28, 0.0021, 0)</f>
        <v>265.16201237201398</v>
      </c>
    </row>
    <row r="653" spans="1:5" ht="15">
      <c r="A653" s="13">
        <v>61393</v>
      </c>
      <c r="B653" s="4">
        <f>37.2478 * CHOOSE(CONTROL!$C$9, $C$13, 100%, $E$13) + CHOOSE(CONTROL!$C$28, 0.0211, 0)</f>
        <v>37.268899999999995</v>
      </c>
      <c r="C653" s="4">
        <f>36.8845 * CHOOSE(CONTROL!$C$9, $C$13, 100%, $E$13) + CHOOSE(CONTROL!$C$28, 0.0211, 0)</f>
        <v>36.9056</v>
      </c>
      <c r="D653" s="4">
        <f>54.7772 * CHOOSE(CONTROL!$C$9, $C$13, 100%, $E$13) + CHOOSE(CONTROL!$C$28, 0.0021, 0)</f>
        <v>54.779299999999999</v>
      </c>
      <c r="E653" s="4">
        <f>254.114924568248 * CHOOSE(CONTROL!$C$9, $C$13, 100%, $E$13) + CHOOSE(CONTROL!$C$28, 0.0021, 0)</f>
        <v>254.11702456824801</v>
      </c>
    </row>
    <row r="654" spans="1:5" ht="15">
      <c r="A654" s="13">
        <v>61422</v>
      </c>
      <c r="B654" s="4">
        <f>38.1138 * CHOOSE(CONTROL!$C$9, $C$13, 100%, $E$13) + CHOOSE(CONTROL!$C$28, 0.0211, 0)</f>
        <v>38.134899999999995</v>
      </c>
      <c r="C654" s="4">
        <f>37.7505 * CHOOSE(CONTROL!$C$9, $C$13, 100%, $E$13) + CHOOSE(CONTROL!$C$28, 0.0211, 0)</f>
        <v>37.771599999999999</v>
      </c>
      <c r="D654" s="4">
        <f>56.6451 * CHOOSE(CONTROL!$C$9, $C$13, 100%, $E$13) + CHOOSE(CONTROL!$C$28, 0.0021, 0)</f>
        <v>56.647199999999998</v>
      </c>
      <c r="E654" s="4">
        <f>260.148614321403 * CHOOSE(CONTROL!$C$9, $C$13, 100%, $E$13) + CHOOSE(CONTROL!$C$28, 0.0021, 0)</f>
        <v>260.15071432140297</v>
      </c>
    </row>
    <row r="655" spans="1:5" ht="15">
      <c r="A655" s="13">
        <v>61453</v>
      </c>
      <c r="B655" s="4">
        <f>40.3881 * CHOOSE(CONTROL!$C$9, $C$13, 100%, $E$13) + CHOOSE(CONTROL!$C$28, 0.0211, 0)</f>
        <v>40.409199999999998</v>
      </c>
      <c r="C655" s="4">
        <f>40.0248 * CHOOSE(CONTROL!$C$9, $C$13, 100%, $E$13) + CHOOSE(CONTROL!$C$28, 0.0211, 0)</f>
        <v>40.045899999999996</v>
      </c>
      <c r="D655" s="4">
        <f>59.5693 * CHOOSE(CONTROL!$C$9, $C$13, 100%, $E$13) + CHOOSE(CONTROL!$C$28, 0.0021, 0)</f>
        <v>59.571399999999997</v>
      </c>
      <c r="E655" s="4">
        <f>275.993404262937 * CHOOSE(CONTROL!$C$9, $C$13, 100%, $E$13) + CHOOSE(CONTROL!$C$28, 0.0021, 0)</f>
        <v>275.995504262937</v>
      </c>
    </row>
    <row r="656" spans="1:5" ht="15">
      <c r="A656" s="13">
        <v>61483</v>
      </c>
      <c r="B656" s="4">
        <f>42.004 * CHOOSE(CONTROL!$C$9, $C$13, 100%, $E$13) + CHOOSE(CONTROL!$C$28, 0.0211, 0)</f>
        <v>42.025099999999995</v>
      </c>
      <c r="C656" s="4">
        <f>41.6407 * CHOOSE(CONTROL!$C$9, $C$13, 100%, $E$13) + CHOOSE(CONTROL!$C$28, 0.0211, 0)</f>
        <v>41.661799999999999</v>
      </c>
      <c r="D656" s="4">
        <f>61.2537 * CHOOSE(CONTROL!$C$9, $C$13, 100%, $E$13) + CHOOSE(CONTROL!$C$28, 0.0021, 0)</f>
        <v>61.255800000000001</v>
      </c>
      <c r="E656" s="4">
        <f>287.251338675985 * CHOOSE(CONTROL!$C$9, $C$13, 100%, $E$13) + CHOOSE(CONTROL!$C$28, 0.0021, 0)</f>
        <v>287.25343867598497</v>
      </c>
    </row>
    <row r="657" spans="1:5" ht="15">
      <c r="A657" s="13">
        <v>61514</v>
      </c>
      <c r="B657" s="4">
        <f>42.9913 * CHOOSE(CONTROL!$C$9, $C$13, 100%, $E$13) + CHOOSE(CONTROL!$C$28, 0.0415, 0)</f>
        <v>43.032800000000002</v>
      </c>
      <c r="C657" s="4">
        <f>42.628 * CHOOSE(CONTROL!$C$9, $C$13, 100%, $E$13) + CHOOSE(CONTROL!$C$28, 0.0415, 0)</f>
        <v>42.669499999999999</v>
      </c>
      <c r="D657" s="4">
        <f>60.5881 * CHOOSE(CONTROL!$C$9, $C$13, 100%, $E$13) + CHOOSE(CONTROL!$C$28, 0.0021, 0)</f>
        <v>60.590199999999996</v>
      </c>
      <c r="E657" s="4">
        <f>294.129666787327 * CHOOSE(CONTROL!$C$9, $C$13, 100%, $E$13) + CHOOSE(CONTROL!$C$28, 0.0021, 0)</f>
        <v>294.13176678732697</v>
      </c>
    </row>
    <row r="658" spans="1:5" ht="15">
      <c r="A658" s="13">
        <v>61544</v>
      </c>
      <c r="B658" s="4">
        <f>43.1249 * CHOOSE(CONTROL!$C$9, $C$13, 100%, $E$13) + CHOOSE(CONTROL!$C$28, 0.0415, 0)</f>
        <v>43.166399999999996</v>
      </c>
      <c r="C658" s="4">
        <f>42.7616 * CHOOSE(CONTROL!$C$9, $C$13, 100%, $E$13) + CHOOSE(CONTROL!$C$28, 0.0415, 0)</f>
        <v>42.803100000000001</v>
      </c>
      <c r="D658" s="4">
        <f>61.1301 * CHOOSE(CONTROL!$C$9, $C$13, 100%, $E$13) + CHOOSE(CONTROL!$C$28, 0.0021, 0)</f>
        <v>61.132199999999997</v>
      </c>
      <c r="E658" s="4">
        <f>295.06033312644 * CHOOSE(CONTROL!$C$9, $C$13, 100%, $E$13) + CHOOSE(CONTROL!$C$28, 0.0021, 0)</f>
        <v>295.06243312644</v>
      </c>
    </row>
    <row r="659" spans="1:5" ht="15">
      <c r="A659" s="13">
        <v>61575</v>
      </c>
      <c r="B659" s="4">
        <f>43.1114 * CHOOSE(CONTROL!$C$9, $C$13, 100%, $E$13) + CHOOSE(CONTROL!$C$28, 0.0415, 0)</f>
        <v>43.152900000000002</v>
      </c>
      <c r="C659" s="4">
        <f>42.7481 * CHOOSE(CONTROL!$C$9, $C$13, 100%, $E$13) + CHOOSE(CONTROL!$C$28, 0.0415, 0)</f>
        <v>42.7896</v>
      </c>
      <c r="D659" s="4">
        <f>62.1082 * CHOOSE(CONTROL!$C$9, $C$13, 100%, $E$13) + CHOOSE(CONTROL!$C$28, 0.0021, 0)</f>
        <v>62.110299999999995</v>
      </c>
      <c r="E659" s="4">
        <f>294.966484419975 * CHOOSE(CONTROL!$C$9, $C$13, 100%, $E$13) + CHOOSE(CONTROL!$C$28, 0.0021, 0)</f>
        <v>294.968584419975</v>
      </c>
    </row>
    <row r="660" spans="1:5" ht="15">
      <c r="A660" s="13">
        <v>61606</v>
      </c>
      <c r="B660" s="4">
        <f>44.1251 * CHOOSE(CONTROL!$C$9, $C$13, 100%, $E$13) + CHOOSE(CONTROL!$C$28, 0.0415, 0)</f>
        <v>44.166600000000003</v>
      </c>
      <c r="C660" s="4">
        <f>43.7618 * CHOOSE(CONTROL!$C$9, $C$13, 100%, $E$13) + CHOOSE(CONTROL!$C$28, 0.0415, 0)</f>
        <v>43.8033</v>
      </c>
      <c r="D660" s="4">
        <f>61.4623 * CHOOSE(CONTROL!$C$9, $C$13, 100%, $E$13) + CHOOSE(CONTROL!$C$28, 0.0021, 0)</f>
        <v>61.464399999999998</v>
      </c>
      <c r="E660" s="4">
        <f>302.028599581478 * CHOOSE(CONTROL!$C$9, $C$13, 100%, $E$13) + CHOOSE(CONTROL!$C$28, 0.0021, 0)</f>
        <v>302.03069958147796</v>
      </c>
    </row>
    <row r="661" spans="1:5" ht="15">
      <c r="A661" s="13">
        <v>61636</v>
      </c>
      <c r="B661" s="4">
        <f>42.3975 * CHOOSE(CONTROL!$C$9, $C$13, 100%, $E$13) + CHOOSE(CONTROL!$C$28, 0.0415, 0)</f>
        <v>42.439</v>
      </c>
      <c r="C661" s="4">
        <f>42.0342 * CHOOSE(CONTROL!$C$9, $C$13, 100%, $E$13) + CHOOSE(CONTROL!$C$28, 0.0415, 0)</f>
        <v>42.075699999999998</v>
      </c>
      <c r="D661" s="4">
        <f>61.1571 * CHOOSE(CONTROL!$C$9, $C$13, 100%, $E$13) + CHOOSE(CONTROL!$C$28, 0.0021, 0)</f>
        <v>61.159199999999998</v>
      </c>
      <c r="E661" s="4">
        <f>289.992502977322 * CHOOSE(CONTROL!$C$9, $C$13, 100%, $E$13) + CHOOSE(CONTROL!$C$28, 0.0021, 0)</f>
        <v>289.99460297732196</v>
      </c>
    </row>
    <row r="662" spans="1:5" ht="15">
      <c r="A662" s="13">
        <v>61667</v>
      </c>
      <c r="B662" s="4">
        <f>41.0145 * CHOOSE(CONTROL!$C$9, $C$13, 100%, $E$13) + CHOOSE(CONTROL!$C$28, 0.0211, 0)</f>
        <v>41.035599999999995</v>
      </c>
      <c r="C662" s="4">
        <f>40.6512 * CHOOSE(CONTROL!$C$9, $C$13, 100%, $E$13) + CHOOSE(CONTROL!$C$28, 0.0211, 0)</f>
        <v>40.6723</v>
      </c>
      <c r="D662" s="4">
        <f>60.3399 * CHOOSE(CONTROL!$C$9, $C$13, 100%, $E$13) + CHOOSE(CONTROL!$C$28, 0.0021, 0)</f>
        <v>60.341999999999999</v>
      </c>
      <c r="E662" s="4">
        <f>280.357369113566 * CHOOSE(CONTROL!$C$9, $C$13, 100%, $E$13) + CHOOSE(CONTROL!$C$28, 0.0021, 0)</f>
        <v>280.35946911356598</v>
      </c>
    </row>
    <row r="663" spans="1:5" ht="15">
      <c r="A663" s="13">
        <v>61697</v>
      </c>
      <c r="B663" s="4">
        <f>40.1237 * CHOOSE(CONTROL!$C$9, $C$13, 100%, $E$13) + CHOOSE(CONTROL!$C$28, 0.0211, 0)</f>
        <v>40.144799999999996</v>
      </c>
      <c r="C663" s="4">
        <f>39.7605 * CHOOSE(CONTROL!$C$9, $C$13, 100%, $E$13) + CHOOSE(CONTROL!$C$28, 0.0211, 0)</f>
        <v>39.781599999999997</v>
      </c>
      <c r="D663" s="4">
        <f>60.059 * CHOOSE(CONTROL!$C$9, $C$13, 100%, $E$13) + CHOOSE(CONTROL!$C$28, 0.0021, 0)</f>
        <v>60.061099999999996</v>
      </c>
      <c r="E663" s="4">
        <f>274.151623398558 * CHOOSE(CONTROL!$C$9, $C$13, 100%, $E$13) + CHOOSE(CONTROL!$C$28, 0.0021, 0)</f>
        <v>274.15372339855799</v>
      </c>
    </row>
    <row r="664" spans="1:5" ht="15">
      <c r="A664" s="13">
        <v>61728</v>
      </c>
      <c r="B664" s="4">
        <f>39.5075 * CHOOSE(CONTROL!$C$9, $C$13, 100%, $E$13) + CHOOSE(CONTROL!$C$28, 0.0211, 0)</f>
        <v>39.528599999999997</v>
      </c>
      <c r="C664" s="4">
        <f>39.1442 * CHOOSE(CONTROL!$C$9, $C$13, 100%, $E$13) + CHOOSE(CONTROL!$C$28, 0.0211, 0)</f>
        <v>39.165299999999995</v>
      </c>
      <c r="D664" s="4">
        <f>57.9907 * CHOOSE(CONTROL!$C$9, $C$13, 100%, $E$13) + CHOOSE(CONTROL!$C$28, 0.0021, 0)</f>
        <v>57.992799999999995</v>
      </c>
      <c r="E664" s="4">
        <f>269.858045077777 * CHOOSE(CONTROL!$C$9, $C$13, 100%, $E$13) + CHOOSE(CONTROL!$C$28, 0.0021, 0)</f>
        <v>269.86014507777696</v>
      </c>
    </row>
    <row r="665" spans="1:5" ht="15">
      <c r="A665" s="13">
        <v>61759</v>
      </c>
      <c r="B665" s="4">
        <f>37.8213 * CHOOSE(CONTROL!$C$9, $C$13, 100%, $E$13) + CHOOSE(CONTROL!$C$28, 0.0211, 0)</f>
        <v>37.842399999999998</v>
      </c>
      <c r="C665" s="4">
        <f>37.4581 * CHOOSE(CONTROL!$C$9, $C$13, 100%, $E$13) + CHOOSE(CONTROL!$C$28, 0.0211, 0)</f>
        <v>37.479199999999999</v>
      </c>
      <c r="D665" s="4">
        <f>55.7123 * CHOOSE(CONTROL!$C$9, $C$13, 100%, $E$13) + CHOOSE(CONTROL!$C$28, 0.0021, 0)</f>
        <v>55.714399999999998</v>
      </c>
      <c r="E665" s="4">
        <f>258.617360956376 * CHOOSE(CONTROL!$C$9, $C$13, 100%, $E$13) + CHOOSE(CONTROL!$C$28, 0.0021, 0)</f>
        <v>258.61946095637597</v>
      </c>
    </row>
    <row r="666" spans="1:5" ht="15">
      <c r="A666" s="13">
        <v>61787</v>
      </c>
      <c r="B666" s="4">
        <f>38.701 * CHOOSE(CONTROL!$C$9, $C$13, 100%, $E$13) + CHOOSE(CONTROL!$C$28, 0.0211, 0)</f>
        <v>38.722099999999998</v>
      </c>
      <c r="C666" s="4">
        <f>38.3377 * CHOOSE(CONTROL!$C$9, $C$13, 100%, $E$13) + CHOOSE(CONTROL!$C$28, 0.0211, 0)</f>
        <v>38.358799999999995</v>
      </c>
      <c r="D666" s="4">
        <f>57.6133 * CHOOSE(CONTROL!$C$9, $C$13, 100%, $E$13) + CHOOSE(CONTROL!$C$28, 0.0021, 0)</f>
        <v>57.615400000000001</v>
      </c>
      <c r="E666" s="4">
        <f>264.75795629308 * CHOOSE(CONTROL!$C$9, $C$13, 100%, $E$13) + CHOOSE(CONTROL!$C$28, 0.0021, 0)</f>
        <v>264.76005629307997</v>
      </c>
    </row>
    <row r="667" spans="1:5" ht="15">
      <c r="A667" s="13">
        <v>61818</v>
      </c>
      <c r="B667" s="4">
        <f>41.011 * CHOOSE(CONTROL!$C$9, $C$13, 100%, $E$13) + CHOOSE(CONTROL!$C$28, 0.0211, 0)</f>
        <v>41.0321</v>
      </c>
      <c r="C667" s="4">
        <f>40.6478 * CHOOSE(CONTROL!$C$9, $C$13, 100%, $E$13) + CHOOSE(CONTROL!$C$28, 0.0211, 0)</f>
        <v>40.668899999999994</v>
      </c>
      <c r="D667" s="4">
        <f>60.589 * CHOOSE(CONTROL!$C$9, $C$13, 100%, $E$13) + CHOOSE(CONTROL!$C$28, 0.0021, 0)</f>
        <v>60.591099999999997</v>
      </c>
      <c r="E667" s="4">
        <f>280.883485978319 * CHOOSE(CONTROL!$C$9, $C$13, 100%, $E$13) + CHOOSE(CONTROL!$C$28, 0.0021, 0)</f>
        <v>280.885585978319</v>
      </c>
    </row>
    <row r="668" spans="1:5" ht="15">
      <c r="A668" s="13">
        <v>61848</v>
      </c>
      <c r="B668" s="4">
        <f>42.6524 * CHOOSE(CONTROL!$C$9, $C$13, 100%, $E$13) + CHOOSE(CONTROL!$C$28, 0.0211, 0)</f>
        <v>42.673499999999997</v>
      </c>
      <c r="C668" s="4">
        <f>42.2891 * CHOOSE(CONTROL!$C$9, $C$13, 100%, $E$13) + CHOOSE(CONTROL!$C$28, 0.0211, 0)</f>
        <v>42.310199999999995</v>
      </c>
      <c r="D668" s="4">
        <f>62.3032 * CHOOSE(CONTROL!$C$9, $C$13, 100%, $E$13) + CHOOSE(CONTROL!$C$28, 0.0021, 0)</f>
        <v>62.305299999999995</v>
      </c>
      <c r="E668" s="4">
        <f>292.340889720619 * CHOOSE(CONTROL!$C$9, $C$13, 100%, $E$13) + CHOOSE(CONTROL!$C$28, 0.0021, 0)</f>
        <v>292.34298972061896</v>
      </c>
    </row>
    <row r="669" spans="1:5" ht="15">
      <c r="A669" s="13">
        <v>61879</v>
      </c>
      <c r="B669" s="4">
        <f>43.6552 * CHOOSE(CONTROL!$C$9, $C$13, 100%, $E$13) + CHOOSE(CONTROL!$C$28, 0.0415, 0)</f>
        <v>43.6967</v>
      </c>
      <c r="C669" s="4">
        <f>43.2919 * CHOOSE(CONTROL!$C$9, $C$13, 100%, $E$13) + CHOOSE(CONTROL!$C$28, 0.0415, 0)</f>
        <v>43.333399999999997</v>
      </c>
      <c r="D669" s="4">
        <f>61.6258 * CHOOSE(CONTROL!$C$9, $C$13, 100%, $E$13) + CHOOSE(CONTROL!$C$28, 0.0021, 0)</f>
        <v>61.627899999999997</v>
      </c>
      <c r="E669" s="4">
        <f>299.341088811521 * CHOOSE(CONTROL!$C$9, $C$13, 100%, $E$13) + CHOOSE(CONTROL!$C$28, 0.0021, 0)</f>
        <v>299.34318881152097</v>
      </c>
    </row>
    <row r="670" spans="1:5" ht="15">
      <c r="A670" s="13">
        <v>61909</v>
      </c>
      <c r="B670" s="4">
        <f>43.7908 * CHOOSE(CONTROL!$C$9, $C$13, 100%, $E$13) + CHOOSE(CONTROL!$C$28, 0.0415, 0)</f>
        <v>43.832299999999996</v>
      </c>
      <c r="C670" s="4">
        <f>43.4276 * CHOOSE(CONTROL!$C$9, $C$13, 100%, $E$13) + CHOOSE(CONTROL!$C$28, 0.0415, 0)</f>
        <v>43.469099999999997</v>
      </c>
      <c r="D670" s="4">
        <f>62.1775 * CHOOSE(CONTROL!$C$9, $C$13, 100%, $E$13) + CHOOSE(CONTROL!$C$28, 0.0021, 0)</f>
        <v>62.179600000000001</v>
      </c>
      <c r="E670" s="4">
        <f>300.288244799943 * CHOOSE(CONTROL!$C$9, $C$13, 100%, $E$13) + CHOOSE(CONTROL!$C$28, 0.0021, 0)</f>
        <v>300.290344799943</v>
      </c>
    </row>
    <row r="671" spans="1:5" ht="15">
      <c r="A671" s="13">
        <v>61940</v>
      </c>
      <c r="B671" s="4">
        <f>43.7772 * CHOOSE(CONTROL!$C$9, $C$13, 100%, $E$13) + CHOOSE(CONTROL!$C$28, 0.0415, 0)</f>
        <v>43.8187</v>
      </c>
      <c r="C671" s="4">
        <f>43.4139 * CHOOSE(CONTROL!$C$9, $C$13, 100%, $E$13) + CHOOSE(CONTROL!$C$28, 0.0415, 0)</f>
        <v>43.455399999999997</v>
      </c>
      <c r="D671" s="4">
        <f>63.1729 * CHOOSE(CONTROL!$C$9, $C$13, 100%, $E$13) + CHOOSE(CONTROL!$C$28, 0.0021, 0)</f>
        <v>63.174999999999997</v>
      </c>
      <c r="E671" s="4">
        <f>300.192733271699 * CHOOSE(CONTROL!$C$9, $C$13, 100%, $E$13) + CHOOSE(CONTROL!$C$28, 0.0021, 0)</f>
        <v>300.194833271699</v>
      </c>
    </row>
    <row r="672" spans="1:5" ht="15">
      <c r="A672" s="13">
        <v>61971</v>
      </c>
      <c r="B672" s="4">
        <f>44.8068 * CHOOSE(CONTROL!$C$9, $C$13, 100%, $E$13) + CHOOSE(CONTROL!$C$28, 0.0415, 0)</f>
        <v>44.848300000000002</v>
      </c>
      <c r="C672" s="4">
        <f>44.4435 * CHOOSE(CONTROL!$C$9, $C$13, 100%, $E$13) + CHOOSE(CONTROL!$C$28, 0.0415, 0)</f>
        <v>44.484999999999999</v>
      </c>
      <c r="D672" s="4">
        <f>62.5155 * CHOOSE(CONTROL!$C$9, $C$13, 100%, $E$13) + CHOOSE(CONTROL!$C$28, 0.0021, 0)</f>
        <v>62.517600000000002</v>
      </c>
      <c r="E672" s="4">
        <f>307.37997577208 * CHOOSE(CONTROL!$C$9, $C$13, 100%, $E$13) + CHOOSE(CONTROL!$C$28, 0.0021, 0)</f>
        <v>307.38207577207999</v>
      </c>
    </row>
    <row r="673" spans="1:5" ht="15">
      <c r="A673" s="13">
        <v>62001</v>
      </c>
      <c r="B673" s="4">
        <f>43.052 * CHOOSE(CONTROL!$C$9, $C$13, 100%, $E$13) + CHOOSE(CONTROL!$C$28, 0.0415, 0)</f>
        <v>43.093499999999999</v>
      </c>
      <c r="C673" s="4">
        <f>42.6887 * CHOOSE(CONTROL!$C$9, $C$13, 100%, $E$13) + CHOOSE(CONTROL!$C$28, 0.0415, 0)</f>
        <v>42.730199999999996</v>
      </c>
      <c r="D673" s="4">
        <f>62.2049 * CHOOSE(CONTROL!$C$9, $C$13, 100%, $E$13) + CHOOSE(CONTROL!$C$28, 0.0021, 0)</f>
        <v>62.207000000000001</v>
      </c>
      <c r="E673" s="4">
        <f>295.130622274754 * CHOOSE(CONTROL!$C$9, $C$13, 100%, $E$13) + CHOOSE(CONTROL!$C$28, 0.0021, 0)</f>
        <v>295.13272227475397</v>
      </c>
    </row>
    <row r="674" spans="1:5" ht="15">
      <c r="A674" s="13">
        <v>62032</v>
      </c>
      <c r="B674" s="4">
        <f>41.6473 * CHOOSE(CONTROL!$C$9, $C$13, 100%, $E$13) + CHOOSE(CONTROL!$C$28, 0.0211, 0)</f>
        <v>41.668399999999998</v>
      </c>
      <c r="C674" s="4">
        <f>41.284 * CHOOSE(CONTROL!$C$9, $C$13, 100%, $E$13) + CHOOSE(CONTROL!$C$28, 0.0211, 0)</f>
        <v>41.305099999999996</v>
      </c>
      <c r="D674" s="4">
        <f>61.3733 * CHOOSE(CONTROL!$C$9, $C$13, 100%, $E$13) + CHOOSE(CONTROL!$C$28, 0.0021, 0)</f>
        <v>61.375399999999999</v>
      </c>
      <c r="E674" s="4">
        <f>285.324772041677 * CHOOSE(CONTROL!$C$9, $C$13, 100%, $E$13) + CHOOSE(CONTROL!$C$28, 0.0021, 0)</f>
        <v>285.32687204167701</v>
      </c>
    </row>
    <row r="675" spans="1:5" ht="15">
      <c r="A675" s="13">
        <v>62062</v>
      </c>
      <c r="B675" s="4">
        <f>40.7425 * CHOOSE(CONTROL!$C$9, $C$13, 100%, $E$13) + CHOOSE(CONTROL!$C$28, 0.0211, 0)</f>
        <v>40.763599999999997</v>
      </c>
      <c r="C675" s="4">
        <f>40.3792 * CHOOSE(CONTROL!$C$9, $C$13, 100%, $E$13) + CHOOSE(CONTROL!$C$28, 0.0211, 0)</f>
        <v>40.400299999999994</v>
      </c>
      <c r="D675" s="4">
        <f>61.0874 * CHOOSE(CONTROL!$C$9, $C$13, 100%, $E$13) + CHOOSE(CONTROL!$C$28, 0.0021, 0)</f>
        <v>61.089500000000001</v>
      </c>
      <c r="E675" s="4">
        <f>279.009072236525 * CHOOSE(CONTROL!$C$9, $C$13, 100%, $E$13) + CHOOSE(CONTROL!$C$28, 0.0021, 0)</f>
        <v>279.011172236525</v>
      </c>
    </row>
    <row r="676" spans="1:5" ht="15">
      <c r="A676" s="13">
        <v>62093</v>
      </c>
      <c r="B676" s="4">
        <f>40.1166 * CHOOSE(CONTROL!$C$9, $C$13, 100%, $E$13) + CHOOSE(CONTROL!$C$28, 0.0211, 0)</f>
        <v>40.137699999999995</v>
      </c>
      <c r="C676" s="4">
        <f>39.7533 * CHOOSE(CONTROL!$C$9, $C$13, 100%, $E$13) + CHOOSE(CONTROL!$C$28, 0.0211, 0)</f>
        <v>39.7744</v>
      </c>
      <c r="D676" s="4">
        <f>58.9826 * CHOOSE(CONTROL!$C$9, $C$13, 100%, $E$13) + CHOOSE(CONTROL!$C$28, 0.0021, 0)</f>
        <v>58.984699999999997</v>
      </c>
      <c r="E676" s="4">
        <f>274.63941981935 * CHOOSE(CONTROL!$C$9, $C$13, 100%, $E$13) + CHOOSE(CONTROL!$C$28, 0.0021, 0)</f>
        <v>274.64151981934998</v>
      </c>
    </row>
    <row r="677" spans="1:5" ht="15">
      <c r="A677" s="13">
        <v>62124</v>
      </c>
      <c r="B677" s="4">
        <f>38.4039 * CHOOSE(CONTROL!$C$9, $C$13, 100%, $E$13) + CHOOSE(CONTROL!$C$28, 0.0211, 0)</f>
        <v>38.424999999999997</v>
      </c>
      <c r="C677" s="4">
        <f>38.0406 * CHOOSE(CONTROL!$C$9, $C$13, 100%, $E$13) + CHOOSE(CONTROL!$C$28, 0.0211, 0)</f>
        <v>38.061699999999995</v>
      </c>
      <c r="D677" s="4">
        <f>56.6639 * CHOOSE(CONTROL!$C$9, $C$13, 100%, $E$13) + CHOOSE(CONTROL!$C$28, 0.0021, 0)</f>
        <v>56.665999999999997</v>
      </c>
      <c r="E677" s="4">
        <f>263.199572011276 * CHOOSE(CONTROL!$C$9, $C$13, 100%, $E$13) + CHOOSE(CONTROL!$C$28, 0.0021, 0)</f>
        <v>263.201672011276</v>
      </c>
    </row>
    <row r="678" spans="1:5" ht="15">
      <c r="A678" s="13">
        <v>62152</v>
      </c>
      <c r="B678" s="4">
        <f>39.2974 * CHOOSE(CONTROL!$C$9, $C$13, 100%, $E$13) + CHOOSE(CONTROL!$C$28, 0.0211, 0)</f>
        <v>39.3185</v>
      </c>
      <c r="C678" s="4">
        <f>38.9341 * CHOOSE(CONTROL!$C$9, $C$13, 100%, $E$13) + CHOOSE(CONTROL!$C$28, 0.0211, 0)</f>
        <v>38.955199999999998</v>
      </c>
      <c r="D678" s="4">
        <f>58.5985 * CHOOSE(CONTROL!$C$9, $C$13, 100%, $E$13) + CHOOSE(CONTROL!$C$28, 0.0021, 0)</f>
        <v>58.6006</v>
      </c>
      <c r="E678" s="4">
        <f>269.448967096502 * CHOOSE(CONTROL!$C$9, $C$13, 100%, $E$13) + CHOOSE(CONTROL!$C$28, 0.0021, 0)</f>
        <v>269.45106709650196</v>
      </c>
    </row>
    <row r="679" spans="1:5" ht="15">
      <c r="A679" s="13">
        <v>62183</v>
      </c>
      <c r="B679" s="4">
        <f>41.6438 * CHOOSE(CONTROL!$C$9, $C$13, 100%, $E$13) + CHOOSE(CONTROL!$C$28, 0.0211, 0)</f>
        <v>41.664899999999996</v>
      </c>
      <c r="C679" s="4">
        <f>41.2805 * CHOOSE(CONTROL!$C$9, $C$13, 100%, $E$13) + CHOOSE(CONTROL!$C$28, 0.0211, 0)</f>
        <v>41.301600000000001</v>
      </c>
      <c r="D679" s="4">
        <f>61.6268 * CHOOSE(CONTROL!$C$9, $C$13, 100%, $E$13) + CHOOSE(CONTROL!$C$28, 0.0021, 0)</f>
        <v>61.628900000000002</v>
      </c>
      <c r="E679" s="4">
        <f>285.86021070333 * CHOOSE(CONTROL!$C$9, $C$13, 100%, $E$13) + CHOOSE(CONTROL!$C$28, 0.0021, 0)</f>
        <v>285.86231070332997</v>
      </c>
    </row>
    <row r="680" spans="1:5" ht="15">
      <c r="A680" s="13">
        <v>62213</v>
      </c>
      <c r="B680" s="4">
        <f>43.3109 * CHOOSE(CONTROL!$C$9, $C$13, 100%, $E$13) + CHOOSE(CONTROL!$C$28, 0.0211, 0)</f>
        <v>43.331999999999994</v>
      </c>
      <c r="C680" s="4">
        <f>42.9476 * CHOOSE(CONTROL!$C$9, $C$13, 100%, $E$13) + CHOOSE(CONTROL!$C$28, 0.0211, 0)</f>
        <v>42.968699999999998</v>
      </c>
      <c r="D680" s="4">
        <f>63.3713 * CHOOSE(CONTROL!$C$9, $C$13, 100%, $E$13) + CHOOSE(CONTROL!$C$28, 0.0021, 0)</f>
        <v>63.373399999999997</v>
      </c>
      <c r="E680" s="4">
        <f>297.520617994558 * CHOOSE(CONTROL!$C$9, $C$13, 100%, $E$13) + CHOOSE(CONTROL!$C$28, 0.0021, 0)</f>
        <v>297.52271799455798</v>
      </c>
    </row>
    <row r="681" spans="1:5" ht="15">
      <c r="A681" s="13">
        <v>62244</v>
      </c>
      <c r="B681" s="4">
        <f>44.3295 * CHOOSE(CONTROL!$C$9, $C$13, 100%, $E$13) + CHOOSE(CONTROL!$C$28, 0.0415, 0)</f>
        <v>44.371000000000002</v>
      </c>
      <c r="C681" s="4">
        <f>43.9662 * CHOOSE(CONTROL!$C$9, $C$13, 100%, $E$13) + CHOOSE(CONTROL!$C$28, 0.0415, 0)</f>
        <v>44.0077</v>
      </c>
      <c r="D681" s="4">
        <f>62.6819 * CHOOSE(CONTROL!$C$9, $C$13, 100%, $E$13) + CHOOSE(CONTROL!$C$28, 0.0021, 0)</f>
        <v>62.683999999999997</v>
      </c>
      <c r="E681" s="4">
        <f>304.644847388539 * CHOOSE(CONTROL!$C$9, $C$13, 100%, $E$13) + CHOOSE(CONTROL!$C$28, 0.0021, 0)</f>
        <v>304.64694738853899</v>
      </c>
    </row>
    <row r="682" spans="1:5" ht="15">
      <c r="A682" s="13">
        <v>62274</v>
      </c>
      <c r="B682" s="4">
        <f>44.4673 * CHOOSE(CONTROL!$C$9, $C$13, 100%, $E$13) + CHOOSE(CONTROL!$C$28, 0.0415, 0)</f>
        <v>44.508800000000001</v>
      </c>
      <c r="C682" s="4">
        <f>44.104 * CHOOSE(CONTROL!$C$9, $C$13, 100%, $E$13) + CHOOSE(CONTROL!$C$28, 0.0415, 0)</f>
        <v>44.145499999999998</v>
      </c>
      <c r="D682" s="4">
        <f>63.2433 * CHOOSE(CONTROL!$C$9, $C$13, 100%, $E$13) + CHOOSE(CONTROL!$C$28, 0.0021, 0)</f>
        <v>63.245399999999997</v>
      </c>
      <c r="E682" s="4">
        <f>305.608785191704 * CHOOSE(CONTROL!$C$9, $C$13, 100%, $E$13) + CHOOSE(CONTROL!$C$28, 0.0021, 0)</f>
        <v>305.61088519170397</v>
      </c>
    </row>
    <row r="683" spans="1:5" ht="15">
      <c r="A683" s="13">
        <v>62305</v>
      </c>
      <c r="B683" s="4">
        <f>44.4534 * CHOOSE(CONTROL!$C$9, $C$13, 100%, $E$13) + CHOOSE(CONTROL!$C$28, 0.0415, 0)</f>
        <v>44.494900000000001</v>
      </c>
      <c r="C683" s="4">
        <f>44.0901 * CHOOSE(CONTROL!$C$9, $C$13, 100%, $E$13) + CHOOSE(CONTROL!$C$28, 0.0415, 0)</f>
        <v>44.131599999999999</v>
      </c>
      <c r="D683" s="4">
        <f>64.2563 * CHOOSE(CONTROL!$C$9, $C$13, 100%, $E$13) + CHOOSE(CONTROL!$C$28, 0.0021, 0)</f>
        <v>64.258399999999995</v>
      </c>
      <c r="E683" s="4">
        <f>305.51158137962 * CHOOSE(CONTROL!$C$9, $C$13, 100%, $E$13) + CHOOSE(CONTROL!$C$28, 0.0021, 0)</f>
        <v>305.51368137961998</v>
      </c>
    </row>
    <row r="684" spans="1:5" ht="15">
      <c r="A684" s="13">
        <v>62336</v>
      </c>
      <c r="B684" s="4">
        <f>45.4992 * CHOOSE(CONTROL!$C$9, $C$13, 100%, $E$13) + CHOOSE(CONTROL!$C$28, 0.0415, 0)</f>
        <v>45.540700000000001</v>
      </c>
      <c r="C684" s="4">
        <f>45.1359 * CHOOSE(CONTROL!$C$9, $C$13, 100%, $E$13) + CHOOSE(CONTROL!$C$28, 0.0415, 0)</f>
        <v>45.177399999999999</v>
      </c>
      <c r="D684" s="4">
        <f>63.5873 * CHOOSE(CONTROL!$C$9, $C$13, 100%, $E$13) + CHOOSE(CONTROL!$C$28, 0.0021, 0)</f>
        <v>63.589399999999998</v>
      </c>
      <c r="E684" s="4">
        <f>312.826168238932 * CHOOSE(CONTROL!$C$9, $C$13, 100%, $E$13) + CHOOSE(CONTROL!$C$28, 0.0021, 0)</f>
        <v>312.82826823893197</v>
      </c>
    </row>
    <row r="685" spans="1:5" ht="15">
      <c r="A685" s="13">
        <v>62366</v>
      </c>
      <c r="B685" s="4">
        <f>43.7168 * CHOOSE(CONTROL!$C$9, $C$13, 100%, $E$13) + CHOOSE(CONTROL!$C$28, 0.0415, 0)</f>
        <v>43.758299999999998</v>
      </c>
      <c r="C685" s="4">
        <f>43.3535 * CHOOSE(CONTROL!$C$9, $C$13, 100%, $E$13) + CHOOSE(CONTROL!$C$28, 0.0415, 0)</f>
        <v>43.394999999999996</v>
      </c>
      <c r="D685" s="4">
        <f>63.2713 * CHOOSE(CONTROL!$C$9, $C$13, 100%, $E$13) + CHOOSE(CONTROL!$C$28, 0.0021, 0)</f>
        <v>63.273399999999995</v>
      </c>
      <c r="E685" s="4">
        <f>300.359779339175 * CHOOSE(CONTROL!$C$9, $C$13, 100%, $E$13) + CHOOSE(CONTROL!$C$28, 0.0021, 0)</f>
        <v>300.361879339175</v>
      </c>
    </row>
    <row r="686" spans="1:5" ht="15">
      <c r="A686" s="13">
        <v>62397</v>
      </c>
      <c r="B686" s="4">
        <f>42.29 * CHOOSE(CONTROL!$C$9, $C$13, 100%, $E$13) + CHOOSE(CONTROL!$C$28, 0.0211, 0)</f>
        <v>42.311099999999996</v>
      </c>
      <c r="C686" s="4">
        <f>41.9267 * CHOOSE(CONTROL!$C$9, $C$13, 100%, $E$13) + CHOOSE(CONTROL!$C$28, 0.0211, 0)</f>
        <v>41.947799999999994</v>
      </c>
      <c r="D686" s="4">
        <f>62.425 * CHOOSE(CONTROL!$C$9, $C$13, 100%, $E$13) + CHOOSE(CONTROL!$C$28, 0.0021, 0)</f>
        <v>62.427099999999996</v>
      </c>
      <c r="E686" s="4">
        <f>290.38018796523 * CHOOSE(CONTROL!$C$9, $C$13, 100%, $E$13) + CHOOSE(CONTROL!$C$28, 0.0021, 0)</f>
        <v>290.38228796522998</v>
      </c>
    </row>
    <row r="687" spans="1:5" ht="15">
      <c r="A687" s="13">
        <v>62427</v>
      </c>
      <c r="B687" s="4">
        <f>41.371 * CHOOSE(CONTROL!$C$9, $C$13, 100%, $E$13) + CHOOSE(CONTROL!$C$28, 0.0211, 0)</f>
        <v>41.392099999999999</v>
      </c>
      <c r="C687" s="4">
        <f>41.0078 * CHOOSE(CONTROL!$C$9, $C$13, 100%, $E$13) + CHOOSE(CONTROL!$C$28, 0.0211, 0)</f>
        <v>41.0289</v>
      </c>
      <c r="D687" s="4">
        <f>62.134 * CHOOSE(CONTROL!$C$9, $C$13, 100%, $E$13) + CHOOSE(CONTROL!$C$28, 0.0021, 0)</f>
        <v>62.136099999999999</v>
      </c>
      <c r="E687" s="4">
        <f>283.952585891184 * CHOOSE(CONTROL!$C$9, $C$13, 100%, $E$13) + CHOOSE(CONTROL!$C$28, 0.0021, 0)</f>
        <v>283.954685891184</v>
      </c>
    </row>
    <row r="688" spans="1:5" ht="15">
      <c r="A688" s="13">
        <v>62458</v>
      </c>
      <c r="B688" s="4">
        <f>40.7352 * CHOOSE(CONTROL!$C$9, $C$13, 100%, $E$13) + CHOOSE(CONTROL!$C$28, 0.0211, 0)</f>
        <v>40.756299999999996</v>
      </c>
      <c r="C688" s="4">
        <f>40.3719 * CHOOSE(CONTROL!$C$9, $C$13, 100%, $E$13) + CHOOSE(CONTROL!$C$28, 0.0211, 0)</f>
        <v>40.392999999999994</v>
      </c>
      <c r="D688" s="4">
        <f>59.992 * CHOOSE(CONTROL!$C$9, $C$13, 100%, $E$13) + CHOOSE(CONTROL!$C$28, 0.0021, 0)</f>
        <v>59.994099999999996</v>
      </c>
      <c r="E688" s="4">
        <f>279.505511488346 * CHOOSE(CONTROL!$C$9, $C$13, 100%, $E$13) + CHOOSE(CONTROL!$C$28, 0.0021, 0)</f>
        <v>279.50761148834596</v>
      </c>
    </row>
    <row r="689" spans="1:5" ht="15">
      <c r="A689" s="13">
        <v>62489</v>
      </c>
      <c r="B689" s="4">
        <f>38.9956 * CHOOSE(CONTROL!$C$9, $C$13, 100%, $E$13) + CHOOSE(CONTROL!$C$28, 0.0211, 0)</f>
        <v>39.0167</v>
      </c>
      <c r="C689" s="4">
        <f>38.6324 * CHOOSE(CONTROL!$C$9, $C$13, 100%, $E$13) + CHOOSE(CONTROL!$C$28, 0.0211, 0)</f>
        <v>38.653499999999994</v>
      </c>
      <c r="D689" s="4">
        <f>57.6324 * CHOOSE(CONTROL!$C$9, $C$13, 100%, $E$13) + CHOOSE(CONTROL!$C$28, 0.0021, 0)</f>
        <v>57.634499999999996</v>
      </c>
      <c r="E689" s="4">
        <f>267.862971189333 * CHOOSE(CONTROL!$C$9, $C$13, 100%, $E$13) + CHOOSE(CONTROL!$C$28, 0.0021, 0)</f>
        <v>267.86507118933298</v>
      </c>
    </row>
    <row r="690" spans="1:5" ht="15">
      <c r="A690" s="13">
        <v>62517</v>
      </c>
      <c r="B690" s="4">
        <f>39.9032 * CHOOSE(CONTROL!$C$9, $C$13, 100%, $E$13) + CHOOSE(CONTROL!$C$28, 0.0211, 0)</f>
        <v>39.924299999999995</v>
      </c>
      <c r="C690" s="4">
        <f>39.5399 * CHOOSE(CONTROL!$C$9, $C$13, 100%, $E$13) + CHOOSE(CONTROL!$C$28, 0.0211, 0)</f>
        <v>39.561</v>
      </c>
      <c r="D690" s="4">
        <f>59.6011 * CHOOSE(CONTROL!$C$9, $C$13, 100%, $E$13) + CHOOSE(CONTROL!$C$28, 0.0021, 0)</f>
        <v>59.603200000000001</v>
      </c>
      <c r="E690" s="4">
        <f>274.22309374908 * CHOOSE(CONTROL!$C$9, $C$13, 100%, $E$13) + CHOOSE(CONTROL!$C$28, 0.0021, 0)</f>
        <v>274.22519374908001</v>
      </c>
    </row>
    <row r="691" spans="1:5" ht="15">
      <c r="A691" s="13">
        <v>62548</v>
      </c>
      <c r="B691" s="4">
        <f>42.2865 * CHOOSE(CONTROL!$C$9, $C$13, 100%, $E$13) + CHOOSE(CONTROL!$C$28, 0.0211, 0)</f>
        <v>42.307599999999994</v>
      </c>
      <c r="C691" s="4">
        <f>41.9232 * CHOOSE(CONTROL!$C$9, $C$13, 100%, $E$13) + CHOOSE(CONTROL!$C$28, 0.0211, 0)</f>
        <v>41.944299999999998</v>
      </c>
      <c r="D691" s="4">
        <f>62.683 * CHOOSE(CONTROL!$C$9, $C$13, 100%, $E$13) + CHOOSE(CONTROL!$C$28, 0.0021, 0)</f>
        <v>62.685099999999998</v>
      </c>
      <c r="E691" s="4">
        <f>290.925113588414 * CHOOSE(CONTROL!$C$9, $C$13, 100%, $E$13) + CHOOSE(CONTROL!$C$28, 0.0021, 0)</f>
        <v>290.92721358841396</v>
      </c>
    </row>
    <row r="692" spans="1:5" ht="15">
      <c r="A692" s="13">
        <v>62578</v>
      </c>
      <c r="B692" s="4">
        <f>43.9798 * CHOOSE(CONTROL!$C$9, $C$13, 100%, $E$13) + CHOOSE(CONTROL!$C$28, 0.0211, 0)</f>
        <v>44.000899999999994</v>
      </c>
      <c r="C692" s="4">
        <f>43.6165 * CHOOSE(CONTROL!$C$9, $C$13, 100%, $E$13) + CHOOSE(CONTROL!$C$28, 0.0211, 0)</f>
        <v>43.637599999999999</v>
      </c>
      <c r="D692" s="4">
        <f>64.4582 * CHOOSE(CONTROL!$C$9, $C$13, 100%, $E$13) + CHOOSE(CONTROL!$C$28, 0.0021, 0)</f>
        <v>64.460300000000004</v>
      </c>
      <c r="E692" s="4">
        <f>302.792121267942 * CHOOSE(CONTROL!$C$9, $C$13, 100%, $E$13) + CHOOSE(CONTROL!$C$28, 0.0021, 0)</f>
        <v>302.79422126794196</v>
      </c>
    </row>
    <row r="693" spans="1:5" ht="15">
      <c r="A693" s="13">
        <v>62609</v>
      </c>
      <c r="B693" s="4">
        <f>45.0144 * CHOOSE(CONTROL!$C$9, $C$13, 100%, $E$13) + CHOOSE(CONTROL!$C$28, 0.0415, 0)</f>
        <v>45.055900000000001</v>
      </c>
      <c r="C693" s="4">
        <f>44.6511 * CHOOSE(CONTROL!$C$9, $C$13, 100%, $E$13) + CHOOSE(CONTROL!$C$28, 0.0415, 0)</f>
        <v>44.692599999999999</v>
      </c>
      <c r="D693" s="4">
        <f>63.7567 * CHOOSE(CONTROL!$C$9, $C$13, 100%, $E$13) + CHOOSE(CONTROL!$C$28, 0.0021, 0)</f>
        <v>63.758800000000001</v>
      </c>
      <c r="E693" s="4">
        <f>310.042578547653 * CHOOSE(CONTROL!$C$9, $C$13, 100%, $E$13) + CHOOSE(CONTROL!$C$28, 0.0021, 0)</f>
        <v>310.04467854765301</v>
      </c>
    </row>
    <row r="694" spans="1:5" ht="15">
      <c r="A694" s="13">
        <v>62639</v>
      </c>
      <c r="B694" s="4">
        <f>45.1544 * CHOOSE(CONTROL!$C$9, $C$13, 100%, $E$13) + CHOOSE(CONTROL!$C$28, 0.0415, 0)</f>
        <v>45.195900000000002</v>
      </c>
      <c r="C694" s="4">
        <f>44.7911 * CHOOSE(CONTROL!$C$9, $C$13, 100%, $E$13) + CHOOSE(CONTROL!$C$28, 0.0415, 0)</f>
        <v>44.832599999999999</v>
      </c>
      <c r="D694" s="4">
        <f>64.328 * CHOOSE(CONTROL!$C$9, $C$13, 100%, $E$13) + CHOOSE(CONTROL!$C$28, 0.0021, 0)</f>
        <v>64.330100000000002</v>
      </c>
      <c r="E694" s="4">
        <f>311.023595507614 * CHOOSE(CONTROL!$C$9, $C$13, 100%, $E$13) + CHOOSE(CONTROL!$C$28, 0.0021, 0)</f>
        <v>311.02569550761399</v>
      </c>
    </row>
    <row r="695" spans="1:5" ht="15">
      <c r="A695" s="13">
        <v>62670</v>
      </c>
      <c r="B695" s="4">
        <f>45.1403 * CHOOSE(CONTROL!$C$9, $C$13, 100%, $E$13) + CHOOSE(CONTROL!$C$28, 0.0415, 0)</f>
        <v>45.181800000000003</v>
      </c>
      <c r="C695" s="4">
        <f>44.777 * CHOOSE(CONTROL!$C$9, $C$13, 100%, $E$13) + CHOOSE(CONTROL!$C$28, 0.0415, 0)</f>
        <v>44.8185</v>
      </c>
      <c r="D695" s="4">
        <f>65.3589 * CHOOSE(CONTROL!$C$9, $C$13, 100%, $E$13) + CHOOSE(CONTROL!$C$28, 0.0021, 0)</f>
        <v>65.361000000000004</v>
      </c>
      <c r="E695" s="4">
        <f>310.924669427618 * CHOOSE(CONTROL!$C$9, $C$13, 100%, $E$13) + CHOOSE(CONTROL!$C$28, 0.0021, 0)</f>
        <v>310.92676942761801</v>
      </c>
    </row>
    <row r="696" spans="1:5" ht="15">
      <c r="A696" s="13">
        <v>62701</v>
      </c>
      <c r="B696" s="4">
        <f>46.2025 * CHOOSE(CONTROL!$C$9, $C$13, 100%, $E$13) + CHOOSE(CONTROL!$C$28, 0.0415, 0)</f>
        <v>46.244</v>
      </c>
      <c r="C696" s="4">
        <f>45.8392 * CHOOSE(CONTROL!$C$9, $C$13, 100%, $E$13) + CHOOSE(CONTROL!$C$28, 0.0415, 0)</f>
        <v>45.880699999999997</v>
      </c>
      <c r="D696" s="4">
        <f>64.6781 * CHOOSE(CONTROL!$C$9, $C$13, 100%, $E$13) + CHOOSE(CONTROL!$C$28, 0.0021, 0)</f>
        <v>64.680199999999999</v>
      </c>
      <c r="E696" s="4">
        <f>318.368856947321 * CHOOSE(CONTROL!$C$9, $C$13, 100%, $E$13) + CHOOSE(CONTROL!$C$28, 0.0021, 0)</f>
        <v>318.37095694732096</v>
      </c>
    </row>
    <row r="697" spans="1:5" ht="15">
      <c r="A697" s="13">
        <v>62731</v>
      </c>
      <c r="B697" s="4">
        <f>44.3921 * CHOOSE(CONTROL!$C$9, $C$13, 100%, $E$13) + CHOOSE(CONTROL!$C$28, 0.0415, 0)</f>
        <v>44.433599999999998</v>
      </c>
      <c r="C697" s="4">
        <f>44.0288 * CHOOSE(CONTROL!$C$9, $C$13, 100%, $E$13) + CHOOSE(CONTROL!$C$28, 0.0415, 0)</f>
        <v>44.070299999999996</v>
      </c>
      <c r="D697" s="4">
        <f>64.3564 * CHOOSE(CONTROL!$C$9, $C$13, 100%, $E$13) + CHOOSE(CONTROL!$C$28, 0.0021, 0)</f>
        <v>64.358499999999992</v>
      </c>
      <c r="E697" s="4">
        <f>305.681587187827 * CHOOSE(CONTROL!$C$9, $C$13, 100%, $E$13) + CHOOSE(CONTROL!$C$28, 0.0021, 0)</f>
        <v>305.68368718782699</v>
      </c>
    </row>
    <row r="698" spans="1:5" ht="15">
      <c r="A698" s="13">
        <v>62762</v>
      </c>
      <c r="B698" s="4">
        <f>42.9429 * CHOOSE(CONTROL!$C$9, $C$13, 100%, $E$13) + CHOOSE(CONTROL!$C$28, 0.0211, 0)</f>
        <v>42.963999999999999</v>
      </c>
      <c r="C698" s="4">
        <f>42.5796 * CHOOSE(CONTROL!$C$9, $C$13, 100%, $E$13) + CHOOSE(CONTROL!$C$28, 0.0211, 0)</f>
        <v>42.600699999999996</v>
      </c>
      <c r="D698" s="4">
        <f>63.4952 * CHOOSE(CONTROL!$C$9, $C$13, 100%, $E$13) + CHOOSE(CONTROL!$C$28, 0.0021, 0)</f>
        <v>63.497299999999996</v>
      </c>
      <c r="E698" s="4">
        <f>295.525176308231 * CHOOSE(CONTROL!$C$9, $C$13, 100%, $E$13) + CHOOSE(CONTROL!$C$28, 0.0021, 0)</f>
        <v>295.52727630823097</v>
      </c>
    </row>
    <row r="699" spans="1:5" ht="15">
      <c r="A699" s="13">
        <v>62792</v>
      </c>
      <c r="B699" s="4">
        <f>42.0094 * CHOOSE(CONTROL!$C$9, $C$13, 100%, $E$13) + CHOOSE(CONTROL!$C$28, 0.0211, 0)</f>
        <v>42.030499999999996</v>
      </c>
      <c r="C699" s="4">
        <f>41.6461 * CHOOSE(CONTROL!$C$9, $C$13, 100%, $E$13) + CHOOSE(CONTROL!$C$28, 0.0211, 0)</f>
        <v>41.667199999999994</v>
      </c>
      <c r="D699" s="4">
        <f>63.1991 * CHOOSE(CONTROL!$C$9, $C$13, 100%, $E$13) + CHOOSE(CONTROL!$C$28, 0.0021, 0)</f>
        <v>63.2012</v>
      </c>
      <c r="E699" s="4">
        <f>288.983689268492 * CHOOSE(CONTROL!$C$9, $C$13, 100%, $E$13) + CHOOSE(CONTROL!$C$28, 0.0021, 0)</f>
        <v>288.985789268492</v>
      </c>
    </row>
    <row r="700" spans="1:5" ht="15">
      <c r="A700" s="13">
        <v>62823</v>
      </c>
      <c r="B700" s="4">
        <f>41.3636 * CHOOSE(CONTROL!$C$9, $C$13, 100%, $E$13) + CHOOSE(CONTROL!$C$28, 0.0211, 0)</f>
        <v>41.384699999999995</v>
      </c>
      <c r="C700" s="4">
        <f>41.0003 * CHOOSE(CONTROL!$C$9, $C$13, 100%, $E$13) + CHOOSE(CONTROL!$C$28, 0.0211, 0)</f>
        <v>41.0214</v>
      </c>
      <c r="D700" s="4">
        <f>61.0192 * CHOOSE(CONTROL!$C$9, $C$13, 100%, $E$13) + CHOOSE(CONTROL!$C$28, 0.0021, 0)</f>
        <v>61.021299999999997</v>
      </c>
      <c r="E700" s="4">
        <f>284.457821108672 * CHOOSE(CONTROL!$C$9, $C$13, 100%, $E$13) + CHOOSE(CONTROL!$C$28, 0.0021, 0)</f>
        <v>284.45992110867201</v>
      </c>
    </row>
    <row r="701" spans="1:5" ht="15">
      <c r="A701" s="13">
        <v>62854</v>
      </c>
      <c r="B701" s="4">
        <f>39.5967 * CHOOSE(CONTROL!$C$9, $C$13, 100%, $E$13) + CHOOSE(CONTROL!$C$28, 0.0211, 0)</f>
        <v>39.617799999999995</v>
      </c>
      <c r="C701" s="4">
        <f>39.2334 * CHOOSE(CONTROL!$C$9, $C$13, 100%, $E$13) + CHOOSE(CONTROL!$C$28, 0.0211, 0)</f>
        <v>39.2545</v>
      </c>
      <c r="D701" s="4">
        <f>58.6179 * CHOOSE(CONTROL!$C$9, $C$13, 100%, $E$13) + CHOOSE(CONTROL!$C$28, 0.0021, 0)</f>
        <v>58.62</v>
      </c>
      <c r="E701" s="4">
        <f>272.608996990706 * CHOOSE(CONTROL!$C$9, $C$13, 100%, $E$13) + CHOOSE(CONTROL!$C$28, 0.0021, 0)</f>
        <v>272.61109699070596</v>
      </c>
    </row>
    <row r="702" spans="1:5" ht="15">
      <c r="A702" s="13">
        <v>62883</v>
      </c>
      <c r="B702" s="4">
        <f>40.5185 * CHOOSE(CONTROL!$C$9, $C$13, 100%, $E$13) + CHOOSE(CONTROL!$C$28, 0.0211, 0)</f>
        <v>40.5396</v>
      </c>
      <c r="C702" s="4">
        <f>40.1552 * CHOOSE(CONTROL!$C$9, $C$13, 100%, $E$13) + CHOOSE(CONTROL!$C$28, 0.0211, 0)</f>
        <v>40.176299999999998</v>
      </c>
      <c r="D702" s="4">
        <f>60.6214 * CHOOSE(CONTROL!$C$9, $C$13, 100%, $E$13) + CHOOSE(CONTROL!$C$28, 0.0021, 0)</f>
        <v>60.6235</v>
      </c>
      <c r="E702" s="4">
        <f>279.081808906636 * CHOOSE(CONTROL!$C$9, $C$13, 100%, $E$13) + CHOOSE(CONTROL!$C$28, 0.0021, 0)</f>
        <v>279.083908906636</v>
      </c>
    </row>
    <row r="703" spans="1:5" ht="15">
      <c r="A703" s="13">
        <v>62914</v>
      </c>
      <c r="B703" s="4">
        <f>42.9392 * CHOOSE(CONTROL!$C$9, $C$13, 100%, $E$13) + CHOOSE(CONTROL!$C$28, 0.0211, 0)</f>
        <v>42.960299999999997</v>
      </c>
      <c r="C703" s="4">
        <f>42.576 * CHOOSE(CONTROL!$C$9, $C$13, 100%, $E$13) + CHOOSE(CONTROL!$C$28, 0.0211, 0)</f>
        <v>42.597099999999998</v>
      </c>
      <c r="D703" s="4">
        <f>63.7577 * CHOOSE(CONTROL!$C$9, $C$13, 100%, $E$13) + CHOOSE(CONTROL!$C$28, 0.0021, 0)</f>
        <v>63.759799999999998</v>
      </c>
      <c r="E703" s="4">
        <f>296.079756983982 * CHOOSE(CONTROL!$C$9, $C$13, 100%, $E$13) + CHOOSE(CONTROL!$C$28, 0.0021, 0)</f>
        <v>296.08185698398199</v>
      </c>
    </row>
    <row r="704" spans="1:5" ht="15">
      <c r="A704" s="13">
        <v>62944</v>
      </c>
      <c r="B704" s="4">
        <f>44.6592 * CHOOSE(CONTROL!$C$9, $C$13, 100%, $E$13) + CHOOSE(CONTROL!$C$28, 0.0211, 0)</f>
        <v>44.680299999999995</v>
      </c>
      <c r="C704" s="4">
        <f>44.2959 * CHOOSE(CONTROL!$C$9, $C$13, 100%, $E$13) + CHOOSE(CONTROL!$C$28, 0.0211, 0)</f>
        <v>44.317</v>
      </c>
      <c r="D704" s="4">
        <f>65.5644 * CHOOSE(CONTROL!$C$9, $C$13, 100%, $E$13) + CHOOSE(CONTROL!$C$28, 0.0021, 0)</f>
        <v>65.566500000000005</v>
      </c>
      <c r="E704" s="4">
        <f>308.157025620379 * CHOOSE(CONTROL!$C$9, $C$13, 100%, $E$13) + CHOOSE(CONTROL!$C$28, 0.0021, 0)</f>
        <v>308.15912562037897</v>
      </c>
    </row>
    <row r="705" spans="1:5" ht="15">
      <c r="A705" s="13">
        <v>62975</v>
      </c>
      <c r="B705" s="4">
        <f>45.7101 * CHOOSE(CONTROL!$C$9, $C$13, 100%, $E$13) + CHOOSE(CONTROL!$C$28, 0.0415, 0)</f>
        <v>45.751599999999996</v>
      </c>
      <c r="C705" s="4">
        <f>45.3468 * CHOOSE(CONTROL!$C$9, $C$13, 100%, $E$13) + CHOOSE(CONTROL!$C$28, 0.0415, 0)</f>
        <v>45.388300000000001</v>
      </c>
      <c r="D705" s="4">
        <f>64.8505 * CHOOSE(CONTROL!$C$9, $C$13, 100%, $E$13) + CHOOSE(CONTROL!$C$28, 0.0021, 0)</f>
        <v>64.852599999999995</v>
      </c>
      <c r="E705" s="4">
        <f>315.535947305485 * CHOOSE(CONTROL!$C$9, $C$13, 100%, $E$13) + CHOOSE(CONTROL!$C$28, 0.0021, 0)</f>
        <v>315.53804730548501</v>
      </c>
    </row>
    <row r="706" spans="1:5" ht="15">
      <c r="A706" s="13">
        <v>63005</v>
      </c>
      <c r="B706" s="4">
        <f>45.8523 * CHOOSE(CONTROL!$C$9, $C$13, 100%, $E$13) + CHOOSE(CONTROL!$C$28, 0.0415, 0)</f>
        <v>45.893799999999999</v>
      </c>
      <c r="C706" s="4">
        <f>45.489 * CHOOSE(CONTROL!$C$9, $C$13, 100%, $E$13) + CHOOSE(CONTROL!$C$28, 0.0415, 0)</f>
        <v>45.530499999999996</v>
      </c>
      <c r="D706" s="4">
        <f>65.4319 * CHOOSE(CONTROL!$C$9, $C$13, 100%, $E$13) + CHOOSE(CONTROL!$C$28, 0.0021, 0)</f>
        <v>65.433999999999997</v>
      </c>
      <c r="E706" s="4">
        <f>316.534346032634 * CHOOSE(CONTROL!$C$9, $C$13, 100%, $E$13) + CHOOSE(CONTROL!$C$28, 0.0021, 0)</f>
        <v>316.53644603263399</v>
      </c>
    </row>
    <row r="707" spans="1:5" ht="15">
      <c r="A707" s="13">
        <v>63036</v>
      </c>
      <c r="B707" s="4">
        <f>45.8379 * CHOOSE(CONTROL!$C$9, $C$13, 100%, $E$13) + CHOOSE(CONTROL!$C$28, 0.0415, 0)</f>
        <v>45.879399999999997</v>
      </c>
      <c r="C707" s="4">
        <f>45.4746 * CHOOSE(CONTROL!$C$9, $C$13, 100%, $E$13) + CHOOSE(CONTROL!$C$28, 0.0415, 0)</f>
        <v>45.516100000000002</v>
      </c>
      <c r="D707" s="4">
        <f>66.4809 * CHOOSE(CONTROL!$C$9, $C$13, 100%, $E$13) + CHOOSE(CONTROL!$C$28, 0.0021, 0)</f>
        <v>66.483000000000004</v>
      </c>
      <c r="E707" s="4">
        <f>316.433667169393 * CHOOSE(CONTROL!$C$9, $C$13, 100%, $E$13) + CHOOSE(CONTROL!$C$28, 0.0021, 0)</f>
        <v>316.43576716939299</v>
      </c>
    </row>
    <row r="708" spans="1:5" ht="15">
      <c r="A708" s="13">
        <v>63067</v>
      </c>
      <c r="B708" s="4">
        <f>46.9169 * CHOOSE(CONTROL!$C$9, $C$13, 100%, $E$13) + CHOOSE(CONTROL!$C$28, 0.0415, 0)</f>
        <v>46.958399999999997</v>
      </c>
      <c r="C708" s="4">
        <f>46.5536 * CHOOSE(CONTROL!$C$9, $C$13, 100%, $E$13) + CHOOSE(CONTROL!$C$28, 0.0415, 0)</f>
        <v>46.595100000000002</v>
      </c>
      <c r="D708" s="4">
        <f>65.7881 * CHOOSE(CONTROL!$C$9, $C$13, 100%, $E$13) + CHOOSE(CONTROL!$C$28, 0.0021, 0)</f>
        <v>65.790199999999999</v>
      </c>
      <c r="E708" s="4">
        <f>324.009751628348 * CHOOSE(CONTROL!$C$9, $C$13, 100%, $E$13) + CHOOSE(CONTROL!$C$28, 0.0021, 0)</f>
        <v>324.01185162834798</v>
      </c>
    </row>
    <row r="709" spans="1:5" ht="15">
      <c r="A709" s="13">
        <v>63097</v>
      </c>
      <c r="B709" s="4">
        <f>45.078 * CHOOSE(CONTROL!$C$9, $C$13, 100%, $E$13) + CHOOSE(CONTROL!$C$28, 0.0415, 0)</f>
        <v>45.119500000000002</v>
      </c>
      <c r="C709" s="4">
        <f>44.7147 * CHOOSE(CONTROL!$C$9, $C$13, 100%, $E$13) + CHOOSE(CONTROL!$C$28, 0.0415, 0)</f>
        <v>44.7562</v>
      </c>
      <c r="D709" s="4">
        <f>65.4608 * CHOOSE(CONTROL!$C$9, $C$13, 100%, $E$13) + CHOOSE(CONTROL!$C$28, 0.0021, 0)</f>
        <v>65.462900000000005</v>
      </c>
      <c r="E709" s="4">
        <f>311.09768741757 * CHOOSE(CONTROL!$C$9, $C$13, 100%, $E$13) + CHOOSE(CONTROL!$C$28, 0.0021, 0)</f>
        <v>311.09978741756998</v>
      </c>
    </row>
    <row r="710" spans="1:5" ht="15">
      <c r="A710" s="13">
        <v>63128</v>
      </c>
      <c r="B710" s="4">
        <f>43.606 * CHOOSE(CONTROL!$C$9, $C$13, 100%, $E$13) + CHOOSE(CONTROL!$C$28, 0.0211, 0)</f>
        <v>43.627099999999999</v>
      </c>
      <c r="C710" s="4">
        <f>43.2427 * CHOOSE(CONTROL!$C$9, $C$13, 100%, $E$13) + CHOOSE(CONTROL!$C$28, 0.0211, 0)</f>
        <v>43.263799999999996</v>
      </c>
      <c r="D710" s="4">
        <f>64.5843 * CHOOSE(CONTROL!$C$9, $C$13, 100%, $E$13) + CHOOSE(CONTROL!$C$28, 0.0021, 0)</f>
        <v>64.586399999999998</v>
      </c>
      <c r="E710" s="4">
        <f>300.761324124732 * CHOOSE(CONTROL!$C$9, $C$13, 100%, $E$13) + CHOOSE(CONTROL!$C$28, 0.0021, 0)</f>
        <v>300.76342412473201</v>
      </c>
    </row>
    <row r="711" spans="1:5" ht="15">
      <c r="A711" s="13">
        <v>63158</v>
      </c>
      <c r="B711" s="4">
        <f>42.6579 * CHOOSE(CONTROL!$C$9, $C$13, 100%, $E$13) + CHOOSE(CONTROL!$C$28, 0.0211, 0)</f>
        <v>42.678999999999995</v>
      </c>
      <c r="C711" s="4">
        <f>42.2946 * CHOOSE(CONTROL!$C$9, $C$13, 100%, $E$13) + CHOOSE(CONTROL!$C$28, 0.0211, 0)</f>
        <v>42.3157</v>
      </c>
      <c r="D711" s="4">
        <f>64.283 * CHOOSE(CONTROL!$C$9, $C$13, 100%, $E$13) + CHOOSE(CONTROL!$C$28, 0.0021, 0)</f>
        <v>64.2851</v>
      </c>
      <c r="E711" s="4">
        <f>294.103934292859 * CHOOSE(CONTROL!$C$9, $C$13, 100%, $E$13) + CHOOSE(CONTROL!$C$28, 0.0021, 0)</f>
        <v>294.10603429285896</v>
      </c>
    </row>
    <row r="712" spans="1:5" ht="15">
      <c r="A712" s="13">
        <v>63189</v>
      </c>
      <c r="B712" s="4">
        <f>42.0019 * CHOOSE(CONTROL!$C$9, $C$13, 100%, $E$13) + CHOOSE(CONTROL!$C$28, 0.0211, 0)</f>
        <v>42.022999999999996</v>
      </c>
      <c r="C712" s="4">
        <f>41.6386 * CHOOSE(CONTROL!$C$9, $C$13, 100%, $E$13) + CHOOSE(CONTROL!$C$28, 0.0211, 0)</f>
        <v>41.659699999999994</v>
      </c>
      <c r="D712" s="4">
        <f>62.0646 * CHOOSE(CONTROL!$C$9, $C$13, 100%, $E$13) + CHOOSE(CONTROL!$C$28, 0.0021, 0)</f>
        <v>62.066699999999997</v>
      </c>
      <c r="E712" s="4">
        <f>289.497876299541 * CHOOSE(CONTROL!$C$9, $C$13, 100%, $E$13) + CHOOSE(CONTROL!$C$28, 0.0021, 0)</f>
        <v>289.499976299541</v>
      </c>
    </row>
    <row r="713" spans="1:5" ht="15">
      <c r="A713" s="13">
        <v>63220</v>
      </c>
      <c r="B713" s="4">
        <f>40.2072 * CHOOSE(CONTROL!$C$9, $C$13, 100%, $E$13) + CHOOSE(CONTROL!$C$28, 0.0211, 0)</f>
        <v>40.228299999999997</v>
      </c>
      <c r="C713" s="4">
        <f>39.8439 * CHOOSE(CONTROL!$C$9, $C$13, 100%, $E$13) + CHOOSE(CONTROL!$C$28, 0.0211, 0)</f>
        <v>39.864999999999995</v>
      </c>
      <c r="D713" s="4">
        <f>59.6209 * CHOOSE(CONTROL!$C$9, $C$13, 100%, $E$13) + CHOOSE(CONTROL!$C$28, 0.0021, 0)</f>
        <v>59.622999999999998</v>
      </c>
      <c r="E713" s="4">
        <f>277.439113403064 * CHOOSE(CONTROL!$C$9, $C$13, 100%, $E$13) + CHOOSE(CONTROL!$C$28, 0.0021, 0)</f>
        <v>277.44121340306401</v>
      </c>
    </row>
    <row r="714" spans="1:5" ht="15">
      <c r="A714" s="13">
        <v>63248</v>
      </c>
      <c r="B714" s="4">
        <f>41.1435 * CHOOSE(CONTROL!$C$9, $C$13, 100%, $E$13) + CHOOSE(CONTROL!$C$28, 0.0211, 0)</f>
        <v>41.1646</v>
      </c>
      <c r="C714" s="4">
        <f>40.7802 * CHOOSE(CONTROL!$C$9, $C$13, 100%, $E$13) + CHOOSE(CONTROL!$C$28, 0.0211, 0)</f>
        <v>40.801299999999998</v>
      </c>
      <c r="D714" s="4">
        <f>61.6598 * CHOOSE(CONTROL!$C$9, $C$13, 100%, $E$13) + CHOOSE(CONTROL!$C$28, 0.0021, 0)</f>
        <v>61.661899999999996</v>
      </c>
      <c r="E714" s="4">
        <f>284.026611317674 * CHOOSE(CONTROL!$C$9, $C$13, 100%, $E$13) + CHOOSE(CONTROL!$C$28, 0.0021, 0)</f>
        <v>284.02871131767398</v>
      </c>
    </row>
    <row r="715" spans="1:5" ht="15">
      <c r="A715" s="13">
        <v>63279</v>
      </c>
      <c r="B715" s="4">
        <f>43.6023 * CHOOSE(CONTROL!$C$9, $C$13, 100%, $E$13) + CHOOSE(CONTROL!$C$28, 0.0211, 0)</f>
        <v>43.623399999999997</v>
      </c>
      <c r="C715" s="4">
        <f>43.239 * CHOOSE(CONTROL!$C$9, $C$13, 100%, $E$13) + CHOOSE(CONTROL!$C$28, 0.0211, 0)</f>
        <v>43.260099999999994</v>
      </c>
      <c r="D715" s="4">
        <f>64.8515 * CHOOSE(CONTROL!$C$9, $C$13, 100%, $E$13) + CHOOSE(CONTROL!$C$28, 0.0021, 0)</f>
        <v>64.8536</v>
      </c>
      <c r="E715" s="4">
        <f>301.32573092234 * CHOOSE(CONTROL!$C$9, $C$13, 100%, $E$13) + CHOOSE(CONTROL!$C$28, 0.0021, 0)</f>
        <v>301.32783092233996</v>
      </c>
    </row>
    <row r="716" spans="1:5" ht="15">
      <c r="A716" s="13">
        <v>63309</v>
      </c>
      <c r="B716" s="4">
        <f>45.3493 * CHOOSE(CONTROL!$C$9, $C$13, 100%, $E$13) + CHOOSE(CONTROL!$C$28, 0.0211, 0)</f>
        <v>45.370399999999997</v>
      </c>
      <c r="C716" s="4">
        <f>44.986 * CHOOSE(CONTROL!$C$9, $C$13, 100%, $E$13) + CHOOSE(CONTROL!$C$28, 0.0211, 0)</f>
        <v>45.007099999999994</v>
      </c>
      <c r="D716" s="4">
        <f>66.69 * CHOOSE(CONTROL!$C$9, $C$13, 100%, $E$13) + CHOOSE(CONTROL!$C$28, 0.0021, 0)</f>
        <v>66.692099999999996</v>
      </c>
      <c r="E716" s="4">
        <f>313.616985942536 * CHOOSE(CONTROL!$C$9, $C$13, 100%, $E$13) + CHOOSE(CONTROL!$C$28, 0.0021, 0)</f>
        <v>313.619085942536</v>
      </c>
    </row>
    <row r="717" spans="1:5" ht="15">
      <c r="A717" s="13">
        <v>63340</v>
      </c>
      <c r="B717" s="4">
        <f>46.4167 * CHOOSE(CONTROL!$C$9, $C$13, 100%, $E$13) + CHOOSE(CONTROL!$C$28, 0.0415, 0)</f>
        <v>46.458199999999998</v>
      </c>
      <c r="C717" s="4">
        <f>46.0534 * CHOOSE(CONTROL!$C$9, $C$13, 100%, $E$13) + CHOOSE(CONTROL!$C$28, 0.0415, 0)</f>
        <v>46.094900000000003</v>
      </c>
      <c r="D717" s="4">
        <f>65.9635 * CHOOSE(CONTROL!$C$9, $C$13, 100%, $E$13) + CHOOSE(CONTROL!$C$28, 0.0021, 0)</f>
        <v>65.965599999999995</v>
      </c>
      <c r="E717" s="4">
        <f>321.126648179606 * CHOOSE(CONTROL!$C$9, $C$13, 100%, $E$13) + CHOOSE(CONTROL!$C$28, 0.0021, 0)</f>
        <v>321.12874817960596</v>
      </c>
    </row>
    <row r="718" spans="1:5" ht="15">
      <c r="A718" s="13">
        <v>63370</v>
      </c>
      <c r="B718" s="4">
        <f>46.5611 * CHOOSE(CONTROL!$C$9, $C$13, 100%, $E$13) + CHOOSE(CONTROL!$C$28, 0.0415, 0)</f>
        <v>46.602600000000002</v>
      </c>
      <c r="C718" s="4">
        <f>46.1978 * CHOOSE(CONTROL!$C$9, $C$13, 100%, $E$13) + CHOOSE(CONTROL!$C$28, 0.0415, 0)</f>
        <v>46.2393</v>
      </c>
      <c r="D718" s="4">
        <f>66.5552 * CHOOSE(CONTROL!$C$9, $C$13, 100%, $E$13) + CHOOSE(CONTROL!$C$28, 0.0021, 0)</f>
        <v>66.557299999999998</v>
      </c>
      <c r="E718" s="4">
        <f>322.14273664602 * CHOOSE(CONTROL!$C$9, $C$13, 100%, $E$13) + CHOOSE(CONTROL!$C$28, 0.0021, 0)</f>
        <v>322.14483664602</v>
      </c>
    </row>
    <row r="719" spans="1:5" ht="15">
      <c r="A719" s="13">
        <v>63401</v>
      </c>
      <c r="B719" s="4">
        <f>46.5466 * CHOOSE(CONTROL!$C$9, $C$13, 100%, $E$13) + CHOOSE(CONTROL!$C$28, 0.0415, 0)</f>
        <v>46.588099999999997</v>
      </c>
      <c r="C719" s="4">
        <f>46.1833 * CHOOSE(CONTROL!$C$9, $C$13, 100%, $E$13) + CHOOSE(CONTROL!$C$28, 0.0415, 0)</f>
        <v>46.224800000000002</v>
      </c>
      <c r="D719" s="4">
        <f>67.6228 * CHOOSE(CONTROL!$C$9, $C$13, 100%, $E$13) + CHOOSE(CONTROL!$C$28, 0.0021, 0)</f>
        <v>67.624899999999997</v>
      </c>
      <c r="E719" s="4">
        <f>322.040273943525 * CHOOSE(CONTROL!$C$9, $C$13, 100%, $E$13) + CHOOSE(CONTROL!$C$28, 0.0021, 0)</f>
        <v>322.04237394352498</v>
      </c>
    </row>
    <row r="720" spans="1:5" ht="15">
      <c r="A720" s="13">
        <v>63432</v>
      </c>
      <c r="B720" s="4">
        <f>47.6425 * CHOOSE(CONTROL!$C$9, $C$13, 100%, $E$13) + CHOOSE(CONTROL!$C$28, 0.0415, 0)</f>
        <v>47.683999999999997</v>
      </c>
      <c r="C720" s="4">
        <f>47.2792 * CHOOSE(CONTROL!$C$9, $C$13, 100%, $E$13) + CHOOSE(CONTROL!$C$28, 0.0415, 0)</f>
        <v>47.320700000000002</v>
      </c>
      <c r="D720" s="4">
        <f>66.9178 * CHOOSE(CONTROL!$C$9, $C$13, 100%, $E$13) + CHOOSE(CONTROL!$C$28, 0.0021, 0)</f>
        <v>66.919899999999998</v>
      </c>
      <c r="E720" s="4">
        <f>329.750592306315 * CHOOSE(CONTROL!$C$9, $C$13, 100%, $E$13) + CHOOSE(CONTROL!$C$28, 0.0021, 0)</f>
        <v>329.752692306315</v>
      </c>
    </row>
    <row r="721" spans="1:5" ht="15">
      <c r="A721" s="13">
        <v>63462</v>
      </c>
      <c r="B721" s="4">
        <f>45.7747 * CHOOSE(CONTROL!$C$9, $C$13, 100%, $E$13) + CHOOSE(CONTROL!$C$28, 0.0415, 0)</f>
        <v>45.816200000000002</v>
      </c>
      <c r="C721" s="4">
        <f>45.4114 * CHOOSE(CONTROL!$C$9, $C$13, 100%, $E$13) + CHOOSE(CONTROL!$C$28, 0.0415, 0)</f>
        <v>45.4529</v>
      </c>
      <c r="D721" s="4">
        <f>66.5847 * CHOOSE(CONTROL!$C$9, $C$13, 100%, $E$13) + CHOOSE(CONTROL!$C$28, 0.0021, 0)</f>
        <v>66.586799999999997</v>
      </c>
      <c r="E721" s="4">
        <f>316.60975071126 * CHOOSE(CONTROL!$C$9, $C$13, 100%, $E$13) + CHOOSE(CONTROL!$C$28, 0.0021, 0)</f>
        <v>316.61185071125999</v>
      </c>
    </row>
    <row r="722" spans="1:5" ht="15">
      <c r="A722" s="13">
        <v>63493</v>
      </c>
      <c r="B722" s="4">
        <f>44.2795 * CHOOSE(CONTROL!$C$9, $C$13, 100%, $E$13) + CHOOSE(CONTROL!$C$28, 0.0211, 0)</f>
        <v>44.300599999999996</v>
      </c>
      <c r="C722" s="4">
        <f>43.9162 * CHOOSE(CONTROL!$C$9, $C$13, 100%, $E$13) + CHOOSE(CONTROL!$C$28, 0.0211, 0)</f>
        <v>43.9373</v>
      </c>
      <c r="D722" s="4">
        <f>65.6927 * CHOOSE(CONTROL!$C$9, $C$13, 100%, $E$13) + CHOOSE(CONTROL!$C$28, 0.0021, 0)</f>
        <v>65.694800000000001</v>
      </c>
      <c r="E722" s="4">
        <f>306.090246588383 * CHOOSE(CONTROL!$C$9, $C$13, 100%, $E$13) + CHOOSE(CONTROL!$C$28, 0.0021, 0)</f>
        <v>306.09234658838301</v>
      </c>
    </row>
    <row r="723" spans="1:5" ht="15">
      <c r="A723" s="13">
        <v>63523</v>
      </c>
      <c r="B723" s="4">
        <f>43.3165 * CHOOSE(CONTROL!$C$9, $C$13, 100%, $E$13) + CHOOSE(CONTROL!$C$28, 0.0211, 0)</f>
        <v>43.337599999999995</v>
      </c>
      <c r="C723" s="4">
        <f>42.9532 * CHOOSE(CONTROL!$C$9, $C$13, 100%, $E$13) + CHOOSE(CONTROL!$C$28, 0.0211, 0)</f>
        <v>42.974299999999999</v>
      </c>
      <c r="D723" s="4">
        <f>65.3861 * CHOOSE(CONTROL!$C$9, $C$13, 100%, $E$13) + CHOOSE(CONTROL!$C$28, 0.0021, 0)</f>
        <v>65.388199999999998</v>
      </c>
      <c r="E723" s="4">
        <f>299.314900385865 * CHOOSE(CONTROL!$C$9, $C$13, 100%, $E$13) + CHOOSE(CONTROL!$C$28, 0.0021, 0)</f>
        <v>299.31700038586496</v>
      </c>
    </row>
    <row r="724" spans="1:5" ht="15">
      <c r="A724" s="13">
        <v>63554</v>
      </c>
      <c r="B724" s="4">
        <f>42.6502 * CHOOSE(CONTROL!$C$9, $C$13, 100%, $E$13) + CHOOSE(CONTROL!$C$28, 0.0211, 0)</f>
        <v>42.671299999999995</v>
      </c>
      <c r="C724" s="4">
        <f>42.2869 * CHOOSE(CONTROL!$C$9, $C$13, 100%, $E$13) + CHOOSE(CONTROL!$C$28, 0.0211, 0)</f>
        <v>42.308</v>
      </c>
      <c r="D724" s="4">
        <f>63.1285 * CHOOSE(CONTROL!$C$9, $C$13, 100%, $E$13) + CHOOSE(CONTROL!$C$28, 0.0021, 0)</f>
        <v>63.130600000000001</v>
      </c>
      <c r="E724" s="4">
        <f>294.627231746694 * CHOOSE(CONTROL!$C$9, $C$13, 100%, $E$13) + CHOOSE(CONTROL!$C$28, 0.0021, 0)</f>
        <v>294.62933174669399</v>
      </c>
    </row>
    <row r="725" spans="1:5" ht="15">
      <c r="A725" s="13">
        <v>63585</v>
      </c>
      <c r="B725" s="4">
        <f>40.8273 * CHOOSE(CONTROL!$C$9, $C$13, 100%, $E$13) + CHOOSE(CONTROL!$C$28, 0.0211, 0)</f>
        <v>40.848399999999998</v>
      </c>
      <c r="C725" s="4">
        <f>40.464 * CHOOSE(CONTROL!$C$9, $C$13, 100%, $E$13) + CHOOSE(CONTROL!$C$28, 0.0211, 0)</f>
        <v>40.485099999999996</v>
      </c>
      <c r="D725" s="4">
        <f>60.6416 * CHOOSE(CONTROL!$C$9, $C$13, 100%, $E$13) + CHOOSE(CONTROL!$C$28, 0.0021, 0)</f>
        <v>60.643699999999995</v>
      </c>
      <c r="E725" s="4">
        <f>282.354810353168 * CHOOSE(CONTROL!$C$9, $C$13, 100%, $E$13) + CHOOSE(CONTROL!$C$28, 0.0021, 0)</f>
        <v>282.35691035316796</v>
      </c>
    </row>
    <row r="726" spans="1:5" ht="15">
      <c r="A726" s="13">
        <v>63613</v>
      </c>
      <c r="B726" s="4">
        <f>41.7783 * CHOOSE(CONTROL!$C$9, $C$13, 100%, $E$13) + CHOOSE(CONTROL!$C$28, 0.0211, 0)</f>
        <v>41.799399999999999</v>
      </c>
      <c r="C726" s="4">
        <f>41.415 * CHOOSE(CONTROL!$C$9, $C$13, 100%, $E$13) + CHOOSE(CONTROL!$C$28, 0.0211, 0)</f>
        <v>41.436099999999996</v>
      </c>
      <c r="D726" s="4">
        <f>62.7165 * CHOOSE(CONTROL!$C$9, $C$13, 100%, $E$13) + CHOOSE(CONTROL!$C$28, 0.0021, 0)</f>
        <v>62.718600000000002</v>
      </c>
      <c r="E726" s="4">
        <f>289.05902628569 * CHOOSE(CONTROL!$C$9, $C$13, 100%, $E$13) + CHOOSE(CONTROL!$C$28, 0.0021, 0)</f>
        <v>289.06112628568997</v>
      </c>
    </row>
    <row r="727" spans="1:5" ht="15">
      <c r="A727" s="13">
        <v>63644</v>
      </c>
      <c r="B727" s="4">
        <f>44.2758 * CHOOSE(CONTROL!$C$9, $C$13, 100%, $E$13) + CHOOSE(CONTROL!$C$28, 0.0211, 0)</f>
        <v>44.296899999999994</v>
      </c>
      <c r="C727" s="4">
        <f>43.9125 * CHOOSE(CONTROL!$C$9, $C$13, 100%, $E$13) + CHOOSE(CONTROL!$C$28, 0.0211, 0)</f>
        <v>43.933599999999998</v>
      </c>
      <c r="D727" s="4">
        <f>65.9646 * CHOOSE(CONTROL!$C$9, $C$13, 100%, $E$13) + CHOOSE(CONTROL!$C$28, 0.0021, 0)</f>
        <v>65.966700000000003</v>
      </c>
      <c r="E727" s="4">
        <f>306.664653608165 * CHOOSE(CONTROL!$C$9, $C$13, 100%, $E$13) + CHOOSE(CONTROL!$C$28, 0.0021, 0)</f>
        <v>306.66675360816498</v>
      </c>
    </row>
    <row r="728" spans="1:5" ht="15">
      <c r="A728" s="13">
        <v>63674</v>
      </c>
      <c r="B728" s="4">
        <f>46.0503 * CHOOSE(CONTROL!$C$9, $C$13, 100%, $E$13) + CHOOSE(CONTROL!$C$28, 0.0211, 0)</f>
        <v>46.071399999999997</v>
      </c>
      <c r="C728" s="4">
        <f>45.687 * CHOOSE(CONTROL!$C$9, $C$13, 100%, $E$13) + CHOOSE(CONTROL!$C$28, 0.0211, 0)</f>
        <v>45.708099999999995</v>
      </c>
      <c r="D728" s="4">
        <f>67.8356 * CHOOSE(CONTROL!$C$9, $C$13, 100%, $E$13) + CHOOSE(CONTROL!$C$28, 0.0021, 0)</f>
        <v>67.837699999999998</v>
      </c>
      <c r="E728" s="4">
        <f>319.173686446617 * CHOOSE(CONTROL!$C$9, $C$13, 100%, $E$13) + CHOOSE(CONTROL!$C$28, 0.0021, 0)</f>
        <v>319.175786446617</v>
      </c>
    </row>
    <row r="729" spans="1:5" ht="15">
      <c r="A729" s="13">
        <v>63705</v>
      </c>
      <c r="B729" s="4">
        <f>47.1344 * CHOOSE(CONTROL!$C$9, $C$13, 100%, $E$13) + CHOOSE(CONTROL!$C$28, 0.0415, 0)</f>
        <v>47.175899999999999</v>
      </c>
      <c r="C729" s="4">
        <f>46.7712 * CHOOSE(CONTROL!$C$9, $C$13, 100%, $E$13) + CHOOSE(CONTROL!$C$28, 0.0415, 0)</f>
        <v>46.8127</v>
      </c>
      <c r="D729" s="4">
        <f>67.0963 * CHOOSE(CONTROL!$C$9, $C$13, 100%, $E$13) + CHOOSE(CONTROL!$C$28, 0.0021, 0)</f>
        <v>67.098399999999998</v>
      </c>
      <c r="E729" s="4">
        <f>326.816405711235 * CHOOSE(CONTROL!$C$9, $C$13, 100%, $E$13) + CHOOSE(CONTROL!$C$28, 0.0021, 0)</f>
        <v>326.81850571123499</v>
      </c>
    </row>
    <row r="730" spans="1:5" ht="15">
      <c r="A730" s="13">
        <v>63735</v>
      </c>
      <c r="B730" s="4">
        <f>47.2811 * CHOOSE(CONTROL!$C$9, $C$13, 100%, $E$13) + CHOOSE(CONTROL!$C$28, 0.0415, 0)</f>
        <v>47.322600000000001</v>
      </c>
      <c r="C730" s="4">
        <f>46.9178 * CHOOSE(CONTROL!$C$9, $C$13, 100%, $E$13) + CHOOSE(CONTROL!$C$28, 0.0415, 0)</f>
        <v>46.959299999999999</v>
      </c>
      <c r="D730" s="4">
        <f>67.6984 * CHOOSE(CONTROL!$C$9, $C$13, 100%, $E$13) + CHOOSE(CONTROL!$C$28, 0.0021, 0)</f>
        <v>67.700500000000005</v>
      </c>
      <c r="E730" s="4">
        <f>327.850497345675 * CHOOSE(CONTROL!$C$9, $C$13, 100%, $E$13) + CHOOSE(CONTROL!$C$28, 0.0021, 0)</f>
        <v>327.85259734567501</v>
      </c>
    </row>
    <row r="731" spans="1:5" ht="15">
      <c r="A731" s="13">
        <v>63766</v>
      </c>
      <c r="B731" s="4">
        <f>47.2663 * CHOOSE(CONTROL!$C$9, $C$13, 100%, $E$13) + CHOOSE(CONTROL!$C$28, 0.0415, 0)</f>
        <v>47.3078</v>
      </c>
      <c r="C731" s="4">
        <f>46.9031 * CHOOSE(CONTROL!$C$9, $C$13, 100%, $E$13) + CHOOSE(CONTROL!$C$28, 0.0415, 0)</f>
        <v>46.944600000000001</v>
      </c>
      <c r="D731" s="4">
        <f>68.7849 * CHOOSE(CONTROL!$C$9, $C$13, 100%, $E$13) + CHOOSE(CONTROL!$C$28, 0.0021, 0)</f>
        <v>68.786999999999992</v>
      </c>
      <c r="E731" s="4">
        <f>327.746219197664 * CHOOSE(CONTROL!$C$9, $C$13, 100%, $E$13) + CHOOSE(CONTROL!$C$28, 0.0021, 0)</f>
        <v>327.74831919766399</v>
      </c>
    </row>
    <row r="732" spans="1:5" ht="15">
      <c r="A732" s="13">
        <v>63797</v>
      </c>
      <c r="B732" s="4">
        <f>48.3795 * CHOOSE(CONTROL!$C$9, $C$13, 100%, $E$13) + CHOOSE(CONTROL!$C$28, 0.0415, 0)</f>
        <v>48.420999999999999</v>
      </c>
      <c r="C732" s="4">
        <f>48.0162 * CHOOSE(CONTROL!$C$9, $C$13, 100%, $E$13) + CHOOSE(CONTROL!$C$28, 0.0415, 0)</f>
        <v>48.057699999999997</v>
      </c>
      <c r="D732" s="4">
        <f>68.0674 * CHOOSE(CONTROL!$C$9, $C$13, 100%, $E$13) + CHOOSE(CONTROL!$C$28, 0.0021, 0)</f>
        <v>68.069500000000005</v>
      </c>
      <c r="E732" s="4">
        <f>335.59314983547 * CHOOSE(CONTROL!$C$9, $C$13, 100%, $E$13) + CHOOSE(CONTROL!$C$28, 0.0021, 0)</f>
        <v>335.59524983546999</v>
      </c>
    </row>
    <row r="733" spans="1:5" ht="15">
      <c r="A733" s="13">
        <v>63827</v>
      </c>
      <c r="B733" s="4">
        <f>46.4823 * CHOOSE(CONTROL!$C$9, $C$13, 100%, $E$13) + CHOOSE(CONTROL!$C$28, 0.0415, 0)</f>
        <v>46.523800000000001</v>
      </c>
      <c r="C733" s="4">
        <f>46.119 * CHOOSE(CONTROL!$C$9, $C$13, 100%, $E$13) + CHOOSE(CONTROL!$C$28, 0.0415, 0)</f>
        <v>46.160499999999999</v>
      </c>
      <c r="D733" s="4">
        <f>67.7284 * CHOOSE(CONTROL!$C$9, $C$13, 100%, $E$13) + CHOOSE(CONTROL!$C$28, 0.0021, 0)</f>
        <v>67.730499999999992</v>
      </c>
      <c r="E733" s="4">
        <f>322.219477353096 * CHOOSE(CONTROL!$C$9, $C$13, 100%, $E$13) + CHOOSE(CONTROL!$C$28, 0.0021, 0)</f>
        <v>322.221577353096</v>
      </c>
    </row>
    <row r="734" spans="1:5" ht="15">
      <c r="A734" s="13">
        <v>63858</v>
      </c>
      <c r="B734" s="4">
        <f>44.9636 * CHOOSE(CONTROL!$C$9, $C$13, 100%, $E$13) + CHOOSE(CONTROL!$C$28, 0.0211, 0)</f>
        <v>44.984699999999997</v>
      </c>
      <c r="C734" s="4">
        <f>44.6003 * CHOOSE(CONTROL!$C$9, $C$13, 100%, $E$13) + CHOOSE(CONTROL!$C$28, 0.0211, 0)</f>
        <v>44.621399999999994</v>
      </c>
      <c r="D734" s="4">
        <f>66.8207 * CHOOSE(CONTROL!$C$9, $C$13, 100%, $E$13) + CHOOSE(CONTROL!$C$28, 0.0021, 0)</f>
        <v>66.822800000000001</v>
      </c>
      <c r="E734" s="4">
        <f>311.513587490663 * CHOOSE(CONTROL!$C$9, $C$13, 100%, $E$13) + CHOOSE(CONTROL!$C$28, 0.0021, 0)</f>
        <v>311.51568749066297</v>
      </c>
    </row>
    <row r="735" spans="1:5" ht="15">
      <c r="A735" s="13">
        <v>63888</v>
      </c>
      <c r="B735" s="4">
        <f>43.9855 * CHOOSE(CONTROL!$C$9, $C$13, 100%, $E$13) + CHOOSE(CONTROL!$C$28, 0.0211, 0)</f>
        <v>44.006599999999999</v>
      </c>
      <c r="C735" s="4">
        <f>43.6222 * CHOOSE(CONTROL!$C$9, $C$13, 100%, $E$13) + CHOOSE(CONTROL!$C$28, 0.0211, 0)</f>
        <v>43.643299999999996</v>
      </c>
      <c r="D735" s="4">
        <f>66.5086 * CHOOSE(CONTROL!$C$9, $C$13, 100%, $E$13) + CHOOSE(CONTROL!$C$28, 0.0021, 0)</f>
        <v>66.5107</v>
      </c>
      <c r="E735" s="4">
        <f>304.618194953455 * CHOOSE(CONTROL!$C$9, $C$13, 100%, $E$13) + CHOOSE(CONTROL!$C$28, 0.0021, 0)</f>
        <v>304.62029495345496</v>
      </c>
    </row>
    <row r="736" spans="1:5" ht="15">
      <c r="A736" s="13">
        <v>63919</v>
      </c>
      <c r="B736" s="4">
        <f>43.3087 * CHOOSE(CONTROL!$C$9, $C$13, 100%, $E$13) + CHOOSE(CONTROL!$C$28, 0.0211, 0)</f>
        <v>43.329799999999999</v>
      </c>
      <c r="C736" s="4">
        <f>42.9454 * CHOOSE(CONTROL!$C$9, $C$13, 100%, $E$13) + CHOOSE(CONTROL!$C$28, 0.0211, 0)</f>
        <v>42.966499999999996</v>
      </c>
      <c r="D736" s="4">
        <f>64.2111 * CHOOSE(CONTROL!$C$9, $C$13, 100%, $E$13) + CHOOSE(CONTROL!$C$28, 0.0021, 0)</f>
        <v>64.213200000000001</v>
      </c>
      <c r="E736" s="4">
        <f>299.847469681965 * CHOOSE(CONTROL!$C$9, $C$13, 100%, $E$13) + CHOOSE(CONTROL!$C$28, 0.0021, 0)</f>
        <v>299.84956968196497</v>
      </c>
    </row>
    <row r="737" spans="1:5" ht="15">
      <c r="A737" s="13">
        <v>63950</v>
      </c>
      <c r="B737" s="4">
        <f>41.4571 * CHOOSE(CONTROL!$C$9, $C$13, 100%, $E$13) + CHOOSE(CONTROL!$C$28, 0.0211, 0)</f>
        <v>41.478199999999994</v>
      </c>
      <c r="C737" s="4">
        <f>41.0938 * CHOOSE(CONTROL!$C$9, $C$13, 100%, $E$13) + CHOOSE(CONTROL!$C$28, 0.0211, 0)</f>
        <v>41.114899999999999</v>
      </c>
      <c r="D737" s="4">
        <f>61.6803 * CHOOSE(CONTROL!$C$9, $C$13, 100%, $E$13) + CHOOSE(CONTROL!$C$28, 0.0021, 0)</f>
        <v>61.682400000000001</v>
      </c>
      <c r="E737" s="4">
        <f>287.357604166468 * CHOOSE(CONTROL!$C$9, $C$13, 100%, $E$13) + CHOOSE(CONTROL!$C$28, 0.0021, 0)</f>
        <v>287.35970416646796</v>
      </c>
    </row>
    <row r="738" spans="1:5" ht="15">
      <c r="A738" s="13">
        <v>63978</v>
      </c>
      <c r="B738" s="4">
        <f>42.4231 * CHOOSE(CONTROL!$C$9, $C$13, 100%, $E$13) + CHOOSE(CONTROL!$C$28, 0.0211, 0)</f>
        <v>42.444199999999995</v>
      </c>
      <c r="C738" s="4">
        <f>42.0598 * CHOOSE(CONTROL!$C$9, $C$13, 100%, $E$13) + CHOOSE(CONTROL!$C$28, 0.0211, 0)</f>
        <v>42.0809</v>
      </c>
      <c r="D738" s="4">
        <f>63.7918 * CHOOSE(CONTROL!$C$9, $C$13, 100%, $E$13) + CHOOSE(CONTROL!$C$28, 0.0021, 0)</f>
        <v>63.793900000000001</v>
      </c>
      <c r="E738" s="4">
        <f>294.180606139675 * CHOOSE(CONTROL!$C$9, $C$13, 100%, $E$13) + CHOOSE(CONTROL!$C$28, 0.0021, 0)</f>
        <v>294.18270613967496</v>
      </c>
    </row>
    <row r="739" spans="1:5" ht="15">
      <c r="A739" s="13">
        <v>64009</v>
      </c>
      <c r="B739" s="4">
        <f>44.9598 * CHOOSE(CONTROL!$C$9, $C$13, 100%, $E$13) + CHOOSE(CONTROL!$C$28, 0.0211, 0)</f>
        <v>44.980899999999998</v>
      </c>
      <c r="C739" s="4">
        <f>44.5966 * CHOOSE(CONTROL!$C$9, $C$13, 100%, $E$13) + CHOOSE(CONTROL!$C$28, 0.0211, 0)</f>
        <v>44.617699999999999</v>
      </c>
      <c r="D739" s="4">
        <f>67.0974 * CHOOSE(CONTROL!$C$9, $C$13, 100%, $E$13) + CHOOSE(CONTROL!$C$28, 0.0021, 0)</f>
        <v>67.099499999999992</v>
      </c>
      <c r="E739" s="4">
        <f>312.098171917663 * CHOOSE(CONTROL!$C$9, $C$13, 100%, $E$13) + CHOOSE(CONTROL!$C$28, 0.0021, 0)</f>
        <v>312.10027191766301</v>
      </c>
    </row>
    <row r="740" spans="1:5" ht="15">
      <c r="A740" s="13">
        <v>64039</v>
      </c>
      <c r="B740" s="4">
        <f>46.7622 * CHOOSE(CONTROL!$C$9, $C$13, 100%, $E$13) + CHOOSE(CONTROL!$C$28, 0.0211, 0)</f>
        <v>46.783299999999997</v>
      </c>
      <c r="C740" s="4">
        <f>46.399 * CHOOSE(CONTROL!$C$9, $C$13, 100%, $E$13) + CHOOSE(CONTROL!$C$28, 0.0211, 0)</f>
        <v>46.420099999999998</v>
      </c>
      <c r="D740" s="4">
        <f>69.0015 * CHOOSE(CONTROL!$C$9, $C$13, 100%, $E$13) + CHOOSE(CONTROL!$C$28, 0.0021, 0)</f>
        <v>69.003599999999992</v>
      </c>
      <c r="E740" s="4">
        <f>324.828841185883 * CHOOSE(CONTROL!$C$9, $C$13, 100%, $E$13) + CHOOSE(CONTROL!$C$28, 0.0021, 0)</f>
        <v>324.83094118588298</v>
      </c>
    </row>
    <row r="741" spans="1:5" ht="15">
      <c r="A741" s="13">
        <v>64070</v>
      </c>
      <c r="B741" s="4">
        <f>47.8635 * CHOOSE(CONTROL!$C$9, $C$13, 100%, $E$13) + CHOOSE(CONTROL!$C$28, 0.0415, 0)</f>
        <v>47.905000000000001</v>
      </c>
      <c r="C741" s="4">
        <f>47.5002 * CHOOSE(CONTROL!$C$9, $C$13, 100%, $E$13) + CHOOSE(CONTROL!$C$28, 0.0415, 0)</f>
        <v>47.541699999999999</v>
      </c>
      <c r="D741" s="4">
        <f>68.249 * CHOOSE(CONTROL!$C$9, $C$13, 100%, $E$13) + CHOOSE(CONTROL!$C$28, 0.0021, 0)</f>
        <v>68.251099999999994</v>
      </c>
      <c r="E741" s="4">
        <f>332.606974997206 * CHOOSE(CONTROL!$C$9, $C$13, 100%, $E$13) + CHOOSE(CONTROL!$C$28, 0.0021, 0)</f>
        <v>332.60907499720599</v>
      </c>
    </row>
    <row r="742" spans="1:5" ht="15">
      <c r="A742" s="13">
        <v>64100</v>
      </c>
      <c r="B742" s="4">
        <f>48.0125 * CHOOSE(CONTROL!$C$9, $C$13, 100%, $E$13) + CHOOSE(CONTROL!$C$28, 0.0415, 0)</f>
        <v>48.054000000000002</v>
      </c>
      <c r="C742" s="4">
        <f>47.6492 * CHOOSE(CONTROL!$C$9, $C$13, 100%, $E$13) + CHOOSE(CONTROL!$C$28, 0.0415, 0)</f>
        <v>47.6907</v>
      </c>
      <c r="D742" s="4">
        <f>68.8618 * CHOOSE(CONTROL!$C$9, $C$13, 100%, $E$13) + CHOOSE(CONTROL!$C$28, 0.0021, 0)</f>
        <v>68.863900000000001</v>
      </c>
      <c r="E742" s="4">
        <f>333.659388781796 * CHOOSE(CONTROL!$C$9, $C$13, 100%, $E$13) + CHOOSE(CONTROL!$C$28, 0.0021, 0)</f>
        <v>333.66148878179598</v>
      </c>
    </row>
    <row r="743" spans="1:5" ht="15">
      <c r="A743" s="13">
        <v>64131</v>
      </c>
      <c r="B743" s="4">
        <f>47.9974 * CHOOSE(CONTROL!$C$9, $C$13, 100%, $E$13) + CHOOSE(CONTROL!$C$28, 0.0415, 0)</f>
        <v>48.038899999999998</v>
      </c>
      <c r="C743" s="4">
        <f>47.6341 * CHOOSE(CONTROL!$C$9, $C$13, 100%, $E$13) + CHOOSE(CONTROL!$C$28, 0.0415, 0)</f>
        <v>47.675599999999996</v>
      </c>
      <c r="D743" s="4">
        <f>69.9675 * CHOOSE(CONTROL!$C$9, $C$13, 100%, $E$13) + CHOOSE(CONTROL!$C$28, 0.0021, 0)</f>
        <v>69.9696</v>
      </c>
      <c r="E743" s="4">
        <f>333.553263022006 * CHOOSE(CONTROL!$C$9, $C$13, 100%, $E$13) + CHOOSE(CONTROL!$C$28, 0.0021, 0)</f>
        <v>333.55536302200596</v>
      </c>
    </row>
    <row r="744" spans="1:5" ht="15">
      <c r="A744" s="13">
        <v>64162</v>
      </c>
      <c r="B744" s="4">
        <f>49.1281 * CHOOSE(CONTROL!$C$9, $C$13, 100%, $E$13) + CHOOSE(CONTROL!$C$28, 0.0415, 0)</f>
        <v>49.169600000000003</v>
      </c>
      <c r="C744" s="4">
        <f>48.7648 * CHOOSE(CONTROL!$C$9, $C$13, 100%, $E$13) + CHOOSE(CONTROL!$C$28, 0.0415, 0)</f>
        <v>48.8063</v>
      </c>
      <c r="D744" s="4">
        <f>69.2373 * CHOOSE(CONTROL!$C$9, $C$13, 100%, $E$13) + CHOOSE(CONTROL!$C$28, 0.0021, 0)</f>
        <v>69.239400000000003</v>
      </c>
      <c r="E744" s="4">
        <f>341.539226446252 * CHOOSE(CONTROL!$C$9, $C$13, 100%, $E$13) + CHOOSE(CONTROL!$C$28, 0.0021, 0)</f>
        <v>341.54132644625196</v>
      </c>
    </row>
    <row r="745" spans="1:5" ht="15">
      <c r="A745" s="13">
        <v>64192</v>
      </c>
      <c r="B745" s="4">
        <f>47.2011 * CHOOSE(CONTROL!$C$9, $C$13, 100%, $E$13) + CHOOSE(CONTROL!$C$28, 0.0415, 0)</f>
        <v>47.242599999999996</v>
      </c>
      <c r="C745" s="4">
        <f>46.8378 * CHOOSE(CONTROL!$C$9, $C$13, 100%, $E$13) + CHOOSE(CONTROL!$C$28, 0.0415, 0)</f>
        <v>46.879300000000001</v>
      </c>
      <c r="D745" s="4">
        <f>68.8923 * CHOOSE(CONTROL!$C$9, $C$13, 100%, $E$13) + CHOOSE(CONTROL!$C$28, 0.0021, 0)</f>
        <v>68.894400000000005</v>
      </c>
      <c r="E745" s="4">
        <f>327.928597753101 * CHOOSE(CONTROL!$C$9, $C$13, 100%, $E$13) + CHOOSE(CONTROL!$C$28, 0.0021, 0)</f>
        <v>327.93069775310096</v>
      </c>
    </row>
    <row r="746" spans="1:5" ht="15">
      <c r="A746" s="13">
        <v>64223</v>
      </c>
      <c r="B746" s="4">
        <f>45.6585 * CHOOSE(CONTROL!$C$9, $C$13, 100%, $E$13) + CHOOSE(CONTROL!$C$28, 0.0211, 0)</f>
        <v>45.679599999999994</v>
      </c>
      <c r="C746" s="4">
        <f>45.2952 * CHOOSE(CONTROL!$C$9, $C$13, 100%, $E$13) + CHOOSE(CONTROL!$C$28, 0.0211, 0)</f>
        <v>45.316299999999998</v>
      </c>
      <c r="D746" s="4">
        <f>67.9686 * CHOOSE(CONTROL!$C$9, $C$13, 100%, $E$13) + CHOOSE(CONTROL!$C$28, 0.0021, 0)</f>
        <v>67.970699999999994</v>
      </c>
      <c r="E746" s="4">
        <f>317.033019747928 * CHOOSE(CONTROL!$C$9, $C$13, 100%, $E$13) + CHOOSE(CONTROL!$C$28, 0.0021, 0)</f>
        <v>317.03511974792798</v>
      </c>
    </row>
    <row r="747" spans="1:5" ht="15">
      <c r="A747" s="13">
        <v>64253</v>
      </c>
      <c r="B747" s="4">
        <f>44.665 * CHOOSE(CONTROL!$C$9, $C$13, 100%, $E$13) + CHOOSE(CONTROL!$C$28, 0.0211, 0)</f>
        <v>44.686099999999996</v>
      </c>
      <c r="C747" s="4">
        <f>44.3017 * CHOOSE(CONTROL!$C$9, $C$13, 100%, $E$13) + CHOOSE(CONTROL!$C$28, 0.0211, 0)</f>
        <v>44.322799999999994</v>
      </c>
      <c r="D747" s="4">
        <f>67.651 * CHOOSE(CONTROL!$C$9, $C$13, 100%, $E$13) + CHOOSE(CONTROL!$C$28, 0.0021, 0)</f>
        <v>67.653099999999995</v>
      </c>
      <c r="E747" s="4">
        <f>310.015453881772 * CHOOSE(CONTROL!$C$9, $C$13, 100%, $E$13) + CHOOSE(CONTROL!$C$28, 0.0021, 0)</f>
        <v>310.01755388177196</v>
      </c>
    </row>
    <row r="748" spans="1:5" ht="15">
      <c r="A748" s="13">
        <v>64284</v>
      </c>
      <c r="B748" s="4">
        <f>43.9776 * CHOOSE(CONTROL!$C$9, $C$13, 100%, $E$13) + CHOOSE(CONTROL!$C$28, 0.0211, 0)</f>
        <v>43.998699999999999</v>
      </c>
      <c r="C748" s="4">
        <f>43.6143 * CHOOSE(CONTROL!$C$9, $C$13, 100%, $E$13) + CHOOSE(CONTROL!$C$28, 0.0211, 0)</f>
        <v>43.635399999999997</v>
      </c>
      <c r="D748" s="4">
        <f>65.3129 * CHOOSE(CONTROL!$C$9, $C$13, 100%, $E$13) + CHOOSE(CONTROL!$C$28, 0.0021, 0)</f>
        <v>65.314999999999998</v>
      </c>
      <c r="E748" s="4">
        <f>305.16020037135 * CHOOSE(CONTROL!$C$9, $C$13, 100%, $E$13) + CHOOSE(CONTROL!$C$28, 0.0021, 0)</f>
        <v>305.16230037135</v>
      </c>
    </row>
    <row r="749" spans="1:5" ht="15">
      <c r="A749" s="13">
        <v>64315</v>
      </c>
      <c r="B749" s="4">
        <f>42.0969 * CHOOSE(CONTROL!$C$9, $C$13, 100%, $E$13) + CHOOSE(CONTROL!$C$28, 0.0211, 0)</f>
        <v>42.117999999999995</v>
      </c>
      <c r="C749" s="4">
        <f>41.7336 * CHOOSE(CONTROL!$C$9, $C$13, 100%, $E$13) + CHOOSE(CONTROL!$C$28, 0.0211, 0)</f>
        <v>41.7547</v>
      </c>
      <c r="D749" s="4">
        <f>62.7373 * CHOOSE(CONTROL!$C$9, $C$13, 100%, $E$13) + CHOOSE(CONTROL!$C$28, 0.0021, 0)</f>
        <v>62.739399999999996</v>
      </c>
      <c r="E749" s="4">
        <f>292.449038034836 * CHOOSE(CONTROL!$C$9, $C$13, 100%, $E$13) + CHOOSE(CONTROL!$C$28, 0.0021, 0)</f>
        <v>292.45113803483599</v>
      </c>
    </row>
    <row r="750" spans="1:5" ht="15">
      <c r="A750" s="13">
        <v>64344</v>
      </c>
      <c r="B750" s="4">
        <f>43.078 * CHOOSE(CONTROL!$C$9, $C$13, 100%, $E$13) + CHOOSE(CONTROL!$C$28, 0.0211, 0)</f>
        <v>43.0991</v>
      </c>
      <c r="C750" s="4">
        <f>42.7148 * CHOOSE(CONTROL!$C$9, $C$13, 100%, $E$13) + CHOOSE(CONTROL!$C$28, 0.0211, 0)</f>
        <v>42.735899999999994</v>
      </c>
      <c r="D750" s="4">
        <f>64.8862 * CHOOSE(CONTROL!$C$9, $C$13, 100%, $E$13) + CHOOSE(CONTROL!$C$28, 0.0021, 0)</f>
        <v>64.888300000000001</v>
      </c>
      <c r="E750" s="4">
        <f>299.392930712958 * CHOOSE(CONTROL!$C$9, $C$13, 100%, $E$13) + CHOOSE(CONTROL!$C$28, 0.0021, 0)</f>
        <v>299.39503071295798</v>
      </c>
    </row>
    <row r="751" spans="1:5" ht="15">
      <c r="A751" s="13">
        <v>64375</v>
      </c>
      <c r="B751" s="4">
        <f>45.6547 * CHOOSE(CONTROL!$C$9, $C$13, 100%, $E$13) + CHOOSE(CONTROL!$C$28, 0.0211, 0)</f>
        <v>45.675799999999995</v>
      </c>
      <c r="C751" s="4">
        <f>45.2914 * CHOOSE(CONTROL!$C$9, $C$13, 100%, $E$13) + CHOOSE(CONTROL!$C$28, 0.0211, 0)</f>
        <v>45.3125</v>
      </c>
      <c r="D751" s="4">
        <f>68.2501 * CHOOSE(CONTROL!$C$9, $C$13, 100%, $E$13) + CHOOSE(CONTROL!$C$28, 0.0021, 0)</f>
        <v>68.252200000000002</v>
      </c>
      <c r="E751" s="4">
        <f>317.627961906574 * CHOOSE(CONTROL!$C$9, $C$13, 100%, $E$13) + CHOOSE(CONTROL!$C$28, 0.0021, 0)</f>
        <v>317.63006190657399</v>
      </c>
    </row>
    <row r="752" spans="1:5" ht="15">
      <c r="A752" s="13">
        <v>64405</v>
      </c>
      <c r="B752" s="4">
        <f>47.4854 * CHOOSE(CONTROL!$C$9, $C$13, 100%, $E$13) + CHOOSE(CONTROL!$C$28, 0.0211, 0)</f>
        <v>47.506499999999996</v>
      </c>
      <c r="C752" s="4">
        <f>47.1221 * CHOOSE(CONTROL!$C$9, $C$13, 100%, $E$13) + CHOOSE(CONTROL!$C$28, 0.0211, 0)</f>
        <v>47.1432</v>
      </c>
      <c r="D752" s="4">
        <f>70.1879 * CHOOSE(CONTROL!$C$9, $C$13, 100%, $E$13) + CHOOSE(CONTROL!$C$28, 0.0021, 0)</f>
        <v>70.19</v>
      </c>
      <c r="E752" s="4">
        <f>330.584194583381 * CHOOSE(CONTROL!$C$9, $C$13, 100%, $E$13) + CHOOSE(CONTROL!$C$28, 0.0021, 0)</f>
        <v>330.586294583381</v>
      </c>
    </row>
    <row r="753" spans="1:5" ht="15">
      <c r="A753" s="13">
        <v>64436</v>
      </c>
      <c r="B753" s="4">
        <f>48.6039 * CHOOSE(CONTROL!$C$9, $C$13, 100%, $E$13) + CHOOSE(CONTROL!$C$28, 0.0415, 0)</f>
        <v>48.645400000000002</v>
      </c>
      <c r="C753" s="4">
        <f>48.2407 * CHOOSE(CONTROL!$C$9, $C$13, 100%, $E$13) + CHOOSE(CONTROL!$C$28, 0.0415, 0)</f>
        <v>48.282199999999996</v>
      </c>
      <c r="D753" s="4">
        <f>69.4222 * CHOOSE(CONTROL!$C$9, $C$13, 100%, $E$13) + CHOOSE(CONTROL!$C$28, 0.0021, 0)</f>
        <v>69.424300000000002</v>
      </c>
      <c r="E753" s="4">
        <f>338.50014223135 * CHOOSE(CONTROL!$C$9, $C$13, 100%, $E$13) + CHOOSE(CONTROL!$C$28, 0.0021, 0)</f>
        <v>338.50224223135001</v>
      </c>
    </row>
    <row r="754" spans="1:5" ht="15">
      <c r="A754" s="13">
        <v>64466</v>
      </c>
      <c r="B754" s="4">
        <f>48.7553 * CHOOSE(CONTROL!$C$9, $C$13, 100%, $E$13) + CHOOSE(CONTROL!$C$28, 0.0415, 0)</f>
        <v>48.796799999999998</v>
      </c>
      <c r="C754" s="4">
        <f>48.392 * CHOOSE(CONTROL!$C$9, $C$13, 100%, $E$13) + CHOOSE(CONTROL!$C$28, 0.0415, 0)</f>
        <v>48.433500000000002</v>
      </c>
      <c r="D754" s="4">
        <f>70.0458 * CHOOSE(CONTROL!$C$9, $C$13, 100%, $E$13) + CHOOSE(CONTROL!$C$28, 0.0021, 0)</f>
        <v>70.047899999999998</v>
      </c>
      <c r="E754" s="4">
        <f>339.571202799978 * CHOOSE(CONTROL!$C$9, $C$13, 100%, $E$13) + CHOOSE(CONTROL!$C$28, 0.0021, 0)</f>
        <v>339.57330279997797</v>
      </c>
    </row>
    <row r="755" spans="1:5" ht="15">
      <c r="A755" s="13">
        <v>64497</v>
      </c>
      <c r="B755" s="4">
        <f>48.74 * CHOOSE(CONTROL!$C$9, $C$13, 100%, $E$13) + CHOOSE(CONTROL!$C$28, 0.0415, 0)</f>
        <v>48.781500000000001</v>
      </c>
      <c r="C755" s="4">
        <f>48.3767 * CHOOSE(CONTROL!$C$9, $C$13, 100%, $E$13) + CHOOSE(CONTROL!$C$28, 0.0415, 0)</f>
        <v>48.418199999999999</v>
      </c>
      <c r="D755" s="4">
        <f>71.171 * CHOOSE(CONTROL!$C$9, $C$13, 100%, $E$13) + CHOOSE(CONTROL!$C$28, 0.0021, 0)</f>
        <v>71.173100000000005</v>
      </c>
      <c r="E755" s="4">
        <f>339.463196692218 * CHOOSE(CONTROL!$C$9, $C$13, 100%, $E$13) + CHOOSE(CONTROL!$C$28, 0.0021, 0)</f>
        <v>339.46529669221798</v>
      </c>
    </row>
    <row r="756" spans="1:5" ht="15">
      <c r="A756" s="13">
        <v>64528</v>
      </c>
      <c r="B756" s="4">
        <f>49.8884 * CHOOSE(CONTROL!$C$9, $C$13, 100%, $E$13) + CHOOSE(CONTROL!$C$28, 0.0415, 0)</f>
        <v>49.929899999999996</v>
      </c>
      <c r="C756" s="4">
        <f>49.5252 * CHOOSE(CONTROL!$C$9, $C$13, 100%, $E$13) + CHOOSE(CONTROL!$C$28, 0.0415, 0)</f>
        <v>49.566699999999997</v>
      </c>
      <c r="D756" s="4">
        <f>70.4279 * CHOOSE(CONTROL!$C$9, $C$13, 100%, $E$13) + CHOOSE(CONTROL!$C$28, 0.0021, 0)</f>
        <v>70.429999999999993</v>
      </c>
      <c r="E756" s="4">
        <f>347.590656301218 * CHOOSE(CONTROL!$C$9, $C$13, 100%, $E$13) + CHOOSE(CONTROL!$C$28, 0.0021, 0)</f>
        <v>347.592756301218</v>
      </c>
    </row>
    <row r="757" spans="1:5" ht="15">
      <c r="A757" s="13">
        <v>64558</v>
      </c>
      <c r="B757" s="4">
        <f>47.9312 * CHOOSE(CONTROL!$C$9, $C$13, 100%, $E$13) + CHOOSE(CONTROL!$C$28, 0.0415, 0)</f>
        <v>47.972699999999996</v>
      </c>
      <c r="C757" s="4">
        <f>47.5679 * CHOOSE(CONTROL!$C$9, $C$13, 100%, $E$13) + CHOOSE(CONTROL!$C$28, 0.0415, 0)</f>
        <v>47.609400000000001</v>
      </c>
      <c r="D757" s="4">
        <f>70.0768 * CHOOSE(CONTROL!$C$9, $C$13, 100%, $E$13) + CHOOSE(CONTROL!$C$28, 0.0021, 0)</f>
        <v>70.078900000000004</v>
      </c>
      <c r="E757" s="4">
        <f>333.738872980895 * CHOOSE(CONTROL!$C$9, $C$13, 100%, $E$13) + CHOOSE(CONTROL!$C$28, 0.0021, 0)</f>
        <v>333.74097298089498</v>
      </c>
    </row>
    <row r="758" spans="1:5" ht="15">
      <c r="A758" s="13">
        <v>64589</v>
      </c>
      <c r="B758" s="4">
        <f>46.3643 * CHOOSE(CONTROL!$C$9, $C$13, 100%, $E$13) + CHOOSE(CONTROL!$C$28, 0.0211, 0)</f>
        <v>46.385399999999997</v>
      </c>
      <c r="C758" s="4">
        <f>46.001 * CHOOSE(CONTROL!$C$9, $C$13, 100%, $E$13) + CHOOSE(CONTROL!$C$28, 0.0211, 0)</f>
        <v>46.022099999999995</v>
      </c>
      <c r="D758" s="4">
        <f>69.1367 * CHOOSE(CONTROL!$C$9, $C$13, 100%, $E$13) + CHOOSE(CONTROL!$C$28, 0.0021, 0)</f>
        <v>69.138800000000003</v>
      </c>
      <c r="E758" s="4">
        <f>322.650245917452 * CHOOSE(CONTROL!$C$9, $C$13, 100%, $E$13) + CHOOSE(CONTROL!$C$28, 0.0021, 0)</f>
        <v>322.65234591745201</v>
      </c>
    </row>
    <row r="759" spans="1:5" ht="15">
      <c r="A759" s="13">
        <v>64619</v>
      </c>
      <c r="B759" s="4">
        <f>45.3552 * CHOOSE(CONTROL!$C$9, $C$13, 100%, $E$13) + CHOOSE(CONTROL!$C$28, 0.0211, 0)</f>
        <v>45.376300000000001</v>
      </c>
      <c r="C759" s="4">
        <f>44.9919 * CHOOSE(CONTROL!$C$9, $C$13, 100%, $E$13) + CHOOSE(CONTROL!$C$28, 0.0211, 0)</f>
        <v>45.012999999999998</v>
      </c>
      <c r="D759" s="4">
        <f>68.8135 * CHOOSE(CONTROL!$C$9, $C$13, 100%, $E$13) + CHOOSE(CONTROL!$C$28, 0.0021, 0)</f>
        <v>68.815600000000003</v>
      </c>
      <c r="E759" s="4">
        <f>315.508342041769 * CHOOSE(CONTROL!$C$9, $C$13, 100%, $E$13) + CHOOSE(CONTROL!$C$28, 0.0021, 0)</f>
        <v>315.51044204176901</v>
      </c>
    </row>
    <row r="760" spans="1:5" ht="15">
      <c r="A760" s="13">
        <v>64650</v>
      </c>
      <c r="B760" s="4">
        <f>44.657 * CHOOSE(CONTROL!$C$9, $C$13, 100%, $E$13) + CHOOSE(CONTROL!$C$28, 0.0211, 0)</f>
        <v>44.678099999999993</v>
      </c>
      <c r="C760" s="4">
        <f>44.2937 * CHOOSE(CONTROL!$C$9, $C$13, 100%, $E$13) + CHOOSE(CONTROL!$C$28, 0.0211, 0)</f>
        <v>44.314799999999998</v>
      </c>
      <c r="D760" s="4">
        <f>66.4342 * CHOOSE(CONTROL!$C$9, $C$13, 100%, $E$13) + CHOOSE(CONTROL!$C$28, 0.0021, 0)</f>
        <v>66.436300000000003</v>
      </c>
      <c r="E760" s="4">
        <f>310.567062611712 * CHOOSE(CONTROL!$C$9, $C$13, 100%, $E$13) + CHOOSE(CONTROL!$C$28, 0.0021, 0)</f>
        <v>310.56916261171199</v>
      </c>
    </row>
    <row r="761" spans="1:5" ht="15">
      <c r="A761" s="13">
        <v>64681</v>
      </c>
      <c r="B761" s="4">
        <f>42.7467 * CHOOSE(CONTROL!$C$9, $C$13, 100%, $E$13) + CHOOSE(CONTROL!$C$28, 0.0211, 0)</f>
        <v>42.767799999999994</v>
      </c>
      <c r="C761" s="4">
        <f>42.3834 * CHOOSE(CONTROL!$C$9, $C$13, 100%, $E$13) + CHOOSE(CONTROL!$C$28, 0.0211, 0)</f>
        <v>42.404499999999999</v>
      </c>
      <c r="D761" s="4">
        <f>63.8131 * CHOOSE(CONTROL!$C$9, $C$13, 100%, $E$13) + CHOOSE(CONTROL!$C$28, 0.0021, 0)</f>
        <v>63.815199999999997</v>
      </c>
      <c r="E761" s="4">
        <f>297.630682492588 * CHOOSE(CONTROL!$C$9, $C$13, 100%, $E$13) + CHOOSE(CONTROL!$C$28, 0.0021, 0)</f>
        <v>297.63278249258798</v>
      </c>
    </row>
    <row r="762" spans="1:5" ht="15">
      <c r="A762" s="13">
        <v>64709</v>
      </c>
      <c r="B762" s="4">
        <f>43.7433 * CHOOSE(CONTROL!$C$9, $C$13, 100%, $E$13) + CHOOSE(CONTROL!$C$28, 0.0211, 0)</f>
        <v>43.764399999999995</v>
      </c>
      <c r="C762" s="4">
        <f>43.38 * CHOOSE(CONTROL!$C$9, $C$13, 100%, $E$13) + CHOOSE(CONTROL!$C$28, 0.0211, 0)</f>
        <v>43.4011</v>
      </c>
      <c r="D762" s="4">
        <f>65.9999 * CHOOSE(CONTROL!$C$9, $C$13, 100%, $E$13) + CHOOSE(CONTROL!$C$28, 0.0021, 0)</f>
        <v>66.001999999999995</v>
      </c>
      <c r="E762" s="4">
        <f>304.697607830529 * CHOOSE(CONTROL!$C$9, $C$13, 100%, $E$13) + CHOOSE(CONTROL!$C$28, 0.0021, 0)</f>
        <v>304.69970783052901</v>
      </c>
    </row>
    <row r="763" spans="1:5" ht="15">
      <c r="A763" s="13">
        <v>64740</v>
      </c>
      <c r="B763" s="4">
        <f>46.3604 * CHOOSE(CONTROL!$C$9, $C$13, 100%, $E$13) + CHOOSE(CONTROL!$C$28, 0.0211, 0)</f>
        <v>46.381499999999996</v>
      </c>
      <c r="C763" s="4">
        <f>45.9971 * CHOOSE(CONTROL!$C$9, $C$13, 100%, $E$13) + CHOOSE(CONTROL!$C$28, 0.0211, 0)</f>
        <v>46.0182</v>
      </c>
      <c r="D763" s="4">
        <f>69.4233 * CHOOSE(CONTROL!$C$9, $C$13, 100%, $E$13) + CHOOSE(CONTROL!$C$28, 0.0021, 0)</f>
        <v>69.425399999999996</v>
      </c>
      <c r="E763" s="4">
        <f>323.255729327182 * CHOOSE(CONTROL!$C$9, $C$13, 100%, $E$13) + CHOOSE(CONTROL!$C$28, 0.0021, 0)</f>
        <v>323.25782932718198</v>
      </c>
    </row>
    <row r="764" spans="1:5" ht="15">
      <c r="A764" s="13">
        <v>64770</v>
      </c>
      <c r="B764" s="4">
        <f>48.22 * CHOOSE(CONTROL!$C$9, $C$13, 100%, $E$13) + CHOOSE(CONTROL!$C$28, 0.0211, 0)</f>
        <v>48.241099999999996</v>
      </c>
      <c r="C764" s="4">
        <f>47.8567 * CHOOSE(CONTROL!$C$9, $C$13, 100%, $E$13) + CHOOSE(CONTROL!$C$28, 0.0211, 0)</f>
        <v>47.877799999999993</v>
      </c>
      <c r="D764" s="4">
        <f>71.3953 * CHOOSE(CONTROL!$C$9, $C$13, 100%, $E$13) + CHOOSE(CONTROL!$C$28, 0.0021, 0)</f>
        <v>71.397400000000005</v>
      </c>
      <c r="E764" s="4">
        <f>336.44152197004 * CHOOSE(CONTROL!$C$9, $C$13, 100%, $E$13) + CHOOSE(CONTROL!$C$28, 0.0021, 0)</f>
        <v>336.44362197004</v>
      </c>
    </row>
    <row r="765" spans="1:5" ht="15">
      <c r="A765" s="13">
        <v>64801</v>
      </c>
      <c r="B765" s="4">
        <f>49.3561 * CHOOSE(CONTROL!$C$9, $C$13, 100%, $E$13) + CHOOSE(CONTROL!$C$28, 0.0415, 0)</f>
        <v>49.397599999999997</v>
      </c>
      <c r="C765" s="4">
        <f>48.9928 * CHOOSE(CONTROL!$C$9, $C$13, 100%, $E$13) + CHOOSE(CONTROL!$C$28, 0.0415, 0)</f>
        <v>49.034300000000002</v>
      </c>
      <c r="D765" s="4">
        <f>70.616 * CHOOSE(CONTROL!$C$9, $C$13, 100%, $E$13) + CHOOSE(CONTROL!$C$28, 0.0021, 0)</f>
        <v>70.618099999999998</v>
      </c>
      <c r="E765" s="4">
        <f>344.497725255482 * CHOOSE(CONTROL!$C$9, $C$13, 100%, $E$13) + CHOOSE(CONTROL!$C$28, 0.0021, 0)</f>
        <v>344.49982525548199</v>
      </c>
    </row>
    <row r="766" spans="1:5" ht="15">
      <c r="A766" s="13">
        <v>64831</v>
      </c>
      <c r="B766" s="4">
        <f>49.5098 * CHOOSE(CONTROL!$C$9, $C$13, 100%, $E$13) + CHOOSE(CONTROL!$C$28, 0.0415, 0)</f>
        <v>49.551299999999998</v>
      </c>
      <c r="C766" s="4">
        <f>49.1465 * CHOOSE(CONTROL!$C$9, $C$13, 100%, $E$13) + CHOOSE(CONTROL!$C$28, 0.0415, 0)</f>
        <v>49.188000000000002</v>
      </c>
      <c r="D766" s="4">
        <f>71.2506 * CHOOSE(CONTROL!$C$9, $C$13, 100%, $E$13) + CHOOSE(CONTROL!$C$28, 0.0021, 0)</f>
        <v>71.252700000000004</v>
      </c>
      <c r="E766" s="4">
        <f>345.587762993933 * CHOOSE(CONTROL!$C$9, $C$13, 100%, $E$13) + CHOOSE(CONTROL!$C$28, 0.0021, 0)</f>
        <v>345.58986299393297</v>
      </c>
    </row>
    <row r="767" spans="1:5" ht="15">
      <c r="A767" s="13">
        <v>64862</v>
      </c>
      <c r="B767" s="4">
        <f>49.4943 * CHOOSE(CONTROL!$C$9, $C$13, 100%, $E$13) + CHOOSE(CONTROL!$C$28, 0.0415, 0)</f>
        <v>49.535800000000002</v>
      </c>
      <c r="C767" s="4">
        <f>49.131 * CHOOSE(CONTROL!$C$9, $C$13, 100%, $E$13) + CHOOSE(CONTROL!$C$28, 0.0415, 0)</f>
        <v>49.172499999999999</v>
      </c>
      <c r="D767" s="4">
        <f>72.3957 * CHOOSE(CONTROL!$C$9, $C$13, 100%, $E$13) + CHOOSE(CONTROL!$C$28, 0.0021, 0)</f>
        <v>72.397800000000004</v>
      </c>
      <c r="E767" s="4">
        <f>345.477843221989 * CHOOSE(CONTROL!$C$9, $C$13, 100%, $E$13) + CHOOSE(CONTROL!$C$28, 0.0021, 0)</f>
        <v>345.479943221989</v>
      </c>
    </row>
    <row r="768" spans="1:5" ht="15">
      <c r="A768" s="13">
        <v>64893</v>
      </c>
      <c r="B768" s="4">
        <f>50.6608 * CHOOSE(CONTROL!$C$9, $C$13, 100%, $E$13) + CHOOSE(CONTROL!$C$28, 0.0415, 0)</f>
        <v>50.702300000000001</v>
      </c>
      <c r="C768" s="4">
        <f>50.2975 * CHOOSE(CONTROL!$C$9, $C$13, 100%, $E$13) + CHOOSE(CONTROL!$C$28, 0.0415, 0)</f>
        <v>50.338999999999999</v>
      </c>
      <c r="D768" s="4">
        <f>71.6395 * CHOOSE(CONTROL!$C$9, $C$13, 100%, $E$13) + CHOOSE(CONTROL!$C$28, 0.0021, 0)</f>
        <v>71.641599999999997</v>
      </c>
      <c r="E768" s="4">
        <f>353.749306060822 * CHOOSE(CONTROL!$C$9, $C$13, 100%, $E$13) + CHOOSE(CONTROL!$C$28, 0.0021, 0)</f>
        <v>353.75140606082198</v>
      </c>
    </row>
    <row r="769" spans="1:5" ht="15">
      <c r="A769" s="13">
        <v>64923</v>
      </c>
      <c r="B769" s="4">
        <f>48.6727 * CHOOSE(CONTROL!$C$9, $C$13, 100%, $E$13) + CHOOSE(CONTROL!$C$28, 0.0415, 0)</f>
        <v>48.714199999999998</v>
      </c>
      <c r="C769" s="4">
        <f>48.3094 * CHOOSE(CONTROL!$C$9, $C$13, 100%, $E$13) + CHOOSE(CONTROL!$C$28, 0.0415, 0)</f>
        <v>48.350899999999996</v>
      </c>
      <c r="D769" s="4">
        <f>71.2822 * CHOOSE(CONTROL!$C$9, $C$13, 100%, $E$13) + CHOOSE(CONTROL!$C$28, 0.0021, 0)</f>
        <v>71.284300000000002</v>
      </c>
      <c r="E769" s="4">
        <f>339.652095308923 * CHOOSE(CONTROL!$C$9, $C$13, 100%, $E$13) + CHOOSE(CONTROL!$C$28, 0.0021, 0)</f>
        <v>339.65419530892297</v>
      </c>
    </row>
    <row r="770" spans="1:5" ht="15">
      <c r="A770" s="13">
        <v>64954</v>
      </c>
      <c r="B770" s="4">
        <f>47.0812 * CHOOSE(CONTROL!$C$9, $C$13, 100%, $E$13) + CHOOSE(CONTROL!$C$28, 0.0211, 0)</f>
        <v>47.1023</v>
      </c>
      <c r="C770" s="4">
        <f>46.718 * CHOOSE(CONTROL!$C$9, $C$13, 100%, $E$13) + CHOOSE(CONTROL!$C$28, 0.0211, 0)</f>
        <v>46.739100000000001</v>
      </c>
      <c r="D770" s="4">
        <f>70.3255 * CHOOSE(CONTROL!$C$9, $C$13, 100%, $E$13) + CHOOSE(CONTROL!$C$28, 0.0021, 0)</f>
        <v>70.327600000000004</v>
      </c>
      <c r="E770" s="4">
        <f>328.366998722607 * CHOOSE(CONTROL!$C$9, $C$13, 100%, $E$13) + CHOOSE(CONTROL!$C$28, 0.0021, 0)</f>
        <v>328.36909872260696</v>
      </c>
    </row>
    <row r="771" spans="1:5" ht="15">
      <c r="A771" s="13">
        <v>64984</v>
      </c>
      <c r="B771" s="4">
        <f>46.0562 * CHOOSE(CONTROL!$C$9, $C$13, 100%, $E$13) + CHOOSE(CONTROL!$C$28, 0.0211, 0)</f>
        <v>46.077299999999994</v>
      </c>
      <c r="C771" s="4">
        <f>45.6929 * CHOOSE(CONTROL!$C$9, $C$13, 100%, $E$13) + CHOOSE(CONTROL!$C$28, 0.0211, 0)</f>
        <v>45.713999999999999</v>
      </c>
      <c r="D771" s="4">
        <f>69.9966 * CHOOSE(CONTROL!$C$9, $C$13, 100%, $E$13) + CHOOSE(CONTROL!$C$28, 0.0021, 0)</f>
        <v>69.998699999999999</v>
      </c>
      <c r="E771" s="4">
        <f>321.098553802768 * CHOOSE(CONTROL!$C$9, $C$13, 100%, $E$13) + CHOOSE(CONTROL!$C$28, 0.0021, 0)</f>
        <v>321.10065380276797</v>
      </c>
    </row>
    <row r="772" spans="1:5" ht="15">
      <c r="A772" s="13">
        <v>65015</v>
      </c>
      <c r="B772" s="4">
        <f>45.347 * CHOOSE(CONTROL!$C$9, $C$13, 100%, $E$13) + CHOOSE(CONTROL!$C$28, 0.0211, 0)</f>
        <v>45.368099999999998</v>
      </c>
      <c r="C772" s="4">
        <f>44.9837 * CHOOSE(CONTROL!$C$9, $C$13, 100%, $E$13) + CHOOSE(CONTROL!$C$28, 0.0211, 0)</f>
        <v>45.004799999999996</v>
      </c>
      <c r="D772" s="4">
        <f>67.5752 * CHOOSE(CONTROL!$C$9, $C$13, 100%, $E$13) + CHOOSE(CONTROL!$C$28, 0.0021, 0)</f>
        <v>67.577299999999994</v>
      </c>
      <c r="E772" s="4">
        <f>316.069724236301 * CHOOSE(CONTROL!$C$9, $C$13, 100%, $E$13) + CHOOSE(CONTROL!$C$28, 0.0021, 0)</f>
        <v>316.07182423630098</v>
      </c>
    </row>
    <row r="773" spans="1:5" ht="15">
      <c r="A773" s="13">
        <v>65046</v>
      </c>
      <c r="B773" s="4">
        <f>43.4067 * CHOOSE(CONTROL!$C$9, $C$13, 100%, $E$13) + CHOOSE(CONTROL!$C$28, 0.0211, 0)</f>
        <v>43.427799999999998</v>
      </c>
      <c r="C773" s="4">
        <f>43.0434 * CHOOSE(CONTROL!$C$9, $C$13, 100%, $E$13) + CHOOSE(CONTROL!$C$28, 0.0211, 0)</f>
        <v>43.064499999999995</v>
      </c>
      <c r="D773" s="4">
        <f>64.9078 * CHOOSE(CONTROL!$C$9, $C$13, 100%, $E$13) + CHOOSE(CONTROL!$C$28, 0.0021, 0)</f>
        <v>64.909899999999993</v>
      </c>
      <c r="E773" s="4">
        <f>302.904135900943 * CHOOSE(CONTROL!$C$9, $C$13, 100%, $E$13) + CHOOSE(CONTROL!$C$28, 0.0021, 0)</f>
        <v>302.90623590094299</v>
      </c>
    </row>
    <row r="774" spans="1:5" ht="15">
      <c r="A774" s="13">
        <v>65074</v>
      </c>
      <c r="B774" s="4">
        <f>44.419 * CHOOSE(CONTROL!$C$9, $C$13, 100%, $E$13) + CHOOSE(CONTROL!$C$28, 0.0211, 0)</f>
        <v>44.440099999999994</v>
      </c>
      <c r="C774" s="4">
        <f>44.0557 * CHOOSE(CONTROL!$C$9, $C$13, 100%, $E$13) + CHOOSE(CONTROL!$C$28, 0.0211, 0)</f>
        <v>44.076799999999999</v>
      </c>
      <c r="D774" s="4">
        <f>67.1333 * CHOOSE(CONTROL!$C$9, $C$13, 100%, $E$13) + CHOOSE(CONTROL!$C$28, 0.0021, 0)</f>
        <v>67.135400000000004</v>
      </c>
      <c r="E774" s="4">
        <f>310.096273805 * CHOOSE(CONTROL!$C$9, $C$13, 100%, $E$13) + CHOOSE(CONTROL!$C$28, 0.0021, 0)</f>
        <v>310.09837380499999</v>
      </c>
    </row>
    <row r="775" spans="1:5" ht="15">
      <c r="A775" s="13">
        <v>65105</v>
      </c>
      <c r="B775" s="4">
        <f>47.0773 * CHOOSE(CONTROL!$C$9, $C$13, 100%, $E$13) + CHOOSE(CONTROL!$C$28, 0.0211, 0)</f>
        <v>47.098399999999998</v>
      </c>
      <c r="C775" s="4">
        <f>46.714 * CHOOSE(CONTROL!$C$9, $C$13, 100%, $E$13) + CHOOSE(CONTROL!$C$28, 0.0211, 0)</f>
        <v>46.735099999999996</v>
      </c>
      <c r="D775" s="4">
        <f>70.6172 * CHOOSE(CONTROL!$C$9, $C$13, 100%, $E$13) + CHOOSE(CONTROL!$C$28, 0.0021, 0)</f>
        <v>70.619299999999996</v>
      </c>
      <c r="E775" s="4">
        <f>328.983210154475 * CHOOSE(CONTROL!$C$9, $C$13, 100%, $E$13) + CHOOSE(CONTROL!$C$28, 0.0021, 0)</f>
        <v>328.98531015447497</v>
      </c>
    </row>
    <row r="776" spans="1:5" ht="15">
      <c r="A776" s="13">
        <v>65135</v>
      </c>
      <c r="B776" s="4">
        <f>48.966 * CHOOSE(CONTROL!$C$9, $C$13, 100%, $E$13) + CHOOSE(CONTROL!$C$28, 0.0211, 0)</f>
        <v>48.987099999999998</v>
      </c>
      <c r="C776" s="4">
        <f>48.6028 * CHOOSE(CONTROL!$C$9, $C$13, 100%, $E$13) + CHOOSE(CONTROL!$C$28, 0.0211, 0)</f>
        <v>48.623899999999999</v>
      </c>
      <c r="D776" s="4">
        <f>72.624 * CHOOSE(CONTROL!$C$9, $C$13, 100%, $E$13) + CHOOSE(CONTROL!$C$28, 0.0021, 0)</f>
        <v>72.626099999999994</v>
      </c>
      <c r="E776" s="4">
        <f>342.402630132298 * CHOOSE(CONTROL!$C$9, $C$13, 100%, $E$13) + CHOOSE(CONTROL!$C$28, 0.0021, 0)</f>
        <v>342.40473013229797</v>
      </c>
    </row>
    <row r="777" spans="1:5" ht="15">
      <c r="A777" s="13">
        <v>65166</v>
      </c>
      <c r="B777" s="4">
        <f>50.12 * CHOOSE(CONTROL!$C$9, $C$13, 100%, $E$13) + CHOOSE(CONTROL!$C$28, 0.0415, 0)</f>
        <v>50.161499999999997</v>
      </c>
      <c r="C777" s="4">
        <f>49.7567 * CHOOSE(CONTROL!$C$9, $C$13, 100%, $E$13) + CHOOSE(CONTROL!$C$28, 0.0415, 0)</f>
        <v>49.798200000000001</v>
      </c>
      <c r="D777" s="4">
        <f>71.831 * CHOOSE(CONTROL!$C$9, $C$13, 100%, $E$13) + CHOOSE(CONTROL!$C$28, 0.0021, 0)</f>
        <v>71.833100000000002</v>
      </c>
      <c r="E777" s="4">
        <f>350.601574120137 * CHOOSE(CONTROL!$C$9, $C$13, 100%, $E$13) + CHOOSE(CONTROL!$C$28, 0.0021, 0)</f>
        <v>350.60367412013699</v>
      </c>
    </row>
    <row r="778" spans="1:5" ht="15">
      <c r="A778" s="13">
        <v>65196</v>
      </c>
      <c r="B778" s="4">
        <f>50.2762 * CHOOSE(CONTROL!$C$9, $C$13, 100%, $E$13) + CHOOSE(CONTROL!$C$28, 0.0415, 0)</f>
        <v>50.317700000000002</v>
      </c>
      <c r="C778" s="4">
        <f>49.9129 * CHOOSE(CONTROL!$C$9, $C$13, 100%, $E$13) + CHOOSE(CONTROL!$C$28, 0.0415, 0)</f>
        <v>49.9544</v>
      </c>
      <c r="D778" s="4">
        <f>72.4768 * CHOOSE(CONTROL!$C$9, $C$13, 100%, $E$13) + CHOOSE(CONTROL!$C$28, 0.0021, 0)</f>
        <v>72.478899999999996</v>
      </c>
      <c r="E778" s="4">
        <f>351.710925268009 * CHOOSE(CONTROL!$C$9, $C$13, 100%, $E$13) + CHOOSE(CONTROL!$C$28, 0.0021, 0)</f>
        <v>351.71302526800901</v>
      </c>
    </row>
    <row r="779" spans="1:5" ht="15">
      <c r="A779" s="13">
        <v>65227</v>
      </c>
      <c r="B779" s="4">
        <f>50.2604 * CHOOSE(CONTROL!$C$9, $C$13, 100%, $E$13) + CHOOSE(CONTROL!$C$28, 0.0415, 0)</f>
        <v>50.301899999999996</v>
      </c>
      <c r="C779" s="4">
        <f>49.8971 * CHOOSE(CONTROL!$C$9, $C$13, 100%, $E$13) + CHOOSE(CONTROL!$C$28, 0.0415, 0)</f>
        <v>49.938600000000001</v>
      </c>
      <c r="D779" s="4">
        <f>73.6421 * CHOOSE(CONTROL!$C$9, $C$13, 100%, $E$13) + CHOOSE(CONTROL!$C$28, 0.0021, 0)</f>
        <v>73.644199999999998</v>
      </c>
      <c r="E779" s="4">
        <f>351.599057925366 * CHOOSE(CONTROL!$C$9, $C$13, 100%, $E$13) + CHOOSE(CONTROL!$C$28, 0.0021, 0)</f>
        <v>351.60115792536601</v>
      </c>
    </row>
    <row r="780" spans="1:5" ht="15">
      <c r="A780" s="13">
        <v>65258</v>
      </c>
      <c r="B780" s="4">
        <f>51.4452 * CHOOSE(CONTROL!$C$9, $C$13, 100%, $E$13) + CHOOSE(CONTROL!$C$28, 0.0415, 0)</f>
        <v>51.486699999999999</v>
      </c>
      <c r="C780" s="4">
        <f>51.082 * CHOOSE(CONTROL!$C$9, $C$13, 100%, $E$13) + CHOOSE(CONTROL!$C$28, 0.0415, 0)</f>
        <v>51.1235</v>
      </c>
      <c r="D780" s="4">
        <f>72.8725 * CHOOSE(CONTROL!$C$9, $C$13, 100%, $E$13) + CHOOSE(CONTROL!$C$28, 0.0021, 0)</f>
        <v>72.874600000000001</v>
      </c>
      <c r="E780" s="4">
        <f>360.017075459214 * CHOOSE(CONTROL!$C$9, $C$13, 100%, $E$13) + CHOOSE(CONTROL!$C$28, 0.0021, 0)</f>
        <v>360.01917545921401</v>
      </c>
    </row>
    <row r="781" spans="1:5" ht="15">
      <c r="A781" s="13">
        <v>65288</v>
      </c>
      <c r="B781" s="4">
        <f>49.4259 * CHOOSE(CONTROL!$C$9, $C$13, 100%, $E$13) + CHOOSE(CONTROL!$C$28, 0.0415, 0)</f>
        <v>49.467399999999998</v>
      </c>
      <c r="C781" s="4">
        <f>49.0627 * CHOOSE(CONTROL!$C$9, $C$13, 100%, $E$13) + CHOOSE(CONTROL!$C$28, 0.0415, 0)</f>
        <v>49.104199999999999</v>
      </c>
      <c r="D781" s="4">
        <f>72.5089 * CHOOSE(CONTROL!$C$9, $C$13, 100%, $E$13) + CHOOSE(CONTROL!$C$28, 0.0021, 0)</f>
        <v>72.510999999999996</v>
      </c>
      <c r="E781" s="4">
        <f>345.670088765314 * CHOOSE(CONTROL!$C$9, $C$13, 100%, $E$13) + CHOOSE(CONTROL!$C$28, 0.0021, 0)</f>
        <v>345.67218876531399</v>
      </c>
    </row>
    <row r="782" spans="1:5" ht="15">
      <c r="A782" s="13">
        <v>65319</v>
      </c>
      <c r="B782" s="4">
        <f>47.8094 * CHOOSE(CONTROL!$C$9, $C$13, 100%, $E$13) + CHOOSE(CONTROL!$C$28, 0.0211, 0)</f>
        <v>47.830499999999994</v>
      </c>
      <c r="C782" s="4">
        <f>47.4461 * CHOOSE(CONTROL!$C$9, $C$13, 100%, $E$13) + CHOOSE(CONTROL!$C$28, 0.0211, 0)</f>
        <v>47.467199999999998</v>
      </c>
      <c r="D782" s="4">
        <f>71.5354 * CHOOSE(CONTROL!$C$9, $C$13, 100%, $E$13) + CHOOSE(CONTROL!$C$28, 0.0021, 0)</f>
        <v>71.537499999999994</v>
      </c>
      <c r="E782" s="4">
        <f>334.185041587351 * CHOOSE(CONTROL!$C$9, $C$13, 100%, $E$13) + CHOOSE(CONTROL!$C$28, 0.0021, 0)</f>
        <v>334.18714158735099</v>
      </c>
    </row>
    <row r="783" spans="1:5" ht="15">
      <c r="A783" s="13">
        <v>65349</v>
      </c>
      <c r="B783" s="4">
        <f>46.7683 * CHOOSE(CONTROL!$C$9, $C$13, 100%, $E$13) + CHOOSE(CONTROL!$C$28, 0.0211, 0)</f>
        <v>46.789400000000001</v>
      </c>
      <c r="C783" s="4">
        <f>46.405 * CHOOSE(CONTROL!$C$9, $C$13, 100%, $E$13) + CHOOSE(CONTROL!$C$28, 0.0211, 0)</f>
        <v>46.426099999999998</v>
      </c>
      <c r="D783" s="4">
        <f>71.2006 * CHOOSE(CONTROL!$C$9, $C$13, 100%, $E$13) + CHOOSE(CONTROL!$C$28, 0.0021, 0)</f>
        <v>71.202699999999993</v>
      </c>
      <c r="E783" s="4">
        <f>326.787813555116 * CHOOSE(CONTROL!$C$9, $C$13, 100%, $E$13) + CHOOSE(CONTROL!$C$28, 0.0021, 0)</f>
        <v>326.78991355511596</v>
      </c>
    </row>
    <row r="784" spans="1:5" ht="15">
      <c r="A784" s="13">
        <v>65380</v>
      </c>
      <c r="B784" s="4">
        <f>46.0479 * CHOOSE(CONTROL!$C$9, $C$13, 100%, $E$13) + CHOOSE(CONTROL!$C$28, 0.0211, 0)</f>
        <v>46.068999999999996</v>
      </c>
      <c r="C784" s="4">
        <f>45.6847 * CHOOSE(CONTROL!$C$9, $C$13, 100%, $E$13) + CHOOSE(CONTROL!$C$28, 0.0211, 0)</f>
        <v>45.705799999999996</v>
      </c>
      <c r="D784" s="4">
        <f>68.7364 * CHOOSE(CONTROL!$C$9, $C$13, 100%, $E$13) + CHOOSE(CONTROL!$C$28, 0.0021, 0)</f>
        <v>68.738500000000002</v>
      </c>
      <c r="E784" s="4">
        <f>321.669882629222 * CHOOSE(CONTROL!$C$9, $C$13, 100%, $E$13) + CHOOSE(CONTROL!$C$28, 0.0021, 0)</f>
        <v>321.67198262922199</v>
      </c>
    </row>
    <row r="785" spans="1:5" ht="15">
      <c r="A785" s="13">
        <v>65411</v>
      </c>
      <c r="B785" s="4">
        <f>44.0771 * CHOOSE(CONTROL!$C$9, $C$13, 100%, $E$13) + CHOOSE(CONTROL!$C$28, 0.0211, 0)</f>
        <v>44.098199999999999</v>
      </c>
      <c r="C785" s="4">
        <f>43.7138 * CHOOSE(CONTROL!$C$9, $C$13, 100%, $E$13) + CHOOSE(CONTROL!$C$28, 0.0211, 0)</f>
        <v>43.734899999999996</v>
      </c>
      <c r="D785" s="4">
        <f>66.0219 * CHOOSE(CONTROL!$C$9, $C$13, 100%, $E$13) + CHOOSE(CONTROL!$C$28, 0.0021, 0)</f>
        <v>66.024000000000001</v>
      </c>
      <c r="E785" s="4">
        <f>308.271024941058 * CHOOSE(CONTROL!$C$9, $C$13, 100%, $E$13) + CHOOSE(CONTROL!$C$28, 0.0021, 0)</f>
        <v>308.27312494105797</v>
      </c>
    </row>
    <row r="786" spans="1:5" ht="15">
      <c r="A786" s="13">
        <v>65439</v>
      </c>
      <c r="B786" s="4">
        <f>45.1053 * CHOOSE(CONTROL!$C$9, $C$13, 100%, $E$13) + CHOOSE(CONTROL!$C$28, 0.0211, 0)</f>
        <v>45.126399999999997</v>
      </c>
      <c r="C786" s="4">
        <f>44.742 * CHOOSE(CONTROL!$C$9, $C$13, 100%, $E$13) + CHOOSE(CONTROL!$C$28, 0.0211, 0)</f>
        <v>44.763099999999994</v>
      </c>
      <c r="D786" s="4">
        <f>68.2867 * CHOOSE(CONTROL!$C$9, $C$13, 100%, $E$13) + CHOOSE(CONTROL!$C$28, 0.0021, 0)</f>
        <v>68.288799999999995</v>
      </c>
      <c r="E786" s="4">
        <f>315.590593941351 * CHOOSE(CONTROL!$C$9, $C$13, 100%, $E$13) + CHOOSE(CONTROL!$C$28, 0.0021, 0)</f>
        <v>315.592693941351</v>
      </c>
    </row>
    <row r="787" spans="1:5" ht="15">
      <c r="A787" s="13">
        <v>65470</v>
      </c>
      <c r="B787" s="4">
        <f>47.8054 * CHOOSE(CONTROL!$C$9, $C$13, 100%, $E$13) + CHOOSE(CONTROL!$C$28, 0.0211, 0)</f>
        <v>47.826499999999996</v>
      </c>
      <c r="C787" s="4">
        <f>47.4421 * CHOOSE(CONTROL!$C$9, $C$13, 100%, $E$13) + CHOOSE(CONTROL!$C$28, 0.0211, 0)</f>
        <v>47.463200000000001</v>
      </c>
      <c r="D787" s="4">
        <f>71.8321 * CHOOSE(CONTROL!$C$9, $C$13, 100%, $E$13) + CHOOSE(CONTROL!$C$28, 0.0021, 0)</f>
        <v>71.834199999999996</v>
      </c>
      <c r="E787" s="4">
        <f>334.812171121641 * CHOOSE(CONTROL!$C$9, $C$13, 100%, $E$13) + CHOOSE(CONTROL!$C$28, 0.0021, 0)</f>
        <v>334.81427112164096</v>
      </c>
    </row>
    <row r="788" spans="1:5" ht="15">
      <c r="A788" s="13">
        <v>65500</v>
      </c>
      <c r="B788" s="4">
        <f>49.7239 * CHOOSE(CONTROL!$C$9, $C$13, 100%, $E$13) + CHOOSE(CONTROL!$C$28, 0.0211, 0)</f>
        <v>49.744999999999997</v>
      </c>
      <c r="C788" s="4">
        <f>49.3606 * CHOOSE(CONTROL!$C$9, $C$13, 100%, $E$13) + CHOOSE(CONTROL!$C$28, 0.0211, 0)</f>
        <v>49.381699999999995</v>
      </c>
      <c r="D788" s="4">
        <f>73.8744 * CHOOSE(CONTROL!$C$9, $C$13, 100%, $E$13) + CHOOSE(CONTROL!$C$28, 0.0021, 0)</f>
        <v>73.876499999999993</v>
      </c>
      <c r="E788" s="4">
        <f>348.469357869434 * CHOOSE(CONTROL!$C$9, $C$13, 100%, $E$13) + CHOOSE(CONTROL!$C$28, 0.0021, 0)</f>
        <v>348.471457869434</v>
      </c>
    </row>
    <row r="789" spans="1:5" ht="15">
      <c r="A789" s="13">
        <v>65531</v>
      </c>
      <c r="B789" s="4">
        <f>50.896 * CHOOSE(CONTROL!$C$9, $C$13, 100%, $E$13) + CHOOSE(CONTROL!$C$28, 0.0415, 0)</f>
        <v>50.9375</v>
      </c>
      <c r="C789" s="4">
        <f>50.5327 * CHOOSE(CONTROL!$C$9, $C$13, 100%, $E$13) + CHOOSE(CONTROL!$C$28, 0.0415, 0)</f>
        <v>50.574199999999998</v>
      </c>
      <c r="D789" s="4">
        <f>73.0674 * CHOOSE(CONTROL!$C$9, $C$13, 100%, $E$13) + CHOOSE(CONTROL!$C$28, 0.0021, 0)</f>
        <v>73.069500000000005</v>
      </c>
      <c r="E789" s="4">
        <f>356.813571655251 * CHOOSE(CONTROL!$C$9, $C$13, 100%, $E$13) + CHOOSE(CONTROL!$C$28, 0.0021, 0)</f>
        <v>356.81567165525098</v>
      </c>
    </row>
    <row r="790" spans="1:5" ht="15">
      <c r="A790" s="13">
        <v>65561</v>
      </c>
      <c r="B790" s="4">
        <f>51.0546 * CHOOSE(CONTROL!$C$9, $C$13, 100%, $E$13) + CHOOSE(CONTROL!$C$28, 0.0415, 0)</f>
        <v>51.0961</v>
      </c>
      <c r="C790" s="4">
        <f>50.6913 * CHOOSE(CONTROL!$C$9, $C$13, 100%, $E$13) + CHOOSE(CONTROL!$C$28, 0.0415, 0)</f>
        <v>50.732799999999997</v>
      </c>
      <c r="D790" s="4">
        <f>73.7246 * CHOOSE(CONTROL!$C$9, $C$13, 100%, $E$13) + CHOOSE(CONTROL!$C$28, 0.0021, 0)</f>
        <v>73.726699999999994</v>
      </c>
      <c r="E790" s="4">
        <f>357.942578409671 * CHOOSE(CONTROL!$C$9, $C$13, 100%, $E$13) + CHOOSE(CONTROL!$C$28, 0.0021, 0)</f>
        <v>357.94467840967098</v>
      </c>
    </row>
    <row r="791" spans="1:5" ht="15">
      <c r="A791" s="13">
        <v>65592</v>
      </c>
      <c r="B791" s="4">
        <f>51.0386 * CHOOSE(CONTROL!$C$9, $C$13, 100%, $E$13) + CHOOSE(CONTROL!$C$28, 0.0415, 0)</f>
        <v>51.080100000000002</v>
      </c>
      <c r="C791" s="4">
        <f>50.6753 * CHOOSE(CONTROL!$C$9, $C$13, 100%, $E$13) + CHOOSE(CONTROL!$C$28, 0.0415, 0)</f>
        <v>50.716799999999999</v>
      </c>
      <c r="D791" s="4">
        <f>74.9105 * CHOOSE(CONTROL!$C$9, $C$13, 100%, $E$13) + CHOOSE(CONTROL!$C$28, 0.0021, 0)</f>
        <v>74.912599999999998</v>
      </c>
      <c r="E791" s="4">
        <f>357.828728989057 * CHOOSE(CONTROL!$C$9, $C$13, 100%, $E$13) + CHOOSE(CONTROL!$C$28, 0.0021, 0)</f>
        <v>357.83082898905701</v>
      </c>
    </row>
    <row r="792" spans="1:5" ht="15">
      <c r="A792" s="13">
        <v>65623</v>
      </c>
      <c r="B792" s="4">
        <f>52.2421 * CHOOSE(CONTROL!$C$9, $C$13, 100%, $E$13) + CHOOSE(CONTROL!$C$28, 0.0415, 0)</f>
        <v>52.2836</v>
      </c>
      <c r="C792" s="4">
        <f>51.8788 * CHOOSE(CONTROL!$C$9, $C$13, 100%, $E$13) + CHOOSE(CONTROL!$C$28, 0.0415, 0)</f>
        <v>51.920299999999997</v>
      </c>
      <c r="D792" s="4">
        <f>74.1274 * CHOOSE(CONTROL!$C$9, $C$13, 100%, $E$13) + CHOOSE(CONTROL!$C$28, 0.0021, 0)</f>
        <v>74.129499999999993</v>
      </c>
      <c r="E792" s="4">
        <f>366.395897890243 * CHOOSE(CONTROL!$C$9, $C$13, 100%, $E$13) + CHOOSE(CONTROL!$C$28, 0.0021, 0)</f>
        <v>366.397997890243</v>
      </c>
    </row>
    <row r="793" spans="1:5" ht="15">
      <c r="A793" s="13">
        <v>65653</v>
      </c>
      <c r="B793" s="4">
        <f>50.191 * CHOOSE(CONTROL!$C$9, $C$13, 100%, $E$13) + CHOOSE(CONTROL!$C$28, 0.0415, 0)</f>
        <v>50.232500000000002</v>
      </c>
      <c r="C793" s="4">
        <f>49.8277 * CHOOSE(CONTROL!$C$9, $C$13, 100%, $E$13) + CHOOSE(CONTROL!$C$28, 0.0415, 0)</f>
        <v>49.869199999999999</v>
      </c>
      <c r="D793" s="4">
        <f>73.7573 * CHOOSE(CONTROL!$C$9, $C$13, 100%, $E$13) + CHOOSE(CONTROL!$C$28, 0.0021, 0)</f>
        <v>73.759399999999999</v>
      </c>
      <c r="E793" s="4">
        <f>351.794709696528 * CHOOSE(CONTROL!$C$9, $C$13, 100%, $E$13) + CHOOSE(CONTROL!$C$28, 0.0021, 0)</f>
        <v>351.79680969652799</v>
      </c>
    </row>
    <row r="794" spans="1:5" ht="15">
      <c r="A794" s="13">
        <v>65684</v>
      </c>
      <c r="B794" s="4">
        <f>48.5491 * CHOOSE(CONTROL!$C$9, $C$13, 100%, $E$13) + CHOOSE(CONTROL!$C$28, 0.0211, 0)</f>
        <v>48.5702</v>
      </c>
      <c r="C794" s="4">
        <f>48.1858 * CHOOSE(CONTROL!$C$9, $C$13, 100%, $E$13) + CHOOSE(CONTROL!$C$28, 0.0211, 0)</f>
        <v>48.206899999999997</v>
      </c>
      <c r="D794" s="4">
        <f>72.7665 * CHOOSE(CONTROL!$C$9, $C$13, 100%, $E$13) + CHOOSE(CONTROL!$C$28, 0.0021, 0)</f>
        <v>72.768599999999992</v>
      </c>
      <c r="E794" s="4">
        <f>340.106169180181 * CHOOSE(CONTROL!$C$9, $C$13, 100%, $E$13) + CHOOSE(CONTROL!$C$28, 0.0021, 0)</f>
        <v>340.10826918018097</v>
      </c>
    </row>
    <row r="795" spans="1:5" ht="15">
      <c r="A795" s="13">
        <v>65714</v>
      </c>
      <c r="B795" s="4">
        <f>47.4915 * CHOOSE(CONTROL!$C$9, $C$13, 100%, $E$13) + CHOOSE(CONTROL!$C$28, 0.0211, 0)</f>
        <v>47.512599999999999</v>
      </c>
      <c r="C795" s="4">
        <f>47.1283 * CHOOSE(CONTROL!$C$9, $C$13, 100%, $E$13) + CHOOSE(CONTROL!$C$28, 0.0211, 0)</f>
        <v>47.1494</v>
      </c>
      <c r="D795" s="4">
        <f>72.4259 * CHOOSE(CONTROL!$C$9, $C$13, 100%, $E$13) + CHOOSE(CONTROL!$C$28, 0.0021, 0)</f>
        <v>72.427999999999997</v>
      </c>
      <c r="E795" s="4">
        <f>332.577876242096 * CHOOSE(CONTROL!$C$9, $C$13, 100%, $E$13) + CHOOSE(CONTROL!$C$28, 0.0021, 0)</f>
        <v>332.579976242096</v>
      </c>
    </row>
    <row r="796" spans="1:5" ht="15">
      <c r="A796" s="13">
        <v>65745</v>
      </c>
      <c r="B796" s="4">
        <f>46.7599 * CHOOSE(CONTROL!$C$9, $C$13, 100%, $E$13) + CHOOSE(CONTROL!$C$28, 0.0211, 0)</f>
        <v>46.780999999999999</v>
      </c>
      <c r="C796" s="4">
        <f>46.3966 * CHOOSE(CONTROL!$C$9, $C$13, 100%, $E$13) + CHOOSE(CONTROL!$C$28, 0.0211, 0)</f>
        <v>46.417699999999996</v>
      </c>
      <c r="D796" s="4">
        <f>69.9182 * CHOOSE(CONTROL!$C$9, $C$13, 100%, $E$13) + CHOOSE(CONTROL!$C$28, 0.0021, 0)</f>
        <v>69.920299999999997</v>
      </c>
      <c r="E796" s="4">
        <f>327.369265249017 * CHOOSE(CONTROL!$C$9, $C$13, 100%, $E$13) + CHOOSE(CONTROL!$C$28, 0.0021, 0)</f>
        <v>327.371365249017</v>
      </c>
    </row>
    <row r="797" spans="1:5" ht="15">
      <c r="A797" s="13">
        <v>65776</v>
      </c>
      <c r="B797" s="4">
        <f>44.758 * CHOOSE(CONTROL!$C$9, $C$13, 100%, $E$13) + CHOOSE(CONTROL!$C$28, 0.0211, 0)</f>
        <v>44.7791</v>
      </c>
      <c r="C797" s="4">
        <f>44.3948 * CHOOSE(CONTROL!$C$9, $C$13, 100%, $E$13) + CHOOSE(CONTROL!$C$28, 0.0211, 0)</f>
        <v>44.415899999999993</v>
      </c>
      <c r="D797" s="4">
        <f>67.1557 * CHOOSE(CONTROL!$C$9, $C$13, 100%, $E$13) + CHOOSE(CONTROL!$C$28, 0.0021, 0)</f>
        <v>67.157799999999995</v>
      </c>
      <c r="E797" s="4">
        <f>313.73300511581 * CHOOSE(CONTROL!$C$9, $C$13, 100%, $E$13) + CHOOSE(CONTROL!$C$28, 0.0021, 0)</f>
        <v>313.73510511580997</v>
      </c>
    </row>
    <row r="798" spans="1:5" ht="15">
      <c r="A798" s="13">
        <v>65805</v>
      </c>
      <c r="B798" s="4">
        <f>45.8024 * CHOOSE(CONTROL!$C$9, $C$13, 100%, $E$13) + CHOOSE(CONTROL!$C$28, 0.0211, 0)</f>
        <v>45.823499999999996</v>
      </c>
      <c r="C798" s="4">
        <f>45.4391 * CHOOSE(CONTROL!$C$9, $C$13, 100%, $E$13) + CHOOSE(CONTROL!$C$28, 0.0211, 0)</f>
        <v>45.4602</v>
      </c>
      <c r="D798" s="4">
        <f>69.4605 * CHOOSE(CONTROL!$C$9, $C$13, 100%, $E$13) + CHOOSE(CONTROL!$C$28, 0.0021, 0)</f>
        <v>69.462599999999995</v>
      </c>
      <c r="E798" s="4">
        <f>321.182263050621 * CHOOSE(CONTROL!$C$9, $C$13, 100%, $E$13) + CHOOSE(CONTROL!$C$28, 0.0021, 0)</f>
        <v>321.18436305062096</v>
      </c>
    </row>
    <row r="799" spans="1:5" ht="15">
      <c r="A799" s="13">
        <v>65836</v>
      </c>
      <c r="B799" s="4">
        <f>48.545 * CHOOSE(CONTROL!$C$9, $C$13, 100%, $E$13) + CHOOSE(CONTROL!$C$28, 0.0211, 0)</f>
        <v>48.566099999999999</v>
      </c>
      <c r="C799" s="4">
        <f>48.1817 * CHOOSE(CONTROL!$C$9, $C$13, 100%, $E$13) + CHOOSE(CONTROL!$C$28, 0.0211, 0)</f>
        <v>48.202799999999996</v>
      </c>
      <c r="D799" s="4">
        <f>73.0686 * CHOOSE(CONTROL!$C$9, $C$13, 100%, $E$13) + CHOOSE(CONTROL!$C$28, 0.0021, 0)</f>
        <v>73.070700000000002</v>
      </c>
      <c r="E799" s="4">
        <f>340.744410265043 * CHOOSE(CONTROL!$C$9, $C$13, 100%, $E$13) + CHOOSE(CONTROL!$C$28, 0.0021, 0)</f>
        <v>340.74651026504296</v>
      </c>
    </row>
    <row r="800" spans="1:5" ht="15">
      <c r="A800" s="13">
        <v>65866</v>
      </c>
      <c r="B800" s="4">
        <f>50.4936 * CHOOSE(CONTROL!$C$9, $C$13, 100%, $E$13) + CHOOSE(CONTROL!$C$28, 0.0211, 0)</f>
        <v>50.514699999999998</v>
      </c>
      <c r="C800" s="4">
        <f>50.1303 * CHOOSE(CONTROL!$C$9, $C$13, 100%, $E$13) + CHOOSE(CONTROL!$C$28, 0.0211, 0)</f>
        <v>50.151399999999995</v>
      </c>
      <c r="D800" s="4">
        <f>75.1469 * CHOOSE(CONTROL!$C$9, $C$13, 100%, $E$13) + CHOOSE(CONTROL!$C$28, 0.0021, 0)</f>
        <v>75.149000000000001</v>
      </c>
      <c r="E800" s="4">
        <f>354.64357656078 * CHOOSE(CONTROL!$C$9, $C$13, 100%, $E$13) + CHOOSE(CONTROL!$C$28, 0.0021, 0)</f>
        <v>354.64567656077998</v>
      </c>
    </row>
    <row r="801" spans="1:5" ht="15">
      <c r="A801" s="13">
        <v>65897</v>
      </c>
      <c r="B801" s="4">
        <f>51.6842 * CHOOSE(CONTROL!$C$9, $C$13, 100%, $E$13) + CHOOSE(CONTROL!$C$28, 0.0415, 0)</f>
        <v>51.725699999999996</v>
      </c>
      <c r="C801" s="4">
        <f>51.3209 * CHOOSE(CONTROL!$C$9, $C$13, 100%, $E$13) + CHOOSE(CONTROL!$C$28, 0.0415, 0)</f>
        <v>51.362400000000001</v>
      </c>
      <c r="D801" s="4">
        <f>74.3256 * CHOOSE(CONTROL!$C$9, $C$13, 100%, $E$13) + CHOOSE(CONTROL!$C$28, 0.0021, 0)</f>
        <v>74.327699999999993</v>
      </c>
      <c r="E801" s="4">
        <f>363.13563405095 * CHOOSE(CONTROL!$C$9, $C$13, 100%, $E$13) + CHOOSE(CONTROL!$C$28, 0.0021, 0)</f>
        <v>363.13773405094997</v>
      </c>
    </row>
    <row r="802" spans="1:5" ht="15">
      <c r="A802" s="13">
        <v>65927</v>
      </c>
      <c r="B802" s="4">
        <f>51.8453 * CHOOSE(CONTROL!$C$9, $C$13, 100%, $E$13) + CHOOSE(CONTROL!$C$28, 0.0415, 0)</f>
        <v>51.886800000000001</v>
      </c>
      <c r="C802" s="4">
        <f>51.482 * CHOOSE(CONTROL!$C$9, $C$13, 100%, $E$13) + CHOOSE(CONTROL!$C$28, 0.0415, 0)</f>
        <v>51.523499999999999</v>
      </c>
      <c r="D802" s="4">
        <f>74.9945 * CHOOSE(CONTROL!$C$9, $C$13, 100%, $E$13) + CHOOSE(CONTROL!$C$28, 0.0021, 0)</f>
        <v>74.996600000000001</v>
      </c>
      <c r="E802" s="4">
        <f>364.284644672132 * CHOOSE(CONTROL!$C$9, $C$13, 100%, $E$13) + CHOOSE(CONTROL!$C$28, 0.0021, 0)</f>
        <v>364.28674467213199</v>
      </c>
    </row>
    <row r="803" spans="1:5" ht="15">
      <c r="A803" s="13">
        <v>65958</v>
      </c>
      <c r="B803" s="4">
        <f>51.829 * CHOOSE(CONTROL!$C$9, $C$13, 100%, $E$13) + CHOOSE(CONTROL!$C$28, 0.0415, 0)</f>
        <v>51.8705</v>
      </c>
      <c r="C803" s="4">
        <f>51.4657 * CHOOSE(CONTROL!$C$9, $C$13, 100%, $E$13) + CHOOSE(CONTROL!$C$28, 0.0415, 0)</f>
        <v>51.507199999999997</v>
      </c>
      <c r="D803" s="4">
        <f>76.2014 * CHOOSE(CONTROL!$C$9, $C$13, 100%, $E$13) + CHOOSE(CONTROL!$C$28, 0.0021, 0)</f>
        <v>76.203500000000005</v>
      </c>
      <c r="E803" s="4">
        <f>364.16877805487 * CHOOSE(CONTROL!$C$9, $C$13, 100%, $E$13) + CHOOSE(CONTROL!$C$28, 0.0021, 0)</f>
        <v>364.17087805487</v>
      </c>
    </row>
    <row r="804" spans="1:5" ht="15">
      <c r="A804" s="13">
        <v>65989</v>
      </c>
      <c r="B804" s="4">
        <f>53.0514 * CHOOSE(CONTROL!$C$9, $C$13, 100%, $E$13) + CHOOSE(CONTROL!$C$28, 0.0415, 0)</f>
        <v>53.0929</v>
      </c>
      <c r="C804" s="4">
        <f>52.6881 * CHOOSE(CONTROL!$C$9, $C$13, 100%, $E$13) + CHOOSE(CONTROL!$C$28, 0.0415, 0)</f>
        <v>52.729599999999998</v>
      </c>
      <c r="D804" s="4">
        <f>75.4043 * CHOOSE(CONTROL!$C$9, $C$13, 100%, $E$13) + CHOOSE(CONTROL!$C$28, 0.0021, 0)</f>
        <v>75.406400000000005</v>
      </c>
      <c r="E804" s="4">
        <f>372.887741003846 * CHOOSE(CONTROL!$C$9, $C$13, 100%, $E$13) + CHOOSE(CONTROL!$C$28, 0.0021, 0)</f>
        <v>372.88984100384596</v>
      </c>
    </row>
    <row r="805" spans="1:5" ht="15">
      <c r="A805" s="13">
        <v>66019</v>
      </c>
      <c r="B805" s="4">
        <f>50.9681 * CHOOSE(CONTROL!$C$9, $C$13, 100%, $E$13) + CHOOSE(CONTROL!$C$28, 0.0415, 0)</f>
        <v>51.009599999999999</v>
      </c>
      <c r="C805" s="4">
        <f>50.6048 * CHOOSE(CONTROL!$C$9, $C$13, 100%, $E$13) + CHOOSE(CONTROL!$C$28, 0.0415, 0)</f>
        <v>50.646299999999997</v>
      </c>
      <c r="D805" s="4">
        <f>75.0278 * CHOOSE(CONTROL!$C$9, $C$13, 100%, $E$13) + CHOOSE(CONTROL!$C$28, 0.0021, 0)</f>
        <v>75.029899999999998</v>
      </c>
      <c r="E805" s="4">
        <f>358.027847339978 * CHOOSE(CONTROL!$C$9, $C$13, 100%, $E$13) + CHOOSE(CONTROL!$C$28, 0.0021, 0)</f>
        <v>358.02994733997798</v>
      </c>
    </row>
    <row r="806" spans="1:5" ht="15">
      <c r="A806" s="13">
        <v>66050</v>
      </c>
      <c r="B806" s="4">
        <f>49.3003 * CHOOSE(CONTROL!$C$9, $C$13, 100%, $E$13) + CHOOSE(CONTROL!$C$28, 0.0211, 0)</f>
        <v>49.321399999999997</v>
      </c>
      <c r="C806" s="4">
        <f>48.9371 * CHOOSE(CONTROL!$C$9, $C$13, 100%, $E$13) + CHOOSE(CONTROL!$C$28, 0.0211, 0)</f>
        <v>48.958199999999998</v>
      </c>
      <c r="D806" s="4">
        <f>74.0195 * CHOOSE(CONTROL!$C$9, $C$13, 100%, $E$13) + CHOOSE(CONTROL!$C$28, 0.0021, 0)</f>
        <v>74.021599999999992</v>
      </c>
      <c r="E806" s="4">
        <f>346.132207967732 * CHOOSE(CONTROL!$C$9, $C$13, 100%, $E$13) + CHOOSE(CONTROL!$C$28, 0.0021, 0)</f>
        <v>346.13430796773196</v>
      </c>
    </row>
    <row r="807" spans="1:5" ht="15">
      <c r="A807" s="13">
        <v>66080</v>
      </c>
      <c r="B807" s="4">
        <f>48.2262 * CHOOSE(CONTROL!$C$9, $C$13, 100%, $E$13) + CHOOSE(CONTROL!$C$28, 0.0211, 0)</f>
        <v>48.247299999999996</v>
      </c>
      <c r="C807" s="4">
        <f>47.8629 * CHOOSE(CONTROL!$C$9, $C$13, 100%, $E$13) + CHOOSE(CONTROL!$C$28, 0.0211, 0)</f>
        <v>47.884</v>
      </c>
      <c r="D807" s="4">
        <f>73.6728 * CHOOSE(CONTROL!$C$9, $C$13, 100%, $E$13) + CHOOSE(CONTROL!$C$28, 0.0021, 0)</f>
        <v>73.674899999999994</v>
      </c>
      <c r="E807" s="4">
        <f>338.470527901274 * CHOOSE(CONTROL!$C$9, $C$13, 100%, $E$13) + CHOOSE(CONTROL!$C$28, 0.0021, 0)</f>
        <v>338.472627901274</v>
      </c>
    </row>
    <row r="808" spans="1:5" ht="15">
      <c r="A808" s="13">
        <v>66111</v>
      </c>
      <c r="B808" s="4">
        <f>47.483 * CHOOSE(CONTROL!$C$9, $C$13, 100%, $E$13) + CHOOSE(CONTROL!$C$28, 0.0211, 0)</f>
        <v>47.504099999999994</v>
      </c>
      <c r="C808" s="4">
        <f>47.1197 * CHOOSE(CONTROL!$C$9, $C$13, 100%, $E$13) + CHOOSE(CONTROL!$C$28, 0.0211, 0)</f>
        <v>47.140799999999999</v>
      </c>
      <c r="D808" s="4">
        <f>71.1208 * CHOOSE(CONTROL!$C$9, $C$13, 100%, $E$13) + CHOOSE(CONTROL!$C$28, 0.0021, 0)</f>
        <v>71.122900000000001</v>
      </c>
      <c r="E808" s="4">
        <f>333.169630161532 * CHOOSE(CONTROL!$C$9, $C$13, 100%, $E$13) + CHOOSE(CONTROL!$C$28, 0.0021, 0)</f>
        <v>333.17173016153197</v>
      </c>
    </row>
    <row r="809" spans="1:5" ht="15">
      <c r="A809" s="13">
        <v>66142</v>
      </c>
      <c r="B809" s="4">
        <f>45.4497 * CHOOSE(CONTROL!$C$9, $C$13, 100%, $E$13) + CHOOSE(CONTROL!$C$28, 0.0211, 0)</f>
        <v>45.470799999999997</v>
      </c>
      <c r="C809" s="4">
        <f>45.0864 * CHOOSE(CONTROL!$C$9, $C$13, 100%, $E$13) + CHOOSE(CONTROL!$C$28, 0.0211, 0)</f>
        <v>45.107499999999995</v>
      </c>
      <c r="D809" s="4">
        <f>68.3095 * CHOOSE(CONTROL!$C$9, $C$13, 100%, $E$13) + CHOOSE(CONTROL!$C$28, 0.0021, 0)</f>
        <v>68.311599999999999</v>
      </c>
      <c r="E809" s="4">
        <f>319.291761260457 * CHOOSE(CONTROL!$C$9, $C$13, 100%, $E$13) + CHOOSE(CONTROL!$C$28, 0.0021, 0)</f>
        <v>319.29386126045699</v>
      </c>
    </row>
    <row r="810" spans="1:5" ht="15">
      <c r="A810" s="13">
        <v>66170</v>
      </c>
      <c r="B810" s="4">
        <f>46.5105 * CHOOSE(CONTROL!$C$9, $C$13, 100%, $E$13) + CHOOSE(CONTROL!$C$28, 0.0211, 0)</f>
        <v>46.531599999999997</v>
      </c>
      <c r="C810" s="4">
        <f>46.1472 * CHOOSE(CONTROL!$C$9, $C$13, 100%, $E$13) + CHOOSE(CONTROL!$C$28, 0.0211, 0)</f>
        <v>46.168299999999995</v>
      </c>
      <c r="D810" s="4">
        <f>70.6551 * CHOOSE(CONTROL!$C$9, $C$13, 100%, $E$13) + CHOOSE(CONTROL!$C$28, 0.0021, 0)</f>
        <v>70.657200000000003</v>
      </c>
      <c r="E810" s="4">
        <f>326.873005972696 * CHOOSE(CONTROL!$C$9, $C$13, 100%, $E$13) + CHOOSE(CONTROL!$C$28, 0.0021, 0)</f>
        <v>326.87510597269596</v>
      </c>
    </row>
    <row r="811" spans="1:5" ht="15">
      <c r="A811" s="13">
        <v>66201</v>
      </c>
      <c r="B811" s="4">
        <f>49.2962 * CHOOSE(CONTROL!$C$9, $C$13, 100%, $E$13) + CHOOSE(CONTROL!$C$28, 0.0211, 0)</f>
        <v>49.317299999999996</v>
      </c>
      <c r="C811" s="4">
        <f>48.9329 * CHOOSE(CONTROL!$C$9, $C$13, 100%, $E$13) + CHOOSE(CONTROL!$C$28, 0.0211, 0)</f>
        <v>48.953999999999994</v>
      </c>
      <c r="D811" s="4">
        <f>74.3268 * CHOOSE(CONTROL!$C$9, $C$13, 100%, $E$13) + CHOOSE(CONTROL!$C$28, 0.0021, 0)</f>
        <v>74.328900000000004</v>
      </c>
      <c r="E811" s="4">
        <f>346.78175747885 * CHOOSE(CONTROL!$C$9, $C$13, 100%, $E$13) + CHOOSE(CONTROL!$C$28, 0.0021, 0)</f>
        <v>346.78385747885</v>
      </c>
    </row>
    <row r="812" spans="1:5" ht="15">
      <c r="A812" s="13">
        <v>66231</v>
      </c>
      <c r="B812" s="4">
        <f>51.2755 * CHOOSE(CONTROL!$C$9, $C$13, 100%, $E$13) + CHOOSE(CONTROL!$C$28, 0.0211, 0)</f>
        <v>51.296599999999998</v>
      </c>
      <c r="C812" s="4">
        <f>50.9122 * CHOOSE(CONTROL!$C$9, $C$13, 100%, $E$13) + CHOOSE(CONTROL!$C$28, 0.0211, 0)</f>
        <v>50.933299999999996</v>
      </c>
      <c r="D812" s="4">
        <f>76.4419 * CHOOSE(CONTROL!$C$9, $C$13, 100%, $E$13) + CHOOSE(CONTROL!$C$28, 0.0021, 0)</f>
        <v>76.444000000000003</v>
      </c>
      <c r="E812" s="4">
        <f>360.92719074297 * CHOOSE(CONTROL!$C$9, $C$13, 100%, $E$13) + CHOOSE(CONTROL!$C$28, 0.0021, 0)</f>
        <v>360.92929074297001</v>
      </c>
    </row>
    <row r="813" spans="1:5" ht="15">
      <c r="A813" s="13">
        <v>66262</v>
      </c>
      <c r="B813" s="4">
        <f>52.4847 * CHOOSE(CONTROL!$C$9, $C$13, 100%, $E$13) + CHOOSE(CONTROL!$C$28, 0.0415, 0)</f>
        <v>52.526199999999996</v>
      </c>
      <c r="C813" s="4">
        <f>52.1215 * CHOOSE(CONTROL!$C$9, $C$13, 100%, $E$13) + CHOOSE(CONTROL!$C$28, 0.0415, 0)</f>
        <v>52.162999999999997</v>
      </c>
      <c r="D813" s="4">
        <f>75.6061 * CHOOSE(CONTROL!$C$9, $C$13, 100%, $E$13) + CHOOSE(CONTROL!$C$28, 0.0021, 0)</f>
        <v>75.608199999999997</v>
      </c>
      <c r="E813" s="4">
        <f>369.569711448627 * CHOOSE(CONTROL!$C$9, $C$13, 100%, $E$13) + CHOOSE(CONTROL!$C$28, 0.0021, 0)</f>
        <v>369.57181144862699</v>
      </c>
    </row>
    <row r="814" spans="1:5" ht="15">
      <c r="A814" s="13">
        <v>66292</v>
      </c>
      <c r="B814" s="4">
        <f>52.6484 * CHOOSE(CONTROL!$C$9, $C$13, 100%, $E$13) + CHOOSE(CONTROL!$C$28, 0.0415, 0)</f>
        <v>52.689900000000002</v>
      </c>
      <c r="C814" s="4">
        <f>52.2851 * CHOOSE(CONTROL!$C$9, $C$13, 100%, $E$13) + CHOOSE(CONTROL!$C$28, 0.0415, 0)</f>
        <v>52.326599999999999</v>
      </c>
      <c r="D814" s="4">
        <f>76.2868 * CHOOSE(CONTROL!$C$9, $C$13, 100%, $E$13) + CHOOSE(CONTROL!$C$28, 0.0021, 0)</f>
        <v>76.288899999999998</v>
      </c>
      <c r="E814" s="4">
        <f>370.739080367301 * CHOOSE(CONTROL!$C$9, $C$13, 100%, $E$13) + CHOOSE(CONTROL!$C$28, 0.0021, 0)</f>
        <v>370.74118036730101</v>
      </c>
    </row>
    <row r="815" spans="1:5" ht="15">
      <c r="A815" s="13">
        <v>66323</v>
      </c>
      <c r="B815" s="4">
        <f>52.6319 * CHOOSE(CONTROL!$C$9, $C$13, 100%, $E$13) + CHOOSE(CONTROL!$C$28, 0.0415, 0)</f>
        <v>52.673400000000001</v>
      </c>
      <c r="C815" s="4">
        <f>52.2686 * CHOOSE(CONTROL!$C$9, $C$13, 100%, $E$13) + CHOOSE(CONTROL!$C$28, 0.0415, 0)</f>
        <v>52.310099999999998</v>
      </c>
      <c r="D815" s="4">
        <f>77.515 * CHOOSE(CONTROL!$C$9, $C$13, 100%, $E$13) + CHOOSE(CONTROL!$C$28, 0.0021, 0)</f>
        <v>77.517099999999999</v>
      </c>
      <c r="E815" s="4">
        <f>370.621160812476 * CHOOSE(CONTROL!$C$9, $C$13, 100%, $E$13) + CHOOSE(CONTROL!$C$28, 0.0021, 0)</f>
        <v>370.62326081247596</v>
      </c>
    </row>
    <row r="816" spans="1:5" ht="15">
      <c r="A816" s="13">
        <v>66354</v>
      </c>
      <c r="B816" s="4">
        <f>53.8735 * CHOOSE(CONTROL!$C$9, $C$13, 100%, $E$13) + CHOOSE(CONTROL!$C$28, 0.0415, 0)</f>
        <v>53.914999999999999</v>
      </c>
      <c r="C816" s="4">
        <f>53.5102 * CHOOSE(CONTROL!$C$9, $C$13, 100%, $E$13) + CHOOSE(CONTROL!$C$28, 0.0415, 0)</f>
        <v>53.551699999999997</v>
      </c>
      <c r="D816" s="4">
        <f>76.7039 * CHOOSE(CONTROL!$C$9, $C$13, 100%, $E$13) + CHOOSE(CONTROL!$C$28, 0.0021, 0)</f>
        <v>76.706000000000003</v>
      </c>
      <c r="E816" s="4">
        <f>379.494607312998 * CHOOSE(CONTROL!$C$9, $C$13, 100%, $E$13) + CHOOSE(CONTROL!$C$28, 0.0021, 0)</f>
        <v>379.49670731299801</v>
      </c>
    </row>
    <row r="817" spans="1:5" ht="15">
      <c r="A817" s="13">
        <v>66384</v>
      </c>
      <c r="B817" s="4">
        <f>51.7574 * CHOOSE(CONTROL!$C$9, $C$13, 100%, $E$13) + CHOOSE(CONTROL!$C$28, 0.0415, 0)</f>
        <v>51.798899999999996</v>
      </c>
      <c r="C817" s="4">
        <f>51.3941 * CHOOSE(CONTROL!$C$9, $C$13, 100%, $E$13) + CHOOSE(CONTROL!$C$28, 0.0415, 0)</f>
        <v>51.435600000000001</v>
      </c>
      <c r="D817" s="4">
        <f>76.3207 * CHOOSE(CONTROL!$C$9, $C$13, 100%, $E$13) + CHOOSE(CONTROL!$C$28, 0.0021, 0)</f>
        <v>76.322800000000001</v>
      </c>
      <c r="E817" s="4">
        <f>364.371424406794 * CHOOSE(CONTROL!$C$9, $C$13, 100%, $E$13) + CHOOSE(CONTROL!$C$28, 0.0021, 0)</f>
        <v>364.37352440679399</v>
      </c>
    </row>
    <row r="818" spans="1:5" ht="15">
      <c r="A818" s="13">
        <v>66415</v>
      </c>
      <c r="B818" s="4">
        <f>50.0634 * CHOOSE(CONTROL!$C$9, $C$13, 100%, $E$13) + CHOOSE(CONTROL!$C$28, 0.0211, 0)</f>
        <v>50.084499999999998</v>
      </c>
      <c r="C818" s="4">
        <f>49.7001 * CHOOSE(CONTROL!$C$9, $C$13, 100%, $E$13) + CHOOSE(CONTROL!$C$28, 0.0211, 0)</f>
        <v>49.721199999999996</v>
      </c>
      <c r="D818" s="4">
        <f>75.2946 * CHOOSE(CONTROL!$C$9, $C$13, 100%, $E$13) + CHOOSE(CONTROL!$C$28, 0.0021, 0)</f>
        <v>75.296700000000001</v>
      </c>
      <c r="E818" s="4">
        <f>352.265016778175 * CHOOSE(CONTROL!$C$9, $C$13, 100%, $E$13) + CHOOSE(CONTROL!$C$28, 0.0021, 0)</f>
        <v>352.26711677817497</v>
      </c>
    </row>
    <row r="819" spans="1:5" ht="15">
      <c r="A819" s="13">
        <v>66445</v>
      </c>
      <c r="B819" s="4">
        <f>48.9724 * CHOOSE(CONTROL!$C$9, $C$13, 100%, $E$13) + CHOOSE(CONTROL!$C$28, 0.0211, 0)</f>
        <v>48.993499999999997</v>
      </c>
      <c r="C819" s="4">
        <f>48.6091 * CHOOSE(CONTROL!$C$9, $C$13, 100%, $E$13) + CHOOSE(CONTROL!$C$28, 0.0211, 0)</f>
        <v>48.630199999999995</v>
      </c>
      <c r="D819" s="4">
        <f>74.9418 * CHOOSE(CONTROL!$C$9, $C$13, 100%, $E$13) + CHOOSE(CONTROL!$C$28, 0.0021, 0)</f>
        <v>74.943899999999999</v>
      </c>
      <c r="E819" s="4">
        <f>344.467586215425 * CHOOSE(CONTROL!$C$9, $C$13, 100%, $E$13) + CHOOSE(CONTROL!$C$28, 0.0021, 0)</f>
        <v>344.46968621542499</v>
      </c>
    </row>
    <row r="820" spans="1:5" ht="15">
      <c r="A820" s="13">
        <v>66476</v>
      </c>
      <c r="B820" s="4">
        <f>48.2175 * CHOOSE(CONTROL!$C$9, $C$13, 100%, $E$13) + CHOOSE(CONTROL!$C$28, 0.0211, 0)</f>
        <v>48.238599999999998</v>
      </c>
      <c r="C820" s="4">
        <f>47.8542 * CHOOSE(CONTROL!$C$9, $C$13, 100%, $E$13) + CHOOSE(CONTROL!$C$28, 0.0211, 0)</f>
        <v>47.875299999999996</v>
      </c>
      <c r="D820" s="4">
        <f>72.3446 * CHOOSE(CONTROL!$C$9, $C$13, 100%, $E$13) + CHOOSE(CONTROL!$C$28, 0.0021, 0)</f>
        <v>72.346699999999998</v>
      </c>
      <c r="E820" s="4">
        <f>339.072766582217 * CHOOSE(CONTROL!$C$9, $C$13, 100%, $E$13) + CHOOSE(CONTROL!$C$28, 0.0021, 0)</f>
        <v>339.074866582217</v>
      </c>
    </row>
    <row r="821" spans="1:5" ht="15">
      <c r="A821" s="13">
        <v>66507</v>
      </c>
      <c r="B821" s="4">
        <f>46.1522 * CHOOSE(CONTROL!$C$9, $C$13, 100%, $E$13) + CHOOSE(CONTROL!$C$28, 0.0211, 0)</f>
        <v>46.173299999999998</v>
      </c>
      <c r="C821" s="4">
        <f>45.789 * CHOOSE(CONTROL!$C$9, $C$13, 100%, $E$13) + CHOOSE(CONTROL!$C$28, 0.0211, 0)</f>
        <v>45.810099999999998</v>
      </c>
      <c r="D821" s="4">
        <f>69.4837 * CHOOSE(CONTROL!$C$9, $C$13, 100%, $E$13) + CHOOSE(CONTROL!$C$28, 0.0021, 0)</f>
        <v>69.485799999999998</v>
      </c>
      <c r="E821" s="4">
        <f>324.949008062356 * CHOOSE(CONTROL!$C$9, $C$13, 100%, $E$13) + CHOOSE(CONTROL!$C$28, 0.0021, 0)</f>
        <v>324.95110806235596</v>
      </c>
    </row>
    <row r="822" spans="1:5" ht="15">
      <c r="A822" s="13">
        <v>66535</v>
      </c>
      <c r="B822" s="4">
        <f>47.2297 * CHOOSE(CONTROL!$C$9, $C$13, 100%, $E$13) + CHOOSE(CONTROL!$C$28, 0.0211, 0)</f>
        <v>47.250799999999998</v>
      </c>
      <c r="C822" s="4">
        <f>46.8664 * CHOOSE(CONTROL!$C$9, $C$13, 100%, $E$13) + CHOOSE(CONTROL!$C$28, 0.0211, 0)</f>
        <v>46.887499999999996</v>
      </c>
      <c r="D822" s="4">
        <f>71.8707 * CHOOSE(CONTROL!$C$9, $C$13, 100%, $E$13) + CHOOSE(CONTROL!$C$28, 0.0021, 0)</f>
        <v>71.872799999999998</v>
      </c>
      <c r="E822" s="4">
        <f>332.664578108371 * CHOOSE(CONTROL!$C$9, $C$13, 100%, $E$13) + CHOOSE(CONTROL!$C$28, 0.0021, 0)</f>
        <v>332.666678108371</v>
      </c>
    </row>
    <row r="823" spans="1:5" ht="15">
      <c r="A823" s="13">
        <v>66566</v>
      </c>
      <c r="B823" s="4">
        <f>50.0592 * CHOOSE(CONTROL!$C$9, $C$13, 100%, $E$13) + CHOOSE(CONTROL!$C$28, 0.0211, 0)</f>
        <v>50.080299999999994</v>
      </c>
      <c r="C823" s="4">
        <f>49.6959 * CHOOSE(CONTROL!$C$9, $C$13, 100%, $E$13) + CHOOSE(CONTROL!$C$28, 0.0211, 0)</f>
        <v>49.716999999999999</v>
      </c>
      <c r="D823" s="4">
        <f>75.6073 * CHOOSE(CONTROL!$C$9, $C$13, 100%, $E$13) + CHOOSE(CONTROL!$C$28, 0.0021, 0)</f>
        <v>75.609399999999994</v>
      </c>
      <c r="E823" s="4">
        <f>352.926075079497 * CHOOSE(CONTROL!$C$9, $C$13, 100%, $E$13) + CHOOSE(CONTROL!$C$28, 0.0021, 0)</f>
        <v>352.92817507949701</v>
      </c>
    </row>
    <row r="824" spans="1:5" ht="15">
      <c r="A824" s="13">
        <v>66596</v>
      </c>
      <c r="B824" s="4">
        <f>52.0696 * CHOOSE(CONTROL!$C$9, $C$13, 100%, $E$13) + CHOOSE(CONTROL!$C$28, 0.0211, 0)</f>
        <v>52.090699999999998</v>
      </c>
      <c r="C824" s="4">
        <f>51.7063 * CHOOSE(CONTROL!$C$9, $C$13, 100%, $E$13) + CHOOSE(CONTROL!$C$28, 0.0211, 0)</f>
        <v>51.727399999999996</v>
      </c>
      <c r="D824" s="4">
        <f>77.7598 * CHOOSE(CONTROL!$C$9, $C$13, 100%, $E$13) + CHOOSE(CONTROL!$C$28, 0.0021, 0)</f>
        <v>77.761899999999997</v>
      </c>
      <c r="E824" s="4">
        <f>367.322138697433 * CHOOSE(CONTROL!$C$9, $C$13, 100%, $E$13) + CHOOSE(CONTROL!$C$28, 0.0021, 0)</f>
        <v>367.32423869743297</v>
      </c>
    </row>
    <row r="825" spans="1:5" ht="15">
      <c r="A825" s="13">
        <v>66627</v>
      </c>
      <c r="B825" s="4">
        <f>53.2979 * CHOOSE(CONTROL!$C$9, $C$13, 100%, $E$13) + CHOOSE(CONTROL!$C$28, 0.0415, 0)</f>
        <v>53.339399999999998</v>
      </c>
      <c r="C825" s="4">
        <f>52.9346 * CHOOSE(CONTROL!$C$9, $C$13, 100%, $E$13) + CHOOSE(CONTROL!$C$28, 0.0415, 0)</f>
        <v>52.976100000000002</v>
      </c>
      <c r="D825" s="4">
        <f>76.9092 * CHOOSE(CONTROL!$C$9, $C$13, 100%, $E$13) + CHOOSE(CONTROL!$C$28, 0.0021, 0)</f>
        <v>76.911299999999997</v>
      </c>
      <c r="E825" s="4">
        <f>376.1177885425 * CHOOSE(CONTROL!$C$9, $C$13, 100%, $E$13) + CHOOSE(CONTROL!$C$28, 0.0021, 0)</f>
        <v>376.11988854250001</v>
      </c>
    </row>
    <row r="826" spans="1:5" ht="15">
      <c r="A826" s="13">
        <v>66657</v>
      </c>
      <c r="B826" s="4">
        <f>53.4641 * CHOOSE(CONTROL!$C$9, $C$13, 100%, $E$13) + CHOOSE(CONTROL!$C$28, 0.0415, 0)</f>
        <v>53.505600000000001</v>
      </c>
      <c r="C826" s="4">
        <f>53.1008 * CHOOSE(CONTROL!$C$9, $C$13, 100%, $E$13) + CHOOSE(CONTROL!$C$28, 0.0415, 0)</f>
        <v>53.142299999999999</v>
      </c>
      <c r="D826" s="4">
        <f>77.6019 * CHOOSE(CONTROL!$C$9, $C$13, 100%, $E$13) + CHOOSE(CONTROL!$C$28, 0.0021, 0)</f>
        <v>77.603999999999999</v>
      </c>
      <c r="E826" s="4">
        <f>377.307876469234 * CHOOSE(CONTROL!$C$9, $C$13, 100%, $E$13) + CHOOSE(CONTROL!$C$28, 0.0021, 0)</f>
        <v>377.30997646923396</v>
      </c>
    </row>
    <row r="827" spans="1:5" ht="15">
      <c r="A827" s="13">
        <v>66688</v>
      </c>
      <c r="B827" s="4">
        <f>53.4473 * CHOOSE(CONTROL!$C$9, $C$13, 100%, $E$13) + CHOOSE(CONTROL!$C$28, 0.0415, 0)</f>
        <v>53.488799999999998</v>
      </c>
      <c r="C827" s="4">
        <f>53.0841 * CHOOSE(CONTROL!$C$9, $C$13, 100%, $E$13) + CHOOSE(CONTROL!$C$28, 0.0415, 0)</f>
        <v>53.125599999999999</v>
      </c>
      <c r="D827" s="4">
        <f>78.8518 * CHOOSE(CONTROL!$C$9, $C$13, 100%, $E$13) + CHOOSE(CONTROL!$C$28, 0.0021, 0)</f>
        <v>78.853899999999996</v>
      </c>
      <c r="E827" s="4">
        <f>377.187867602673 * CHOOSE(CONTROL!$C$9, $C$13, 100%, $E$13) + CHOOSE(CONTROL!$C$28, 0.0021, 0)</f>
        <v>377.18996760267299</v>
      </c>
    </row>
    <row r="828" spans="1:5" ht="15">
      <c r="A828" s="13">
        <v>66719</v>
      </c>
      <c r="B828" s="4">
        <f>54.7085 * CHOOSE(CONTROL!$C$9, $C$13, 100%, $E$13) + CHOOSE(CONTROL!$C$28, 0.0415, 0)</f>
        <v>54.75</v>
      </c>
      <c r="C828" s="4">
        <f>54.3452 * CHOOSE(CONTROL!$C$9, $C$13, 100%, $E$13) + CHOOSE(CONTROL!$C$28, 0.0415, 0)</f>
        <v>54.386699999999998</v>
      </c>
      <c r="D828" s="4">
        <f>78.0264 * CHOOSE(CONTROL!$C$9, $C$13, 100%, $E$13) + CHOOSE(CONTROL!$C$28, 0.0021, 0)</f>
        <v>78.028499999999994</v>
      </c>
      <c r="E828" s="4">
        <f>386.218534811423 * CHOOSE(CONTROL!$C$9, $C$13, 100%, $E$13) + CHOOSE(CONTROL!$C$28, 0.0021, 0)</f>
        <v>386.220634811423</v>
      </c>
    </row>
    <row r="829" spans="1:5" ht="15">
      <c r="A829" s="13">
        <v>66749</v>
      </c>
      <c r="B829" s="4">
        <f>52.5591 * CHOOSE(CONTROL!$C$9, $C$13, 100%, $E$13) + CHOOSE(CONTROL!$C$28, 0.0415, 0)</f>
        <v>52.6006</v>
      </c>
      <c r="C829" s="4">
        <f>52.1958 * CHOOSE(CONTROL!$C$9, $C$13, 100%, $E$13) + CHOOSE(CONTROL!$C$28, 0.0415, 0)</f>
        <v>52.237299999999998</v>
      </c>
      <c r="D829" s="4">
        <f>77.6364 * CHOOSE(CONTROL!$C$9, $C$13, 100%, $E$13) + CHOOSE(CONTROL!$C$28, 0.0021, 0)</f>
        <v>77.638499999999993</v>
      </c>
      <c r="E829" s="4">
        <f>370.827397674915 * CHOOSE(CONTROL!$C$9, $C$13, 100%, $E$13) + CHOOSE(CONTROL!$C$28, 0.0021, 0)</f>
        <v>370.82949767491499</v>
      </c>
    </row>
    <row r="830" spans="1:5" ht="15">
      <c r="A830" s="13">
        <v>66780</v>
      </c>
      <c r="B830" s="4">
        <f>50.8385 * CHOOSE(CONTROL!$C$9, $C$13, 100%, $E$13) + CHOOSE(CONTROL!$C$28, 0.0211, 0)</f>
        <v>50.8596</v>
      </c>
      <c r="C830" s="4">
        <f>50.4752 * CHOOSE(CONTROL!$C$9, $C$13, 100%, $E$13) + CHOOSE(CONTROL!$C$28, 0.0211, 0)</f>
        <v>50.496299999999998</v>
      </c>
      <c r="D830" s="4">
        <f>76.5922 * CHOOSE(CONTROL!$C$9, $C$13, 100%, $E$13) + CHOOSE(CONTROL!$C$28, 0.0021, 0)</f>
        <v>76.594300000000004</v>
      </c>
      <c r="E830" s="4">
        <f>358.506487374605 * CHOOSE(CONTROL!$C$9, $C$13, 100%, $E$13) + CHOOSE(CONTROL!$C$28, 0.0021, 0)</f>
        <v>358.50858737460499</v>
      </c>
    </row>
    <row r="831" spans="1:5" ht="15">
      <c r="A831" s="13">
        <v>66810</v>
      </c>
      <c r="B831" s="4">
        <f>49.7303 * CHOOSE(CONTROL!$C$9, $C$13, 100%, $E$13) + CHOOSE(CONTROL!$C$28, 0.0211, 0)</f>
        <v>49.751399999999997</v>
      </c>
      <c r="C831" s="4">
        <f>49.367 * CHOOSE(CONTROL!$C$9, $C$13, 100%, $E$13) + CHOOSE(CONTROL!$C$28, 0.0211, 0)</f>
        <v>49.388099999999994</v>
      </c>
      <c r="D831" s="4">
        <f>76.2332 * CHOOSE(CONTROL!$C$9, $C$13, 100%, $E$13) + CHOOSE(CONTROL!$C$28, 0.0021, 0)</f>
        <v>76.235299999999995</v>
      </c>
      <c r="E831" s="4">
        <f>350.570901073228 * CHOOSE(CONTROL!$C$9, $C$13, 100%, $E$13) + CHOOSE(CONTROL!$C$28, 0.0021, 0)</f>
        <v>350.573001073228</v>
      </c>
    </row>
    <row r="832" spans="1:5" ht="15">
      <c r="A832" s="13">
        <v>66841</v>
      </c>
      <c r="B832" s="4">
        <f>48.9636 * CHOOSE(CONTROL!$C$9, $C$13, 100%, $E$13) + CHOOSE(CONTROL!$C$28, 0.0211, 0)</f>
        <v>48.984699999999997</v>
      </c>
      <c r="C832" s="4">
        <f>48.6003 * CHOOSE(CONTROL!$C$9, $C$13, 100%, $E$13) + CHOOSE(CONTROL!$C$28, 0.0211, 0)</f>
        <v>48.621399999999994</v>
      </c>
      <c r="D832" s="4">
        <f>73.5901 * CHOOSE(CONTROL!$C$9, $C$13, 100%, $E$13) + CHOOSE(CONTROL!$C$28, 0.0021, 0)</f>
        <v>73.592200000000005</v>
      </c>
      <c r="E832" s="4">
        <f>345.080495428042 * CHOOSE(CONTROL!$C$9, $C$13, 100%, $E$13) + CHOOSE(CONTROL!$C$28, 0.0021, 0)</f>
        <v>345.082595428042</v>
      </c>
    </row>
    <row r="833" spans="1:5" ht="15">
      <c r="A833" s="13">
        <v>66872</v>
      </c>
      <c r="B833" s="4">
        <f>46.8658 * CHOOSE(CONTROL!$C$9, $C$13, 100%, $E$13) + CHOOSE(CONTROL!$C$28, 0.0211, 0)</f>
        <v>46.886899999999997</v>
      </c>
      <c r="C833" s="4">
        <f>46.5025 * CHOOSE(CONTROL!$C$9, $C$13, 100%, $E$13) + CHOOSE(CONTROL!$C$28, 0.0211, 0)</f>
        <v>46.523599999999995</v>
      </c>
      <c r="D833" s="4">
        <f>70.6786 * CHOOSE(CONTROL!$C$9, $C$13, 100%, $E$13) + CHOOSE(CONTROL!$C$28, 0.0021, 0)</f>
        <v>70.680700000000002</v>
      </c>
      <c r="E833" s="4">
        <f>330.706490589886 * CHOOSE(CONTROL!$C$9, $C$13, 100%, $E$13) + CHOOSE(CONTROL!$C$28, 0.0021, 0)</f>
        <v>330.708590589886</v>
      </c>
    </row>
    <row r="834" spans="1:5" ht="15">
      <c r="A834" s="13">
        <v>66900</v>
      </c>
      <c r="B834" s="4">
        <f>47.9602 * CHOOSE(CONTROL!$C$9, $C$13, 100%, $E$13) + CHOOSE(CONTROL!$C$28, 0.0211, 0)</f>
        <v>47.981299999999997</v>
      </c>
      <c r="C834" s="4">
        <f>47.5969 * CHOOSE(CONTROL!$C$9, $C$13, 100%, $E$13) + CHOOSE(CONTROL!$C$28, 0.0211, 0)</f>
        <v>47.617999999999995</v>
      </c>
      <c r="D834" s="4">
        <f>73.1078 * CHOOSE(CONTROL!$C$9, $C$13, 100%, $E$13) + CHOOSE(CONTROL!$C$28, 0.0021, 0)</f>
        <v>73.109899999999996</v>
      </c>
      <c r="E834" s="4">
        <f>338.558765960821 * CHOOSE(CONTROL!$C$9, $C$13, 100%, $E$13) + CHOOSE(CONTROL!$C$28, 0.0021, 0)</f>
        <v>338.56086596082099</v>
      </c>
    </row>
    <row r="835" spans="1:5" ht="15">
      <c r="A835" s="13">
        <v>66931</v>
      </c>
      <c r="B835" s="4">
        <f>50.8342 * CHOOSE(CONTROL!$C$9, $C$13, 100%, $E$13) + CHOOSE(CONTROL!$C$28, 0.0211, 0)</f>
        <v>50.8553</v>
      </c>
      <c r="C835" s="4">
        <f>50.4709 * CHOOSE(CONTROL!$C$9, $C$13, 100%, $E$13) + CHOOSE(CONTROL!$C$28, 0.0211, 0)</f>
        <v>50.491999999999997</v>
      </c>
      <c r="D835" s="4">
        <f>76.9105 * CHOOSE(CONTROL!$C$9, $C$13, 100%, $E$13) + CHOOSE(CONTROL!$C$28, 0.0021, 0)</f>
        <v>76.912599999999998</v>
      </c>
      <c r="E835" s="4">
        <f>359.179258380152 * CHOOSE(CONTROL!$C$9, $C$13, 100%, $E$13) + CHOOSE(CONTROL!$C$28, 0.0021, 0)</f>
        <v>359.18135838015201</v>
      </c>
    </row>
    <row r="836" spans="1:5" ht="15">
      <c r="A836" s="13">
        <v>66961</v>
      </c>
      <c r="B836" s="4">
        <f>52.8762 * CHOOSE(CONTROL!$C$9, $C$13, 100%, $E$13) + CHOOSE(CONTROL!$C$28, 0.0211, 0)</f>
        <v>52.897299999999994</v>
      </c>
      <c r="C836" s="4">
        <f>52.5129 * CHOOSE(CONTROL!$C$9, $C$13, 100%, $E$13) + CHOOSE(CONTROL!$C$28, 0.0211, 0)</f>
        <v>52.533999999999999</v>
      </c>
      <c r="D836" s="4">
        <f>79.1009 * CHOOSE(CONTROL!$C$9, $C$13, 100%, $E$13) + CHOOSE(CONTROL!$C$28, 0.0021, 0)</f>
        <v>79.102999999999994</v>
      </c>
      <c r="E836" s="4">
        <f>373.83039304828 * CHOOSE(CONTROL!$C$9, $C$13, 100%, $E$13) + CHOOSE(CONTROL!$C$28, 0.0021, 0)</f>
        <v>373.83249304827996</v>
      </c>
    </row>
    <row r="837" spans="1:5" ht="15">
      <c r="A837" s="13">
        <v>66992</v>
      </c>
      <c r="B837" s="4">
        <f>54.1238 * CHOOSE(CONTROL!$C$9, $C$13, 100%, $E$13) + CHOOSE(CONTROL!$C$28, 0.0415, 0)</f>
        <v>54.165300000000002</v>
      </c>
      <c r="C837" s="4">
        <f>53.7606 * CHOOSE(CONTROL!$C$9, $C$13, 100%, $E$13) + CHOOSE(CONTROL!$C$28, 0.0415, 0)</f>
        <v>53.802099999999996</v>
      </c>
      <c r="D837" s="4">
        <f>78.2354 * CHOOSE(CONTROL!$C$9, $C$13, 100%, $E$13) + CHOOSE(CONTROL!$C$28, 0.0021, 0)</f>
        <v>78.237499999999997</v>
      </c>
      <c r="E837" s="4">
        <f>382.781885191814 * CHOOSE(CONTROL!$C$9, $C$13, 100%, $E$13) + CHOOSE(CONTROL!$C$28, 0.0021, 0)</f>
        <v>382.783985191814</v>
      </c>
    </row>
    <row r="838" spans="1:5" ht="15">
      <c r="A838" s="13">
        <v>67022</v>
      </c>
      <c r="B838" s="4">
        <f>54.2927 * CHOOSE(CONTROL!$C$9, $C$13, 100%, $E$13) + CHOOSE(CONTROL!$C$28, 0.0415, 0)</f>
        <v>54.334200000000003</v>
      </c>
      <c r="C838" s="4">
        <f>53.9294 * CHOOSE(CONTROL!$C$9, $C$13, 100%, $E$13) + CHOOSE(CONTROL!$C$28, 0.0415, 0)</f>
        <v>53.9709</v>
      </c>
      <c r="D838" s="4">
        <f>78.9403 * CHOOSE(CONTROL!$C$9, $C$13, 100%, $E$13) + CHOOSE(CONTROL!$C$28, 0.0021, 0)</f>
        <v>78.942399999999992</v>
      </c>
      <c r="E838" s="4">
        <f>383.99305922829 * CHOOSE(CONTROL!$C$9, $C$13, 100%, $E$13) + CHOOSE(CONTROL!$C$28, 0.0021, 0)</f>
        <v>383.99515922828999</v>
      </c>
    </row>
    <row r="839" spans="1:5" ht="15">
      <c r="A839" s="13">
        <v>67053</v>
      </c>
      <c r="B839" s="4">
        <f>54.2756 * CHOOSE(CONTROL!$C$9, $C$13, 100%, $E$13) + CHOOSE(CONTROL!$C$28, 0.0415, 0)</f>
        <v>54.317099999999996</v>
      </c>
      <c r="C839" s="4">
        <f>53.9123 * CHOOSE(CONTROL!$C$9, $C$13, 100%, $E$13) + CHOOSE(CONTROL!$C$28, 0.0415, 0)</f>
        <v>53.953800000000001</v>
      </c>
      <c r="D839" s="4">
        <f>80.2123 * CHOOSE(CONTROL!$C$9, $C$13, 100%, $E$13) + CHOOSE(CONTROL!$C$28, 0.0021, 0)</f>
        <v>80.214399999999998</v>
      </c>
      <c r="E839" s="4">
        <f>383.870924031335 * CHOOSE(CONTROL!$C$9, $C$13, 100%, $E$13) + CHOOSE(CONTROL!$C$28, 0.0021, 0)</f>
        <v>383.87302403133498</v>
      </c>
    </row>
    <row r="840" spans="1:5" ht="15">
      <c r="A840" s="13">
        <v>67084</v>
      </c>
      <c r="B840" s="4">
        <f>55.5566 * CHOOSE(CONTROL!$C$9, $C$13, 100%, $E$13) + CHOOSE(CONTROL!$C$28, 0.0415, 0)</f>
        <v>55.598100000000002</v>
      </c>
      <c r="C840" s="4">
        <f>55.1933 * CHOOSE(CONTROL!$C$9, $C$13, 100%, $E$13) + CHOOSE(CONTROL!$C$28, 0.0415, 0)</f>
        <v>55.2348</v>
      </c>
      <c r="D840" s="4">
        <f>79.3723 * CHOOSE(CONTROL!$C$9, $C$13, 100%, $E$13) + CHOOSE(CONTROL!$C$28, 0.0021, 0)</f>
        <v>79.374399999999994</v>
      </c>
      <c r="E840" s="4">
        <f>393.061597602241 * CHOOSE(CONTROL!$C$9, $C$13, 100%, $E$13) + CHOOSE(CONTROL!$C$28, 0.0021, 0)</f>
        <v>393.06369760224101</v>
      </c>
    </row>
    <row r="841" spans="1:5" ht="15">
      <c r="A841" s="13">
        <v>67114</v>
      </c>
      <c r="B841" s="4">
        <f>53.3734 * CHOOSE(CONTROL!$C$9, $C$13, 100%, $E$13) + CHOOSE(CONTROL!$C$28, 0.0415, 0)</f>
        <v>53.414899999999996</v>
      </c>
      <c r="C841" s="4">
        <f>53.0101 * CHOOSE(CONTROL!$C$9, $C$13, 100%, $E$13) + CHOOSE(CONTROL!$C$28, 0.0415, 0)</f>
        <v>53.051600000000001</v>
      </c>
      <c r="D841" s="4">
        <f>78.9754 * CHOOSE(CONTROL!$C$9, $C$13, 100%, $E$13) + CHOOSE(CONTROL!$C$28, 0.0021, 0)</f>
        <v>78.977499999999992</v>
      </c>
      <c r="E841" s="4">
        <f>377.39775859269 * CHOOSE(CONTROL!$C$9, $C$13, 100%, $E$13) + CHOOSE(CONTROL!$C$28, 0.0021, 0)</f>
        <v>377.39985859269001</v>
      </c>
    </row>
    <row r="842" spans="1:5" ht="15">
      <c r="A842" s="13">
        <v>67145</v>
      </c>
      <c r="B842" s="4">
        <f>51.6258 * CHOOSE(CONTROL!$C$9, $C$13, 100%, $E$13) + CHOOSE(CONTROL!$C$28, 0.0211, 0)</f>
        <v>51.646899999999995</v>
      </c>
      <c r="C842" s="4">
        <f>51.2625 * CHOOSE(CONTROL!$C$9, $C$13, 100%, $E$13) + CHOOSE(CONTROL!$C$28, 0.0211, 0)</f>
        <v>51.2836</v>
      </c>
      <c r="D842" s="4">
        <f>77.9127 * CHOOSE(CONTROL!$C$9, $C$13, 100%, $E$13) + CHOOSE(CONTROL!$C$28, 0.0021, 0)</f>
        <v>77.9148</v>
      </c>
      <c r="E842" s="4">
        <f>364.858545038585 * CHOOSE(CONTROL!$C$9, $C$13, 100%, $E$13) + CHOOSE(CONTROL!$C$28, 0.0021, 0)</f>
        <v>364.86064503858501</v>
      </c>
    </row>
    <row r="843" spans="1:5" ht="15">
      <c r="A843" s="13">
        <v>67175</v>
      </c>
      <c r="B843" s="4">
        <f>50.5001 * CHOOSE(CONTROL!$C$9, $C$13, 100%, $E$13) + CHOOSE(CONTROL!$C$28, 0.0211, 0)</f>
        <v>50.5212</v>
      </c>
      <c r="C843" s="4">
        <f>50.1369 * CHOOSE(CONTROL!$C$9, $C$13, 100%, $E$13) + CHOOSE(CONTROL!$C$28, 0.0211, 0)</f>
        <v>50.157999999999994</v>
      </c>
      <c r="D843" s="4">
        <f>77.5474 * CHOOSE(CONTROL!$C$9, $C$13, 100%, $E$13) + CHOOSE(CONTROL!$C$28, 0.0021, 0)</f>
        <v>77.549499999999995</v>
      </c>
      <c r="E843" s="4">
        <f>356.782355139899 * CHOOSE(CONTROL!$C$9, $C$13, 100%, $E$13) + CHOOSE(CONTROL!$C$28, 0.0021, 0)</f>
        <v>356.78445513989897</v>
      </c>
    </row>
    <row r="844" spans="1:5" ht="15">
      <c r="A844" s="13">
        <v>67206</v>
      </c>
      <c r="B844" s="4">
        <f>49.7214 * CHOOSE(CONTROL!$C$9, $C$13, 100%, $E$13) + CHOOSE(CONTROL!$C$28, 0.0211, 0)</f>
        <v>49.7425</v>
      </c>
      <c r="C844" s="4">
        <f>49.3581 * CHOOSE(CONTROL!$C$9, $C$13, 100%, $E$13) + CHOOSE(CONTROL!$C$28, 0.0211, 0)</f>
        <v>49.379199999999997</v>
      </c>
      <c r="D844" s="4">
        <f>74.8576 * CHOOSE(CONTROL!$C$9, $C$13, 100%, $E$13) + CHOOSE(CONTROL!$C$28, 0.0021, 0)</f>
        <v>74.859700000000004</v>
      </c>
      <c r="E844" s="4">
        <f>351.194669879182 * CHOOSE(CONTROL!$C$9, $C$13, 100%, $E$13) + CHOOSE(CONTROL!$C$28, 0.0021, 0)</f>
        <v>351.196769879182</v>
      </c>
    </row>
    <row r="845" spans="1:5" ht="15">
      <c r="A845" s="13">
        <v>67237</v>
      </c>
      <c r="B845" s="4">
        <f>47.5906 * CHOOSE(CONTROL!$C$9, $C$13, 100%, $E$13) + CHOOSE(CONTROL!$C$28, 0.0211, 0)</f>
        <v>47.611699999999999</v>
      </c>
      <c r="C845" s="4">
        <f>47.2273 * CHOOSE(CONTROL!$C$9, $C$13, 100%, $E$13) + CHOOSE(CONTROL!$C$28, 0.0211, 0)</f>
        <v>47.248399999999997</v>
      </c>
      <c r="D845" s="4">
        <f>71.8947 * CHOOSE(CONTROL!$C$9, $C$13, 100%, $E$13) + CHOOSE(CONTROL!$C$28, 0.0021, 0)</f>
        <v>71.896799999999999</v>
      </c>
      <c r="E845" s="4">
        <f>336.565984830738 * CHOOSE(CONTROL!$C$9, $C$13, 100%, $E$13) + CHOOSE(CONTROL!$C$28, 0.0021, 0)</f>
        <v>336.56808483073797</v>
      </c>
    </row>
    <row r="846" spans="1:5" ht="15">
      <c r="A846" s="13">
        <v>67266</v>
      </c>
      <c r="B846" s="4">
        <f>48.7022 * CHOOSE(CONTROL!$C$9, $C$13, 100%, $E$13) + CHOOSE(CONTROL!$C$28, 0.0211, 0)</f>
        <v>48.723299999999995</v>
      </c>
      <c r="C846" s="4">
        <f>48.339 * CHOOSE(CONTROL!$C$9, $C$13, 100%, $E$13) + CHOOSE(CONTROL!$C$28, 0.0211, 0)</f>
        <v>48.360099999999996</v>
      </c>
      <c r="D846" s="4">
        <f>74.3668 * CHOOSE(CONTROL!$C$9, $C$13, 100%, $E$13) + CHOOSE(CONTROL!$C$28, 0.0021, 0)</f>
        <v>74.368899999999996</v>
      </c>
      <c r="E846" s="4">
        <f>344.557387686687 * CHOOSE(CONTROL!$C$9, $C$13, 100%, $E$13) + CHOOSE(CONTROL!$C$28, 0.0021, 0)</f>
        <v>344.55948768668696</v>
      </c>
    </row>
    <row r="847" spans="1:5" ht="15">
      <c r="A847" s="13">
        <v>67297</v>
      </c>
      <c r="B847" s="4">
        <f>51.6214 * CHOOSE(CONTROL!$C$9, $C$13, 100%, $E$13) + CHOOSE(CONTROL!$C$28, 0.0211, 0)</f>
        <v>51.642499999999998</v>
      </c>
      <c r="C847" s="4">
        <f>51.2581 * CHOOSE(CONTROL!$C$9, $C$13, 100%, $E$13) + CHOOSE(CONTROL!$C$28, 0.0211, 0)</f>
        <v>51.279199999999996</v>
      </c>
      <c r="D847" s="4">
        <f>78.2366 * CHOOSE(CONTROL!$C$9, $C$13, 100%, $E$13) + CHOOSE(CONTROL!$C$28, 0.0021, 0)</f>
        <v>78.238699999999994</v>
      </c>
      <c r="E847" s="4">
        <f>365.543236275348 * CHOOSE(CONTROL!$C$9, $C$13, 100%, $E$13) + CHOOSE(CONTROL!$C$28, 0.0021, 0)</f>
        <v>365.54533627534801</v>
      </c>
    </row>
    <row r="848" spans="1:5" ht="15">
      <c r="A848" s="13">
        <v>67327</v>
      </c>
      <c r="B848" s="4">
        <f>53.6955 * CHOOSE(CONTROL!$C$9, $C$13, 100%, $E$13) + CHOOSE(CONTROL!$C$28, 0.0211, 0)</f>
        <v>53.7166</v>
      </c>
      <c r="C848" s="4">
        <f>53.3323 * CHOOSE(CONTROL!$C$9, $C$13, 100%, $E$13) + CHOOSE(CONTROL!$C$28, 0.0211, 0)</f>
        <v>53.353399999999993</v>
      </c>
      <c r="D848" s="4">
        <f>80.4658 * CHOOSE(CONTROL!$C$9, $C$13, 100%, $E$13) + CHOOSE(CONTROL!$C$28, 0.0021, 0)</f>
        <v>80.4679</v>
      </c>
      <c r="E848" s="4">
        <f>380.453961370796 * CHOOSE(CONTROL!$C$9, $C$13, 100%, $E$13) + CHOOSE(CONTROL!$C$28, 0.0021, 0)</f>
        <v>380.45606137079596</v>
      </c>
    </row>
    <row r="849" spans="1:5" ht="15">
      <c r="A849" s="13">
        <v>67358</v>
      </c>
      <c r="B849" s="4">
        <f>54.9628 * CHOOSE(CONTROL!$C$9, $C$13, 100%, $E$13) + CHOOSE(CONTROL!$C$28, 0.0415, 0)</f>
        <v>55.004300000000001</v>
      </c>
      <c r="C849" s="4">
        <f>54.5995 * CHOOSE(CONTROL!$C$9, $C$13, 100%, $E$13) + CHOOSE(CONTROL!$C$28, 0.0415, 0)</f>
        <v>54.640999999999998</v>
      </c>
      <c r="D849" s="4">
        <f>79.5849 * CHOOSE(CONTROL!$C$9, $C$13, 100%, $E$13) + CHOOSE(CONTROL!$C$28, 0.0021, 0)</f>
        <v>79.587000000000003</v>
      </c>
      <c r="E849" s="4">
        <f>389.564057043909 * CHOOSE(CONTROL!$C$9, $C$13, 100%, $E$13) + CHOOSE(CONTROL!$C$28, 0.0021, 0)</f>
        <v>389.56615704390896</v>
      </c>
    </row>
    <row r="850" spans="1:5" ht="15">
      <c r="A850" s="13">
        <v>67388</v>
      </c>
      <c r="B850" s="4">
        <f>55.1342 * CHOOSE(CONTROL!$C$9, $C$13, 100%, $E$13) + CHOOSE(CONTROL!$C$28, 0.0415, 0)</f>
        <v>55.175699999999999</v>
      </c>
      <c r="C850" s="4">
        <f>54.771 * CHOOSE(CONTROL!$C$9, $C$13, 100%, $E$13) + CHOOSE(CONTROL!$C$28, 0.0415, 0)</f>
        <v>54.8125</v>
      </c>
      <c r="D850" s="4">
        <f>80.3023 * CHOOSE(CONTROL!$C$9, $C$13, 100%, $E$13) + CHOOSE(CONTROL!$C$28, 0.0021, 0)</f>
        <v>80.304400000000001</v>
      </c>
      <c r="E850" s="4">
        <f>390.796690796156 * CHOOSE(CONTROL!$C$9, $C$13, 100%, $E$13) + CHOOSE(CONTROL!$C$28, 0.0021, 0)</f>
        <v>390.79879079615597</v>
      </c>
    </row>
    <row r="851" spans="1:5" ht="15">
      <c r="A851" s="13">
        <v>67419</v>
      </c>
      <c r="B851" s="4">
        <f>55.1169 * CHOOSE(CONTROL!$C$9, $C$13, 100%, $E$13) + CHOOSE(CONTROL!$C$28, 0.0415, 0)</f>
        <v>55.1584</v>
      </c>
      <c r="C851" s="4">
        <f>54.7537 * CHOOSE(CONTROL!$C$9, $C$13, 100%, $E$13) + CHOOSE(CONTROL!$C$28, 0.0415, 0)</f>
        <v>54.795200000000001</v>
      </c>
      <c r="D851" s="4">
        <f>81.5968 * CHOOSE(CONTROL!$C$9, $C$13, 100%, $E$13) + CHOOSE(CONTROL!$C$28, 0.0021, 0)</f>
        <v>81.5989</v>
      </c>
      <c r="E851" s="4">
        <f>390.672391594248 * CHOOSE(CONTROL!$C$9, $C$13, 100%, $E$13) + CHOOSE(CONTROL!$C$28, 0.0021, 0)</f>
        <v>390.67449159424797</v>
      </c>
    </row>
    <row r="852" spans="1:5" ht="15">
      <c r="A852" s="13">
        <v>67450</v>
      </c>
      <c r="B852" s="4">
        <f>56.418 * CHOOSE(CONTROL!$C$9, $C$13, 100%, $E$13) + CHOOSE(CONTROL!$C$28, 0.0415, 0)</f>
        <v>56.459499999999998</v>
      </c>
      <c r="C852" s="4">
        <f>56.0548 * CHOOSE(CONTROL!$C$9, $C$13, 100%, $E$13) + CHOOSE(CONTROL!$C$28, 0.0415, 0)</f>
        <v>56.096299999999999</v>
      </c>
      <c r="D852" s="4">
        <f>80.7419 * CHOOSE(CONTROL!$C$9, $C$13, 100%, $E$13) + CHOOSE(CONTROL!$C$28, 0.0021, 0)</f>
        <v>80.744</v>
      </c>
      <c r="E852" s="4">
        <f>400.025906537763 * CHOOSE(CONTROL!$C$9, $C$13, 100%, $E$13) + CHOOSE(CONTROL!$C$28, 0.0021, 0)</f>
        <v>400.02800653776296</v>
      </c>
    </row>
    <row r="853" spans="1:5" ht="15">
      <c r="A853" s="13">
        <v>67480</v>
      </c>
      <c r="B853" s="4">
        <f>54.2006 * CHOOSE(CONTROL!$C$9, $C$13, 100%, $E$13) + CHOOSE(CONTROL!$C$28, 0.0415, 0)</f>
        <v>54.242100000000001</v>
      </c>
      <c r="C853" s="4">
        <f>53.8373 * CHOOSE(CONTROL!$C$9, $C$13, 100%, $E$13) + CHOOSE(CONTROL!$C$28, 0.0415, 0)</f>
        <v>53.878799999999998</v>
      </c>
      <c r="D853" s="4">
        <f>80.338 * CHOOSE(CONTROL!$C$9, $C$13, 100%, $E$13) + CHOOSE(CONTROL!$C$28, 0.0021, 0)</f>
        <v>80.340099999999993</v>
      </c>
      <c r="E853" s="4">
        <f>384.084533893168 * CHOOSE(CONTROL!$C$9, $C$13, 100%, $E$13) + CHOOSE(CONTROL!$C$28, 0.0021, 0)</f>
        <v>384.08663389316797</v>
      </c>
    </row>
    <row r="854" spans="1:5" ht="15">
      <c r="A854" s="13">
        <v>67511</v>
      </c>
      <c r="B854" s="4">
        <f>52.4254 * CHOOSE(CONTROL!$C$9, $C$13, 100%, $E$13) + CHOOSE(CONTROL!$C$28, 0.0211, 0)</f>
        <v>52.4465</v>
      </c>
      <c r="C854" s="4">
        <f>52.0621 * CHOOSE(CONTROL!$C$9, $C$13, 100%, $E$13) + CHOOSE(CONTROL!$C$28, 0.0211, 0)</f>
        <v>52.083199999999998</v>
      </c>
      <c r="D854" s="4">
        <f>79.2566 * CHOOSE(CONTROL!$C$9, $C$13, 100%, $E$13) + CHOOSE(CONTROL!$C$28, 0.0021, 0)</f>
        <v>79.258700000000005</v>
      </c>
      <c r="E854" s="4">
        <f>371.323149164032 * CHOOSE(CONTROL!$C$9, $C$13, 100%, $E$13) + CHOOSE(CONTROL!$C$28, 0.0021, 0)</f>
        <v>371.32524916403196</v>
      </c>
    </row>
    <row r="855" spans="1:5" ht="15">
      <c r="A855" s="13">
        <v>67541</v>
      </c>
      <c r="B855" s="4">
        <f>51.2821 * CHOOSE(CONTROL!$C$9, $C$13, 100%, $E$13) + CHOOSE(CONTROL!$C$28, 0.0211, 0)</f>
        <v>51.303199999999997</v>
      </c>
      <c r="C855" s="4">
        <f>50.9188 * CHOOSE(CONTROL!$C$9, $C$13, 100%, $E$13) + CHOOSE(CONTROL!$C$28, 0.0211, 0)</f>
        <v>50.939899999999994</v>
      </c>
      <c r="D855" s="4">
        <f>78.8848 * CHOOSE(CONTROL!$C$9, $C$13, 100%, $E$13) + CHOOSE(CONTROL!$C$28, 0.0021, 0)</f>
        <v>78.886899999999997</v>
      </c>
      <c r="E855" s="4">
        <f>363.10386443792 * CHOOSE(CONTROL!$C$9, $C$13, 100%, $E$13) + CHOOSE(CONTROL!$C$28, 0.0021, 0)</f>
        <v>363.10596443791997</v>
      </c>
    </row>
    <row r="856" spans="1:5" ht="15">
      <c r="A856" s="13">
        <v>67572</v>
      </c>
      <c r="B856" s="4">
        <f>50.4911 * CHOOSE(CONTROL!$C$9, $C$13, 100%, $E$13) + CHOOSE(CONTROL!$C$28, 0.0211, 0)</f>
        <v>50.5122</v>
      </c>
      <c r="C856" s="4">
        <f>50.1278 * CHOOSE(CONTROL!$C$9, $C$13, 100%, $E$13) + CHOOSE(CONTROL!$C$28, 0.0211, 0)</f>
        <v>50.148899999999998</v>
      </c>
      <c r="D856" s="4">
        <f>76.1475 * CHOOSE(CONTROL!$C$9, $C$13, 100%, $E$13) + CHOOSE(CONTROL!$C$28, 0.0021, 0)</f>
        <v>76.149599999999992</v>
      </c>
      <c r="E856" s="4">
        <f>357.417175950667 * CHOOSE(CONTROL!$C$9, $C$13, 100%, $E$13) + CHOOSE(CONTROL!$C$28, 0.0021, 0)</f>
        <v>357.41927595066699</v>
      </c>
    </row>
    <row r="857" spans="1:5" ht="15">
      <c r="A857" s="13">
        <v>67603</v>
      </c>
      <c r="B857" s="4">
        <f>48.3268 * CHOOSE(CONTROL!$C$9, $C$13, 100%, $E$13) + CHOOSE(CONTROL!$C$28, 0.0211, 0)</f>
        <v>48.347899999999996</v>
      </c>
      <c r="C857" s="4">
        <f>47.9635 * CHOOSE(CONTROL!$C$9, $C$13, 100%, $E$13) + CHOOSE(CONTROL!$C$28, 0.0211, 0)</f>
        <v>47.9846</v>
      </c>
      <c r="D857" s="4">
        <f>73.1322 * CHOOSE(CONTROL!$C$9, $C$13, 100%, $E$13) + CHOOSE(CONTROL!$C$28, 0.0021, 0)</f>
        <v>73.134299999999996</v>
      </c>
      <c r="E857" s="4">
        <f>342.529298239751 * CHOOSE(CONTROL!$C$9, $C$13, 100%, $E$13) + CHOOSE(CONTROL!$C$28, 0.0021, 0)</f>
        <v>342.53139823975096</v>
      </c>
    </row>
    <row r="858" spans="1:5" ht="15">
      <c r="A858" s="13">
        <v>67631</v>
      </c>
      <c r="B858" s="4">
        <f>49.4559 * CHOOSE(CONTROL!$C$9, $C$13, 100%, $E$13) + CHOOSE(CONTROL!$C$28, 0.0211, 0)</f>
        <v>49.476999999999997</v>
      </c>
      <c r="C858" s="4">
        <f>49.0926 * CHOOSE(CONTROL!$C$9, $C$13, 100%, $E$13) + CHOOSE(CONTROL!$C$28, 0.0211, 0)</f>
        <v>49.113699999999994</v>
      </c>
      <c r="D858" s="4">
        <f>75.648 * CHOOSE(CONTROL!$C$9, $C$13, 100%, $E$13) + CHOOSE(CONTROL!$C$28, 0.0021, 0)</f>
        <v>75.650099999999995</v>
      </c>
      <c r="E858" s="4">
        <f>350.662293656908 * CHOOSE(CONTROL!$C$9, $C$13, 100%, $E$13) + CHOOSE(CONTROL!$C$28, 0.0021, 0)</f>
        <v>350.66439365690798</v>
      </c>
    </row>
    <row r="859" spans="1:5" ht="15">
      <c r="A859" s="13">
        <v>67662</v>
      </c>
      <c r="B859" s="4">
        <f>52.421 * CHOOSE(CONTROL!$C$9, $C$13, 100%, $E$13) + CHOOSE(CONTROL!$C$28, 0.0211, 0)</f>
        <v>52.442099999999996</v>
      </c>
      <c r="C859" s="4">
        <f>52.0577 * CHOOSE(CONTROL!$C$9, $C$13, 100%, $E$13) + CHOOSE(CONTROL!$C$28, 0.0211, 0)</f>
        <v>52.078799999999994</v>
      </c>
      <c r="D859" s="4">
        <f>79.5862 * CHOOSE(CONTROL!$C$9, $C$13, 100%, $E$13) + CHOOSE(CONTROL!$C$28, 0.0021, 0)</f>
        <v>79.588300000000004</v>
      </c>
      <c r="E859" s="4">
        <f>372.019971835987 * CHOOSE(CONTROL!$C$9, $C$13, 100%, $E$13) + CHOOSE(CONTROL!$C$28, 0.0021, 0)</f>
        <v>372.02207183598699</v>
      </c>
    </row>
    <row r="860" spans="1:5" ht="15">
      <c r="A860" s="13">
        <v>67692</v>
      </c>
      <c r="B860" s="4">
        <f>54.5277 * CHOOSE(CONTROL!$C$9, $C$13, 100%, $E$13) + CHOOSE(CONTROL!$C$28, 0.0211, 0)</f>
        <v>54.5488</v>
      </c>
      <c r="C860" s="4">
        <f>54.1645 * CHOOSE(CONTROL!$C$9, $C$13, 100%, $E$13) + CHOOSE(CONTROL!$C$28, 0.0211, 0)</f>
        <v>54.185599999999994</v>
      </c>
      <c r="D860" s="4">
        <f>81.8548 * CHOOSE(CONTROL!$C$9, $C$13, 100%, $E$13) + CHOOSE(CONTROL!$C$28, 0.0021, 0)</f>
        <v>81.856899999999996</v>
      </c>
      <c r="E860" s="4">
        <f>387.194886810708 * CHOOSE(CONTROL!$C$9, $C$13, 100%, $E$13) + CHOOSE(CONTROL!$C$28, 0.0021, 0)</f>
        <v>387.19698681070798</v>
      </c>
    </row>
    <row r="861" spans="1:5" ht="15">
      <c r="A861" s="13">
        <v>67723</v>
      </c>
      <c r="B861" s="4">
        <f>55.8149 * CHOOSE(CONTROL!$C$9, $C$13, 100%, $E$13) + CHOOSE(CONTROL!$C$28, 0.0415, 0)</f>
        <v>55.856400000000001</v>
      </c>
      <c r="C861" s="4">
        <f>55.4516 * CHOOSE(CONTROL!$C$9, $C$13, 100%, $E$13) + CHOOSE(CONTROL!$C$28, 0.0415, 0)</f>
        <v>55.493099999999998</v>
      </c>
      <c r="D861" s="4">
        <f>80.9584 * CHOOSE(CONTROL!$C$9, $C$13, 100%, $E$13) + CHOOSE(CONTROL!$C$28, 0.0021, 0)</f>
        <v>80.960499999999996</v>
      </c>
      <c r="E861" s="4">
        <f>396.46639616831 * CHOOSE(CONTROL!$C$9, $C$13, 100%, $E$13) + CHOOSE(CONTROL!$C$28, 0.0021, 0)</f>
        <v>396.46849616830997</v>
      </c>
    </row>
    <row r="862" spans="1:5" ht="15">
      <c r="A862" s="13">
        <v>67753</v>
      </c>
      <c r="B862" s="4">
        <f>55.9891 * CHOOSE(CONTROL!$C$9, $C$13, 100%, $E$13) + CHOOSE(CONTROL!$C$28, 0.0415, 0)</f>
        <v>56.0306</v>
      </c>
      <c r="C862" s="4">
        <f>55.6258 * CHOOSE(CONTROL!$C$9, $C$13, 100%, $E$13) + CHOOSE(CONTROL!$C$28, 0.0415, 0)</f>
        <v>55.667299999999997</v>
      </c>
      <c r="D862" s="4">
        <f>81.6884 * CHOOSE(CONTROL!$C$9, $C$13, 100%, $E$13) + CHOOSE(CONTROL!$C$28, 0.0021, 0)</f>
        <v>81.6905</v>
      </c>
      <c r="E862" s="4">
        <f>397.720869861948 * CHOOSE(CONTROL!$C$9, $C$13, 100%, $E$13) + CHOOSE(CONTROL!$C$28, 0.0021, 0)</f>
        <v>397.722969861948</v>
      </c>
    </row>
    <row r="863" spans="1:5" ht="15">
      <c r="A863" s="13">
        <v>67784</v>
      </c>
      <c r="B863" s="4">
        <f>55.9715 * CHOOSE(CONTROL!$C$9, $C$13, 100%, $E$13) + CHOOSE(CONTROL!$C$28, 0.0415, 0)</f>
        <v>56.012999999999998</v>
      </c>
      <c r="C863" s="4">
        <f>55.6082 * CHOOSE(CONTROL!$C$9, $C$13, 100%, $E$13) + CHOOSE(CONTROL!$C$28, 0.0415, 0)</f>
        <v>55.649699999999996</v>
      </c>
      <c r="D863" s="4">
        <f>83.0057 * CHOOSE(CONTROL!$C$9, $C$13, 100%, $E$13) + CHOOSE(CONTROL!$C$28, 0.0021, 0)</f>
        <v>83.007800000000003</v>
      </c>
      <c r="E863" s="4">
        <f>397.594368313009 * CHOOSE(CONTROL!$C$9, $C$13, 100%, $E$13) + CHOOSE(CONTROL!$C$28, 0.0021, 0)</f>
        <v>397.59646831300898</v>
      </c>
    </row>
    <row r="864" spans="1:5" ht="15">
      <c r="A864" s="13">
        <v>67815</v>
      </c>
      <c r="B864" s="4">
        <f>57.2931 * CHOOSE(CONTROL!$C$9, $C$13, 100%, $E$13) + CHOOSE(CONTROL!$C$28, 0.0415, 0)</f>
        <v>57.334600000000002</v>
      </c>
      <c r="C864" s="4">
        <f>56.9298 * CHOOSE(CONTROL!$C$9, $C$13, 100%, $E$13) + CHOOSE(CONTROL!$C$28, 0.0415, 0)</f>
        <v>56.971299999999999</v>
      </c>
      <c r="D864" s="4">
        <f>82.1358 * CHOOSE(CONTROL!$C$9, $C$13, 100%, $E$13) + CHOOSE(CONTROL!$C$28, 0.0021, 0)</f>
        <v>82.137900000000002</v>
      </c>
      <c r="E864" s="4">
        <f>407.113609870615 * CHOOSE(CONTROL!$C$9, $C$13, 100%, $E$13) + CHOOSE(CONTROL!$C$28, 0.0021, 0)</f>
        <v>407.11570987061498</v>
      </c>
    </row>
    <row r="865" spans="1:5" ht="15">
      <c r="A865" s="13">
        <v>67845</v>
      </c>
      <c r="B865" s="4">
        <f>55.0407 * CHOOSE(CONTROL!$C$9, $C$13, 100%, $E$13) + CHOOSE(CONTROL!$C$28, 0.0415, 0)</f>
        <v>55.0822</v>
      </c>
      <c r="C865" s="4">
        <f>54.6774 * CHOOSE(CONTROL!$C$9, $C$13, 100%, $E$13) + CHOOSE(CONTROL!$C$28, 0.0415, 0)</f>
        <v>54.718899999999998</v>
      </c>
      <c r="D865" s="4">
        <f>81.7247 * CHOOSE(CONTROL!$C$9, $C$13, 100%, $E$13) + CHOOSE(CONTROL!$C$28, 0.0021, 0)</f>
        <v>81.726799999999997</v>
      </c>
      <c r="E865" s="4">
        <f>390.889786219281 * CHOOSE(CONTROL!$C$9, $C$13, 100%, $E$13) + CHOOSE(CONTROL!$C$28, 0.0021, 0)</f>
        <v>390.89188621928099</v>
      </c>
    </row>
    <row r="866" spans="1:5" ht="15">
      <c r="A866" s="13">
        <v>67876</v>
      </c>
      <c r="B866" s="4">
        <f>53.2376 * CHOOSE(CONTROL!$C$9, $C$13, 100%, $E$13) + CHOOSE(CONTROL!$C$28, 0.0211, 0)</f>
        <v>53.258699999999997</v>
      </c>
      <c r="C866" s="4">
        <f>52.8744 * CHOOSE(CONTROL!$C$9, $C$13, 100%, $E$13) + CHOOSE(CONTROL!$C$28, 0.0211, 0)</f>
        <v>52.895499999999998</v>
      </c>
      <c r="D866" s="4">
        <f>80.6242 * CHOOSE(CONTROL!$C$9, $C$13, 100%, $E$13) + CHOOSE(CONTROL!$C$28, 0.0021, 0)</f>
        <v>80.626300000000001</v>
      </c>
      <c r="E866" s="4">
        <f>377.902293861617 * CHOOSE(CONTROL!$C$9, $C$13, 100%, $E$13) + CHOOSE(CONTROL!$C$28, 0.0021, 0)</f>
        <v>377.904393861617</v>
      </c>
    </row>
    <row r="867" spans="1:5" ht="15">
      <c r="A867" s="13">
        <v>67906</v>
      </c>
      <c r="B867" s="4">
        <f>52.0763 * CHOOSE(CONTROL!$C$9, $C$13, 100%, $E$13) + CHOOSE(CONTROL!$C$28, 0.0211, 0)</f>
        <v>52.0974</v>
      </c>
      <c r="C867" s="4">
        <f>51.7131 * CHOOSE(CONTROL!$C$9, $C$13, 100%, $E$13) + CHOOSE(CONTROL!$C$28, 0.0211, 0)</f>
        <v>51.734199999999994</v>
      </c>
      <c r="D867" s="4">
        <f>80.2458 * CHOOSE(CONTROL!$C$9, $C$13, 100%, $E$13) + CHOOSE(CONTROL!$C$28, 0.0021, 0)</f>
        <v>80.247900000000001</v>
      </c>
      <c r="E867" s="4">
        <f>369.537378938074 * CHOOSE(CONTROL!$C$9, $C$13, 100%, $E$13) + CHOOSE(CONTROL!$C$28, 0.0021, 0)</f>
        <v>369.53947893807401</v>
      </c>
    </row>
    <row r="868" spans="1:5" ht="15">
      <c r="A868" s="13">
        <v>67937</v>
      </c>
      <c r="B868" s="4">
        <f>51.2729 * CHOOSE(CONTROL!$C$9, $C$13, 100%, $E$13) + CHOOSE(CONTROL!$C$28, 0.0211, 0)</f>
        <v>51.293999999999997</v>
      </c>
      <c r="C868" s="4">
        <f>50.9096 * CHOOSE(CONTROL!$C$9, $C$13, 100%, $E$13) + CHOOSE(CONTROL!$C$28, 0.0211, 0)</f>
        <v>50.930699999999995</v>
      </c>
      <c r="D868" s="4">
        <f>77.4602 * CHOOSE(CONTROL!$C$9, $C$13, 100%, $E$13) + CHOOSE(CONTROL!$C$28, 0.0021, 0)</f>
        <v>77.462299999999999</v>
      </c>
      <c r="E868" s="4">
        <f>363.749933074147 * CHOOSE(CONTROL!$C$9, $C$13, 100%, $E$13) + CHOOSE(CONTROL!$C$28, 0.0021, 0)</f>
        <v>363.75203307414699</v>
      </c>
    </row>
    <row r="869" spans="1:5" ht="15">
      <c r="A869" s="13">
        <v>67968</v>
      </c>
      <c r="B869" s="4">
        <f>49.0746 * CHOOSE(CONTROL!$C$9, $C$13, 100%, $E$13) + CHOOSE(CONTROL!$C$28, 0.0211, 0)</f>
        <v>49.095699999999994</v>
      </c>
      <c r="C869" s="4">
        <f>48.7113 * CHOOSE(CONTROL!$C$9, $C$13, 100%, $E$13) + CHOOSE(CONTROL!$C$28, 0.0211, 0)</f>
        <v>48.732399999999998</v>
      </c>
      <c r="D869" s="4">
        <f>74.3916 * CHOOSE(CONTROL!$C$9, $C$13, 100%, $E$13) + CHOOSE(CONTROL!$C$28, 0.0021, 0)</f>
        <v>74.393699999999995</v>
      </c>
      <c r="E869" s="4">
        <f>348.59827029645 * CHOOSE(CONTROL!$C$9, $C$13, 100%, $E$13) + CHOOSE(CONTROL!$C$28, 0.0021, 0)</f>
        <v>348.60037029644997</v>
      </c>
    </row>
    <row r="870" spans="1:5" ht="15">
      <c r="A870" s="13">
        <v>67996</v>
      </c>
      <c r="B870" s="4">
        <f>50.2214 * CHOOSE(CONTROL!$C$9, $C$13, 100%, $E$13) + CHOOSE(CONTROL!$C$28, 0.0211, 0)</f>
        <v>50.2425</v>
      </c>
      <c r="C870" s="4">
        <f>49.8582 * CHOOSE(CONTROL!$C$9, $C$13, 100%, $E$13) + CHOOSE(CONTROL!$C$28, 0.0211, 0)</f>
        <v>49.879299999999994</v>
      </c>
      <c r="D870" s="4">
        <f>76.9518 * CHOOSE(CONTROL!$C$9, $C$13, 100%, $E$13) + CHOOSE(CONTROL!$C$28, 0.0021, 0)</f>
        <v>76.953900000000004</v>
      </c>
      <c r="E870" s="4">
        <f>356.875367027502 * CHOOSE(CONTROL!$C$9, $C$13, 100%, $E$13) + CHOOSE(CONTROL!$C$28, 0.0021, 0)</f>
        <v>356.87746702750201</v>
      </c>
    </row>
    <row r="871" spans="1:5" ht="15">
      <c r="A871" s="13">
        <v>68027</v>
      </c>
      <c r="B871" s="4">
        <f>53.2332 * CHOOSE(CONTROL!$C$9, $C$13, 100%, $E$13) + CHOOSE(CONTROL!$C$28, 0.0211, 0)</f>
        <v>53.254299999999994</v>
      </c>
      <c r="C871" s="4">
        <f>52.8699 * CHOOSE(CONTROL!$C$9, $C$13, 100%, $E$13) + CHOOSE(CONTROL!$C$28, 0.0211, 0)</f>
        <v>52.890999999999998</v>
      </c>
      <c r="D871" s="4">
        <f>80.9597 * CHOOSE(CONTROL!$C$9, $C$13, 100%, $E$13) + CHOOSE(CONTROL!$C$28, 0.0021, 0)</f>
        <v>80.961799999999997</v>
      </c>
      <c r="E871" s="4">
        <f>378.611462914879 * CHOOSE(CONTROL!$C$9, $C$13, 100%, $E$13) + CHOOSE(CONTROL!$C$28, 0.0021, 0)</f>
        <v>378.61356291487897</v>
      </c>
    </row>
    <row r="872" spans="1:5" ht="15">
      <c r="A872" s="13">
        <v>68057</v>
      </c>
      <c r="B872" s="4">
        <f>55.373 * CHOOSE(CONTROL!$C$9, $C$13, 100%, $E$13) + CHOOSE(CONTROL!$C$28, 0.0211, 0)</f>
        <v>55.394099999999995</v>
      </c>
      <c r="C872" s="4">
        <f>55.0097 * CHOOSE(CONTROL!$C$9, $C$13, 100%, $E$13) + CHOOSE(CONTROL!$C$28, 0.0211, 0)</f>
        <v>55.030799999999999</v>
      </c>
      <c r="D872" s="4">
        <f>83.2683 * CHOOSE(CONTROL!$C$9, $C$13, 100%, $E$13) + CHOOSE(CONTROL!$C$28, 0.0021, 0)</f>
        <v>83.270399999999995</v>
      </c>
      <c r="E872" s="4">
        <f>394.055248714425 * CHOOSE(CONTROL!$C$9, $C$13, 100%, $E$13) + CHOOSE(CONTROL!$C$28, 0.0021, 0)</f>
        <v>394.05734871442496</v>
      </c>
    </row>
    <row r="873" spans="1:5" ht="15">
      <c r="A873" s="13">
        <v>68088</v>
      </c>
      <c r="B873" s="4">
        <f>56.6804 * CHOOSE(CONTROL!$C$9, $C$13, 100%, $E$13) + CHOOSE(CONTROL!$C$28, 0.0415, 0)</f>
        <v>56.721899999999998</v>
      </c>
      <c r="C873" s="4">
        <f>56.3171 * CHOOSE(CONTROL!$C$9, $C$13, 100%, $E$13) + CHOOSE(CONTROL!$C$28, 0.0415, 0)</f>
        <v>56.358600000000003</v>
      </c>
      <c r="D873" s="4">
        <f>82.356 * CHOOSE(CONTROL!$C$9, $C$13, 100%, $E$13) + CHOOSE(CONTROL!$C$28, 0.0021, 0)</f>
        <v>82.358099999999993</v>
      </c>
      <c r="E873" s="4">
        <f>403.49103170206 * CHOOSE(CONTROL!$C$9, $C$13, 100%, $E$13) + CHOOSE(CONTROL!$C$28, 0.0021, 0)</f>
        <v>403.49313170206</v>
      </c>
    </row>
    <row r="874" spans="1:5" ht="15">
      <c r="A874" s="13">
        <v>68118</v>
      </c>
      <c r="B874" s="4">
        <f>56.8573 * CHOOSE(CONTROL!$C$9, $C$13, 100%, $E$13) + CHOOSE(CONTROL!$C$28, 0.0415, 0)</f>
        <v>56.898800000000001</v>
      </c>
      <c r="C874" s="4">
        <f>56.494 * CHOOSE(CONTROL!$C$9, $C$13, 100%, $E$13) + CHOOSE(CONTROL!$C$28, 0.0415, 0)</f>
        <v>56.535499999999999</v>
      </c>
      <c r="D874" s="4">
        <f>83.099 * CHOOSE(CONTROL!$C$9, $C$13, 100%, $E$13) + CHOOSE(CONTROL!$C$28, 0.0021, 0)</f>
        <v>83.101100000000002</v>
      </c>
      <c r="E874" s="4">
        <f>404.767732299591 * CHOOSE(CONTROL!$C$9, $C$13, 100%, $E$13) + CHOOSE(CONTROL!$C$28, 0.0021, 0)</f>
        <v>404.76983229959097</v>
      </c>
    </row>
    <row r="875" spans="1:5" ht="15">
      <c r="A875" s="13">
        <v>68149</v>
      </c>
      <c r="B875" s="4">
        <f>56.8395 * CHOOSE(CONTROL!$C$9, $C$13, 100%, $E$13) + CHOOSE(CONTROL!$C$28, 0.0415, 0)</f>
        <v>56.881</v>
      </c>
      <c r="C875" s="4">
        <f>56.4762 * CHOOSE(CONTROL!$C$9, $C$13, 100%, $E$13) + CHOOSE(CONTROL!$C$28, 0.0415, 0)</f>
        <v>56.517699999999998</v>
      </c>
      <c r="D875" s="4">
        <f>84.4396 * CHOOSE(CONTROL!$C$9, $C$13, 100%, $E$13) + CHOOSE(CONTROL!$C$28, 0.0021, 0)</f>
        <v>84.441699999999997</v>
      </c>
      <c r="E875" s="4">
        <f>404.638989382193 * CHOOSE(CONTROL!$C$9, $C$13, 100%, $E$13) + CHOOSE(CONTROL!$C$28, 0.0021, 0)</f>
        <v>404.641089382193</v>
      </c>
    </row>
    <row r="876" spans="1:5" ht="15">
      <c r="A876" s="13">
        <v>68180</v>
      </c>
      <c r="B876" s="4">
        <f>58.1818 * CHOOSE(CONTROL!$C$9, $C$13, 100%, $E$13) + CHOOSE(CONTROL!$C$28, 0.0415, 0)</f>
        <v>58.223300000000002</v>
      </c>
      <c r="C876" s="4">
        <f>57.8185 * CHOOSE(CONTROL!$C$9, $C$13, 100%, $E$13) + CHOOSE(CONTROL!$C$28, 0.0415, 0)</f>
        <v>57.86</v>
      </c>
      <c r="D876" s="4">
        <f>83.5543 * CHOOSE(CONTROL!$C$9, $C$13, 100%, $E$13) + CHOOSE(CONTROL!$C$28, 0.0021, 0)</f>
        <v>83.556399999999996</v>
      </c>
      <c r="E876" s="4">
        <f>414.326893916399 * CHOOSE(CONTROL!$C$9, $C$13, 100%, $E$13) + CHOOSE(CONTROL!$C$28, 0.0021, 0)</f>
        <v>414.32899391639899</v>
      </c>
    </row>
    <row r="877" spans="1:5" ht="15">
      <c r="A877" s="13">
        <v>68210</v>
      </c>
      <c r="B877" s="4">
        <f>55.894 * CHOOSE(CONTROL!$C$9, $C$13, 100%, $E$13) + CHOOSE(CONTROL!$C$28, 0.0415, 0)</f>
        <v>55.935499999999998</v>
      </c>
      <c r="C877" s="4">
        <f>55.5308 * CHOOSE(CONTROL!$C$9, $C$13, 100%, $E$13) + CHOOSE(CONTROL!$C$28, 0.0415, 0)</f>
        <v>55.572299999999998</v>
      </c>
      <c r="D877" s="4">
        <f>83.136 * CHOOSE(CONTROL!$C$9, $C$13, 100%, $E$13) + CHOOSE(CONTROL!$C$28, 0.0021, 0)</f>
        <v>83.138099999999994</v>
      </c>
      <c r="E877" s="4">
        <f>397.815614760094 * CHOOSE(CONTROL!$C$9, $C$13, 100%, $E$13) + CHOOSE(CONTROL!$C$28, 0.0021, 0)</f>
        <v>397.81771476009396</v>
      </c>
    </row>
    <row r="878" spans="1:5" ht="15">
      <c r="A878" s="13">
        <v>68241</v>
      </c>
      <c r="B878" s="4">
        <f>54.0626 * CHOOSE(CONTROL!$C$9, $C$13, 100%, $E$13) + CHOOSE(CONTROL!$C$28, 0.0211, 0)</f>
        <v>54.0837</v>
      </c>
      <c r="C878" s="4">
        <f>53.6994 * CHOOSE(CONTROL!$C$9, $C$13, 100%, $E$13) + CHOOSE(CONTROL!$C$28, 0.0211, 0)</f>
        <v>53.720499999999994</v>
      </c>
      <c r="D878" s="4">
        <f>82.016 * CHOOSE(CONTROL!$C$9, $C$13, 100%, $E$13) + CHOOSE(CONTROL!$C$28, 0.0021, 0)</f>
        <v>82.018100000000004</v>
      </c>
      <c r="E878" s="4">
        <f>384.59800857389 * CHOOSE(CONTROL!$C$9, $C$13, 100%, $E$13) + CHOOSE(CONTROL!$C$28, 0.0021, 0)</f>
        <v>384.60010857389</v>
      </c>
    </row>
    <row r="879" spans="1:5" ht="15">
      <c r="A879" s="13">
        <v>68271</v>
      </c>
      <c r="B879" s="4">
        <f>52.8831 * CHOOSE(CONTROL!$C$9, $C$13, 100%, $E$13) + CHOOSE(CONTROL!$C$28, 0.0211, 0)</f>
        <v>52.904199999999996</v>
      </c>
      <c r="C879" s="4">
        <f>52.5198 * CHOOSE(CONTROL!$C$9, $C$13, 100%, $E$13) + CHOOSE(CONTROL!$C$28, 0.0211, 0)</f>
        <v>52.540899999999993</v>
      </c>
      <c r="D879" s="4">
        <f>81.6309 * CHOOSE(CONTROL!$C$9, $C$13, 100%, $E$13) + CHOOSE(CONTROL!$C$28, 0.0021, 0)</f>
        <v>81.632999999999996</v>
      </c>
      <c r="E879" s="4">
        <f>376.084883160942 * CHOOSE(CONTROL!$C$9, $C$13, 100%, $E$13) + CHOOSE(CONTROL!$C$28, 0.0021, 0)</f>
        <v>376.086983160942</v>
      </c>
    </row>
    <row r="880" spans="1:5" ht="15">
      <c r="A880" s="13">
        <v>68302</v>
      </c>
      <c r="B880" s="4">
        <f>52.067 * CHOOSE(CONTROL!$C$9, $C$13, 100%, $E$13) + CHOOSE(CONTROL!$C$28, 0.0211, 0)</f>
        <v>52.088099999999997</v>
      </c>
      <c r="C880" s="4">
        <f>51.7037 * CHOOSE(CONTROL!$C$9, $C$13, 100%, $E$13) + CHOOSE(CONTROL!$C$28, 0.0211, 0)</f>
        <v>51.724799999999995</v>
      </c>
      <c r="D880" s="4">
        <f>78.7961 * CHOOSE(CONTROL!$C$9, $C$13, 100%, $E$13) + CHOOSE(CONTROL!$C$28, 0.0021, 0)</f>
        <v>78.798199999999994</v>
      </c>
      <c r="E880" s="4">
        <f>370.194894689979 * CHOOSE(CONTROL!$C$9, $C$13, 100%, $E$13) + CHOOSE(CONTROL!$C$28, 0.0021, 0)</f>
        <v>370.19699468997896</v>
      </c>
    </row>
    <row r="881" spans="1:5" ht="15">
      <c r="A881" s="13">
        <v>68333</v>
      </c>
      <c r="B881" s="4">
        <f>49.8341 * CHOOSE(CONTROL!$C$9, $C$13, 100%, $E$13) + CHOOSE(CONTROL!$C$28, 0.0211, 0)</f>
        <v>49.855199999999996</v>
      </c>
      <c r="C881" s="4">
        <f>49.4708 * CHOOSE(CONTROL!$C$9, $C$13, 100%, $E$13) + CHOOSE(CONTROL!$C$28, 0.0211, 0)</f>
        <v>49.491899999999994</v>
      </c>
      <c r="D881" s="4">
        <f>75.6733 * CHOOSE(CONTROL!$C$9, $C$13, 100%, $E$13) + CHOOSE(CONTROL!$C$28, 0.0021, 0)</f>
        <v>75.675399999999996</v>
      </c>
      <c r="E881" s="4">
        <f>354.77477307246 * CHOOSE(CONTROL!$C$9, $C$13, 100%, $E$13) + CHOOSE(CONTROL!$C$28, 0.0021, 0)</f>
        <v>354.77687307245998</v>
      </c>
    </row>
    <row r="882" spans="1:5" ht="15">
      <c r="A882" s="13">
        <v>68361</v>
      </c>
      <c r="B882" s="4">
        <f>50.999 * CHOOSE(CONTROL!$C$9, $C$13, 100%, $E$13) + CHOOSE(CONTROL!$C$28, 0.0211, 0)</f>
        <v>51.020099999999999</v>
      </c>
      <c r="C882" s="4">
        <f>50.6357 * CHOOSE(CONTROL!$C$9, $C$13, 100%, $E$13) + CHOOSE(CONTROL!$C$28, 0.0211, 0)</f>
        <v>50.656799999999997</v>
      </c>
      <c r="D882" s="4">
        <f>78.2787 * CHOOSE(CONTROL!$C$9, $C$13, 100%, $E$13) + CHOOSE(CONTROL!$C$28, 0.0021, 0)</f>
        <v>78.280799999999999</v>
      </c>
      <c r="E882" s="4">
        <f>363.198524320453 * CHOOSE(CONTROL!$C$9, $C$13, 100%, $E$13) + CHOOSE(CONTROL!$C$28, 0.0021, 0)</f>
        <v>363.20062432045296</v>
      </c>
    </row>
    <row r="883" spans="1:5" ht="15">
      <c r="A883" s="13">
        <v>68392</v>
      </c>
      <c r="B883" s="4">
        <f>54.0581 * CHOOSE(CONTROL!$C$9, $C$13, 100%, $E$13) + CHOOSE(CONTROL!$C$28, 0.0211, 0)</f>
        <v>54.0792</v>
      </c>
      <c r="C883" s="4">
        <f>53.6948 * CHOOSE(CONTROL!$C$9, $C$13, 100%, $E$13) + CHOOSE(CONTROL!$C$28, 0.0211, 0)</f>
        <v>53.715899999999998</v>
      </c>
      <c r="D883" s="4">
        <f>82.3574 * CHOOSE(CONTROL!$C$9, $C$13, 100%, $E$13) + CHOOSE(CONTROL!$C$28, 0.0021, 0)</f>
        <v>82.359499999999997</v>
      </c>
      <c r="E883" s="4">
        <f>385.31974276301 * CHOOSE(CONTROL!$C$9, $C$13, 100%, $E$13) + CHOOSE(CONTROL!$C$28, 0.0021, 0)</f>
        <v>385.32184276301001</v>
      </c>
    </row>
    <row r="884" spans="1:5" ht="15">
      <c r="A884" s="13">
        <v>68422</v>
      </c>
      <c r="B884" s="4">
        <f>56.2316 * CHOOSE(CONTROL!$C$9, $C$13, 100%, $E$13) + CHOOSE(CONTROL!$C$28, 0.0211, 0)</f>
        <v>56.252699999999997</v>
      </c>
      <c r="C884" s="4">
        <f>55.8683 * CHOOSE(CONTROL!$C$9, $C$13, 100%, $E$13) + CHOOSE(CONTROL!$C$28, 0.0211, 0)</f>
        <v>55.889399999999995</v>
      </c>
      <c r="D884" s="4">
        <f>84.7068 * CHOOSE(CONTROL!$C$9, $C$13, 100%, $E$13) + CHOOSE(CONTROL!$C$28, 0.0021, 0)</f>
        <v>84.7089</v>
      </c>
      <c r="E884" s="4">
        <f>401.037163270444 * CHOOSE(CONTROL!$C$9, $C$13, 100%, $E$13) + CHOOSE(CONTROL!$C$28, 0.0021, 0)</f>
        <v>401.039263270444</v>
      </c>
    </row>
    <row r="885" spans="1:5" ht="15">
      <c r="A885" s="13">
        <v>68453</v>
      </c>
      <c r="B885" s="4">
        <f>57.5596 * CHOOSE(CONTROL!$C$9, $C$13, 100%, $E$13) + CHOOSE(CONTROL!$C$28, 0.0415, 0)</f>
        <v>57.601100000000002</v>
      </c>
      <c r="C885" s="4">
        <f>57.1963 * CHOOSE(CONTROL!$C$9, $C$13, 100%, $E$13) + CHOOSE(CONTROL!$C$28, 0.0415, 0)</f>
        <v>57.2378</v>
      </c>
      <c r="D885" s="4">
        <f>83.7784 * CHOOSE(CONTROL!$C$9, $C$13, 100%, $E$13) + CHOOSE(CONTROL!$C$28, 0.0021, 0)</f>
        <v>83.780500000000004</v>
      </c>
      <c r="E885" s="4">
        <f>410.64013050649 * CHOOSE(CONTROL!$C$9, $C$13, 100%, $E$13) + CHOOSE(CONTROL!$C$28, 0.0021, 0)</f>
        <v>410.64223050648997</v>
      </c>
    </row>
    <row r="886" spans="1:5" ht="15">
      <c r="A886" s="13">
        <v>68483</v>
      </c>
      <c r="B886" s="4">
        <f>57.7392 * CHOOSE(CONTROL!$C$9, $C$13, 100%, $E$13) + CHOOSE(CONTROL!$C$28, 0.0415, 0)</f>
        <v>57.780699999999996</v>
      </c>
      <c r="C886" s="4">
        <f>57.376 * CHOOSE(CONTROL!$C$9, $C$13, 100%, $E$13) + CHOOSE(CONTROL!$C$28, 0.0415, 0)</f>
        <v>57.417499999999997</v>
      </c>
      <c r="D886" s="4">
        <f>84.5345 * CHOOSE(CONTROL!$C$9, $C$13, 100%, $E$13) + CHOOSE(CONTROL!$C$28, 0.0021, 0)</f>
        <v>84.536599999999993</v>
      </c>
      <c r="E886" s="4">
        <f>411.93945182666 * CHOOSE(CONTROL!$C$9, $C$13, 100%, $E$13) + CHOOSE(CONTROL!$C$28, 0.0021, 0)</f>
        <v>411.94155182665997</v>
      </c>
    </row>
    <row r="887" spans="1:5" ht="15">
      <c r="A887" s="13">
        <v>68514</v>
      </c>
      <c r="B887" s="4">
        <f>57.7211 * CHOOSE(CONTROL!$C$9, $C$13, 100%, $E$13) + CHOOSE(CONTROL!$C$28, 0.0415, 0)</f>
        <v>57.762599999999999</v>
      </c>
      <c r="C887" s="4">
        <f>57.3578 * CHOOSE(CONTROL!$C$9, $C$13, 100%, $E$13) + CHOOSE(CONTROL!$C$28, 0.0415, 0)</f>
        <v>57.399299999999997</v>
      </c>
      <c r="D887" s="4">
        <f>85.8988 * CHOOSE(CONTROL!$C$9, $C$13, 100%, $E$13) + CHOOSE(CONTROL!$C$28, 0.0021, 0)</f>
        <v>85.900899999999993</v>
      </c>
      <c r="E887" s="4">
        <f>411.808427827988 * CHOOSE(CONTROL!$C$9, $C$13, 100%, $E$13) + CHOOSE(CONTROL!$C$28, 0.0021, 0)</f>
        <v>411.81052782798798</v>
      </c>
    </row>
    <row r="888" spans="1:5" ht="15">
      <c r="A888" s="13">
        <v>68545</v>
      </c>
      <c r="B888" s="4">
        <f>59.0846 * CHOOSE(CONTROL!$C$9, $C$13, 100%, $E$13) + CHOOSE(CONTROL!$C$28, 0.0415, 0)</f>
        <v>59.126100000000001</v>
      </c>
      <c r="C888" s="4">
        <f>58.7213 * CHOOSE(CONTROL!$C$9, $C$13, 100%, $E$13) + CHOOSE(CONTROL!$C$28, 0.0415, 0)</f>
        <v>58.762799999999999</v>
      </c>
      <c r="D888" s="4">
        <f>84.9978 * CHOOSE(CONTROL!$C$9, $C$13, 100%, $E$13) + CHOOSE(CONTROL!$C$28, 0.0021, 0)</f>
        <v>84.999899999999997</v>
      </c>
      <c r="E888" s="4">
        <f>421.667983728101 * CHOOSE(CONTROL!$C$9, $C$13, 100%, $E$13) + CHOOSE(CONTROL!$C$28, 0.0021, 0)</f>
        <v>421.67008372810096</v>
      </c>
    </row>
    <row r="889" spans="1:5" ht="15">
      <c r="A889" s="13">
        <v>68575</v>
      </c>
      <c r="B889" s="4">
        <f>56.7608 * CHOOSE(CONTROL!$C$9, $C$13, 100%, $E$13) + CHOOSE(CONTROL!$C$28, 0.0415, 0)</f>
        <v>56.802300000000002</v>
      </c>
      <c r="C889" s="4">
        <f>56.3975 * CHOOSE(CONTROL!$C$9, $C$13, 100%, $E$13) + CHOOSE(CONTROL!$C$28, 0.0415, 0)</f>
        <v>56.439</v>
      </c>
      <c r="D889" s="4">
        <f>84.5721 * CHOOSE(CONTROL!$C$9, $C$13, 100%, $E$13) + CHOOSE(CONTROL!$C$28, 0.0021, 0)</f>
        <v>84.574200000000005</v>
      </c>
      <c r="E889" s="4">
        <f>404.86415589834 * CHOOSE(CONTROL!$C$9, $C$13, 100%, $E$13) + CHOOSE(CONTROL!$C$28, 0.0021, 0)</f>
        <v>404.86625589834</v>
      </c>
    </row>
    <row r="890" spans="1:5" ht="15">
      <c r="A890" s="13">
        <v>68606</v>
      </c>
      <c r="B890" s="4">
        <f>54.9006 * CHOOSE(CONTROL!$C$9, $C$13, 100%, $E$13) + CHOOSE(CONTROL!$C$28, 0.0211, 0)</f>
        <v>54.921699999999994</v>
      </c>
      <c r="C890" s="4">
        <f>54.5373 * CHOOSE(CONTROL!$C$9, $C$13, 100%, $E$13) + CHOOSE(CONTROL!$C$28, 0.0211, 0)</f>
        <v>54.558399999999999</v>
      </c>
      <c r="D890" s="4">
        <f>83.4323 * CHOOSE(CONTROL!$C$9, $C$13, 100%, $E$13) + CHOOSE(CONTROL!$C$28, 0.0021, 0)</f>
        <v>83.434399999999997</v>
      </c>
      <c r="E890" s="4">
        <f>391.412358701286 * CHOOSE(CONTROL!$C$9, $C$13, 100%, $E$13) + CHOOSE(CONTROL!$C$28, 0.0021, 0)</f>
        <v>391.41445870128598</v>
      </c>
    </row>
    <row r="891" spans="1:5" ht="15">
      <c r="A891" s="13">
        <v>68636</v>
      </c>
      <c r="B891" s="4">
        <f>53.7025 * CHOOSE(CONTROL!$C$9, $C$13, 100%, $E$13) + CHOOSE(CONTROL!$C$28, 0.0211, 0)</f>
        <v>53.723599999999998</v>
      </c>
      <c r="C891" s="4">
        <f>53.3392 * CHOOSE(CONTROL!$C$9, $C$13, 100%, $E$13) + CHOOSE(CONTROL!$C$28, 0.0211, 0)</f>
        <v>53.360299999999995</v>
      </c>
      <c r="D891" s="4">
        <f>83.0405 * CHOOSE(CONTROL!$C$9, $C$13, 100%, $E$13) + CHOOSE(CONTROL!$C$28, 0.0021, 0)</f>
        <v>83.042599999999993</v>
      </c>
      <c r="E891" s="4">
        <f>382.74839678906 * CHOOSE(CONTROL!$C$9, $C$13, 100%, $E$13) + CHOOSE(CONTROL!$C$28, 0.0021, 0)</f>
        <v>382.75049678905998</v>
      </c>
    </row>
    <row r="892" spans="1:5" ht="15">
      <c r="A892" s="13">
        <v>68667</v>
      </c>
      <c r="B892" s="4">
        <f>52.8736 * CHOOSE(CONTROL!$C$9, $C$13, 100%, $E$13) + CHOOSE(CONTROL!$C$28, 0.0211, 0)</f>
        <v>52.8947</v>
      </c>
      <c r="C892" s="4">
        <f>52.5103 * CHOOSE(CONTROL!$C$9, $C$13, 100%, $E$13) + CHOOSE(CONTROL!$C$28, 0.0211, 0)</f>
        <v>52.531399999999998</v>
      </c>
      <c r="D892" s="4">
        <f>80.1555 * CHOOSE(CONTROL!$C$9, $C$13, 100%, $E$13) + CHOOSE(CONTROL!$C$28, 0.0021, 0)</f>
        <v>80.157600000000002</v>
      </c>
      <c r="E892" s="4">
        <f>376.754048849789 * CHOOSE(CONTROL!$C$9, $C$13, 100%, $E$13) + CHOOSE(CONTROL!$C$28, 0.0021, 0)</f>
        <v>376.75614884978899</v>
      </c>
    </row>
    <row r="893" spans="1:5" ht="15">
      <c r="A893" s="13">
        <v>68698</v>
      </c>
      <c r="B893" s="4">
        <f>50.6056 * CHOOSE(CONTROL!$C$9, $C$13, 100%, $E$13) + CHOOSE(CONTROL!$C$28, 0.0211, 0)</f>
        <v>50.6267</v>
      </c>
      <c r="C893" s="4">
        <f>50.2423 * CHOOSE(CONTROL!$C$9, $C$13, 100%, $E$13) + CHOOSE(CONTROL!$C$28, 0.0211, 0)</f>
        <v>50.263399999999997</v>
      </c>
      <c r="D893" s="4">
        <f>76.9776 * CHOOSE(CONTROL!$C$9, $C$13, 100%, $E$13) + CHOOSE(CONTROL!$C$28, 0.0021, 0)</f>
        <v>76.979699999999994</v>
      </c>
      <c r="E893" s="4">
        <f>361.06071180898 * CHOOSE(CONTROL!$C$9, $C$13, 100%, $E$13) + CHOOSE(CONTROL!$C$28, 0.0021, 0)</f>
        <v>361.06281180897997</v>
      </c>
    </row>
    <row r="894" spans="1:5" ht="15">
      <c r="A894" s="13">
        <v>68727</v>
      </c>
      <c r="B894" s="4">
        <f>51.7888 * CHOOSE(CONTROL!$C$9, $C$13, 100%, $E$13) + CHOOSE(CONTROL!$C$28, 0.0211, 0)</f>
        <v>51.809899999999999</v>
      </c>
      <c r="C894" s="4">
        <f>51.4255 * CHOOSE(CONTROL!$C$9, $C$13, 100%, $E$13) + CHOOSE(CONTROL!$C$28, 0.0211, 0)</f>
        <v>51.446599999999997</v>
      </c>
      <c r="D894" s="4">
        <f>79.6291 * CHOOSE(CONTROL!$C$9, $C$13, 100%, $E$13) + CHOOSE(CONTROL!$C$28, 0.0021, 0)</f>
        <v>79.631199999999993</v>
      </c>
      <c r="E894" s="4">
        <f>369.633716014893 * CHOOSE(CONTROL!$C$9, $C$13, 100%, $E$13) + CHOOSE(CONTROL!$C$28, 0.0021, 0)</f>
        <v>369.63581601489301</v>
      </c>
    </row>
    <row r="895" spans="1:5" ht="15">
      <c r="A895" s="13">
        <v>68758</v>
      </c>
      <c r="B895" s="4">
        <f>54.896 * CHOOSE(CONTROL!$C$9, $C$13, 100%, $E$13) + CHOOSE(CONTROL!$C$28, 0.0211, 0)</f>
        <v>54.917099999999998</v>
      </c>
      <c r="C895" s="4">
        <f>54.5327 * CHOOSE(CONTROL!$C$9, $C$13, 100%, $E$13) + CHOOSE(CONTROL!$C$28, 0.0211, 0)</f>
        <v>54.553799999999995</v>
      </c>
      <c r="D895" s="4">
        <f>83.7798 * CHOOSE(CONTROL!$C$9, $C$13, 100%, $E$13) + CHOOSE(CONTROL!$C$28, 0.0021, 0)</f>
        <v>83.781899999999993</v>
      </c>
      <c r="E895" s="4">
        <f>392.146880656733 * CHOOSE(CONTROL!$C$9, $C$13, 100%, $E$13) + CHOOSE(CONTROL!$C$28, 0.0021, 0)</f>
        <v>392.14898065673299</v>
      </c>
    </row>
    <row r="896" spans="1:5" ht="15">
      <c r="A896" s="13">
        <v>68788</v>
      </c>
      <c r="B896" s="4">
        <f>57.1037 * CHOOSE(CONTROL!$C$9, $C$13, 100%, $E$13) + CHOOSE(CONTROL!$C$28, 0.0211, 0)</f>
        <v>57.1248</v>
      </c>
      <c r="C896" s="4">
        <f>56.7404 * CHOOSE(CONTROL!$C$9, $C$13, 100%, $E$13) + CHOOSE(CONTROL!$C$28, 0.0211, 0)</f>
        <v>56.761499999999998</v>
      </c>
      <c r="D896" s="4">
        <f>86.1707 * CHOOSE(CONTROL!$C$9, $C$13, 100%, $E$13) + CHOOSE(CONTROL!$C$28, 0.0021, 0)</f>
        <v>86.172799999999995</v>
      </c>
      <c r="E896" s="4">
        <f>408.142784162128 * CHOOSE(CONTROL!$C$9, $C$13, 100%, $E$13) + CHOOSE(CONTROL!$C$28, 0.0021, 0)</f>
        <v>408.14488416212799</v>
      </c>
    </row>
    <row r="897" spans="1:5" ht="15">
      <c r="A897" s="13">
        <v>68819</v>
      </c>
      <c r="B897" s="4">
        <f>58.4525 * CHOOSE(CONTROL!$C$9, $C$13, 100%, $E$13) + CHOOSE(CONTROL!$C$28, 0.0415, 0)</f>
        <v>58.494</v>
      </c>
      <c r="C897" s="4">
        <f>58.0892 * CHOOSE(CONTROL!$C$9, $C$13, 100%, $E$13) + CHOOSE(CONTROL!$C$28, 0.0415, 0)</f>
        <v>58.130699999999997</v>
      </c>
      <c r="D897" s="4">
        <f>85.2259 * CHOOSE(CONTROL!$C$9, $C$13, 100%, $E$13) + CHOOSE(CONTROL!$C$28, 0.0021, 0)</f>
        <v>85.227999999999994</v>
      </c>
      <c r="E897" s="4">
        <f>417.915897835622 * CHOOSE(CONTROL!$C$9, $C$13, 100%, $E$13) + CHOOSE(CONTROL!$C$28, 0.0021, 0)</f>
        <v>417.91799783562197</v>
      </c>
    </row>
    <row r="898" spans="1:5" ht="15">
      <c r="A898" s="13">
        <v>68849</v>
      </c>
      <c r="B898" s="4">
        <f>58.635 * CHOOSE(CONTROL!$C$9, $C$13, 100%, $E$13) + CHOOSE(CONTROL!$C$28, 0.0415, 0)</f>
        <v>58.676499999999997</v>
      </c>
      <c r="C898" s="4">
        <f>58.2717 * CHOOSE(CONTROL!$C$9, $C$13, 100%, $E$13) + CHOOSE(CONTROL!$C$28, 0.0415, 0)</f>
        <v>58.313200000000002</v>
      </c>
      <c r="D898" s="4">
        <f>85.9954 * CHOOSE(CONTROL!$C$9, $C$13, 100%, $E$13) + CHOOSE(CONTROL!$C$28, 0.0021, 0)</f>
        <v>85.997500000000002</v>
      </c>
      <c r="E898" s="4">
        <f>419.2382406749 * CHOOSE(CONTROL!$C$9, $C$13, 100%, $E$13) + CHOOSE(CONTROL!$C$28, 0.0021, 0)</f>
        <v>419.24034067489998</v>
      </c>
    </row>
    <row r="899" spans="1:5" ht="15">
      <c r="A899" s="13">
        <v>68880</v>
      </c>
      <c r="B899" s="4">
        <f>58.6166 * CHOOSE(CONTROL!$C$9, $C$13, 100%, $E$13) + CHOOSE(CONTROL!$C$28, 0.0415, 0)</f>
        <v>58.658099999999997</v>
      </c>
      <c r="C899" s="4">
        <f>58.2533 * CHOOSE(CONTROL!$C$9, $C$13, 100%, $E$13) + CHOOSE(CONTROL!$C$28, 0.0415, 0)</f>
        <v>58.294800000000002</v>
      </c>
      <c r="D899" s="4">
        <f>87.3837 * CHOOSE(CONTROL!$C$9, $C$13, 100%, $E$13) + CHOOSE(CONTROL!$C$28, 0.0021, 0)</f>
        <v>87.385800000000003</v>
      </c>
      <c r="E899" s="4">
        <f>419.104895178503 * CHOOSE(CONTROL!$C$9, $C$13, 100%, $E$13) + CHOOSE(CONTROL!$C$28, 0.0021, 0)</f>
        <v>419.10699517850298</v>
      </c>
    </row>
    <row r="900" spans="1:5" ht="15">
      <c r="A900" s="13">
        <v>68911</v>
      </c>
      <c r="B900" s="4">
        <f>60.0015 * CHOOSE(CONTROL!$C$9, $C$13, 100%, $E$13) + CHOOSE(CONTROL!$C$28, 0.0415, 0)</f>
        <v>60.042999999999999</v>
      </c>
      <c r="C900" s="4">
        <f>59.6382 * CHOOSE(CONTROL!$C$9, $C$13, 100%, $E$13) + CHOOSE(CONTROL!$C$28, 0.0415, 0)</f>
        <v>59.679699999999997</v>
      </c>
      <c r="D900" s="4">
        <f>86.4668 * CHOOSE(CONTROL!$C$9, $C$13, 100%, $E$13) + CHOOSE(CONTROL!$C$28, 0.0021, 0)</f>
        <v>86.468900000000005</v>
      </c>
      <c r="E900" s="4">
        <f>429.139143782442 * CHOOSE(CONTROL!$C$9, $C$13, 100%, $E$13) + CHOOSE(CONTROL!$C$28, 0.0021, 0)</f>
        <v>429.14124378244196</v>
      </c>
    </row>
    <row r="901" spans="1:5" ht="15">
      <c r="A901" s="13">
        <v>68941</v>
      </c>
      <c r="B901" s="4">
        <f>57.6412 * CHOOSE(CONTROL!$C$9, $C$13, 100%, $E$13) + CHOOSE(CONTROL!$C$28, 0.0415, 0)</f>
        <v>57.682699999999997</v>
      </c>
      <c r="C901" s="4">
        <f>57.2779 * CHOOSE(CONTROL!$C$9, $C$13, 100%, $E$13) + CHOOSE(CONTROL!$C$28, 0.0415, 0)</f>
        <v>57.319400000000002</v>
      </c>
      <c r="D901" s="4">
        <f>86.0336 * CHOOSE(CONTROL!$C$9, $C$13, 100%, $E$13) + CHOOSE(CONTROL!$C$28, 0.0021, 0)</f>
        <v>86.035700000000006</v>
      </c>
      <c r="E901" s="4">
        <f>412.037583869416 * CHOOSE(CONTROL!$C$9, $C$13, 100%, $E$13) + CHOOSE(CONTROL!$C$28, 0.0021, 0)</f>
        <v>412.03968386941597</v>
      </c>
    </row>
    <row r="902" spans="1:5" ht="15">
      <c r="A902" s="13">
        <v>68972</v>
      </c>
      <c r="B902" s="4">
        <f>55.7518 * CHOOSE(CONTROL!$C$9, $C$13, 100%, $E$13) + CHOOSE(CONTROL!$C$28, 0.0211, 0)</f>
        <v>55.7729</v>
      </c>
      <c r="C902" s="4">
        <f>55.3885 * CHOOSE(CONTROL!$C$9, $C$13, 100%, $E$13) + CHOOSE(CONTROL!$C$28, 0.0211, 0)</f>
        <v>55.409599999999998</v>
      </c>
      <c r="D902" s="4">
        <f>84.8737 * CHOOSE(CONTROL!$C$9, $C$13, 100%, $E$13) + CHOOSE(CONTROL!$C$28, 0.0021, 0)</f>
        <v>84.875799999999998</v>
      </c>
      <c r="E902" s="4">
        <f>398.347446239234 * CHOOSE(CONTROL!$C$9, $C$13, 100%, $E$13) + CHOOSE(CONTROL!$C$28, 0.0021, 0)</f>
        <v>398.34954623923397</v>
      </c>
    </row>
    <row r="903" spans="1:5" ht="15">
      <c r="A903" s="13">
        <v>69002</v>
      </c>
      <c r="B903" s="4">
        <f>54.5348 * CHOOSE(CONTROL!$C$9, $C$13, 100%, $E$13) + CHOOSE(CONTROL!$C$28, 0.0211, 0)</f>
        <v>54.555899999999994</v>
      </c>
      <c r="C903" s="4">
        <f>54.1715 * CHOOSE(CONTROL!$C$9, $C$13, 100%, $E$13) + CHOOSE(CONTROL!$C$28, 0.0211, 0)</f>
        <v>54.192599999999999</v>
      </c>
      <c r="D903" s="4">
        <f>84.4749 * CHOOSE(CONTROL!$C$9, $C$13, 100%, $E$13) + CHOOSE(CONTROL!$C$28, 0.0021, 0)</f>
        <v>84.477000000000004</v>
      </c>
      <c r="E903" s="4">
        <f>389.529975289925 * CHOOSE(CONTROL!$C$9, $C$13, 100%, $E$13) + CHOOSE(CONTROL!$C$28, 0.0021, 0)</f>
        <v>389.53207528992499</v>
      </c>
    </row>
    <row r="904" spans="1:5" ht="15">
      <c r="A904" s="13">
        <v>69033</v>
      </c>
      <c r="B904" s="4">
        <f>53.6928 * CHOOSE(CONTROL!$C$9, $C$13, 100%, $E$13) + CHOOSE(CONTROL!$C$28, 0.0211, 0)</f>
        <v>53.713899999999995</v>
      </c>
      <c r="C904" s="4">
        <f>53.3295 * CHOOSE(CONTROL!$C$9, $C$13, 100%, $E$13) + CHOOSE(CONTROL!$C$28, 0.0211, 0)</f>
        <v>53.3506</v>
      </c>
      <c r="D904" s="4">
        <f>81.539 * CHOOSE(CONTROL!$C$9, $C$13, 100%, $E$13) + CHOOSE(CONTROL!$C$28, 0.0021, 0)</f>
        <v>81.5411</v>
      </c>
      <c r="E904" s="4">
        <f>383.429418829723 * CHOOSE(CONTROL!$C$9, $C$13, 100%, $E$13) + CHOOSE(CONTROL!$C$28, 0.0021, 0)</f>
        <v>383.43151882972296</v>
      </c>
    </row>
    <row r="905" spans="1:5" ht="15">
      <c r="A905" s="13">
        <v>69064</v>
      </c>
      <c r="B905" s="4">
        <f>51.3892 * CHOOSE(CONTROL!$C$9, $C$13, 100%, $E$13) + CHOOSE(CONTROL!$C$28, 0.0211, 0)</f>
        <v>51.410299999999999</v>
      </c>
      <c r="C905" s="4">
        <f>51.0259 * CHOOSE(CONTROL!$C$9, $C$13, 100%, $E$13) + CHOOSE(CONTROL!$C$28, 0.0211, 0)</f>
        <v>51.046999999999997</v>
      </c>
      <c r="D905" s="4">
        <f>78.3049 * CHOOSE(CONTROL!$C$9, $C$13, 100%, $E$13) + CHOOSE(CONTROL!$C$28, 0.0021, 0)</f>
        <v>78.307000000000002</v>
      </c>
      <c r="E905" s="4">
        <f>367.458025504484 * CHOOSE(CONTROL!$C$9, $C$13, 100%, $E$13) + CHOOSE(CONTROL!$C$28, 0.0021, 0)</f>
        <v>367.46012550448398</v>
      </c>
    </row>
    <row r="906" spans="1:5" ht="15">
      <c r="A906" s="13">
        <v>69092</v>
      </c>
      <c r="B906" s="4">
        <f>52.591 * CHOOSE(CONTROL!$C$9, $C$13, 100%, $E$13) + CHOOSE(CONTROL!$C$28, 0.0211, 0)</f>
        <v>52.612099999999998</v>
      </c>
      <c r="C906" s="4">
        <f>52.2277 * CHOOSE(CONTROL!$C$9, $C$13, 100%, $E$13) + CHOOSE(CONTROL!$C$28, 0.0211, 0)</f>
        <v>52.248799999999996</v>
      </c>
      <c r="D906" s="4">
        <f>81.0033 * CHOOSE(CONTROL!$C$9, $C$13, 100%, $E$13) + CHOOSE(CONTROL!$C$28, 0.0021, 0)</f>
        <v>81.005399999999995</v>
      </c>
      <c r="E906" s="4">
        <f>376.182927148762 * CHOOSE(CONTROL!$C$9, $C$13, 100%, $E$13) + CHOOSE(CONTROL!$C$28, 0.0021, 0)</f>
        <v>376.185027148762</v>
      </c>
    </row>
    <row r="907" spans="1:5" ht="15">
      <c r="A907" s="13">
        <v>69123</v>
      </c>
      <c r="B907" s="4">
        <f>55.747 * CHOOSE(CONTROL!$C$9, $C$13, 100%, $E$13) + CHOOSE(CONTROL!$C$28, 0.0211, 0)</f>
        <v>55.768099999999997</v>
      </c>
      <c r="C907" s="4">
        <f>55.3838 * CHOOSE(CONTROL!$C$9, $C$13, 100%, $E$13) + CHOOSE(CONTROL!$C$28, 0.0211, 0)</f>
        <v>55.404899999999998</v>
      </c>
      <c r="D907" s="4">
        <f>85.2273 * CHOOSE(CONTROL!$C$9, $C$13, 100%, $E$13) + CHOOSE(CONTROL!$C$28, 0.0021, 0)</f>
        <v>85.229399999999998</v>
      </c>
      <c r="E907" s="4">
        <f>399.094982536069 * CHOOSE(CONTROL!$C$9, $C$13, 100%, $E$13) + CHOOSE(CONTROL!$C$28, 0.0021, 0)</f>
        <v>399.09708253606897</v>
      </c>
    </row>
    <row r="908" spans="1:5" ht="15">
      <c r="A908" s="13">
        <v>69153</v>
      </c>
      <c r="B908" s="4">
        <f>57.9895 * CHOOSE(CONTROL!$C$9, $C$13, 100%, $E$13) + CHOOSE(CONTROL!$C$28, 0.0211, 0)</f>
        <v>58.010599999999997</v>
      </c>
      <c r="C908" s="4">
        <f>57.6262 * CHOOSE(CONTROL!$C$9, $C$13, 100%, $E$13) + CHOOSE(CONTROL!$C$28, 0.0211, 0)</f>
        <v>57.647299999999994</v>
      </c>
      <c r="D908" s="4">
        <f>87.6605 * CHOOSE(CONTROL!$C$9, $C$13, 100%, $E$13) + CHOOSE(CONTROL!$C$28, 0.0021, 0)</f>
        <v>87.662599999999998</v>
      </c>
      <c r="E908" s="4">
        <f>415.374303232036 * CHOOSE(CONTROL!$C$9, $C$13, 100%, $E$13) + CHOOSE(CONTROL!$C$28, 0.0021, 0)</f>
        <v>415.37640323203601</v>
      </c>
    </row>
    <row r="909" spans="1:5" ht="15">
      <c r="A909" s="13">
        <v>69184</v>
      </c>
      <c r="B909" s="4">
        <f>59.3595 * CHOOSE(CONTROL!$C$9, $C$13, 100%, $E$13) + CHOOSE(CONTROL!$C$28, 0.0415, 0)</f>
        <v>59.400999999999996</v>
      </c>
      <c r="C909" s="4">
        <f>58.9962 * CHOOSE(CONTROL!$C$9, $C$13, 100%, $E$13) + CHOOSE(CONTROL!$C$28, 0.0415, 0)</f>
        <v>59.037700000000001</v>
      </c>
      <c r="D909" s="4">
        <f>86.699 * CHOOSE(CONTROL!$C$9, $C$13, 100%, $E$13) + CHOOSE(CONTROL!$C$28, 0.0021, 0)</f>
        <v>86.701099999999997</v>
      </c>
      <c r="E909" s="4">
        <f>425.320578016408 * CHOOSE(CONTROL!$C$9, $C$13, 100%, $E$13) + CHOOSE(CONTROL!$C$28, 0.0021, 0)</f>
        <v>425.32267801640796</v>
      </c>
    </row>
    <row r="910" spans="1:5" ht="15">
      <c r="A910" s="13">
        <v>69214</v>
      </c>
      <c r="B910" s="4">
        <f>59.5449 * CHOOSE(CONTROL!$C$9, $C$13, 100%, $E$13) + CHOOSE(CONTROL!$C$28, 0.0415, 0)</f>
        <v>59.586399999999998</v>
      </c>
      <c r="C910" s="4">
        <f>59.1816 * CHOOSE(CONTROL!$C$9, $C$13, 100%, $E$13) + CHOOSE(CONTROL!$C$28, 0.0415, 0)</f>
        <v>59.223100000000002</v>
      </c>
      <c r="D910" s="4">
        <f>87.482 * CHOOSE(CONTROL!$C$9, $C$13, 100%, $E$13) + CHOOSE(CONTROL!$C$28, 0.0021, 0)</f>
        <v>87.484099999999998</v>
      </c>
      <c r="E910" s="4">
        <f>426.666350272622 * CHOOSE(CONTROL!$C$9, $C$13, 100%, $E$13) + CHOOSE(CONTROL!$C$28, 0.0021, 0)</f>
        <v>426.66845027262201</v>
      </c>
    </row>
    <row r="911" spans="1:5" ht="15">
      <c r="A911" s="13">
        <v>69245</v>
      </c>
      <c r="B911" s="4">
        <f>59.5262 * CHOOSE(CONTROL!$C$9, $C$13, 100%, $E$13) + CHOOSE(CONTROL!$C$28, 0.0415, 0)</f>
        <v>59.567700000000002</v>
      </c>
      <c r="C911" s="4">
        <f>59.1629 * CHOOSE(CONTROL!$C$9, $C$13, 100%, $E$13) + CHOOSE(CONTROL!$C$28, 0.0415, 0)</f>
        <v>59.2044</v>
      </c>
      <c r="D911" s="4">
        <f>88.8949 * CHOOSE(CONTROL!$C$9, $C$13, 100%, $E$13) + CHOOSE(CONTROL!$C$28, 0.0021, 0)</f>
        <v>88.897000000000006</v>
      </c>
      <c r="E911" s="4">
        <f>426.530642145945 * CHOOSE(CONTROL!$C$9, $C$13, 100%, $E$13) + CHOOSE(CONTROL!$C$28, 0.0021, 0)</f>
        <v>426.53274214594501</v>
      </c>
    </row>
    <row r="912" spans="1:5" ht="15">
      <c r="A912" s="13">
        <v>69276</v>
      </c>
      <c r="B912" s="4">
        <f>60.9329 * CHOOSE(CONTROL!$C$9, $C$13, 100%, $E$13) + CHOOSE(CONTROL!$C$28, 0.0415, 0)</f>
        <v>60.974399999999996</v>
      </c>
      <c r="C912" s="4">
        <f>60.5696 * CHOOSE(CONTROL!$C$9, $C$13, 100%, $E$13) + CHOOSE(CONTROL!$C$28, 0.0415, 0)</f>
        <v>60.6111</v>
      </c>
      <c r="D912" s="4">
        <f>87.9618 * CHOOSE(CONTROL!$C$9, $C$13, 100%, $E$13) + CHOOSE(CONTROL!$C$28, 0.0021, 0)</f>
        <v>87.963899999999995</v>
      </c>
      <c r="E912" s="4">
        <f>436.742678678392 * CHOOSE(CONTROL!$C$9, $C$13, 100%, $E$13) + CHOOSE(CONTROL!$C$28, 0.0021, 0)</f>
        <v>436.74477867839198</v>
      </c>
    </row>
    <row r="913" spans="1:5" ht="15">
      <c r="A913" s="13">
        <v>69306</v>
      </c>
      <c r="B913" s="4">
        <f>58.5354 * CHOOSE(CONTROL!$C$9, $C$13, 100%, $E$13) + CHOOSE(CONTROL!$C$28, 0.0415, 0)</f>
        <v>58.576900000000002</v>
      </c>
      <c r="C913" s="4">
        <f>58.1722 * CHOOSE(CONTROL!$C$9, $C$13, 100%, $E$13) + CHOOSE(CONTROL!$C$28, 0.0415, 0)</f>
        <v>58.213699999999996</v>
      </c>
      <c r="D913" s="4">
        <f>87.521 * CHOOSE(CONTROL!$C$9, $C$13, 100%, $E$13) + CHOOSE(CONTROL!$C$28, 0.0021, 0)</f>
        <v>87.523099999999999</v>
      </c>
      <c r="E913" s="4">
        <f>419.338111432061 * CHOOSE(CONTROL!$C$9, $C$13, 100%, $E$13) + CHOOSE(CONTROL!$C$28, 0.0021, 0)</f>
        <v>419.34021143206098</v>
      </c>
    </row>
    <row r="914" spans="1:5" ht="15">
      <c r="A914" s="13">
        <v>69337</v>
      </c>
      <c r="B914" s="4">
        <f>56.6163 * CHOOSE(CONTROL!$C$9, $C$13, 100%, $E$13) + CHOOSE(CONTROL!$C$28, 0.0211, 0)</f>
        <v>56.6374</v>
      </c>
      <c r="C914" s="4">
        <f>56.253 * CHOOSE(CONTROL!$C$9, $C$13, 100%, $E$13) + CHOOSE(CONTROL!$C$28, 0.0211, 0)</f>
        <v>56.274099999999997</v>
      </c>
      <c r="D914" s="4">
        <f>86.3406 * CHOOSE(CONTROL!$C$9, $C$13, 100%, $E$13) + CHOOSE(CONTROL!$C$28, 0.0021, 0)</f>
        <v>86.342699999999994</v>
      </c>
      <c r="E914" s="4">
        <f>405.405410426552 * CHOOSE(CONTROL!$C$9, $C$13, 100%, $E$13) + CHOOSE(CONTROL!$C$28, 0.0021, 0)</f>
        <v>405.40751042655199</v>
      </c>
    </row>
    <row r="915" spans="1:5" ht="15">
      <c r="A915" s="13">
        <v>69367</v>
      </c>
      <c r="B915" s="4">
        <f>55.3802 * CHOOSE(CONTROL!$C$9, $C$13, 100%, $E$13) + CHOOSE(CONTROL!$C$28, 0.0211, 0)</f>
        <v>55.401299999999999</v>
      </c>
      <c r="C915" s="4">
        <f>55.0169 * CHOOSE(CONTROL!$C$9, $C$13, 100%, $E$13) + CHOOSE(CONTROL!$C$28, 0.0211, 0)</f>
        <v>55.037999999999997</v>
      </c>
      <c r="D915" s="4">
        <f>85.9347 * CHOOSE(CONTROL!$C$9, $C$13, 100%, $E$13) + CHOOSE(CONTROL!$C$28, 0.0021, 0)</f>
        <v>85.936800000000005</v>
      </c>
      <c r="E915" s="4">
        <f>396.431710550032 * CHOOSE(CONTROL!$C$9, $C$13, 100%, $E$13) + CHOOSE(CONTROL!$C$28, 0.0021, 0)</f>
        <v>396.43381055003198</v>
      </c>
    </row>
    <row r="916" spans="1:5" ht="15">
      <c r="A916" s="13">
        <v>69398</v>
      </c>
      <c r="B916" s="4">
        <f>54.525 * CHOOSE(CONTROL!$C$9, $C$13, 100%, $E$13) + CHOOSE(CONTROL!$C$28, 0.0211, 0)</f>
        <v>54.546099999999996</v>
      </c>
      <c r="C916" s="4">
        <f>54.1617 * CHOOSE(CONTROL!$C$9, $C$13, 100%, $E$13) + CHOOSE(CONTROL!$C$28, 0.0211, 0)</f>
        <v>54.1828</v>
      </c>
      <c r="D916" s="4">
        <f>82.947 * CHOOSE(CONTROL!$C$9, $C$13, 100%, $E$13) + CHOOSE(CONTROL!$C$28, 0.0021, 0)</f>
        <v>82.949100000000001</v>
      </c>
      <c r="E916" s="4">
        <f>390.223063754558 * CHOOSE(CONTROL!$C$9, $C$13, 100%, $E$13) + CHOOSE(CONTROL!$C$28, 0.0021, 0)</f>
        <v>390.22516375455797</v>
      </c>
    </row>
    <row r="917" spans="1:5" ht="15">
      <c r="A917" s="13">
        <v>69429</v>
      </c>
      <c r="B917" s="4">
        <f>52.1851 * CHOOSE(CONTROL!$C$9, $C$13, 100%, $E$13) + CHOOSE(CONTROL!$C$28, 0.0211, 0)</f>
        <v>52.206199999999995</v>
      </c>
      <c r="C917" s="4">
        <f>51.8218 * CHOOSE(CONTROL!$C$9, $C$13, 100%, $E$13) + CHOOSE(CONTROL!$C$28, 0.0211, 0)</f>
        <v>51.8429</v>
      </c>
      <c r="D917" s="4">
        <f>79.6557 * CHOOSE(CONTROL!$C$9, $C$13, 100%, $E$13) + CHOOSE(CONTROL!$C$28, 0.0021, 0)</f>
        <v>79.657799999999995</v>
      </c>
      <c r="E917" s="4">
        <f>373.968687512834 * CHOOSE(CONTROL!$C$9, $C$13, 100%, $E$13) + CHOOSE(CONTROL!$C$28, 0.0021, 0)</f>
        <v>373.97078751283397</v>
      </c>
    </row>
    <row r="918" spans="1:5" ht="15">
      <c r="A918" s="13">
        <v>69457</v>
      </c>
      <c r="B918" s="4">
        <f>53.4058 * CHOOSE(CONTROL!$C$9, $C$13, 100%, $E$13) + CHOOSE(CONTROL!$C$28, 0.0211, 0)</f>
        <v>53.426899999999996</v>
      </c>
      <c r="C918" s="4">
        <f>53.0426 * CHOOSE(CONTROL!$C$9, $C$13, 100%, $E$13) + CHOOSE(CONTROL!$C$28, 0.0211, 0)</f>
        <v>53.063699999999997</v>
      </c>
      <c r="D918" s="4">
        <f>82.4017 * CHOOSE(CONTROL!$C$9, $C$13, 100%, $E$13) + CHOOSE(CONTROL!$C$28, 0.0021, 0)</f>
        <v>82.403800000000004</v>
      </c>
      <c r="E918" s="4">
        <f>382.84817793112 * CHOOSE(CONTROL!$C$9, $C$13, 100%, $E$13) + CHOOSE(CONTROL!$C$28, 0.0021, 0)</f>
        <v>382.85027793111999</v>
      </c>
    </row>
    <row r="919" spans="1:5" ht="15">
      <c r="A919" s="13">
        <v>69488</v>
      </c>
      <c r="B919" s="4">
        <f>56.6115 * CHOOSE(CONTROL!$C$9, $C$13, 100%, $E$13) + CHOOSE(CONTROL!$C$28, 0.0211, 0)</f>
        <v>56.632599999999996</v>
      </c>
      <c r="C919" s="4">
        <f>56.2482 * CHOOSE(CONTROL!$C$9, $C$13, 100%, $E$13) + CHOOSE(CONTROL!$C$28, 0.0211, 0)</f>
        <v>56.269299999999994</v>
      </c>
      <c r="D919" s="4">
        <f>86.7004 * CHOOSE(CONTROL!$C$9, $C$13, 100%, $E$13) + CHOOSE(CONTROL!$C$28, 0.0021, 0)</f>
        <v>86.702500000000001</v>
      </c>
      <c r="E919" s="4">
        <f>406.166191654317 * CHOOSE(CONTROL!$C$9, $C$13, 100%, $E$13) + CHOOSE(CONTROL!$C$28, 0.0021, 0)</f>
        <v>406.16829165431699</v>
      </c>
    </row>
    <row r="920" spans="1:5" ht="15">
      <c r="A920" s="13">
        <v>69518</v>
      </c>
      <c r="B920" s="4">
        <f>58.8892 * CHOOSE(CONTROL!$C$9, $C$13, 100%, $E$13) + CHOOSE(CONTROL!$C$28, 0.0211, 0)</f>
        <v>58.910299999999999</v>
      </c>
      <c r="C920" s="4">
        <f>58.5259 * CHOOSE(CONTROL!$C$9, $C$13, 100%, $E$13) + CHOOSE(CONTROL!$C$28, 0.0211, 0)</f>
        <v>58.546999999999997</v>
      </c>
      <c r="D920" s="4">
        <f>89.1766 * CHOOSE(CONTROL!$C$9, $C$13, 100%, $E$13) + CHOOSE(CONTROL!$C$28, 0.0021, 0)</f>
        <v>89.178699999999992</v>
      </c>
      <c r="E920" s="4">
        <f>422.73395115804 * CHOOSE(CONTROL!$C$9, $C$13, 100%, $E$13) + CHOOSE(CONTROL!$C$28, 0.0021, 0)</f>
        <v>422.73605115803997</v>
      </c>
    </row>
    <row r="921" spans="1:5" ht="15">
      <c r="A921" s="13">
        <v>69549</v>
      </c>
      <c r="B921" s="4">
        <f>60.2808 * CHOOSE(CONTROL!$C$9, $C$13, 100%, $E$13) + CHOOSE(CONTROL!$C$28, 0.0415, 0)</f>
        <v>60.322299999999998</v>
      </c>
      <c r="C921" s="4">
        <f>59.9175 * CHOOSE(CONTROL!$C$9, $C$13, 100%, $E$13) + CHOOSE(CONTROL!$C$28, 0.0415, 0)</f>
        <v>59.958999999999996</v>
      </c>
      <c r="D921" s="4">
        <f>88.1981 * CHOOSE(CONTROL!$C$9, $C$13, 100%, $E$13) + CHOOSE(CONTROL!$C$28, 0.0021, 0)</f>
        <v>88.200199999999995</v>
      </c>
      <c r="E921" s="4">
        <f>432.856455141038 * CHOOSE(CONTROL!$C$9, $C$13, 100%, $E$13) + CHOOSE(CONTROL!$C$28, 0.0021, 0)</f>
        <v>432.85855514103798</v>
      </c>
    </row>
    <row r="922" spans="1:5" ht="15">
      <c r="A922" s="13">
        <v>69579</v>
      </c>
      <c r="B922" s="4">
        <f>60.4691 * CHOOSE(CONTROL!$C$9, $C$13, 100%, $E$13) + CHOOSE(CONTROL!$C$28, 0.0415, 0)</f>
        <v>60.510599999999997</v>
      </c>
      <c r="C922" s="4">
        <f>60.1058 * CHOOSE(CONTROL!$C$9, $C$13, 100%, $E$13) + CHOOSE(CONTROL!$C$28, 0.0415, 0)</f>
        <v>60.147300000000001</v>
      </c>
      <c r="D922" s="4">
        <f>88.995 * CHOOSE(CONTROL!$C$9, $C$13, 100%, $E$13) + CHOOSE(CONTROL!$C$28, 0.0021, 0)</f>
        <v>88.997100000000003</v>
      </c>
      <c r="E922" s="4">
        <f>434.226071939192 * CHOOSE(CONTROL!$C$9, $C$13, 100%, $E$13) + CHOOSE(CONTROL!$C$28, 0.0021, 0)</f>
        <v>434.22817193919201</v>
      </c>
    </row>
    <row r="923" spans="1:5" ht="15">
      <c r="A923" s="13">
        <v>69610</v>
      </c>
      <c r="B923" s="4">
        <f>60.4501 * CHOOSE(CONTROL!$C$9, $C$13, 100%, $E$13) + CHOOSE(CONTROL!$C$28, 0.0415, 0)</f>
        <v>60.491599999999998</v>
      </c>
      <c r="C923" s="4">
        <f>60.0868 * CHOOSE(CONTROL!$C$9, $C$13, 100%, $E$13) + CHOOSE(CONTROL!$C$28, 0.0415, 0)</f>
        <v>60.128299999999996</v>
      </c>
      <c r="D923" s="4">
        <f>90.4328 * CHOOSE(CONTROL!$C$9, $C$13, 100%, $E$13) + CHOOSE(CONTROL!$C$28, 0.0021, 0)</f>
        <v>90.434899999999999</v>
      </c>
      <c r="E923" s="4">
        <f>434.087959320891 * CHOOSE(CONTROL!$C$9, $C$13, 100%, $E$13) + CHOOSE(CONTROL!$C$28, 0.0021, 0)</f>
        <v>434.09005932089099</v>
      </c>
    </row>
    <row r="924" spans="1:5" ht="15">
      <c r="A924" s="13">
        <v>69641</v>
      </c>
      <c r="B924" s="4">
        <f>61.8789 * CHOOSE(CONTROL!$C$9, $C$13, 100%, $E$13) + CHOOSE(CONTROL!$C$28, 0.0415, 0)</f>
        <v>61.920400000000001</v>
      </c>
      <c r="C924" s="4">
        <f>61.5156 * CHOOSE(CONTROL!$C$9, $C$13, 100%, $E$13) + CHOOSE(CONTROL!$C$28, 0.0415, 0)</f>
        <v>61.557099999999998</v>
      </c>
      <c r="D924" s="4">
        <f>89.4833 * CHOOSE(CONTROL!$C$9, $C$13, 100%, $E$13) + CHOOSE(CONTROL!$C$28, 0.0021, 0)</f>
        <v>89.485399999999998</v>
      </c>
      <c r="E924" s="4">
        <f>444.480933848061 * CHOOSE(CONTROL!$C$9, $C$13, 100%, $E$13) + CHOOSE(CONTROL!$C$28, 0.0021, 0)</f>
        <v>444.48303384806098</v>
      </c>
    </row>
    <row r="925" spans="1:5" ht="15">
      <c r="A925" s="13">
        <v>69671</v>
      </c>
      <c r="B925" s="4">
        <f>59.4438 * CHOOSE(CONTROL!$C$9, $C$13, 100%, $E$13) + CHOOSE(CONTROL!$C$28, 0.0415, 0)</f>
        <v>59.485300000000002</v>
      </c>
      <c r="C925" s="4">
        <f>59.0805 * CHOOSE(CONTROL!$C$9, $C$13, 100%, $E$13) + CHOOSE(CONTROL!$C$28, 0.0415, 0)</f>
        <v>59.122</v>
      </c>
      <c r="D925" s="4">
        <f>89.0346 * CHOOSE(CONTROL!$C$9, $C$13, 100%, $E$13) + CHOOSE(CONTROL!$C$28, 0.0021, 0)</f>
        <v>89.036699999999996</v>
      </c>
      <c r="E925" s="4">
        <f>426.767990550923 * CHOOSE(CONTROL!$C$9, $C$13, 100%, $E$13) + CHOOSE(CONTROL!$C$28, 0.0021, 0)</f>
        <v>426.77009055092299</v>
      </c>
    </row>
    <row r="926" spans="1:5" ht="15">
      <c r="A926" s="13">
        <v>69702</v>
      </c>
      <c r="B926" s="4">
        <f>57.4944 * CHOOSE(CONTROL!$C$9, $C$13, 100%, $E$13) + CHOOSE(CONTROL!$C$28, 0.0211, 0)</f>
        <v>57.515499999999996</v>
      </c>
      <c r="C926" s="4">
        <f>57.1311 * CHOOSE(CONTROL!$C$9, $C$13, 100%, $E$13) + CHOOSE(CONTROL!$C$28, 0.0211, 0)</f>
        <v>57.152200000000001</v>
      </c>
      <c r="D926" s="4">
        <f>87.8333 * CHOOSE(CONTROL!$C$9, $C$13, 100%, $E$13) + CHOOSE(CONTROL!$C$28, 0.0021, 0)</f>
        <v>87.835399999999993</v>
      </c>
      <c r="E926" s="4">
        <f>412.588428405326 * CHOOSE(CONTROL!$C$9, $C$13, 100%, $E$13) + CHOOSE(CONTROL!$C$28, 0.0021, 0)</f>
        <v>412.59052840532598</v>
      </c>
    </row>
    <row r="927" spans="1:5" ht="15">
      <c r="A927" s="13">
        <v>69732</v>
      </c>
      <c r="B927" s="4">
        <f>56.2389 * CHOOSE(CONTROL!$C$9, $C$13, 100%, $E$13) + CHOOSE(CONTROL!$C$28, 0.0211, 0)</f>
        <v>56.26</v>
      </c>
      <c r="C927" s="4">
        <f>55.8756 * CHOOSE(CONTROL!$C$9, $C$13, 100%, $E$13) + CHOOSE(CONTROL!$C$28, 0.0211, 0)</f>
        <v>55.896699999999996</v>
      </c>
      <c r="D927" s="4">
        <f>87.4203 * CHOOSE(CONTROL!$C$9, $C$13, 100%, $E$13) + CHOOSE(CONTROL!$C$28, 0.0021, 0)</f>
        <v>87.422399999999996</v>
      </c>
      <c r="E927" s="4">
        <f>403.455731520155 * CHOOSE(CONTROL!$C$9, $C$13, 100%, $E$13) + CHOOSE(CONTROL!$C$28, 0.0021, 0)</f>
        <v>403.45783152015497</v>
      </c>
    </row>
    <row r="928" spans="1:5" ht="15">
      <c r="A928" s="13">
        <v>69763</v>
      </c>
      <c r="B928" s="4">
        <f>55.3702 * CHOOSE(CONTROL!$C$9, $C$13, 100%, $E$13) + CHOOSE(CONTROL!$C$28, 0.0211, 0)</f>
        <v>55.391299999999994</v>
      </c>
      <c r="C928" s="4">
        <f>55.0069 * CHOOSE(CONTROL!$C$9, $C$13, 100%, $E$13) + CHOOSE(CONTROL!$C$28, 0.0211, 0)</f>
        <v>55.027999999999999</v>
      </c>
      <c r="D928" s="4">
        <f>84.3798 * CHOOSE(CONTROL!$C$9, $C$13, 100%, $E$13) + CHOOSE(CONTROL!$C$28, 0.0021, 0)</f>
        <v>84.381900000000002</v>
      </c>
      <c r="E928" s="4">
        <f>397.137079232872 * CHOOSE(CONTROL!$C$9, $C$13, 100%, $E$13) + CHOOSE(CONTROL!$C$28, 0.0021, 0)</f>
        <v>397.13917923287198</v>
      </c>
    </row>
    <row r="929" spans="1:5" ht="15">
      <c r="A929" s="13">
        <v>69794</v>
      </c>
      <c r="B929" s="4">
        <f>52.9936 * CHOOSE(CONTROL!$C$9, $C$13, 100%, $E$13) + CHOOSE(CONTROL!$C$28, 0.0211, 0)</f>
        <v>53.014699999999998</v>
      </c>
      <c r="C929" s="4">
        <f>52.6303 * CHOOSE(CONTROL!$C$9, $C$13, 100%, $E$13) + CHOOSE(CONTROL!$C$28, 0.0211, 0)</f>
        <v>52.651399999999995</v>
      </c>
      <c r="D929" s="4">
        <f>81.0304 * CHOOSE(CONTROL!$C$9, $C$13, 100%, $E$13) + CHOOSE(CONTROL!$C$28, 0.0021, 0)</f>
        <v>81.032499999999999</v>
      </c>
      <c r="E929" s="4">
        <f>380.594706151995 * CHOOSE(CONTROL!$C$9, $C$13, 100%, $E$13) + CHOOSE(CONTROL!$C$28, 0.0021, 0)</f>
        <v>380.596806151995</v>
      </c>
    </row>
    <row r="930" spans="1:5" ht="15">
      <c r="A930" s="13">
        <v>69822</v>
      </c>
      <c r="B930" s="4">
        <f>54.2335 * CHOOSE(CONTROL!$C$9, $C$13, 100%, $E$13) + CHOOSE(CONTROL!$C$28, 0.0211, 0)</f>
        <v>54.254599999999996</v>
      </c>
      <c r="C930" s="4">
        <f>53.8702 * CHOOSE(CONTROL!$C$9, $C$13, 100%, $E$13) + CHOOSE(CONTROL!$C$28, 0.0211, 0)</f>
        <v>53.891299999999994</v>
      </c>
      <c r="D930" s="4">
        <f>83.8249 * CHOOSE(CONTROL!$C$9, $C$13, 100%, $E$13) + CHOOSE(CONTROL!$C$28, 0.0021, 0)</f>
        <v>83.826999999999998</v>
      </c>
      <c r="E930" s="4">
        <f>389.631524365314 * CHOOSE(CONTROL!$C$9, $C$13, 100%, $E$13) + CHOOSE(CONTROL!$C$28, 0.0021, 0)</f>
        <v>389.63362436531401</v>
      </c>
    </row>
    <row r="931" spans="1:5" ht="15">
      <c r="A931" s="13">
        <v>69853</v>
      </c>
      <c r="B931" s="4">
        <f>57.4896 * CHOOSE(CONTROL!$C$9, $C$13, 100%, $E$13) + CHOOSE(CONTROL!$C$28, 0.0211, 0)</f>
        <v>57.5107</v>
      </c>
      <c r="C931" s="4">
        <f>57.1263 * CHOOSE(CONTROL!$C$9, $C$13, 100%, $E$13) + CHOOSE(CONTROL!$C$28, 0.0211, 0)</f>
        <v>57.147399999999998</v>
      </c>
      <c r="D931" s="4">
        <f>88.1995 * CHOOSE(CONTROL!$C$9, $C$13, 100%, $E$13) + CHOOSE(CONTROL!$C$28, 0.0021, 0)</f>
        <v>88.201599999999999</v>
      </c>
      <c r="E931" s="4">
        <f>413.362689239176 * CHOOSE(CONTROL!$C$9, $C$13, 100%, $E$13) + CHOOSE(CONTROL!$C$28, 0.0021, 0)</f>
        <v>413.36478923917599</v>
      </c>
    </row>
    <row r="932" spans="1:5" ht="15">
      <c r="A932" s="13">
        <v>69883</v>
      </c>
      <c r="B932" s="4">
        <f>59.803 * CHOOSE(CONTROL!$C$9, $C$13, 100%, $E$13) + CHOOSE(CONTROL!$C$28, 0.0211, 0)</f>
        <v>59.824099999999994</v>
      </c>
      <c r="C932" s="4">
        <f>59.4398 * CHOOSE(CONTROL!$C$9, $C$13, 100%, $E$13) + CHOOSE(CONTROL!$C$28, 0.0211, 0)</f>
        <v>59.460899999999995</v>
      </c>
      <c r="D932" s="4">
        <f>90.7194 * CHOOSE(CONTROL!$C$9, $C$13, 100%, $E$13) + CHOOSE(CONTROL!$C$28, 0.0021, 0)</f>
        <v>90.721499999999992</v>
      </c>
      <c r="E932" s="4">
        <f>430.223998141409 * CHOOSE(CONTROL!$C$9, $C$13, 100%, $E$13) + CHOOSE(CONTROL!$C$28, 0.0021, 0)</f>
        <v>430.22609814140901</v>
      </c>
    </row>
    <row r="933" spans="1:5" ht="15">
      <c r="A933" s="13">
        <v>69914</v>
      </c>
      <c r="B933" s="4">
        <f>61.2165 * CHOOSE(CONTROL!$C$9, $C$13, 100%, $E$13) + CHOOSE(CONTROL!$C$28, 0.0415, 0)</f>
        <v>61.258000000000003</v>
      </c>
      <c r="C933" s="4">
        <f>60.8532 * CHOOSE(CONTROL!$C$9, $C$13, 100%, $E$13) + CHOOSE(CONTROL!$C$28, 0.0415, 0)</f>
        <v>60.8947</v>
      </c>
      <c r="D933" s="4">
        <f>89.7237 * CHOOSE(CONTROL!$C$9, $C$13, 100%, $E$13) + CHOOSE(CONTROL!$C$28, 0.0021, 0)</f>
        <v>89.725799999999992</v>
      </c>
      <c r="E933" s="4">
        <f>440.525853771498 * CHOOSE(CONTROL!$C$9, $C$13, 100%, $E$13) + CHOOSE(CONTROL!$C$28, 0.0021, 0)</f>
        <v>440.52795377149801</v>
      </c>
    </row>
    <row r="934" spans="1:5" ht="15">
      <c r="A934" s="13">
        <v>69944</v>
      </c>
      <c r="B934" s="4">
        <f>61.4078 * CHOOSE(CONTROL!$C$9, $C$13, 100%, $E$13) + CHOOSE(CONTROL!$C$28, 0.0415, 0)</f>
        <v>61.449300000000001</v>
      </c>
      <c r="C934" s="4">
        <f>61.0445 * CHOOSE(CONTROL!$C$9, $C$13, 100%, $E$13) + CHOOSE(CONTROL!$C$28, 0.0415, 0)</f>
        <v>61.085999999999999</v>
      </c>
      <c r="D934" s="4">
        <f>90.5346 * CHOOSE(CONTROL!$C$9, $C$13, 100%, $E$13) + CHOOSE(CONTROL!$C$28, 0.0021, 0)</f>
        <v>90.536699999999996</v>
      </c>
      <c r="E934" s="4">
        <f>441.919737591828 * CHOOSE(CONTROL!$C$9, $C$13, 100%, $E$13) + CHOOSE(CONTROL!$C$28, 0.0021, 0)</f>
        <v>441.92183759182797</v>
      </c>
    </row>
    <row r="935" spans="1:5" ht="15">
      <c r="A935" s="13">
        <v>69975</v>
      </c>
      <c r="B935" s="4">
        <f>61.3885 * CHOOSE(CONTROL!$C$9, $C$13, 100%, $E$13) + CHOOSE(CONTROL!$C$28, 0.0415, 0)</f>
        <v>61.43</v>
      </c>
      <c r="C935" s="4">
        <f>61.0252 * CHOOSE(CONTROL!$C$9, $C$13, 100%, $E$13) + CHOOSE(CONTROL!$C$28, 0.0415, 0)</f>
        <v>61.066699999999997</v>
      </c>
      <c r="D935" s="4">
        <f>91.9979 * CHOOSE(CONTROL!$C$9, $C$13, 100%, $E$13) + CHOOSE(CONTROL!$C$28, 0.0021, 0)</f>
        <v>92</v>
      </c>
      <c r="E935" s="4">
        <f>441.779177878854 * CHOOSE(CONTROL!$C$9, $C$13, 100%, $E$13) + CHOOSE(CONTROL!$C$28, 0.0021, 0)</f>
        <v>441.78127787885398</v>
      </c>
    </row>
    <row r="936" spans="1:5" ht="15">
      <c r="A936" s="13">
        <v>70006</v>
      </c>
      <c r="B936" s="4">
        <f>62.8397 * CHOOSE(CONTROL!$C$9, $C$13, 100%, $E$13) + CHOOSE(CONTROL!$C$28, 0.0415, 0)</f>
        <v>62.8812</v>
      </c>
      <c r="C936" s="4">
        <f>62.4765 * CHOOSE(CONTROL!$C$9, $C$13, 100%, $E$13) + CHOOSE(CONTROL!$C$28, 0.0415, 0)</f>
        <v>62.518000000000001</v>
      </c>
      <c r="D936" s="4">
        <f>91.0316 * CHOOSE(CONTROL!$C$9, $C$13, 100%, $E$13) + CHOOSE(CONTROL!$C$28, 0.0021, 0)</f>
        <v>91.033699999999996</v>
      </c>
      <c r="E936" s="4">
        <f>452.356296280185 * CHOOSE(CONTROL!$C$9, $C$13, 100%, $E$13) + CHOOSE(CONTROL!$C$28, 0.0021, 0)</f>
        <v>452.35839628018499</v>
      </c>
    </row>
    <row r="937" spans="1:5" ht="15">
      <c r="A937" s="13">
        <v>70036</v>
      </c>
      <c r="B937" s="4">
        <f>60.3663 * CHOOSE(CONTROL!$C$9, $C$13, 100%, $E$13) + CHOOSE(CONTROL!$C$28, 0.0415, 0)</f>
        <v>60.407800000000002</v>
      </c>
      <c r="C937" s="4">
        <f>60.0031 * CHOOSE(CONTROL!$C$9, $C$13, 100%, $E$13) + CHOOSE(CONTROL!$C$28, 0.0415, 0)</f>
        <v>60.044600000000003</v>
      </c>
      <c r="D937" s="4">
        <f>90.575 * CHOOSE(CONTROL!$C$9, $C$13, 100%, $E$13) + CHOOSE(CONTROL!$C$28, 0.0021, 0)</f>
        <v>90.577100000000002</v>
      </c>
      <c r="E937" s="4">
        <f>434.329513091206 * CHOOSE(CONTROL!$C$9, $C$13, 100%, $E$13) + CHOOSE(CONTROL!$C$28, 0.0021, 0)</f>
        <v>434.33161309120601</v>
      </c>
    </row>
    <row r="938" spans="1:5" ht="15">
      <c r="A938" s="13">
        <v>70067</v>
      </c>
      <c r="B938" s="4">
        <f>58.3863 * CHOOSE(CONTROL!$C$9, $C$13, 100%, $E$13) + CHOOSE(CONTROL!$C$28, 0.0211, 0)</f>
        <v>58.407399999999996</v>
      </c>
      <c r="C938" s="4">
        <f>58.0231 * CHOOSE(CONTROL!$C$9, $C$13, 100%, $E$13) + CHOOSE(CONTROL!$C$28, 0.0211, 0)</f>
        <v>58.044199999999996</v>
      </c>
      <c r="D938" s="4">
        <f>89.3525 * CHOOSE(CONTROL!$C$9, $C$13, 100%, $E$13) + CHOOSE(CONTROL!$C$28, 0.0021, 0)</f>
        <v>89.354600000000005</v>
      </c>
      <c r="E938" s="4">
        <f>419.89871589249 * CHOOSE(CONTROL!$C$9, $C$13, 100%, $E$13) + CHOOSE(CONTROL!$C$28, 0.0021, 0)</f>
        <v>419.90081589248996</v>
      </c>
    </row>
    <row r="939" spans="1:5" ht="15">
      <c r="A939" s="13">
        <v>70097</v>
      </c>
      <c r="B939" s="4">
        <f>57.1111 * CHOOSE(CONTROL!$C$9, $C$13, 100%, $E$13) + CHOOSE(CONTROL!$C$28, 0.0211, 0)</f>
        <v>57.132199999999997</v>
      </c>
      <c r="C939" s="4">
        <f>56.7478 * CHOOSE(CONTROL!$C$9, $C$13, 100%, $E$13) + CHOOSE(CONTROL!$C$28, 0.0211, 0)</f>
        <v>56.768899999999995</v>
      </c>
      <c r="D939" s="4">
        <f>88.9322 * CHOOSE(CONTROL!$C$9, $C$13, 100%, $E$13) + CHOOSE(CONTROL!$C$28, 0.0021, 0)</f>
        <v>88.934299999999993</v>
      </c>
      <c r="E939" s="4">
        <f>410.604204872051 * CHOOSE(CONTROL!$C$9, $C$13, 100%, $E$13) + CHOOSE(CONTROL!$C$28, 0.0021, 0)</f>
        <v>410.606304872051</v>
      </c>
    </row>
    <row r="940" spans="1:5" ht="15">
      <c r="A940" s="13">
        <v>70128</v>
      </c>
      <c r="B940" s="4">
        <f>56.2287 * CHOOSE(CONTROL!$C$9, $C$13, 100%, $E$13) + CHOOSE(CONTROL!$C$28, 0.0211, 0)</f>
        <v>56.2498</v>
      </c>
      <c r="C940" s="4">
        <f>55.8655 * CHOOSE(CONTROL!$C$9, $C$13, 100%, $E$13) + CHOOSE(CONTROL!$C$28, 0.0211, 0)</f>
        <v>55.886599999999994</v>
      </c>
      <c r="D940" s="4">
        <f>85.8379 * CHOOSE(CONTROL!$C$9, $C$13, 100%, $E$13) + CHOOSE(CONTROL!$C$28, 0.0021, 0)</f>
        <v>85.84</v>
      </c>
      <c r="E940" s="4">
        <f>404.173598003468 * CHOOSE(CONTROL!$C$9, $C$13, 100%, $E$13) + CHOOSE(CONTROL!$C$28, 0.0021, 0)</f>
        <v>404.17569800346797</v>
      </c>
    </row>
    <row r="941" spans="1:5" ht="15">
      <c r="A941" s="13">
        <v>70159</v>
      </c>
      <c r="B941" s="4">
        <f>53.8147 * CHOOSE(CONTROL!$C$9, $C$13, 100%, $E$13) + CHOOSE(CONTROL!$C$28, 0.0211, 0)</f>
        <v>53.835799999999999</v>
      </c>
      <c r="C941" s="4">
        <f>53.4514 * CHOOSE(CONTROL!$C$9, $C$13, 100%, $E$13) + CHOOSE(CONTROL!$C$28, 0.0211, 0)</f>
        <v>53.472499999999997</v>
      </c>
      <c r="D941" s="4">
        <f>82.4293 * CHOOSE(CONTROL!$C$9, $C$13, 100%, $E$13) + CHOOSE(CONTROL!$C$28, 0.0021, 0)</f>
        <v>82.431399999999996</v>
      </c>
      <c r="E941" s="4">
        <f>387.338125323535 * CHOOSE(CONTROL!$C$9, $C$13, 100%, $E$13) + CHOOSE(CONTROL!$C$28, 0.0021, 0)</f>
        <v>387.34022532353498</v>
      </c>
    </row>
    <row r="942" spans="1:5" ht="15">
      <c r="A942" s="13">
        <v>70188</v>
      </c>
      <c r="B942" s="4">
        <f>55.0741 * CHOOSE(CONTROL!$C$9, $C$13, 100%, $E$13) + CHOOSE(CONTROL!$C$28, 0.0211, 0)</f>
        <v>55.095199999999998</v>
      </c>
      <c r="C942" s="4">
        <f>54.7109 * CHOOSE(CONTROL!$C$9, $C$13, 100%, $E$13) + CHOOSE(CONTROL!$C$28, 0.0211, 0)</f>
        <v>54.731999999999999</v>
      </c>
      <c r="D942" s="4">
        <f>85.2732 * CHOOSE(CONTROL!$C$9, $C$13, 100%, $E$13) + CHOOSE(CONTROL!$C$28, 0.0021, 0)</f>
        <v>85.275300000000001</v>
      </c>
      <c r="E942" s="4">
        <f>396.53505888319 * CHOOSE(CONTROL!$C$9, $C$13, 100%, $E$13) + CHOOSE(CONTROL!$C$28, 0.0021, 0)</f>
        <v>396.53715888318999</v>
      </c>
    </row>
    <row r="943" spans="1:5" ht="15">
      <c r="A943" s="13">
        <v>70219</v>
      </c>
      <c r="B943" s="4">
        <f>58.3814 * CHOOSE(CONTROL!$C$9, $C$13, 100%, $E$13) + CHOOSE(CONTROL!$C$28, 0.0211, 0)</f>
        <v>58.402499999999996</v>
      </c>
      <c r="C943" s="4">
        <f>58.0181 * CHOOSE(CONTROL!$C$9, $C$13, 100%, $E$13) + CHOOSE(CONTROL!$C$28, 0.0211, 0)</f>
        <v>58.039199999999994</v>
      </c>
      <c r="D943" s="4">
        <f>89.7251 * CHOOSE(CONTROL!$C$9, $C$13, 100%, $E$13) + CHOOSE(CONTROL!$C$28, 0.0021, 0)</f>
        <v>89.727199999999996</v>
      </c>
      <c r="E943" s="4">
        <f>420.686695165578 * CHOOSE(CONTROL!$C$9, $C$13, 100%, $E$13) + CHOOSE(CONTROL!$C$28, 0.0021, 0)</f>
        <v>420.68879516557797</v>
      </c>
    </row>
    <row r="944" spans="1:5" ht="15">
      <c r="A944" s="13">
        <v>70249</v>
      </c>
      <c r="B944" s="4">
        <f>60.7313 * CHOOSE(CONTROL!$C$9, $C$13, 100%, $E$13) + CHOOSE(CONTROL!$C$28, 0.0211, 0)</f>
        <v>60.752399999999994</v>
      </c>
      <c r="C944" s="4">
        <f>60.368 * CHOOSE(CONTROL!$C$9, $C$13, 100%, $E$13) + CHOOSE(CONTROL!$C$28, 0.0211, 0)</f>
        <v>60.389099999999999</v>
      </c>
      <c r="D944" s="4">
        <f>92.2896 * CHOOSE(CONTROL!$C$9, $C$13, 100%, $E$13) + CHOOSE(CONTROL!$C$28, 0.0021, 0)</f>
        <v>92.291699999999992</v>
      </c>
      <c r="E944" s="4">
        <f>437.846754607087 * CHOOSE(CONTROL!$C$9, $C$13, 100%, $E$13) + CHOOSE(CONTROL!$C$28, 0.0021, 0)</f>
        <v>437.84885460708699</v>
      </c>
    </row>
    <row r="945" spans="1:5" ht="15">
      <c r="A945" s="13">
        <v>70280</v>
      </c>
      <c r="B945" s="4">
        <f>62.167 * CHOOSE(CONTROL!$C$9, $C$13, 100%, $E$13) + CHOOSE(CONTROL!$C$28, 0.0415, 0)</f>
        <v>62.208500000000001</v>
      </c>
      <c r="C945" s="4">
        <f>61.8037 * CHOOSE(CONTROL!$C$9, $C$13, 100%, $E$13) + CHOOSE(CONTROL!$C$28, 0.0415, 0)</f>
        <v>61.845199999999998</v>
      </c>
      <c r="D945" s="4">
        <f>91.2762 * CHOOSE(CONTROL!$C$9, $C$13, 100%, $E$13) + CHOOSE(CONTROL!$C$28, 0.0021, 0)</f>
        <v>91.278300000000002</v>
      </c>
      <c r="E945" s="4">
        <f>448.331139656623 * CHOOSE(CONTROL!$C$9, $C$13, 100%, $E$13) + CHOOSE(CONTROL!$C$28, 0.0021, 0)</f>
        <v>448.33323965662299</v>
      </c>
    </row>
    <row r="946" spans="1:5" ht="15">
      <c r="A946" s="13">
        <v>70310</v>
      </c>
      <c r="B946" s="4">
        <f>62.3612 * CHOOSE(CONTROL!$C$9, $C$13, 100%, $E$13) + CHOOSE(CONTROL!$C$28, 0.0415, 0)</f>
        <v>62.402699999999996</v>
      </c>
      <c r="C946" s="4">
        <f>61.998 * CHOOSE(CONTROL!$C$9, $C$13, 100%, $E$13) + CHOOSE(CONTROL!$C$28, 0.0415, 0)</f>
        <v>62.039499999999997</v>
      </c>
      <c r="D946" s="4">
        <f>92.1015 * CHOOSE(CONTROL!$C$9, $C$13, 100%, $E$13) + CHOOSE(CONTROL!$C$28, 0.0021, 0)</f>
        <v>92.1036</v>
      </c>
      <c r="E946" s="4">
        <f>449.749720464917 * CHOOSE(CONTROL!$C$9, $C$13, 100%, $E$13) + CHOOSE(CONTROL!$C$28, 0.0021, 0)</f>
        <v>449.75182046491699</v>
      </c>
    </row>
    <row r="947" spans="1:5" ht="15">
      <c r="A947" s="13">
        <v>70341</v>
      </c>
      <c r="B947" s="4">
        <f>62.3416 * CHOOSE(CONTROL!$C$9, $C$13, 100%, $E$13) + CHOOSE(CONTROL!$C$28, 0.0415, 0)</f>
        <v>62.383099999999999</v>
      </c>
      <c r="C947" s="4">
        <f>61.9784 * CHOOSE(CONTROL!$C$9, $C$13, 100%, $E$13) + CHOOSE(CONTROL!$C$28, 0.0415, 0)</f>
        <v>62.0199</v>
      </c>
      <c r="D947" s="4">
        <f>93.5906 * CHOOSE(CONTROL!$C$9, $C$13, 100%, $E$13) + CHOOSE(CONTROL!$C$28, 0.0021, 0)</f>
        <v>93.592699999999994</v>
      </c>
      <c r="E947" s="4">
        <f>449.606670299375 * CHOOSE(CONTROL!$C$9, $C$13, 100%, $E$13) + CHOOSE(CONTROL!$C$28, 0.0021, 0)</f>
        <v>449.60877029937501</v>
      </c>
    </row>
    <row r="948" spans="1:5" ht="15">
      <c r="A948" s="13">
        <v>70372</v>
      </c>
      <c r="B948" s="4">
        <f>63.8157 * CHOOSE(CONTROL!$C$9, $C$13, 100%, $E$13) + CHOOSE(CONTROL!$C$28, 0.0415, 0)</f>
        <v>63.857199999999999</v>
      </c>
      <c r="C948" s="4">
        <f>63.4524 * CHOOSE(CONTROL!$C$9, $C$13, 100%, $E$13) + CHOOSE(CONTROL!$C$28, 0.0415, 0)</f>
        <v>63.493899999999996</v>
      </c>
      <c r="D948" s="4">
        <f>92.6072 * CHOOSE(CONTROL!$C$9, $C$13, 100%, $E$13) + CHOOSE(CONTROL!$C$28, 0.0021, 0)</f>
        <v>92.609300000000005</v>
      </c>
      <c r="E948" s="4">
        <f>460.371195256431 * CHOOSE(CONTROL!$C$9, $C$13, 100%, $E$13) + CHOOSE(CONTROL!$C$28, 0.0021, 0)</f>
        <v>460.37329525643099</v>
      </c>
    </row>
    <row r="949" spans="1:5" ht="15">
      <c r="A949" s="13">
        <v>70402</v>
      </c>
      <c r="B949" s="4">
        <f>61.3034 * CHOOSE(CONTROL!$C$9, $C$13, 100%, $E$13) + CHOOSE(CONTROL!$C$28, 0.0415, 0)</f>
        <v>61.344900000000003</v>
      </c>
      <c r="C949" s="4">
        <f>60.9402 * CHOOSE(CONTROL!$C$9, $C$13, 100%, $E$13) + CHOOSE(CONTROL!$C$28, 0.0415, 0)</f>
        <v>60.981699999999996</v>
      </c>
      <c r="D949" s="4">
        <f>92.1426 * CHOOSE(CONTROL!$C$9, $C$13, 100%, $E$13) + CHOOSE(CONTROL!$C$28, 0.0021, 0)</f>
        <v>92.1447</v>
      </c>
      <c r="E949" s="4">
        <f>442.025011525634 * CHOOSE(CONTROL!$C$9, $C$13, 100%, $E$13) + CHOOSE(CONTROL!$C$28, 0.0021, 0)</f>
        <v>442.02711152563398</v>
      </c>
    </row>
    <row r="950" spans="1:5" ht="15">
      <c r="A950" s="13">
        <v>70433</v>
      </c>
      <c r="B950" s="4">
        <f>59.2923 * CHOOSE(CONTROL!$C$9, $C$13, 100%, $E$13) + CHOOSE(CONTROL!$C$28, 0.0211, 0)</f>
        <v>59.313399999999994</v>
      </c>
      <c r="C950" s="4">
        <f>58.929 * CHOOSE(CONTROL!$C$9, $C$13, 100%, $E$13) + CHOOSE(CONTROL!$C$28, 0.0211, 0)</f>
        <v>58.950099999999999</v>
      </c>
      <c r="D950" s="4">
        <f>90.8985 * CHOOSE(CONTROL!$C$9, $C$13, 100%, $E$13) + CHOOSE(CONTROL!$C$28, 0.0021, 0)</f>
        <v>90.900599999999997</v>
      </c>
      <c r="E950" s="4">
        <f>427.338527863294 * CHOOSE(CONTROL!$C$9, $C$13, 100%, $E$13) + CHOOSE(CONTROL!$C$28, 0.0021, 0)</f>
        <v>427.340627863294</v>
      </c>
    </row>
    <row r="951" spans="1:5" ht="15">
      <c r="A951" s="13">
        <v>70463</v>
      </c>
      <c r="B951" s="4">
        <f>57.997 * CHOOSE(CONTROL!$C$9, $C$13, 100%, $E$13) + CHOOSE(CONTROL!$C$28, 0.0211, 0)</f>
        <v>58.018099999999997</v>
      </c>
      <c r="C951" s="4">
        <f>57.6337 * CHOOSE(CONTROL!$C$9, $C$13, 100%, $E$13) + CHOOSE(CONTROL!$C$28, 0.0211, 0)</f>
        <v>57.654799999999994</v>
      </c>
      <c r="D951" s="4">
        <f>90.4707 * CHOOSE(CONTROL!$C$9, $C$13, 100%, $E$13) + CHOOSE(CONTROL!$C$28, 0.0021, 0)</f>
        <v>90.472799999999992</v>
      </c>
      <c r="E951" s="4">
        <f>417.879335666811 * CHOOSE(CONTROL!$C$9, $C$13, 100%, $E$13) + CHOOSE(CONTROL!$C$28, 0.0021, 0)</f>
        <v>417.881435666811</v>
      </c>
    </row>
    <row r="952" spans="1:5" ht="15">
      <c r="A952" s="13">
        <v>70494</v>
      </c>
      <c r="B952" s="4">
        <f>57.1008 * CHOOSE(CONTROL!$C$9, $C$13, 100%, $E$13) + CHOOSE(CONTROL!$C$28, 0.0211, 0)</f>
        <v>57.121899999999997</v>
      </c>
      <c r="C952" s="4">
        <f>56.7375 * CHOOSE(CONTROL!$C$9, $C$13, 100%, $E$13) + CHOOSE(CONTROL!$C$28, 0.0211, 0)</f>
        <v>56.758599999999994</v>
      </c>
      <c r="D952" s="4">
        <f>87.3218 * CHOOSE(CONTROL!$C$9, $C$13, 100%, $E$13) + CHOOSE(CONTROL!$C$28, 0.0021, 0)</f>
        <v>87.323899999999995</v>
      </c>
      <c r="E952" s="4">
        <f>411.334790593252 * CHOOSE(CONTROL!$C$9, $C$13, 100%, $E$13) + CHOOSE(CONTROL!$C$28, 0.0021, 0)</f>
        <v>411.33689059325201</v>
      </c>
    </row>
    <row r="953" spans="1:5" ht="15">
      <c r="A953" s="13">
        <v>70525</v>
      </c>
      <c r="B953" s="4">
        <f>54.6488 * CHOOSE(CONTROL!$C$9, $C$13, 100%, $E$13) + CHOOSE(CONTROL!$C$28, 0.0211, 0)</f>
        <v>54.669899999999998</v>
      </c>
      <c r="C953" s="4">
        <f>54.2855 * CHOOSE(CONTROL!$C$9, $C$13, 100%, $E$13) + CHOOSE(CONTROL!$C$28, 0.0211, 0)</f>
        <v>54.306599999999996</v>
      </c>
      <c r="D953" s="4">
        <f>83.853 * CHOOSE(CONTROL!$C$9, $C$13, 100%, $E$13) + CHOOSE(CONTROL!$C$28, 0.0021, 0)</f>
        <v>83.855099999999993</v>
      </c>
      <c r="E953" s="4">
        <f>394.201025143092 * CHOOSE(CONTROL!$C$9, $C$13, 100%, $E$13) + CHOOSE(CONTROL!$C$28, 0.0021, 0)</f>
        <v>394.203125143092</v>
      </c>
    </row>
    <row r="954" spans="1:5" ht="15">
      <c r="A954" s="13">
        <v>70553</v>
      </c>
      <c r="B954" s="4">
        <f>55.928 * CHOOSE(CONTROL!$C$9, $C$13, 100%, $E$13) + CHOOSE(CONTROL!$C$28, 0.0211, 0)</f>
        <v>55.949099999999994</v>
      </c>
      <c r="C954" s="4">
        <f>55.5647 * CHOOSE(CONTROL!$C$9, $C$13, 100%, $E$13) + CHOOSE(CONTROL!$C$28, 0.0211, 0)</f>
        <v>55.585799999999999</v>
      </c>
      <c r="D954" s="4">
        <f>86.7471 * CHOOSE(CONTROL!$C$9, $C$13, 100%, $E$13) + CHOOSE(CONTROL!$C$28, 0.0021, 0)</f>
        <v>86.749200000000002</v>
      </c>
      <c r="E954" s="4">
        <f>403.56091099053 * CHOOSE(CONTROL!$C$9, $C$13, 100%, $E$13) + CHOOSE(CONTROL!$C$28, 0.0021, 0)</f>
        <v>403.56301099052996</v>
      </c>
    </row>
    <row r="955" spans="1:5" ht="15">
      <c r="A955" s="13">
        <v>70584</v>
      </c>
      <c r="B955" s="4">
        <f>59.2873 * CHOOSE(CONTROL!$C$9, $C$13, 100%, $E$13) + CHOOSE(CONTROL!$C$28, 0.0211, 0)</f>
        <v>59.308399999999999</v>
      </c>
      <c r="C955" s="4">
        <f>58.924 * CHOOSE(CONTROL!$C$9, $C$13, 100%, $E$13) + CHOOSE(CONTROL!$C$28, 0.0211, 0)</f>
        <v>58.945099999999996</v>
      </c>
      <c r="D955" s="4">
        <f>91.2777 * CHOOSE(CONTROL!$C$9, $C$13, 100%, $E$13) + CHOOSE(CONTROL!$C$28, 0.0021, 0)</f>
        <v>91.279799999999994</v>
      </c>
      <c r="E955" s="4">
        <f>428.140468640447 * CHOOSE(CONTROL!$C$9, $C$13, 100%, $E$13) + CHOOSE(CONTROL!$C$28, 0.0021, 0)</f>
        <v>428.142568640447</v>
      </c>
    </row>
    <row r="956" spans="1:5" ht="15">
      <c r="A956" s="13">
        <v>70614</v>
      </c>
      <c r="B956" s="4">
        <f>61.6741 * CHOOSE(CONTROL!$C$9, $C$13, 100%, $E$13) + CHOOSE(CONTROL!$C$28, 0.0211, 0)</f>
        <v>61.6952</v>
      </c>
      <c r="C956" s="4">
        <f>61.3108 * CHOOSE(CONTROL!$C$9, $C$13, 100%, $E$13) + CHOOSE(CONTROL!$C$28, 0.0211, 0)</f>
        <v>61.331899999999997</v>
      </c>
      <c r="D956" s="4">
        <f>93.8875 * CHOOSE(CONTROL!$C$9, $C$13, 100%, $E$13) + CHOOSE(CONTROL!$C$28, 0.0021, 0)</f>
        <v>93.889600000000002</v>
      </c>
      <c r="E956" s="4">
        <f>445.604571916387 * CHOOSE(CONTROL!$C$9, $C$13, 100%, $E$13) + CHOOSE(CONTROL!$C$28, 0.0021, 0)</f>
        <v>445.60667191638697</v>
      </c>
    </row>
    <row r="957" spans="1:5" ht="15">
      <c r="A957" s="13">
        <v>70645</v>
      </c>
      <c r="B957" s="4">
        <f>63.1324 * CHOOSE(CONTROL!$C$9, $C$13, 100%, $E$13) + CHOOSE(CONTROL!$C$28, 0.0415, 0)</f>
        <v>63.173899999999996</v>
      </c>
      <c r="C957" s="4">
        <f>62.7691 * CHOOSE(CONTROL!$C$9, $C$13, 100%, $E$13) + CHOOSE(CONTROL!$C$28, 0.0415, 0)</f>
        <v>62.810600000000001</v>
      </c>
      <c r="D957" s="4">
        <f>92.8562 * CHOOSE(CONTROL!$C$9, $C$13, 100%, $E$13) + CHOOSE(CONTROL!$C$28, 0.0021, 0)</f>
        <v>92.8583</v>
      </c>
      <c r="E957" s="4">
        <f>456.274720461846 * CHOOSE(CONTROL!$C$9, $C$13, 100%, $E$13) + CHOOSE(CONTROL!$C$28, 0.0021, 0)</f>
        <v>456.276820461846</v>
      </c>
    </row>
    <row r="958" spans="1:5" ht="15">
      <c r="A958" s="13">
        <v>70675</v>
      </c>
      <c r="B958" s="4">
        <f>63.3297 * CHOOSE(CONTROL!$C$9, $C$13, 100%, $E$13) + CHOOSE(CONTROL!$C$28, 0.0415, 0)</f>
        <v>63.371200000000002</v>
      </c>
      <c r="C958" s="4">
        <f>62.9664 * CHOOSE(CONTROL!$C$9, $C$13, 100%, $E$13) + CHOOSE(CONTROL!$C$28, 0.0415, 0)</f>
        <v>63.007899999999999</v>
      </c>
      <c r="D958" s="4">
        <f>93.6961 * CHOOSE(CONTROL!$C$9, $C$13, 100%, $E$13) + CHOOSE(CONTROL!$C$28, 0.0021, 0)</f>
        <v>93.6982</v>
      </c>
      <c r="E958" s="4">
        <f>457.718435842073 * CHOOSE(CONTROL!$C$9, $C$13, 100%, $E$13) + CHOOSE(CONTROL!$C$28, 0.0021, 0)</f>
        <v>457.72053584207299</v>
      </c>
    </row>
    <row r="959" spans="1:5" ht="15">
      <c r="A959" s="13">
        <v>70706</v>
      </c>
      <c r="B959" s="4">
        <f>63.3098 * CHOOSE(CONTROL!$C$9, $C$13, 100%, $E$13) + CHOOSE(CONTROL!$C$28, 0.0415, 0)</f>
        <v>63.351300000000002</v>
      </c>
      <c r="C959" s="4">
        <f>62.9465 * CHOOSE(CONTROL!$C$9, $C$13, 100%, $E$13) + CHOOSE(CONTROL!$C$28, 0.0415, 0)</f>
        <v>62.988</v>
      </c>
      <c r="D959" s="4">
        <f>95.2115 * CHOOSE(CONTROL!$C$9, $C$13, 100%, $E$13) + CHOOSE(CONTROL!$C$28, 0.0021, 0)</f>
        <v>95.2136</v>
      </c>
      <c r="E959" s="4">
        <f>457.572851097849 * CHOOSE(CONTROL!$C$9, $C$13, 100%, $E$13) + CHOOSE(CONTROL!$C$28, 0.0021, 0)</f>
        <v>457.57495109784901</v>
      </c>
    </row>
    <row r="960" spans="1:5" ht="15">
      <c r="A960" s="13">
        <v>70737</v>
      </c>
      <c r="B960" s="4">
        <f>64.8071 * CHOOSE(CONTROL!$C$9, $C$13, 100%, $E$13) + CHOOSE(CONTROL!$C$28, 0.0415, 0)</f>
        <v>64.848600000000005</v>
      </c>
      <c r="C960" s="4">
        <f>64.4438 * CHOOSE(CONTROL!$C$9, $C$13, 100%, $E$13) + CHOOSE(CONTROL!$C$28, 0.0415, 0)</f>
        <v>64.485299999999995</v>
      </c>
      <c r="D960" s="4">
        <f>94.2107 * CHOOSE(CONTROL!$C$9, $C$13, 100%, $E$13) + CHOOSE(CONTROL!$C$28, 0.0021, 0)</f>
        <v>94.212800000000001</v>
      </c>
      <c r="E960" s="4">
        <f>468.528103100748 * CHOOSE(CONTROL!$C$9, $C$13, 100%, $E$13) + CHOOSE(CONTROL!$C$28, 0.0021, 0)</f>
        <v>468.530203100748</v>
      </c>
    </row>
    <row r="961" spans="1:5" ht="15">
      <c r="A961" s="13">
        <v>70767</v>
      </c>
      <c r="B961" s="4">
        <f>62.2553 * CHOOSE(CONTROL!$C$9, $C$13, 100%, $E$13) + CHOOSE(CONTROL!$C$28, 0.0415, 0)</f>
        <v>62.296799999999998</v>
      </c>
      <c r="C961" s="4">
        <f>61.892 * CHOOSE(CONTROL!$C$9, $C$13, 100%, $E$13) + CHOOSE(CONTROL!$C$28, 0.0415, 0)</f>
        <v>61.933500000000002</v>
      </c>
      <c r="D961" s="4">
        <f>93.7379 * CHOOSE(CONTROL!$C$9, $C$13, 100%, $E$13) + CHOOSE(CONTROL!$C$28, 0.0021, 0)</f>
        <v>93.74</v>
      </c>
      <c r="E961" s="4">
        <f>449.856859653946 * CHOOSE(CONTROL!$C$9, $C$13, 100%, $E$13) + CHOOSE(CONTROL!$C$28, 0.0021, 0)</f>
        <v>449.85895965394599</v>
      </c>
    </row>
    <row r="962" spans="1:5" ht="15">
      <c r="A962" s="13">
        <v>70798</v>
      </c>
      <c r="B962" s="4">
        <f>60.2125 * CHOOSE(CONTROL!$C$9, $C$13, 100%, $E$13) + CHOOSE(CONTROL!$C$28, 0.0211, 0)</f>
        <v>60.233599999999996</v>
      </c>
      <c r="C962" s="4">
        <f>59.8492 * CHOOSE(CONTROL!$C$9, $C$13, 100%, $E$13) + CHOOSE(CONTROL!$C$28, 0.0211, 0)</f>
        <v>59.8703</v>
      </c>
      <c r="D962" s="4">
        <f>92.4718 * CHOOSE(CONTROL!$C$9, $C$13, 100%, $E$13) + CHOOSE(CONTROL!$C$28, 0.0021, 0)</f>
        <v>92.4739</v>
      </c>
      <c r="E962" s="4">
        <f>434.910159246889 * CHOOSE(CONTROL!$C$9, $C$13, 100%, $E$13) + CHOOSE(CONTROL!$C$28, 0.0021, 0)</f>
        <v>434.91225924688899</v>
      </c>
    </row>
    <row r="963" spans="1:5" ht="15">
      <c r="A963" s="13">
        <v>70828</v>
      </c>
      <c r="B963" s="4">
        <f>58.8968 * CHOOSE(CONTROL!$C$9, $C$13, 100%, $E$13) + CHOOSE(CONTROL!$C$28, 0.0211, 0)</f>
        <v>58.917899999999996</v>
      </c>
      <c r="C963" s="4">
        <f>58.5335 * CHOOSE(CONTROL!$C$9, $C$13, 100%, $E$13) + CHOOSE(CONTROL!$C$28, 0.0211, 0)</f>
        <v>58.554599999999994</v>
      </c>
      <c r="D963" s="4">
        <f>92.0365 * CHOOSE(CONTROL!$C$9, $C$13, 100%, $E$13) + CHOOSE(CONTROL!$C$28, 0.0021, 0)</f>
        <v>92.038600000000002</v>
      </c>
      <c r="E963" s="4">
        <f>425.283368035039 * CHOOSE(CONTROL!$C$9, $C$13, 100%, $E$13) + CHOOSE(CONTROL!$C$28, 0.0021, 0)</f>
        <v>425.285468035039</v>
      </c>
    </row>
    <row r="964" spans="1:5" ht="15">
      <c r="A964" s="13">
        <v>70859</v>
      </c>
      <c r="B964" s="4">
        <f>57.9865 * CHOOSE(CONTROL!$C$9, $C$13, 100%, $E$13) + CHOOSE(CONTROL!$C$28, 0.0211, 0)</f>
        <v>58.007599999999996</v>
      </c>
      <c r="C964" s="4">
        <f>57.6232 * CHOOSE(CONTROL!$C$9, $C$13, 100%, $E$13) + CHOOSE(CONTROL!$C$28, 0.0211, 0)</f>
        <v>57.644299999999994</v>
      </c>
      <c r="D964" s="4">
        <f>88.8319 * CHOOSE(CONTROL!$C$9, $C$13, 100%, $E$13) + CHOOSE(CONTROL!$C$28, 0.0021, 0)</f>
        <v>88.834000000000003</v>
      </c>
      <c r="E964" s="4">
        <f>418.622865986765 * CHOOSE(CONTROL!$C$9, $C$13, 100%, $E$13) + CHOOSE(CONTROL!$C$28, 0.0021, 0)</f>
        <v>418.62496598676501</v>
      </c>
    </row>
    <row r="965" spans="1:5" ht="15">
      <c r="A965" s="13">
        <v>70890</v>
      </c>
      <c r="B965" s="4">
        <f>55.496 * CHOOSE(CONTROL!$C$9, $C$13, 100%, $E$13) + CHOOSE(CONTROL!$C$28, 0.0211, 0)</f>
        <v>55.517099999999999</v>
      </c>
      <c r="C965" s="4">
        <f>55.1327 * CHOOSE(CONTROL!$C$9, $C$13, 100%, $E$13) + CHOOSE(CONTROL!$C$28, 0.0211, 0)</f>
        <v>55.153799999999997</v>
      </c>
      <c r="D965" s="4">
        <f>85.3018 * CHOOSE(CONTROL!$C$9, $C$13, 100%, $E$13) + CHOOSE(CONTROL!$C$28, 0.0021, 0)</f>
        <v>85.303899999999999</v>
      </c>
      <c r="E965" s="4">
        <f>401.185522582026 * CHOOSE(CONTROL!$C$9, $C$13, 100%, $E$13) + CHOOSE(CONTROL!$C$28, 0.0021, 0)</f>
        <v>401.18762258202599</v>
      </c>
    </row>
    <row r="966" spans="1:5" ht="15">
      <c r="A966" s="13">
        <v>70918</v>
      </c>
      <c r="B966" s="4">
        <f>56.7953 * CHOOSE(CONTROL!$C$9, $C$13, 100%, $E$13) + CHOOSE(CONTROL!$C$28, 0.0211, 0)</f>
        <v>56.816399999999994</v>
      </c>
      <c r="C966" s="4">
        <f>56.432 * CHOOSE(CONTROL!$C$9, $C$13, 100%, $E$13) + CHOOSE(CONTROL!$C$28, 0.0211, 0)</f>
        <v>56.453099999999999</v>
      </c>
      <c r="D966" s="4">
        <f>88.2471 * CHOOSE(CONTROL!$C$9, $C$13, 100%, $E$13) + CHOOSE(CONTROL!$C$28, 0.0021, 0)</f>
        <v>88.249200000000002</v>
      </c>
      <c r="E966" s="4">
        <f>410.711247923936 * CHOOSE(CONTROL!$C$9, $C$13, 100%, $E$13) + CHOOSE(CONTROL!$C$28, 0.0021, 0)</f>
        <v>410.713347923936</v>
      </c>
    </row>
    <row r="967" spans="1:5" ht="15">
      <c r="A967" s="13">
        <v>70949</v>
      </c>
      <c r="B967" s="4">
        <f>60.2074 * CHOOSE(CONTROL!$C$9, $C$13, 100%, $E$13) + CHOOSE(CONTROL!$C$28, 0.0211, 0)</f>
        <v>60.228499999999997</v>
      </c>
      <c r="C967" s="4">
        <f>59.8441 * CHOOSE(CONTROL!$C$9, $C$13, 100%, $E$13) + CHOOSE(CONTROL!$C$28, 0.0211, 0)</f>
        <v>59.865199999999994</v>
      </c>
      <c r="D967" s="4">
        <f>92.8577 * CHOOSE(CONTROL!$C$9, $C$13, 100%, $E$13) + CHOOSE(CONTROL!$C$28, 0.0021, 0)</f>
        <v>92.859799999999993</v>
      </c>
      <c r="E967" s="4">
        <f>435.726308899582 * CHOOSE(CONTROL!$C$9, $C$13, 100%, $E$13) + CHOOSE(CONTROL!$C$28, 0.0021, 0)</f>
        <v>435.72840889958201</v>
      </c>
    </row>
    <row r="968" spans="1:5" ht="15">
      <c r="A968" s="13">
        <v>70979</v>
      </c>
      <c r="B968" s="4">
        <f>62.6318 * CHOOSE(CONTROL!$C$9, $C$13, 100%, $E$13) + CHOOSE(CONTROL!$C$28, 0.0211, 0)</f>
        <v>62.652899999999995</v>
      </c>
      <c r="C968" s="4">
        <f>62.2685 * CHOOSE(CONTROL!$C$9, $C$13, 100%, $E$13) + CHOOSE(CONTROL!$C$28, 0.0211, 0)</f>
        <v>62.2896</v>
      </c>
      <c r="D968" s="4">
        <f>95.5136 * CHOOSE(CONTROL!$C$9, $C$13, 100%, $E$13) + CHOOSE(CONTROL!$C$28, 0.0021, 0)</f>
        <v>95.515699999999995</v>
      </c>
      <c r="E968" s="4">
        <f>453.499843092299 * CHOOSE(CONTROL!$C$9, $C$13, 100%, $E$13) + CHOOSE(CONTROL!$C$28, 0.0021, 0)</f>
        <v>453.50194309229897</v>
      </c>
    </row>
    <row r="969" spans="1:5" ht="15">
      <c r="A969" s="13">
        <v>71010</v>
      </c>
      <c r="B969" s="4">
        <f>64.113 * CHOOSE(CONTROL!$C$9, $C$13, 100%, $E$13) + CHOOSE(CONTROL!$C$28, 0.0415, 0)</f>
        <v>64.154499999999999</v>
      </c>
      <c r="C969" s="4">
        <f>63.7497 * CHOOSE(CONTROL!$C$9, $C$13, 100%, $E$13) + CHOOSE(CONTROL!$C$28, 0.0415, 0)</f>
        <v>63.791199999999996</v>
      </c>
      <c r="D969" s="4">
        <f>94.4641 * CHOOSE(CONTROL!$C$9, $C$13, 100%, $E$13) + CHOOSE(CONTROL!$C$28, 0.0021, 0)</f>
        <v>94.466200000000001</v>
      </c>
      <c r="E969" s="4">
        <f>464.359046511884 * CHOOSE(CONTROL!$C$9, $C$13, 100%, $E$13) + CHOOSE(CONTROL!$C$28, 0.0021, 0)</f>
        <v>464.36114651188399</v>
      </c>
    </row>
    <row r="970" spans="1:5" ht="15">
      <c r="A970" s="13">
        <v>71040</v>
      </c>
      <c r="B970" s="4">
        <f>64.3134 * CHOOSE(CONTROL!$C$9, $C$13, 100%, $E$13) + CHOOSE(CONTROL!$C$28, 0.0415, 0)</f>
        <v>64.354900000000001</v>
      </c>
      <c r="C970" s="4">
        <f>63.9501 * CHOOSE(CONTROL!$C$9, $C$13, 100%, $E$13) + CHOOSE(CONTROL!$C$28, 0.0415, 0)</f>
        <v>63.991599999999998</v>
      </c>
      <c r="D970" s="4">
        <f>95.3188 * CHOOSE(CONTROL!$C$9, $C$13, 100%, $E$13) + CHOOSE(CONTROL!$C$28, 0.0021, 0)</f>
        <v>95.320899999999995</v>
      </c>
      <c r="E970" s="4">
        <f>465.828341801174 * CHOOSE(CONTROL!$C$9, $C$13, 100%, $E$13) + CHOOSE(CONTROL!$C$28, 0.0021, 0)</f>
        <v>465.830441801174</v>
      </c>
    </row>
    <row r="971" spans="1:5" ht="15">
      <c r="A971" s="13">
        <v>71071</v>
      </c>
      <c r="B971" s="4">
        <f>64.2932 * CHOOSE(CONTROL!$C$9, $C$13, 100%, $E$13) + CHOOSE(CONTROL!$C$28, 0.0415, 0)</f>
        <v>64.334699999999998</v>
      </c>
      <c r="C971" s="4">
        <f>63.9299 * CHOOSE(CONTROL!$C$9, $C$13, 100%, $E$13) + CHOOSE(CONTROL!$C$28, 0.0415, 0)</f>
        <v>63.971400000000003</v>
      </c>
      <c r="D971" s="4">
        <f>96.861 * CHOOSE(CONTROL!$C$9, $C$13, 100%, $E$13) + CHOOSE(CONTROL!$C$28, 0.0021, 0)</f>
        <v>96.863100000000003</v>
      </c>
      <c r="E971" s="4">
        <f>465.680177570322 * CHOOSE(CONTROL!$C$9, $C$13, 100%, $E$13) + CHOOSE(CONTROL!$C$28, 0.0021, 0)</f>
        <v>465.68227757032196</v>
      </c>
    </row>
    <row r="972" spans="1:5" ht="15">
      <c r="A972" s="13">
        <v>71102</v>
      </c>
      <c r="B972" s="4">
        <f>65.814 * CHOOSE(CONTROL!$C$9, $C$13, 100%, $E$13) + CHOOSE(CONTROL!$C$28, 0.0415, 0)</f>
        <v>65.855499999999992</v>
      </c>
      <c r="C972" s="4">
        <f>65.4507 * CHOOSE(CONTROL!$C$9, $C$13, 100%, $E$13) + CHOOSE(CONTROL!$C$28, 0.0415, 0)</f>
        <v>65.492199999999997</v>
      </c>
      <c r="D972" s="4">
        <f>95.8425 * CHOOSE(CONTROL!$C$9, $C$13, 100%, $E$13) + CHOOSE(CONTROL!$C$28, 0.0021, 0)</f>
        <v>95.8446</v>
      </c>
      <c r="E972" s="4">
        <f>476.829535941994 * CHOOSE(CONTROL!$C$9, $C$13, 100%, $E$13) + CHOOSE(CONTROL!$C$28, 0.0021, 0)</f>
        <v>476.83163594199397</v>
      </c>
    </row>
    <row r="973" spans="1:5" ht="15">
      <c r="A973" s="13">
        <v>71132</v>
      </c>
      <c r="B973" s="4">
        <f>63.2221 * CHOOSE(CONTROL!$C$9, $C$13, 100%, $E$13) + CHOOSE(CONTROL!$C$28, 0.0415, 0)</f>
        <v>63.263599999999997</v>
      </c>
      <c r="C973" s="4">
        <f>62.8588 * CHOOSE(CONTROL!$C$9, $C$13, 100%, $E$13) + CHOOSE(CONTROL!$C$28, 0.0415, 0)</f>
        <v>62.900300000000001</v>
      </c>
      <c r="D973" s="4">
        <f>95.3613 * CHOOSE(CONTROL!$C$9, $C$13, 100%, $E$13) + CHOOSE(CONTROL!$C$28, 0.0021, 0)</f>
        <v>95.363399999999999</v>
      </c>
      <c r="E973" s="4">
        <f>457.827473335124 * CHOOSE(CONTROL!$C$9, $C$13, 100%, $E$13) + CHOOSE(CONTROL!$C$28, 0.0021, 0)</f>
        <v>457.829573335124</v>
      </c>
    </row>
    <row r="974" spans="1:5" ht="15">
      <c r="A974" s="13">
        <v>71163</v>
      </c>
      <c r="B974" s="4">
        <f>61.1472 * CHOOSE(CONTROL!$C$9, $C$13, 100%, $E$13) + CHOOSE(CONTROL!$C$28, 0.0211, 0)</f>
        <v>61.168299999999995</v>
      </c>
      <c r="C974" s="4">
        <f>60.7839 * CHOOSE(CONTROL!$C$9, $C$13, 100%, $E$13) + CHOOSE(CONTROL!$C$28, 0.0211, 0)</f>
        <v>60.805</v>
      </c>
      <c r="D974" s="4">
        <f>94.0729 * CHOOSE(CONTROL!$C$9, $C$13, 100%, $E$13) + CHOOSE(CONTROL!$C$28, 0.0021, 0)</f>
        <v>94.075000000000003</v>
      </c>
      <c r="E974" s="4">
        <f>442.615945634237 * CHOOSE(CONTROL!$C$9, $C$13, 100%, $E$13) + CHOOSE(CONTROL!$C$28, 0.0021, 0)</f>
        <v>442.61804563423698</v>
      </c>
    </row>
    <row r="975" spans="1:5" ht="15">
      <c r="A975" s="13">
        <v>71193</v>
      </c>
      <c r="B975" s="4">
        <f>59.8108 * CHOOSE(CONTROL!$C$9, $C$13, 100%, $E$13) + CHOOSE(CONTROL!$C$28, 0.0211, 0)</f>
        <v>59.831899999999997</v>
      </c>
      <c r="C975" s="4">
        <f>59.4475 * CHOOSE(CONTROL!$C$9, $C$13, 100%, $E$13) + CHOOSE(CONTROL!$C$28, 0.0211, 0)</f>
        <v>59.468599999999995</v>
      </c>
      <c r="D975" s="4">
        <f>93.6299 * CHOOSE(CONTROL!$C$9, $C$13, 100%, $E$13) + CHOOSE(CONTROL!$C$28, 0.0021, 0)</f>
        <v>93.632000000000005</v>
      </c>
      <c r="E975" s="4">
        <f>432.818585869096 * CHOOSE(CONTROL!$C$9, $C$13, 100%, $E$13) + CHOOSE(CONTROL!$C$28, 0.0021, 0)</f>
        <v>432.820685869096</v>
      </c>
    </row>
    <row r="976" spans="1:5" ht="15">
      <c r="A976" s="13">
        <v>71224</v>
      </c>
      <c r="B976" s="4">
        <f>58.8862 * CHOOSE(CONTROL!$C$9, $C$13, 100%, $E$13) + CHOOSE(CONTROL!$C$28, 0.0211, 0)</f>
        <v>58.907299999999999</v>
      </c>
      <c r="C976" s="4">
        <f>58.5229 * CHOOSE(CONTROL!$C$9, $C$13, 100%, $E$13) + CHOOSE(CONTROL!$C$28, 0.0211, 0)</f>
        <v>58.543999999999997</v>
      </c>
      <c r="D976" s="4">
        <f>90.3687 * CHOOSE(CONTROL!$C$9, $C$13, 100%, $E$13) + CHOOSE(CONTROL!$C$28, 0.0021, 0)</f>
        <v>90.370800000000003</v>
      </c>
      <c r="E976" s="4">
        <f>426.040072307581 * CHOOSE(CONTROL!$C$9, $C$13, 100%, $E$13) + CHOOSE(CONTROL!$C$28, 0.0021, 0)</f>
        <v>426.04217230758098</v>
      </c>
    </row>
    <row r="977" spans="1:5" ht="15">
      <c r="A977" s="13">
        <v>71255</v>
      </c>
      <c r="B977" s="4">
        <f>56.3565 * CHOOSE(CONTROL!$C$9, $C$13, 100%, $E$13) + CHOOSE(CONTROL!$C$28, 0.0211, 0)</f>
        <v>56.377599999999994</v>
      </c>
      <c r="C977" s="4">
        <f>55.9932 * CHOOSE(CONTROL!$C$9, $C$13, 100%, $E$13) + CHOOSE(CONTROL!$C$28, 0.0211, 0)</f>
        <v>56.014299999999999</v>
      </c>
      <c r="D977" s="4">
        <f>86.7762 * CHOOSE(CONTROL!$C$9, $C$13, 100%, $E$13) + CHOOSE(CONTROL!$C$28, 0.0021, 0)</f>
        <v>86.778300000000002</v>
      </c>
      <c r="E977" s="4">
        <f>408.293772120429 * CHOOSE(CONTROL!$C$9, $C$13, 100%, $E$13) + CHOOSE(CONTROL!$C$28, 0.0021, 0)</f>
        <v>408.29587212042901</v>
      </c>
    </row>
    <row r="978" spans="1:5" ht="15">
      <c r="A978" s="13">
        <v>71283</v>
      </c>
      <c r="B978" s="4">
        <f>57.6762 * CHOOSE(CONTROL!$C$9, $C$13, 100%, $E$13) + CHOOSE(CONTROL!$C$28, 0.0211, 0)</f>
        <v>57.697299999999998</v>
      </c>
      <c r="C978" s="4">
        <f>57.313 * CHOOSE(CONTROL!$C$9, $C$13, 100%, $E$13) + CHOOSE(CONTROL!$C$28, 0.0211, 0)</f>
        <v>57.334099999999999</v>
      </c>
      <c r="D978" s="4">
        <f>89.7736 * CHOOSE(CONTROL!$C$9, $C$13, 100%, $E$13) + CHOOSE(CONTROL!$C$28, 0.0021, 0)</f>
        <v>89.775700000000001</v>
      </c>
      <c r="E978" s="4">
        <f>417.988275319349 * CHOOSE(CONTROL!$C$9, $C$13, 100%, $E$13) + CHOOSE(CONTROL!$C$28, 0.0021, 0)</f>
        <v>417.99037531934897</v>
      </c>
    </row>
    <row r="979" spans="1:5" ht="15">
      <c r="A979" s="13">
        <v>71314</v>
      </c>
      <c r="B979" s="4">
        <f>61.142 * CHOOSE(CONTROL!$C$9, $C$13, 100%, $E$13) + CHOOSE(CONTROL!$C$28, 0.0211, 0)</f>
        <v>61.1631</v>
      </c>
      <c r="C979" s="4">
        <f>60.7787 * CHOOSE(CONTROL!$C$9, $C$13, 100%, $E$13) + CHOOSE(CONTROL!$C$28, 0.0211, 0)</f>
        <v>60.799799999999998</v>
      </c>
      <c r="D979" s="4">
        <f>94.4656 * CHOOSE(CONTROL!$C$9, $C$13, 100%, $E$13) + CHOOSE(CONTROL!$C$28, 0.0021, 0)</f>
        <v>94.467699999999994</v>
      </c>
      <c r="E979" s="4">
        <f>443.446555916902 * CHOOSE(CONTROL!$C$9, $C$13, 100%, $E$13) + CHOOSE(CONTROL!$C$28, 0.0021, 0)</f>
        <v>443.448655916902</v>
      </c>
    </row>
    <row r="980" spans="1:5" ht="15">
      <c r="A980" s="13">
        <v>71344</v>
      </c>
      <c r="B980" s="4">
        <f>63.6045 * CHOOSE(CONTROL!$C$9, $C$13, 100%, $E$13) + CHOOSE(CONTROL!$C$28, 0.0211, 0)</f>
        <v>63.625599999999999</v>
      </c>
      <c r="C980" s="4">
        <f>63.2412 * CHOOSE(CONTROL!$C$9, $C$13, 100%, $E$13) + CHOOSE(CONTROL!$C$28, 0.0211, 0)</f>
        <v>63.262299999999996</v>
      </c>
      <c r="D980" s="4">
        <f>97.1684 * CHOOSE(CONTROL!$C$9, $C$13, 100%, $E$13) + CHOOSE(CONTROL!$C$28, 0.0021, 0)</f>
        <v>97.170500000000004</v>
      </c>
      <c r="E980" s="4">
        <f>461.535003557661 * CHOOSE(CONTROL!$C$9, $C$13, 100%, $E$13) + CHOOSE(CONTROL!$C$28, 0.0021, 0)</f>
        <v>461.537103557661</v>
      </c>
    </row>
    <row r="981" spans="1:5" ht="15">
      <c r="A981" s="13">
        <v>71375</v>
      </c>
      <c r="B981" s="4">
        <f>65.109 * CHOOSE(CONTROL!$C$9, $C$13, 100%, $E$13) + CHOOSE(CONTROL!$C$28, 0.0415, 0)</f>
        <v>65.150499999999994</v>
      </c>
      <c r="C981" s="4">
        <f>64.7457 * CHOOSE(CONTROL!$C$9, $C$13, 100%, $E$13) + CHOOSE(CONTROL!$C$28, 0.0415, 0)</f>
        <v>64.787199999999999</v>
      </c>
      <c r="D981" s="4">
        <f>96.1004 * CHOOSE(CONTROL!$C$9, $C$13, 100%, $E$13) + CHOOSE(CONTROL!$C$28, 0.0021, 0)</f>
        <v>96.102499999999992</v>
      </c>
      <c r="E981" s="4">
        <f>472.586611546579 * CHOOSE(CONTROL!$C$9, $C$13, 100%, $E$13) + CHOOSE(CONTROL!$C$28, 0.0021, 0)</f>
        <v>472.58871154657896</v>
      </c>
    </row>
    <row r="982" spans="1:5" ht="15">
      <c r="A982" s="13">
        <v>71405</v>
      </c>
      <c r="B982" s="4">
        <f>65.3126 * CHOOSE(CONTROL!$C$9, $C$13, 100%, $E$13) + CHOOSE(CONTROL!$C$28, 0.0415, 0)</f>
        <v>65.354100000000003</v>
      </c>
      <c r="C982" s="4">
        <f>64.9493 * CHOOSE(CONTROL!$C$9, $C$13, 100%, $E$13) + CHOOSE(CONTROL!$C$28, 0.0415, 0)</f>
        <v>64.990799999999993</v>
      </c>
      <c r="D982" s="4">
        <f>96.9702 * CHOOSE(CONTROL!$C$9, $C$13, 100%, $E$13) + CHOOSE(CONTROL!$C$28, 0.0021, 0)</f>
        <v>96.972300000000004</v>
      </c>
      <c r="E982" s="4">
        <f>474.081939972595 * CHOOSE(CONTROL!$C$9, $C$13, 100%, $E$13) + CHOOSE(CONTROL!$C$28, 0.0021, 0)</f>
        <v>474.08403997259501</v>
      </c>
    </row>
    <row r="983" spans="1:5" ht="15">
      <c r="A983" s="13">
        <v>71436</v>
      </c>
      <c r="B983" s="4">
        <f>65.292 * CHOOSE(CONTROL!$C$9, $C$13, 100%, $E$13) + CHOOSE(CONTROL!$C$28, 0.0415, 0)</f>
        <v>65.333500000000001</v>
      </c>
      <c r="C983" s="4">
        <f>64.9287 * CHOOSE(CONTROL!$C$9, $C$13, 100%, $E$13) + CHOOSE(CONTROL!$C$28, 0.0415, 0)</f>
        <v>64.970200000000006</v>
      </c>
      <c r="D983" s="4">
        <f>98.5397 * CHOOSE(CONTROL!$C$9, $C$13, 100%, $E$13) + CHOOSE(CONTROL!$C$28, 0.0021, 0)</f>
        <v>98.541799999999995</v>
      </c>
      <c r="E983" s="4">
        <f>473.931150551484 * CHOOSE(CONTROL!$C$9, $C$13, 100%, $E$13) + CHOOSE(CONTROL!$C$28, 0.0021, 0)</f>
        <v>473.93325055148398</v>
      </c>
    </row>
    <row r="984" spans="1:5" ht="15">
      <c r="A984" s="13">
        <v>71467</v>
      </c>
      <c r="B984" s="4">
        <f>66.8367 * CHOOSE(CONTROL!$C$9, $C$13, 100%, $E$13) + CHOOSE(CONTROL!$C$28, 0.0415, 0)</f>
        <v>66.878199999999993</v>
      </c>
      <c r="C984" s="4">
        <f>66.4735 * CHOOSE(CONTROL!$C$9, $C$13, 100%, $E$13) + CHOOSE(CONTROL!$C$28, 0.0415, 0)</f>
        <v>66.515000000000001</v>
      </c>
      <c r="D984" s="4">
        <f>97.5032 * CHOOSE(CONTROL!$C$9, $C$13, 100%, $E$13) + CHOOSE(CONTROL!$C$28, 0.0021, 0)</f>
        <v>97.505300000000005</v>
      </c>
      <c r="E984" s="4">
        <f>485.278054490078 * CHOOSE(CONTROL!$C$9, $C$13, 100%, $E$13) + CHOOSE(CONTROL!$C$28, 0.0021, 0)</f>
        <v>485.28015449007796</v>
      </c>
    </row>
    <row r="985" spans="1:5" ht="15">
      <c r="A985" s="13">
        <v>71497</v>
      </c>
      <c r="B985" s="4">
        <f>64.2041 * CHOOSE(CONTROL!$C$9, $C$13, 100%, $E$13) + CHOOSE(CONTROL!$C$28, 0.0415, 0)</f>
        <v>64.245599999999996</v>
      </c>
      <c r="C985" s="4">
        <f>63.8408 * CHOOSE(CONTROL!$C$9, $C$13, 100%, $E$13) + CHOOSE(CONTROL!$C$28, 0.0415, 0)</f>
        <v>63.882300000000001</v>
      </c>
      <c r="D985" s="4">
        <f>97.0135 * CHOOSE(CONTROL!$C$9, $C$13, 100%, $E$13) + CHOOSE(CONTROL!$C$28, 0.0021, 0)</f>
        <v>97.015599999999992</v>
      </c>
      <c r="E985" s="4">
        <f>465.939311232608 * CHOOSE(CONTROL!$C$9, $C$13, 100%, $E$13) + CHOOSE(CONTROL!$C$28, 0.0021, 0)</f>
        <v>465.941411232608</v>
      </c>
    </row>
    <row r="986" spans="1:5" ht="15">
      <c r="A986" s="13">
        <v>71528</v>
      </c>
      <c r="B986" s="4">
        <f>62.0965 * CHOOSE(CONTROL!$C$9, $C$13, 100%, $E$13) + CHOOSE(CONTROL!$C$28, 0.0211, 0)</f>
        <v>62.117599999999996</v>
      </c>
      <c r="C986" s="4">
        <f>61.7333 * CHOOSE(CONTROL!$C$9, $C$13, 100%, $E$13) + CHOOSE(CONTROL!$C$28, 0.0211, 0)</f>
        <v>61.754399999999997</v>
      </c>
      <c r="D986" s="4">
        <f>95.7023 * CHOOSE(CONTROL!$C$9, $C$13, 100%, $E$13) + CHOOSE(CONTROL!$C$28, 0.0021, 0)</f>
        <v>95.704399999999993</v>
      </c>
      <c r="E986" s="4">
        <f>450.458263998558 * CHOOSE(CONTROL!$C$9, $C$13, 100%, $E$13) + CHOOSE(CONTROL!$C$28, 0.0021, 0)</f>
        <v>450.46036399855797</v>
      </c>
    </row>
    <row r="987" spans="1:5" ht="15">
      <c r="A987" s="13">
        <v>71558</v>
      </c>
      <c r="B987" s="4">
        <f>60.7392 * CHOOSE(CONTROL!$C$9, $C$13, 100%, $E$13) + CHOOSE(CONTROL!$C$28, 0.0211, 0)</f>
        <v>60.760299999999994</v>
      </c>
      <c r="C987" s="4">
        <f>60.3759 * CHOOSE(CONTROL!$C$9, $C$13, 100%, $E$13) + CHOOSE(CONTROL!$C$28, 0.0211, 0)</f>
        <v>60.396999999999998</v>
      </c>
      <c r="D987" s="4">
        <f>95.2515 * CHOOSE(CONTROL!$C$9, $C$13, 100%, $E$13) + CHOOSE(CONTROL!$C$28, 0.0021, 0)</f>
        <v>95.253599999999992</v>
      </c>
      <c r="E987" s="4">
        <f>440.487313527601 * CHOOSE(CONTROL!$C$9, $C$13, 100%, $E$13) + CHOOSE(CONTROL!$C$28, 0.0021, 0)</f>
        <v>440.48941352760096</v>
      </c>
    </row>
    <row r="988" spans="1:5" ht="15">
      <c r="A988" s="13">
        <v>71589</v>
      </c>
      <c r="B988" s="4">
        <f>59.8 * CHOOSE(CONTROL!$C$9, $C$13, 100%, $E$13) + CHOOSE(CONTROL!$C$28, 0.0211, 0)</f>
        <v>59.821099999999994</v>
      </c>
      <c r="C988" s="4">
        <f>59.4367 * CHOOSE(CONTROL!$C$9, $C$13, 100%, $E$13) + CHOOSE(CONTROL!$C$28, 0.0211, 0)</f>
        <v>59.457799999999999</v>
      </c>
      <c r="D988" s="4">
        <f>91.9326 * CHOOSE(CONTROL!$C$9, $C$13, 100%, $E$13) + CHOOSE(CONTROL!$C$28, 0.0021, 0)</f>
        <v>91.934699999999992</v>
      </c>
      <c r="E988" s="4">
        <f>433.588697511778 * CHOOSE(CONTROL!$C$9, $C$13, 100%, $E$13) + CHOOSE(CONTROL!$C$28, 0.0021, 0)</f>
        <v>433.59079751177796</v>
      </c>
    </row>
    <row r="989" spans="1:5" ht="15">
      <c r="A989" s="13">
        <v>71620</v>
      </c>
      <c r="B989" s="4">
        <f>57.2305 * CHOOSE(CONTROL!$C$9, $C$13, 100%, $E$13) + CHOOSE(CONTROL!$C$28, 0.0211, 0)</f>
        <v>57.251599999999996</v>
      </c>
      <c r="C989" s="4">
        <f>56.8672 * CHOOSE(CONTROL!$C$9, $C$13, 100%, $E$13) + CHOOSE(CONTROL!$C$28, 0.0211, 0)</f>
        <v>56.888299999999994</v>
      </c>
      <c r="D989" s="4">
        <f>88.2767 * CHOOSE(CONTROL!$C$9, $C$13, 100%, $E$13) + CHOOSE(CONTROL!$C$28, 0.0021, 0)</f>
        <v>88.278800000000004</v>
      </c>
      <c r="E989" s="4">
        <f>415.527966411711 * CHOOSE(CONTROL!$C$9, $C$13, 100%, $E$13) + CHOOSE(CONTROL!$C$28, 0.0021, 0)</f>
        <v>415.530066411711</v>
      </c>
    </row>
    <row r="990" spans="1:5" ht="15">
      <c r="A990" s="13">
        <v>71649</v>
      </c>
      <c r="B990" s="4">
        <f>58.571 * CHOOSE(CONTROL!$C$9, $C$13, 100%, $E$13) + CHOOSE(CONTROL!$C$28, 0.0211, 0)</f>
        <v>58.592099999999995</v>
      </c>
      <c r="C990" s="4">
        <f>58.2078 * CHOOSE(CONTROL!$C$9, $C$13, 100%, $E$13) + CHOOSE(CONTROL!$C$28, 0.0211, 0)</f>
        <v>58.228899999999996</v>
      </c>
      <c r="D990" s="4">
        <f>91.327 * CHOOSE(CONTROL!$C$9, $C$13, 100%, $E$13) + CHOOSE(CONTROL!$C$28, 0.0021, 0)</f>
        <v>91.329099999999997</v>
      </c>
      <c r="E990" s="4">
        <f>425.394237892411 * CHOOSE(CONTROL!$C$9, $C$13, 100%, $E$13) + CHOOSE(CONTROL!$C$28, 0.0021, 0)</f>
        <v>425.396337892411</v>
      </c>
    </row>
    <row r="991" spans="1:5" ht="15">
      <c r="A991" s="13">
        <v>71680</v>
      </c>
      <c r="B991" s="4">
        <f>62.0913 * CHOOSE(CONTROL!$C$9, $C$13, 100%, $E$13) + CHOOSE(CONTROL!$C$28, 0.0211, 0)</f>
        <v>62.112399999999994</v>
      </c>
      <c r="C991" s="4">
        <f>61.728 * CHOOSE(CONTROL!$C$9, $C$13, 100%, $E$13) + CHOOSE(CONTROL!$C$28, 0.0211, 0)</f>
        <v>61.749099999999999</v>
      </c>
      <c r="D991" s="4">
        <f>96.102 * CHOOSE(CONTROL!$C$9, $C$13, 100%, $E$13) + CHOOSE(CONTROL!$C$28, 0.0021, 0)</f>
        <v>96.104100000000003</v>
      </c>
      <c r="E991" s="4">
        <f>451.303591126238 * CHOOSE(CONTROL!$C$9, $C$13, 100%, $E$13) + CHOOSE(CONTROL!$C$28, 0.0021, 0)</f>
        <v>451.305691126238</v>
      </c>
    </row>
    <row r="992" spans="1:5" ht="15">
      <c r="A992" s="13">
        <v>71710</v>
      </c>
      <c r="B992" s="4">
        <f>64.5925 * CHOOSE(CONTROL!$C$9, $C$13, 100%, $E$13) + CHOOSE(CONTROL!$C$28, 0.0211, 0)</f>
        <v>64.613600000000005</v>
      </c>
      <c r="C992" s="4">
        <f>64.2292 * CHOOSE(CONTROL!$C$9, $C$13, 100%, $E$13) + CHOOSE(CONTROL!$C$28, 0.0211, 0)</f>
        <v>64.25030000000001</v>
      </c>
      <c r="D992" s="4">
        <f>98.8525 * CHOOSE(CONTROL!$C$9, $C$13, 100%, $E$13) + CHOOSE(CONTROL!$C$28, 0.0021, 0)</f>
        <v>98.854600000000005</v>
      </c>
      <c r="E992" s="4">
        <f>469.712531886403 * CHOOSE(CONTROL!$C$9, $C$13, 100%, $E$13) + CHOOSE(CONTROL!$C$28, 0.0021, 0)</f>
        <v>469.71463188640297</v>
      </c>
    </row>
    <row r="993" spans="1:5" ht="15">
      <c r="A993" s="13">
        <v>71741</v>
      </c>
      <c r="B993" s="4">
        <f>66.1207 * CHOOSE(CONTROL!$C$9, $C$13, 100%, $E$13) + CHOOSE(CONTROL!$C$28, 0.0415, 0)</f>
        <v>66.162199999999999</v>
      </c>
      <c r="C993" s="4">
        <f>65.7574 * CHOOSE(CONTROL!$C$9, $C$13, 100%, $E$13) + CHOOSE(CONTROL!$C$28, 0.0415, 0)</f>
        <v>65.798900000000003</v>
      </c>
      <c r="D993" s="4">
        <f>97.7656 * CHOOSE(CONTROL!$C$9, $C$13, 100%, $E$13) + CHOOSE(CONTROL!$C$28, 0.0021, 0)</f>
        <v>97.767700000000005</v>
      </c>
      <c r="E993" s="4">
        <f>480.95995349013 * CHOOSE(CONTROL!$C$9, $C$13, 100%, $E$13) + CHOOSE(CONTROL!$C$28, 0.0021, 0)</f>
        <v>480.96205349012996</v>
      </c>
    </row>
    <row r="994" spans="1:5" ht="15">
      <c r="A994" s="13">
        <v>71771</v>
      </c>
      <c r="B994" s="4">
        <f>66.3274 * CHOOSE(CONTROL!$C$9, $C$13, 100%, $E$13) + CHOOSE(CONTROL!$C$28, 0.0415, 0)</f>
        <v>66.368899999999996</v>
      </c>
      <c r="C994" s="4">
        <f>65.9641 * CHOOSE(CONTROL!$C$9, $C$13, 100%, $E$13) + CHOOSE(CONTROL!$C$28, 0.0415, 0)</f>
        <v>66.005600000000001</v>
      </c>
      <c r="D994" s="4">
        <f>98.6508 * CHOOSE(CONTROL!$C$9, $C$13, 100%, $E$13) + CHOOSE(CONTROL!$C$28, 0.0021, 0)</f>
        <v>98.652900000000002</v>
      </c>
      <c r="E994" s="4">
        <f>482.481776310873 * CHOOSE(CONTROL!$C$9, $C$13, 100%, $E$13) + CHOOSE(CONTROL!$C$28, 0.0021, 0)</f>
        <v>482.48387631087297</v>
      </c>
    </row>
    <row r="995" spans="1:5" ht="15">
      <c r="A995" s="13">
        <v>71802</v>
      </c>
      <c r="B995" s="4">
        <f>66.3066 * CHOOSE(CONTROL!$C$9, $C$13, 100%, $E$13) + CHOOSE(CONTROL!$C$28, 0.0415, 0)</f>
        <v>66.348100000000002</v>
      </c>
      <c r="C995" s="4">
        <f>65.9433 * CHOOSE(CONTROL!$C$9, $C$13, 100%, $E$13) + CHOOSE(CONTROL!$C$28, 0.0415, 0)</f>
        <v>65.984799999999993</v>
      </c>
      <c r="D995" s="4">
        <f>100.248 * CHOOSE(CONTROL!$C$9, $C$13, 100%, $E$13) + CHOOSE(CONTROL!$C$28, 0.0021, 0)</f>
        <v>100.2501</v>
      </c>
      <c r="E995" s="4">
        <f>482.328315186092 * CHOOSE(CONTROL!$C$9, $C$13, 100%, $E$13) + CHOOSE(CONTROL!$C$28, 0.0021, 0)</f>
        <v>482.33041518609201</v>
      </c>
    </row>
    <row r="996" spans="1:5" ht="15">
      <c r="A996" s="13">
        <v>71833</v>
      </c>
      <c r="B996" s="4">
        <f>67.8756 * CHOOSE(CONTROL!$C$9, $C$13, 100%, $E$13) + CHOOSE(CONTROL!$C$28, 0.0415, 0)</f>
        <v>67.917100000000005</v>
      </c>
      <c r="C996" s="4">
        <f>67.5123 * CHOOSE(CONTROL!$C$9, $C$13, 100%, $E$13) + CHOOSE(CONTROL!$C$28, 0.0415, 0)</f>
        <v>67.553799999999995</v>
      </c>
      <c r="D996" s="4">
        <f>99.1932 * CHOOSE(CONTROL!$C$9, $C$13, 100%, $E$13) + CHOOSE(CONTROL!$C$28, 0.0021, 0)</f>
        <v>99.195300000000003</v>
      </c>
      <c r="E996" s="4">
        <f>493.876264825848 * CHOOSE(CONTROL!$C$9, $C$13, 100%, $E$13) + CHOOSE(CONTROL!$C$28, 0.0021, 0)</f>
        <v>493.878364825848</v>
      </c>
    </row>
    <row r="997" spans="1:5" ht="15">
      <c r="A997" s="13">
        <v>71863</v>
      </c>
      <c r="B997" s="4">
        <f>65.2015 * CHOOSE(CONTROL!$C$9, $C$13, 100%, $E$13) + CHOOSE(CONTROL!$C$28, 0.0415, 0)</f>
        <v>65.242999999999995</v>
      </c>
      <c r="C997" s="4">
        <f>64.8382 * CHOOSE(CONTROL!$C$9, $C$13, 100%, $E$13) + CHOOSE(CONTROL!$C$28, 0.0415, 0)</f>
        <v>64.8797</v>
      </c>
      <c r="D997" s="4">
        <f>98.6948 * CHOOSE(CONTROL!$C$9, $C$13, 100%, $E$13) + CHOOSE(CONTROL!$C$28, 0.0021, 0)</f>
        <v>98.696899999999999</v>
      </c>
      <c r="E997" s="4">
        <f>474.194875572709 * CHOOSE(CONTROL!$C$9, $C$13, 100%, $E$13) + CHOOSE(CONTROL!$C$28, 0.0021, 0)</f>
        <v>474.19697557270899</v>
      </c>
    </row>
    <row r="998" spans="1:5" ht="15">
      <c r="A998" s="13">
        <v>71894</v>
      </c>
      <c r="B998" s="4">
        <f>63.0608 * CHOOSE(CONTROL!$C$9, $C$13, 100%, $E$13) + CHOOSE(CONTROL!$C$28, 0.0211, 0)</f>
        <v>63.081899999999997</v>
      </c>
      <c r="C998" s="4">
        <f>62.6976 * CHOOSE(CONTROL!$C$9, $C$13, 100%, $E$13) + CHOOSE(CONTROL!$C$28, 0.0211, 0)</f>
        <v>62.718699999999998</v>
      </c>
      <c r="D998" s="4">
        <f>97.3604 * CHOOSE(CONTROL!$C$9, $C$13, 100%, $E$13) + CHOOSE(CONTROL!$C$28, 0.0021, 0)</f>
        <v>97.362499999999997</v>
      </c>
      <c r="E998" s="4">
        <f>458.439533428546 * CHOOSE(CONTROL!$C$9, $C$13, 100%, $E$13) + CHOOSE(CONTROL!$C$28, 0.0021, 0)</f>
        <v>458.44163342854597</v>
      </c>
    </row>
    <row r="999" spans="1:5" ht="15">
      <c r="A999" s="13">
        <v>71924</v>
      </c>
      <c r="B999" s="4">
        <f>61.6821 * CHOOSE(CONTROL!$C$9, $C$13, 100%, $E$13) + CHOOSE(CONTROL!$C$28, 0.0211, 0)</f>
        <v>61.703199999999995</v>
      </c>
      <c r="C999" s="4">
        <f>61.3188 * CHOOSE(CONTROL!$C$9, $C$13, 100%, $E$13) + CHOOSE(CONTROL!$C$28, 0.0211, 0)</f>
        <v>61.3399</v>
      </c>
      <c r="D999" s="4">
        <f>96.9017 * CHOOSE(CONTROL!$C$9, $C$13, 100%, $E$13) + CHOOSE(CONTROL!$C$28, 0.0021, 0)</f>
        <v>96.903800000000004</v>
      </c>
      <c r="E999" s="4">
        <f>448.291916552415 * CHOOSE(CONTROL!$C$9, $C$13, 100%, $E$13) + CHOOSE(CONTROL!$C$28, 0.0021, 0)</f>
        <v>448.29401655241497</v>
      </c>
    </row>
    <row r="1000" spans="1:5" ht="15">
      <c r="A1000" s="13">
        <v>71955</v>
      </c>
      <c r="B1000" s="4">
        <f>60.7282 * CHOOSE(CONTROL!$C$9, $C$13, 100%, $E$13) + CHOOSE(CONTROL!$C$28, 0.0211, 0)</f>
        <v>60.749299999999998</v>
      </c>
      <c r="C1000" s="4">
        <f>60.3649 * CHOOSE(CONTROL!$C$9, $C$13, 100%, $E$13) + CHOOSE(CONTROL!$C$28, 0.0211, 0)</f>
        <v>60.385999999999996</v>
      </c>
      <c r="D1000" s="4">
        <f>93.5242 * CHOOSE(CONTROL!$C$9, $C$13, 100%, $E$13) + CHOOSE(CONTROL!$C$28, 0.0021, 0)</f>
        <v>93.526299999999992</v>
      </c>
      <c r="E1000" s="4">
        <f>441.271070093692 * CHOOSE(CONTROL!$C$9, $C$13, 100%, $E$13) + CHOOSE(CONTROL!$C$28, 0.0021, 0)</f>
        <v>441.27317009369199</v>
      </c>
    </row>
    <row r="1001" spans="1:5" ht="15">
      <c r="A1001" s="13">
        <v>71986</v>
      </c>
      <c r="B1001" s="4">
        <f>58.1183 * CHOOSE(CONTROL!$C$9, $C$13, 100%, $E$13) + CHOOSE(CONTROL!$C$28, 0.0211, 0)</f>
        <v>58.139399999999995</v>
      </c>
      <c r="C1001" s="4">
        <f>57.755 * CHOOSE(CONTROL!$C$9, $C$13, 100%, $E$13) + CHOOSE(CONTROL!$C$28, 0.0211, 0)</f>
        <v>57.7761</v>
      </c>
      <c r="D1001" s="4">
        <f>89.8037 * CHOOSE(CONTROL!$C$9, $C$13, 100%, $E$13) + CHOOSE(CONTROL!$C$28, 0.0021, 0)</f>
        <v>89.805800000000005</v>
      </c>
      <c r="E1001" s="4">
        <f>422.890336958958 * CHOOSE(CONTROL!$C$9, $C$13, 100%, $E$13) + CHOOSE(CONTROL!$C$28, 0.0021, 0)</f>
        <v>422.892436958958</v>
      </c>
    </row>
    <row r="1002" spans="1:5" ht="15">
      <c r="A1002" s="13">
        <v>72014</v>
      </c>
      <c r="B1002" s="4">
        <f>59.4799 * CHOOSE(CONTROL!$C$9, $C$13, 100%, $E$13) + CHOOSE(CONTROL!$C$28, 0.0211, 0)</f>
        <v>59.500999999999998</v>
      </c>
      <c r="C1002" s="4">
        <f>59.1166 * CHOOSE(CONTROL!$C$9, $C$13, 100%, $E$13) + CHOOSE(CONTROL!$C$28, 0.0211, 0)</f>
        <v>59.137699999999995</v>
      </c>
      <c r="D1002" s="4">
        <f>92.9079 * CHOOSE(CONTROL!$C$9, $C$13, 100%, $E$13) + CHOOSE(CONTROL!$C$28, 0.0021, 0)</f>
        <v>92.91</v>
      </c>
      <c r="E1002" s="4">
        <f>432.931420130885 * CHOOSE(CONTROL!$C$9, $C$13, 100%, $E$13) + CHOOSE(CONTROL!$C$28, 0.0021, 0)</f>
        <v>432.93352013088497</v>
      </c>
    </row>
    <row r="1003" spans="1:5" ht="15">
      <c r="A1003" s="13">
        <v>72045</v>
      </c>
      <c r="B1003" s="4">
        <f>63.0555 * CHOOSE(CONTROL!$C$9, $C$13, 100%, $E$13) + CHOOSE(CONTROL!$C$28, 0.0211, 0)</f>
        <v>63.076599999999999</v>
      </c>
      <c r="C1003" s="4">
        <f>62.6922 * CHOOSE(CONTROL!$C$9, $C$13, 100%, $E$13) + CHOOSE(CONTROL!$C$28, 0.0211, 0)</f>
        <v>62.713299999999997</v>
      </c>
      <c r="D1003" s="4">
        <f>97.7672 * CHOOSE(CONTROL!$C$9, $C$13, 100%, $E$13) + CHOOSE(CONTROL!$C$28, 0.0021, 0)</f>
        <v>97.769300000000001</v>
      </c>
      <c r="E1003" s="4">
        <f>459.299838155932 * CHOOSE(CONTROL!$C$9, $C$13, 100%, $E$13) + CHOOSE(CONTROL!$C$28, 0.0021, 0)</f>
        <v>459.30193815593196</v>
      </c>
    </row>
    <row r="1004" spans="1:5" ht="15">
      <c r="A1004" s="13">
        <v>72075</v>
      </c>
      <c r="B1004" s="4">
        <f>65.596 * CHOOSE(CONTROL!$C$9, $C$13, 100%, $E$13) + CHOOSE(CONTROL!$C$28, 0.0211, 0)</f>
        <v>65.617100000000008</v>
      </c>
      <c r="C1004" s="4">
        <f>65.2328 * CHOOSE(CONTROL!$C$9, $C$13, 100%, $E$13) + CHOOSE(CONTROL!$C$28, 0.0211, 0)</f>
        <v>65.253900000000002</v>
      </c>
      <c r="D1004" s="4">
        <f>100.5663 * CHOOSE(CONTROL!$C$9, $C$13, 100%, $E$13) + CHOOSE(CONTROL!$C$28, 0.0021, 0)</f>
        <v>100.5684</v>
      </c>
      <c r="E1004" s="4">
        <f>478.034950568102 * CHOOSE(CONTROL!$C$9, $C$13, 100%, $E$13) + CHOOSE(CONTROL!$C$28, 0.0021, 0)</f>
        <v>478.03705056810196</v>
      </c>
    </row>
    <row r="1005" spans="1:5" ht="15">
      <c r="A1005" s="13">
        <v>72106</v>
      </c>
      <c r="B1005" s="4">
        <f>67.1482 * CHOOSE(CONTROL!$C$9, $C$13, 100%, $E$13) + CHOOSE(CONTROL!$C$28, 0.0415, 0)</f>
        <v>67.189700000000002</v>
      </c>
      <c r="C1005" s="4">
        <f>66.785 * CHOOSE(CONTROL!$C$9, $C$13, 100%, $E$13) + CHOOSE(CONTROL!$C$28, 0.0415, 0)</f>
        <v>66.826499999999996</v>
      </c>
      <c r="D1005" s="4">
        <f>99.4602 * CHOOSE(CONTROL!$C$9, $C$13, 100%, $E$13) + CHOOSE(CONTROL!$C$28, 0.0021, 0)</f>
        <v>99.462299999999999</v>
      </c>
      <c r="E1005" s="4">
        <f>489.48165523396 * CHOOSE(CONTROL!$C$9, $C$13, 100%, $E$13) + CHOOSE(CONTROL!$C$28, 0.0021, 0)</f>
        <v>489.48375523395998</v>
      </c>
    </row>
    <row r="1006" spans="1:5" ht="15">
      <c r="A1006" s="13">
        <v>72136</v>
      </c>
      <c r="B1006" s="4">
        <f>67.3583 * CHOOSE(CONTROL!$C$9, $C$13, 100%, $E$13) + CHOOSE(CONTROL!$C$28, 0.0415, 0)</f>
        <v>67.399799999999999</v>
      </c>
      <c r="C1006" s="4">
        <f>66.995 * CHOOSE(CONTROL!$C$9, $C$13, 100%, $E$13) + CHOOSE(CONTROL!$C$28, 0.0415, 0)</f>
        <v>67.036500000000004</v>
      </c>
      <c r="D1006" s="4">
        <f>100.3611 * CHOOSE(CONTROL!$C$9, $C$13, 100%, $E$13) + CHOOSE(CONTROL!$C$28, 0.0021, 0)</f>
        <v>100.36319999999999</v>
      </c>
      <c r="E1006" s="4">
        <f>491.030441880051 * CHOOSE(CONTROL!$C$9, $C$13, 100%, $E$13) + CHOOSE(CONTROL!$C$28, 0.0021, 0)</f>
        <v>491.03254188005099</v>
      </c>
    </row>
    <row r="1007" spans="1:5" ht="15">
      <c r="A1007" s="13">
        <v>72167</v>
      </c>
      <c r="B1007" s="4">
        <f>67.3371 * CHOOSE(CONTROL!$C$9, $C$13, 100%, $E$13) + CHOOSE(CONTROL!$C$28, 0.0415, 0)</f>
        <v>67.378600000000006</v>
      </c>
      <c r="C1007" s="4">
        <f>66.9738 * CHOOSE(CONTROL!$C$9, $C$13, 100%, $E$13) + CHOOSE(CONTROL!$C$28, 0.0415, 0)</f>
        <v>67.015299999999996</v>
      </c>
      <c r="D1007" s="4">
        <f>101.9865 * CHOOSE(CONTROL!$C$9, $C$13, 100%, $E$13) + CHOOSE(CONTROL!$C$28, 0.0021, 0)</f>
        <v>101.98860000000001</v>
      </c>
      <c r="E1007" s="4">
        <f>490.874261714059 * CHOOSE(CONTROL!$C$9, $C$13, 100%, $E$13) + CHOOSE(CONTROL!$C$28, 0.0021, 0)</f>
        <v>490.87636171405899</v>
      </c>
    </row>
    <row r="1008" spans="1:5" ht="15">
      <c r="A1008" s="13">
        <v>72198</v>
      </c>
      <c r="B1008" s="4">
        <f>68.9308 * CHOOSE(CONTROL!$C$9, $C$13, 100%, $E$13) + CHOOSE(CONTROL!$C$28, 0.0415, 0)</f>
        <v>68.972300000000004</v>
      </c>
      <c r="C1008" s="4">
        <f>68.5675 * CHOOSE(CONTROL!$C$9, $C$13, 100%, $E$13) + CHOOSE(CONTROL!$C$28, 0.0415, 0)</f>
        <v>68.608999999999995</v>
      </c>
      <c r="D1008" s="4">
        <f>100.913 * CHOOSE(CONTROL!$C$9, $C$13, 100%, $E$13) + CHOOSE(CONTROL!$C$28, 0.0021, 0)</f>
        <v>100.9151</v>
      </c>
      <c r="E1008" s="4">
        <f>502.626819204986 * CHOOSE(CONTROL!$C$9, $C$13, 100%, $E$13) + CHOOSE(CONTROL!$C$28, 0.0021, 0)</f>
        <v>502.628919204986</v>
      </c>
    </row>
    <row r="1009" spans="1:5" ht="15">
      <c r="A1009" s="13">
        <v>72228</v>
      </c>
      <c r="B1009" s="4">
        <f>66.2146 * CHOOSE(CONTROL!$C$9, $C$13, 100%, $E$13) + CHOOSE(CONTROL!$C$28, 0.0415, 0)</f>
        <v>66.256100000000004</v>
      </c>
      <c r="C1009" s="4">
        <f>65.8513 * CHOOSE(CONTROL!$C$9, $C$13, 100%, $E$13) + CHOOSE(CONTROL!$C$28, 0.0415, 0)</f>
        <v>65.892799999999994</v>
      </c>
      <c r="D1009" s="4">
        <f>100.4059 * CHOOSE(CONTROL!$C$9, $C$13, 100%, $E$13) + CHOOSE(CONTROL!$C$28, 0.0021, 0)</f>
        <v>100.408</v>
      </c>
      <c r="E1009" s="4">
        <f>482.596712916463 * CHOOSE(CONTROL!$C$9, $C$13, 100%, $E$13) + CHOOSE(CONTROL!$C$28, 0.0021, 0)</f>
        <v>482.59881291646298</v>
      </c>
    </row>
    <row r="1010" spans="1:5" ht="15">
      <c r="A1010" s="13">
        <v>72259</v>
      </c>
      <c r="B1010" s="4">
        <f>64.0403 * CHOOSE(CONTROL!$C$9, $C$13, 100%, $E$13) + CHOOSE(CONTROL!$C$28, 0.0211, 0)</f>
        <v>64.061400000000006</v>
      </c>
      <c r="C1010" s="4">
        <f>63.677 * CHOOSE(CONTROL!$C$9, $C$13, 100%, $E$13) + CHOOSE(CONTROL!$C$28, 0.0211, 0)</f>
        <v>63.698099999999997</v>
      </c>
      <c r="D1010" s="4">
        <f>99.0479 * CHOOSE(CONTROL!$C$9, $C$13, 100%, $E$13) + CHOOSE(CONTROL!$C$28, 0.0021, 0)</f>
        <v>99.05</v>
      </c>
      <c r="E1010" s="4">
        <f>466.562215874578 * CHOOSE(CONTROL!$C$9, $C$13, 100%, $E$13) + CHOOSE(CONTROL!$C$28, 0.0021, 0)</f>
        <v>466.56431587457797</v>
      </c>
    </row>
    <row r="1011" spans="1:5" ht="15">
      <c r="A1011" s="13">
        <v>72289</v>
      </c>
      <c r="B1011" s="4">
        <f>62.6399 * CHOOSE(CONTROL!$C$9, $C$13, 100%, $E$13) + CHOOSE(CONTROL!$C$28, 0.0211, 0)</f>
        <v>62.660999999999994</v>
      </c>
      <c r="C1011" s="4">
        <f>62.2766 * CHOOSE(CONTROL!$C$9, $C$13, 100%, $E$13) + CHOOSE(CONTROL!$C$28, 0.0211, 0)</f>
        <v>62.297699999999999</v>
      </c>
      <c r="D1011" s="4">
        <f>98.581 * CHOOSE(CONTROL!$C$9, $C$13, 100%, $E$13) + CHOOSE(CONTROL!$C$28, 0.0021, 0)</f>
        <v>98.583100000000002</v>
      </c>
      <c r="E1011" s="4">
        <f>456.234802398332 * CHOOSE(CONTROL!$C$9, $C$13, 100%, $E$13) + CHOOSE(CONTROL!$C$28, 0.0021, 0)</f>
        <v>456.23690239833201</v>
      </c>
    </row>
    <row r="1012" spans="1:5" ht="15">
      <c r="A1012" s="13">
        <v>72320</v>
      </c>
      <c r="B1012" s="4">
        <f>61.671 * CHOOSE(CONTROL!$C$9, $C$13, 100%, $E$13) + CHOOSE(CONTROL!$C$28, 0.0211, 0)</f>
        <v>61.692099999999996</v>
      </c>
      <c r="C1012" s="4">
        <f>61.3077 * CHOOSE(CONTROL!$C$9, $C$13, 100%, $E$13) + CHOOSE(CONTROL!$C$28, 0.0211, 0)</f>
        <v>61.328799999999994</v>
      </c>
      <c r="D1012" s="4">
        <f>95.1439 * CHOOSE(CONTROL!$C$9, $C$13, 100%, $E$13) + CHOOSE(CONTROL!$C$28, 0.0021, 0)</f>
        <v>95.146000000000001</v>
      </c>
      <c r="E1012" s="4">
        <f>449.08955980418 * CHOOSE(CONTROL!$C$9, $C$13, 100%, $E$13) + CHOOSE(CONTROL!$C$28, 0.0021, 0)</f>
        <v>449.09165980417998</v>
      </c>
    </row>
    <row r="1013" spans="1:5" ht="15">
      <c r="A1013" s="13">
        <v>72351</v>
      </c>
      <c r="B1013" s="4">
        <f>59.0201 * CHOOSE(CONTROL!$C$9, $C$13, 100%, $E$13) + CHOOSE(CONTROL!$C$28, 0.0211, 0)</f>
        <v>59.041199999999996</v>
      </c>
      <c r="C1013" s="4">
        <f>58.6568 * CHOOSE(CONTROL!$C$9, $C$13, 100%, $E$13) + CHOOSE(CONTROL!$C$28, 0.0211, 0)</f>
        <v>58.677899999999994</v>
      </c>
      <c r="D1013" s="4">
        <f>91.3576 * CHOOSE(CONTROL!$C$9, $C$13, 100%, $E$13) + CHOOSE(CONTROL!$C$28, 0.0021, 0)</f>
        <v>91.359700000000004</v>
      </c>
      <c r="E1013" s="4">
        <f>430.383154803274 * CHOOSE(CONTROL!$C$9, $C$13, 100%, $E$13) + CHOOSE(CONTROL!$C$28, 0.0021, 0)</f>
        <v>430.38525480327399</v>
      </c>
    </row>
    <row r="1014" spans="1:5" ht="15">
      <c r="A1014" s="13">
        <v>72379</v>
      </c>
      <c r="B1014" s="4">
        <f>60.4031 * CHOOSE(CONTROL!$C$9, $C$13, 100%, $E$13) + CHOOSE(CONTROL!$C$28, 0.0211, 0)</f>
        <v>60.424199999999999</v>
      </c>
      <c r="C1014" s="4">
        <f>60.0398 * CHOOSE(CONTROL!$C$9, $C$13, 100%, $E$13) + CHOOSE(CONTROL!$C$28, 0.0211, 0)</f>
        <v>60.060899999999997</v>
      </c>
      <c r="D1014" s="4">
        <f>94.5167 * CHOOSE(CONTROL!$C$9, $C$13, 100%, $E$13) + CHOOSE(CONTROL!$C$28, 0.0021, 0)</f>
        <v>94.518799999999999</v>
      </c>
      <c r="E1014" s="4">
        <f>440.602146999341 * CHOOSE(CONTROL!$C$9, $C$13, 100%, $E$13) + CHOOSE(CONTROL!$C$28, 0.0021, 0)</f>
        <v>440.604246999341</v>
      </c>
    </row>
    <row r="1015" spans="1:5" ht="15">
      <c r="A1015" s="13">
        <v>72410</v>
      </c>
      <c r="B1015" s="4">
        <f>64.0349 * CHOOSE(CONTROL!$C$9, $C$13, 100%, $E$13) + CHOOSE(CONTROL!$C$28, 0.0211, 0)</f>
        <v>64.055999999999997</v>
      </c>
      <c r="C1015" s="4">
        <f>63.6716 * CHOOSE(CONTROL!$C$9, $C$13, 100%, $E$13) + CHOOSE(CONTROL!$C$28, 0.0211, 0)</f>
        <v>63.692699999999995</v>
      </c>
      <c r="D1015" s="4">
        <f>99.4619 * CHOOSE(CONTROL!$C$9, $C$13, 100%, $E$13) + CHOOSE(CONTROL!$C$28, 0.0021, 0)</f>
        <v>99.463999999999999</v>
      </c>
      <c r="E1015" s="4">
        <f>467.437763576442 * CHOOSE(CONTROL!$C$9, $C$13, 100%, $E$13) + CHOOSE(CONTROL!$C$28, 0.0021, 0)</f>
        <v>467.43986357644201</v>
      </c>
    </row>
    <row r="1016" spans="1:5" ht="15">
      <c r="A1016" s="13">
        <v>72440</v>
      </c>
      <c r="B1016" s="4">
        <f>66.6154 * CHOOSE(CONTROL!$C$9, $C$13, 100%, $E$13) + CHOOSE(CONTROL!$C$28, 0.0211, 0)</f>
        <v>66.636499999999998</v>
      </c>
      <c r="C1016" s="4">
        <f>66.2521 * CHOOSE(CONTROL!$C$9, $C$13, 100%, $E$13) + CHOOSE(CONTROL!$C$28, 0.0211, 0)</f>
        <v>66.273200000000003</v>
      </c>
      <c r="D1016" s="4">
        <f>102.3104 * CHOOSE(CONTROL!$C$9, $C$13, 100%, $E$13) + CHOOSE(CONTROL!$C$28, 0.0021, 0)</f>
        <v>102.3125</v>
      </c>
      <c r="E1016" s="4">
        <f>486.504826786084 * CHOOSE(CONTROL!$C$9, $C$13, 100%, $E$13) + CHOOSE(CONTROL!$C$28, 0.0021, 0)</f>
        <v>486.50692678608397</v>
      </c>
    </row>
    <row r="1017" spans="1:5" ht="15">
      <c r="A1017" s="13">
        <v>72471</v>
      </c>
      <c r="B1017" s="4">
        <f>68.192 * CHOOSE(CONTROL!$C$9, $C$13, 100%, $E$13) + CHOOSE(CONTROL!$C$28, 0.0415, 0)</f>
        <v>68.233499999999992</v>
      </c>
      <c r="C1017" s="4">
        <f>67.8287 * CHOOSE(CONTROL!$C$9, $C$13, 100%, $E$13) + CHOOSE(CONTROL!$C$28, 0.0415, 0)</f>
        <v>67.870199999999997</v>
      </c>
      <c r="D1017" s="4">
        <f>101.1848 * CHOOSE(CONTROL!$C$9, $C$13, 100%, $E$13) + CHOOSE(CONTROL!$C$28, 0.0021, 0)</f>
        <v>101.18689999999999</v>
      </c>
      <c r="E1017" s="4">
        <f>498.154345433448 * CHOOSE(CONTROL!$C$9, $C$13, 100%, $E$13) + CHOOSE(CONTROL!$C$28, 0.0021, 0)</f>
        <v>498.15644543344797</v>
      </c>
    </row>
    <row r="1018" spans="1:5" ht="15">
      <c r="A1018" s="13">
        <v>72501</v>
      </c>
      <c r="B1018" s="4">
        <f>68.4053 * CHOOSE(CONTROL!$C$9, $C$13, 100%, $E$13) + CHOOSE(CONTROL!$C$28, 0.0415, 0)</f>
        <v>68.446799999999996</v>
      </c>
      <c r="C1018" s="4">
        <f>68.042 * CHOOSE(CONTROL!$C$9, $C$13, 100%, $E$13) + CHOOSE(CONTROL!$C$28, 0.0415, 0)</f>
        <v>68.083500000000001</v>
      </c>
      <c r="D1018" s="4">
        <f>102.1015 * CHOOSE(CONTROL!$C$9, $C$13, 100%, $E$13) + CHOOSE(CONTROL!$C$28, 0.0021, 0)</f>
        <v>102.1036</v>
      </c>
      <c r="E1018" s="4">
        <f>499.730573652933 * CHOOSE(CONTROL!$C$9, $C$13, 100%, $E$13) + CHOOSE(CONTROL!$C$28, 0.0021, 0)</f>
        <v>499.73267365293299</v>
      </c>
    </row>
    <row r="1019" spans="1:5" ht="15">
      <c r="A1019" s="13">
        <v>72532</v>
      </c>
      <c r="B1019" s="4">
        <f>68.3838 * CHOOSE(CONTROL!$C$9, $C$13, 100%, $E$13) + CHOOSE(CONTROL!$C$28, 0.0415, 0)</f>
        <v>68.425299999999993</v>
      </c>
      <c r="C1019" s="4">
        <f>68.0205 * CHOOSE(CONTROL!$C$9, $C$13, 100%, $E$13) + CHOOSE(CONTROL!$C$28, 0.0415, 0)</f>
        <v>68.061999999999998</v>
      </c>
      <c r="D1019" s="4">
        <f>103.7557 * CHOOSE(CONTROL!$C$9, $C$13, 100%, $E$13) + CHOOSE(CONTROL!$C$28, 0.0021, 0)</f>
        <v>103.7578</v>
      </c>
      <c r="E1019" s="4">
        <f>499.571626269455 * CHOOSE(CONTROL!$C$9, $C$13, 100%, $E$13) + CHOOSE(CONTROL!$C$28, 0.0021, 0)</f>
        <v>499.57372626945499</v>
      </c>
    </row>
    <row r="1020" spans="1:5" ht="15">
      <c r="A1020" s="13">
        <v>72563</v>
      </c>
      <c r="B1020" s="4">
        <f>70.0025 * CHOOSE(CONTROL!$C$9, $C$13, 100%, $E$13) + CHOOSE(CONTROL!$C$28, 0.0415, 0)</f>
        <v>70.043999999999997</v>
      </c>
      <c r="C1020" s="4">
        <f>69.6392 * CHOOSE(CONTROL!$C$9, $C$13, 100%, $E$13) + CHOOSE(CONTROL!$C$28, 0.0415, 0)</f>
        <v>69.680700000000002</v>
      </c>
      <c r="D1020" s="4">
        <f>102.6633 * CHOOSE(CONTROL!$C$9, $C$13, 100%, $E$13) + CHOOSE(CONTROL!$C$28, 0.0021, 0)</f>
        <v>102.66540000000001</v>
      </c>
      <c r="E1020" s="4">
        <f>511.532416876129 * CHOOSE(CONTROL!$C$9, $C$13, 100%, $E$13) + CHOOSE(CONTROL!$C$28, 0.0021, 0)</f>
        <v>511.53451687612898</v>
      </c>
    </row>
    <row r="1021" spans="1:5" ht="15">
      <c r="A1021" s="13">
        <v>72593</v>
      </c>
      <c r="B1021" s="4">
        <f>67.2437 * CHOOSE(CONTROL!$C$9, $C$13, 100%, $E$13) + CHOOSE(CONTROL!$C$28, 0.0415, 0)</f>
        <v>67.285200000000003</v>
      </c>
      <c r="C1021" s="4">
        <f>66.8804 * CHOOSE(CONTROL!$C$9, $C$13, 100%, $E$13) + CHOOSE(CONTROL!$C$28, 0.0415, 0)</f>
        <v>66.921899999999994</v>
      </c>
      <c r="D1021" s="4">
        <f>102.1472 * CHOOSE(CONTROL!$C$9, $C$13, 100%, $E$13) + CHOOSE(CONTROL!$C$28, 0.0021, 0)</f>
        <v>102.1493</v>
      </c>
      <c r="E1021" s="4">
        <f>491.147414945153 * CHOOSE(CONTROL!$C$9, $C$13, 100%, $E$13) + CHOOSE(CONTROL!$C$28, 0.0021, 0)</f>
        <v>491.14951494515299</v>
      </c>
    </row>
    <row r="1022" spans="1:5" ht="15">
      <c r="A1022" s="13">
        <v>72624</v>
      </c>
      <c r="B1022" s="4">
        <f>65.0352 * CHOOSE(CONTROL!$C$9, $C$13, 100%, $E$13) + CHOOSE(CONTROL!$C$28, 0.0211, 0)</f>
        <v>65.056300000000007</v>
      </c>
      <c r="C1022" s="4">
        <f>64.6719 * CHOOSE(CONTROL!$C$9, $C$13, 100%, $E$13) + CHOOSE(CONTROL!$C$28, 0.0211, 0)</f>
        <v>64.692999999999998</v>
      </c>
      <c r="D1022" s="4">
        <f>100.7652 * CHOOSE(CONTROL!$C$9, $C$13, 100%, $E$13) + CHOOSE(CONTROL!$C$28, 0.0021, 0)</f>
        <v>100.76729999999999</v>
      </c>
      <c r="E1022" s="4">
        <f>474.828816908141 * CHOOSE(CONTROL!$C$9, $C$13, 100%, $E$13) + CHOOSE(CONTROL!$C$28, 0.0021, 0)</f>
        <v>474.83091690814098</v>
      </c>
    </row>
    <row r="1023" spans="1:5" ht="15">
      <c r="A1023" s="13">
        <v>72654</v>
      </c>
      <c r="B1023" s="4">
        <f>63.6127 * CHOOSE(CONTROL!$C$9, $C$13, 100%, $E$13) + CHOOSE(CONTROL!$C$28, 0.0211, 0)</f>
        <v>63.633799999999994</v>
      </c>
      <c r="C1023" s="4">
        <f>63.2495 * CHOOSE(CONTROL!$C$9, $C$13, 100%, $E$13) + CHOOSE(CONTROL!$C$28, 0.0211, 0)</f>
        <v>63.270599999999995</v>
      </c>
      <c r="D1023" s="4">
        <f>100.2901 * CHOOSE(CONTROL!$C$9, $C$13, 100%, $E$13) + CHOOSE(CONTROL!$C$28, 0.0021, 0)</f>
        <v>100.29219999999999</v>
      </c>
      <c r="E1023" s="4">
        <f>464.318421175698 * CHOOSE(CONTROL!$C$9, $C$13, 100%, $E$13) + CHOOSE(CONTROL!$C$28, 0.0021, 0)</f>
        <v>464.32052117569799</v>
      </c>
    </row>
    <row r="1024" spans="1:5" ht="15">
      <c r="A1024" s="13">
        <v>72685</v>
      </c>
      <c r="B1024" s="4">
        <f>62.6286 * CHOOSE(CONTROL!$C$9, $C$13, 100%, $E$13) + CHOOSE(CONTROL!$C$28, 0.0211, 0)</f>
        <v>62.649699999999996</v>
      </c>
      <c r="C1024" s="4">
        <f>62.2653 * CHOOSE(CONTROL!$C$9, $C$13, 100%, $E$13) + CHOOSE(CONTROL!$C$28, 0.0211, 0)</f>
        <v>62.2864</v>
      </c>
      <c r="D1024" s="4">
        <f>96.7922 * CHOOSE(CONTROL!$C$9, $C$13, 100%, $E$13) + CHOOSE(CONTROL!$C$28, 0.0021, 0)</f>
        <v>96.794299999999993</v>
      </c>
      <c r="E1024" s="4">
        <f>457.046578381607 * CHOOSE(CONTROL!$C$9, $C$13, 100%, $E$13) + CHOOSE(CONTROL!$C$28, 0.0021, 0)</f>
        <v>457.04867838160698</v>
      </c>
    </row>
    <row r="1025" spans="1:5" ht="15">
      <c r="A1025" s="13">
        <v>72716</v>
      </c>
      <c r="B1025" s="4">
        <f>59.936 * CHOOSE(CONTROL!$C$9, $C$13, 100%, $E$13) + CHOOSE(CONTROL!$C$28, 0.0211, 0)</f>
        <v>59.957099999999997</v>
      </c>
      <c r="C1025" s="4">
        <f>59.5727 * CHOOSE(CONTROL!$C$9, $C$13, 100%, $E$13) + CHOOSE(CONTROL!$C$28, 0.0211, 0)</f>
        <v>59.593799999999995</v>
      </c>
      <c r="D1025" s="4">
        <f>92.9391 * CHOOSE(CONTROL!$C$9, $C$13, 100%, $E$13) + CHOOSE(CONTROL!$C$28, 0.0021, 0)</f>
        <v>92.941199999999995</v>
      </c>
      <c r="E1025" s="4">
        <f>438.008731224321 * CHOOSE(CONTROL!$C$9, $C$13, 100%, $E$13) + CHOOSE(CONTROL!$C$28, 0.0021, 0)</f>
        <v>438.01083122432101</v>
      </c>
    </row>
    <row r="1026" spans="1:5" ht="15">
      <c r="A1026" s="13">
        <v>72744</v>
      </c>
      <c r="B1026" s="4">
        <f>61.3407 * CHOOSE(CONTROL!$C$9, $C$13, 100%, $E$13) + CHOOSE(CONTROL!$C$28, 0.0211, 0)</f>
        <v>61.361799999999995</v>
      </c>
      <c r="C1026" s="4">
        <f>60.9774 * CHOOSE(CONTROL!$C$9, $C$13, 100%, $E$13) + CHOOSE(CONTROL!$C$28, 0.0211, 0)</f>
        <v>60.9985</v>
      </c>
      <c r="D1026" s="4">
        <f>96.1539 * CHOOSE(CONTROL!$C$9, $C$13, 100%, $E$13) + CHOOSE(CONTROL!$C$28, 0.0021, 0)</f>
        <v>96.155999999999992</v>
      </c>
      <c r="E1026" s="4">
        <f>448.40878465633 * CHOOSE(CONTROL!$C$9, $C$13, 100%, $E$13) + CHOOSE(CONTROL!$C$28, 0.0021, 0)</f>
        <v>448.41088465632998</v>
      </c>
    </row>
    <row r="1027" spans="1:5" ht="15">
      <c r="A1027" s="13">
        <v>72775</v>
      </c>
      <c r="B1027" s="4">
        <f>65.0297 * CHOOSE(CONTROL!$C$9, $C$13, 100%, $E$13) + CHOOSE(CONTROL!$C$28, 0.0211, 0)</f>
        <v>65.05080000000001</v>
      </c>
      <c r="C1027" s="4">
        <f>64.6664 * CHOOSE(CONTROL!$C$9, $C$13, 100%, $E$13) + CHOOSE(CONTROL!$C$28, 0.0211, 0)</f>
        <v>64.6875</v>
      </c>
      <c r="D1027" s="4">
        <f>101.1865 * CHOOSE(CONTROL!$C$9, $C$13, 100%, $E$13) + CHOOSE(CONTROL!$C$28, 0.0021, 0)</f>
        <v>101.18859999999999</v>
      </c>
      <c r="E1027" s="4">
        <f>475.719877661192 * CHOOSE(CONTROL!$C$9, $C$13, 100%, $E$13) + CHOOSE(CONTROL!$C$28, 0.0021, 0)</f>
        <v>475.721977661192</v>
      </c>
    </row>
    <row r="1028" spans="1:5" ht="15">
      <c r="A1028" s="13">
        <v>72805</v>
      </c>
      <c r="B1028" s="4">
        <f>67.6507 * CHOOSE(CONTROL!$C$9, $C$13, 100%, $E$13) + CHOOSE(CONTROL!$C$28, 0.0211, 0)</f>
        <v>67.671800000000005</v>
      </c>
      <c r="C1028" s="4">
        <f>67.2875 * CHOOSE(CONTROL!$C$9, $C$13, 100%, $E$13) + CHOOSE(CONTROL!$C$28, 0.0211, 0)</f>
        <v>67.308599999999998</v>
      </c>
      <c r="D1028" s="4">
        <f>104.0854 * CHOOSE(CONTROL!$C$9, $C$13, 100%, $E$13) + CHOOSE(CONTROL!$C$28, 0.0021, 0)</f>
        <v>104.08750000000001</v>
      </c>
      <c r="E1028" s="4">
        <f>495.124773209316 * CHOOSE(CONTROL!$C$9, $C$13, 100%, $E$13) + CHOOSE(CONTROL!$C$28, 0.0021, 0)</f>
        <v>495.12687320931599</v>
      </c>
    </row>
    <row r="1029" spans="1:5" ht="15">
      <c r="A1029" s="13">
        <v>72836</v>
      </c>
      <c r="B1029" s="4">
        <f>69.2521 * CHOOSE(CONTROL!$C$9, $C$13, 100%, $E$13) + CHOOSE(CONTROL!$C$28, 0.0415, 0)</f>
        <v>69.293599999999998</v>
      </c>
      <c r="C1029" s="4">
        <f>68.8889 * CHOOSE(CONTROL!$C$9, $C$13, 100%, $E$13) + CHOOSE(CONTROL!$C$28, 0.0415, 0)</f>
        <v>68.930400000000006</v>
      </c>
      <c r="D1029" s="4">
        <f>102.9399 * CHOOSE(CONTROL!$C$9, $C$13, 100%, $E$13) + CHOOSE(CONTROL!$C$28, 0.0021, 0)</f>
        <v>102.94199999999999</v>
      </c>
      <c r="E1029" s="4">
        <f>506.980699318781 * CHOOSE(CONTROL!$C$9, $C$13, 100%, $E$13) + CHOOSE(CONTROL!$C$28, 0.0021, 0)</f>
        <v>506.98279931878096</v>
      </c>
    </row>
    <row r="1030" spans="1:5" ht="15">
      <c r="A1030" s="13">
        <v>72866</v>
      </c>
      <c r="B1030" s="4">
        <f>69.4688 * CHOOSE(CONTROL!$C$9, $C$13, 100%, $E$13) + CHOOSE(CONTROL!$C$28, 0.0415, 0)</f>
        <v>69.510300000000001</v>
      </c>
      <c r="C1030" s="4">
        <f>69.1055 * CHOOSE(CONTROL!$C$9, $C$13, 100%, $E$13) + CHOOSE(CONTROL!$C$28, 0.0415, 0)</f>
        <v>69.147000000000006</v>
      </c>
      <c r="D1030" s="4">
        <f>103.8728 * CHOOSE(CONTROL!$C$9, $C$13, 100%, $E$13) + CHOOSE(CONTROL!$C$28, 0.0021, 0)</f>
        <v>103.8749</v>
      </c>
      <c r="E1030" s="4">
        <f>508.584855324496 * CHOOSE(CONTROL!$C$9, $C$13, 100%, $E$13) + CHOOSE(CONTROL!$C$28, 0.0021, 0)</f>
        <v>508.58695532449599</v>
      </c>
    </row>
    <row r="1031" spans="1:5" ht="15">
      <c r="A1031" s="13">
        <v>72897</v>
      </c>
      <c r="B1031" s="4">
        <f>69.447 * CHOOSE(CONTROL!$C$9, $C$13, 100%, $E$13) + CHOOSE(CONTROL!$C$28, 0.0415, 0)</f>
        <v>69.488500000000002</v>
      </c>
      <c r="C1031" s="4">
        <f>69.0837 * CHOOSE(CONTROL!$C$9, $C$13, 100%, $E$13) + CHOOSE(CONTROL!$C$28, 0.0415, 0)</f>
        <v>69.125199999999992</v>
      </c>
      <c r="D1031" s="4">
        <f>105.5561 * CHOOSE(CONTROL!$C$9, $C$13, 100%, $E$13) + CHOOSE(CONTROL!$C$28, 0.0021, 0)</f>
        <v>105.5582</v>
      </c>
      <c r="E1031" s="4">
        <f>508.423091693667 * CHOOSE(CONTROL!$C$9, $C$13, 100%, $E$13) + CHOOSE(CONTROL!$C$28, 0.0021, 0)</f>
        <v>508.42519169366699</v>
      </c>
    </row>
    <row r="1032" spans="1:5" ht="15">
      <c r="A1032" s="13">
        <v>72928</v>
      </c>
      <c r="B1032" s="4">
        <f>71.0911 * CHOOSE(CONTROL!$C$9, $C$13, 100%, $E$13) + CHOOSE(CONTROL!$C$28, 0.0415, 0)</f>
        <v>71.132599999999996</v>
      </c>
      <c r="C1032" s="4">
        <f>70.7279 * CHOOSE(CONTROL!$C$9, $C$13, 100%, $E$13) + CHOOSE(CONTROL!$C$28, 0.0415, 0)</f>
        <v>70.769400000000005</v>
      </c>
      <c r="D1032" s="4">
        <f>104.4444 * CHOOSE(CONTROL!$C$9, $C$13, 100%, $E$13) + CHOOSE(CONTROL!$C$28, 0.0021, 0)</f>
        <v>104.4465</v>
      </c>
      <c r="E1032" s="4">
        <f>520.595804913504 * CHOOSE(CONTROL!$C$9, $C$13, 100%, $E$13) + CHOOSE(CONTROL!$C$28, 0.0021, 0)</f>
        <v>520.59790491350407</v>
      </c>
    </row>
    <row r="1033" spans="1:5" ht="15">
      <c r="A1033" s="13">
        <v>72958</v>
      </c>
      <c r="B1033" s="4">
        <f>68.2889 * CHOOSE(CONTROL!$C$9, $C$13, 100%, $E$13) + CHOOSE(CONTROL!$C$28, 0.0415, 0)</f>
        <v>68.330399999999997</v>
      </c>
      <c r="C1033" s="4">
        <f>67.9256 * CHOOSE(CONTROL!$C$9, $C$13, 100%, $E$13) + CHOOSE(CONTROL!$C$28, 0.0415, 0)</f>
        <v>67.967100000000002</v>
      </c>
      <c r="D1033" s="4">
        <f>103.9192 * CHOOSE(CONTROL!$C$9, $C$13, 100%, $E$13) + CHOOSE(CONTROL!$C$28, 0.0021, 0)</f>
        <v>103.9213</v>
      </c>
      <c r="E1033" s="4">
        <f>499.849619259762 * CHOOSE(CONTROL!$C$9, $C$13, 100%, $E$13) + CHOOSE(CONTROL!$C$28, 0.0021, 0)</f>
        <v>499.85171925976198</v>
      </c>
    </row>
    <row r="1034" spans="1:5" ht="15">
      <c r="A1034" s="13">
        <v>72989</v>
      </c>
      <c r="B1034" s="4">
        <f>66.0457 * CHOOSE(CONTROL!$C$9, $C$13, 100%, $E$13) + CHOOSE(CONTROL!$C$28, 0.0211, 0)</f>
        <v>66.066800000000001</v>
      </c>
      <c r="C1034" s="4">
        <f>65.6824 * CHOOSE(CONTROL!$C$9, $C$13, 100%, $E$13) + CHOOSE(CONTROL!$C$28, 0.0211, 0)</f>
        <v>65.703500000000005</v>
      </c>
      <c r="D1034" s="4">
        <f>102.5128 * CHOOSE(CONTROL!$C$9, $C$13, 100%, $E$13) + CHOOSE(CONTROL!$C$28, 0.0021, 0)</f>
        <v>102.5149</v>
      </c>
      <c r="E1034" s="4">
        <f>483.241886494713 * CHOOSE(CONTROL!$C$9, $C$13, 100%, $E$13) + CHOOSE(CONTROL!$C$28, 0.0021, 0)</f>
        <v>483.243986494713</v>
      </c>
    </row>
    <row r="1035" spans="1:5" ht="15">
      <c r="A1035" s="13">
        <v>73019</v>
      </c>
      <c r="B1035" s="4">
        <f>64.6009 * CHOOSE(CONTROL!$C$9, $C$13, 100%, $E$13) + CHOOSE(CONTROL!$C$28, 0.0211, 0)</f>
        <v>64.622</v>
      </c>
      <c r="C1035" s="4">
        <f>64.2376 * CHOOSE(CONTROL!$C$9, $C$13, 100%, $E$13) + CHOOSE(CONTROL!$C$28, 0.0211, 0)</f>
        <v>64.258700000000005</v>
      </c>
      <c r="D1035" s="4">
        <f>102.0293 * CHOOSE(CONTROL!$C$9, $C$13, 100%, $E$13) + CHOOSE(CONTROL!$C$28, 0.0021, 0)</f>
        <v>102.0314</v>
      </c>
      <c r="E1035" s="4">
        <f>472.545266406185 * CHOOSE(CONTROL!$C$9, $C$13, 100%, $E$13) + CHOOSE(CONTROL!$C$28, 0.0021, 0)</f>
        <v>472.54736640618501</v>
      </c>
    </row>
    <row r="1036" spans="1:5" ht="15">
      <c r="A1036" s="13">
        <v>73050</v>
      </c>
      <c r="B1036" s="4">
        <f>63.6013 * CHOOSE(CONTROL!$C$9, $C$13, 100%, $E$13) + CHOOSE(CONTROL!$C$28, 0.0211, 0)</f>
        <v>63.622399999999999</v>
      </c>
      <c r="C1036" s="4">
        <f>63.238 * CHOOSE(CONTROL!$C$9, $C$13, 100%, $E$13) + CHOOSE(CONTROL!$C$28, 0.0211, 0)</f>
        <v>63.259099999999997</v>
      </c>
      <c r="D1036" s="4">
        <f>98.4697 * CHOOSE(CONTROL!$C$9, $C$13, 100%, $E$13) + CHOOSE(CONTROL!$C$28, 0.0021, 0)</f>
        <v>98.471800000000002</v>
      </c>
      <c r="E1036" s="4">
        <f>465.144580295785 * CHOOSE(CONTROL!$C$9, $C$13, 100%, $E$13) + CHOOSE(CONTROL!$C$28, 0.0021, 0)</f>
        <v>465.14668029578496</v>
      </c>
    </row>
    <row r="1037" spans="1:5" ht="15">
      <c r="A1037" s="13">
        <v>73081</v>
      </c>
      <c r="B1037" s="4">
        <f>60.8663 * CHOOSE(CONTROL!$C$9, $C$13, 100%, $E$13) + CHOOSE(CONTROL!$C$28, 0.0211, 0)</f>
        <v>60.8874</v>
      </c>
      <c r="C1037" s="4">
        <f>60.503 * CHOOSE(CONTROL!$C$9, $C$13, 100%, $E$13) + CHOOSE(CONTROL!$C$28, 0.0211, 0)</f>
        <v>60.524099999999997</v>
      </c>
      <c r="D1037" s="4">
        <f>94.5484 * CHOOSE(CONTROL!$C$9, $C$13, 100%, $E$13) + CHOOSE(CONTROL!$C$28, 0.0021, 0)</f>
        <v>94.5505</v>
      </c>
      <c r="E1037" s="4">
        <f>445.769418453271 * CHOOSE(CONTROL!$C$9, $C$13, 100%, $E$13) + CHOOSE(CONTROL!$C$28, 0.0021, 0)</f>
        <v>445.77151845327097</v>
      </c>
    </row>
    <row r="1038" spans="1:5" ht="15">
      <c r="A1038" s="13">
        <v>73109</v>
      </c>
      <c r="B1038" s="4">
        <f>62.2931 * CHOOSE(CONTROL!$C$9, $C$13, 100%, $E$13) + CHOOSE(CONTROL!$C$28, 0.0211, 0)</f>
        <v>62.3142</v>
      </c>
      <c r="C1038" s="4">
        <f>61.9299 * CHOOSE(CONTROL!$C$9, $C$13, 100%, $E$13) + CHOOSE(CONTROL!$C$28, 0.0211, 0)</f>
        <v>61.951000000000001</v>
      </c>
      <c r="D1038" s="4">
        <f>97.82 * CHOOSE(CONTROL!$C$9, $C$13, 100%, $E$13) + CHOOSE(CONTROL!$C$28, 0.0021, 0)</f>
        <v>97.822099999999992</v>
      </c>
      <c r="E1038" s="4">
        <f>456.353741184261 * CHOOSE(CONTROL!$C$9, $C$13, 100%, $E$13) + CHOOSE(CONTROL!$C$28, 0.0021, 0)</f>
        <v>456.35584118426101</v>
      </c>
    </row>
    <row r="1039" spans="1:5" ht="15">
      <c r="A1039" s="13">
        <v>73140</v>
      </c>
      <c r="B1039" s="4">
        <f>66.0401 * CHOOSE(CONTROL!$C$9, $C$13, 100%, $E$13) + CHOOSE(CONTROL!$C$28, 0.0211, 0)</f>
        <v>66.061199999999999</v>
      </c>
      <c r="C1039" s="4">
        <f>65.6768 * CHOOSE(CONTROL!$C$9, $C$13, 100%, $E$13) + CHOOSE(CONTROL!$C$28, 0.0211, 0)</f>
        <v>65.697900000000004</v>
      </c>
      <c r="D1039" s="4">
        <f>102.9415 * CHOOSE(CONTROL!$C$9, $C$13, 100%, $E$13) + CHOOSE(CONTROL!$C$28, 0.0021, 0)</f>
        <v>102.9436</v>
      </c>
      <c r="E1039" s="4">
        <f>484.148735160912 * CHOOSE(CONTROL!$C$9, $C$13, 100%, $E$13) + CHOOSE(CONTROL!$C$28, 0.0021, 0)</f>
        <v>484.15083516091198</v>
      </c>
    </row>
    <row r="1040" spans="1:5" ht="15">
      <c r="A1040" s="13">
        <v>73170</v>
      </c>
      <c r="B1040" s="4">
        <f>68.7024 * CHOOSE(CONTROL!$C$9, $C$13, 100%, $E$13) + CHOOSE(CONTROL!$C$28, 0.0211, 0)</f>
        <v>68.723500000000001</v>
      </c>
      <c r="C1040" s="4">
        <f>68.3391 * CHOOSE(CONTROL!$C$9, $C$13, 100%, $E$13) + CHOOSE(CONTROL!$C$28, 0.0211, 0)</f>
        <v>68.360200000000006</v>
      </c>
      <c r="D1040" s="4">
        <f>105.8917 * CHOOSE(CONTROL!$C$9, $C$13, 100%, $E$13) + CHOOSE(CONTROL!$C$28, 0.0021, 0)</f>
        <v>105.8938</v>
      </c>
      <c r="E1040" s="4">
        <f>503.89744879832 * CHOOSE(CONTROL!$C$9, $C$13, 100%, $E$13) + CHOOSE(CONTROL!$C$28, 0.0021, 0)</f>
        <v>503.89954879831998</v>
      </c>
    </row>
    <row r="1041" spans="1:5" ht="15">
      <c r="A1041" s="13">
        <v>73201</v>
      </c>
      <c r="B1041" s="4">
        <f>70.329 * CHOOSE(CONTROL!$C$9, $C$13, 100%, $E$13) + CHOOSE(CONTROL!$C$28, 0.0415, 0)</f>
        <v>70.370499999999993</v>
      </c>
      <c r="C1041" s="4">
        <f>69.9657 * CHOOSE(CONTROL!$C$9, $C$13, 100%, $E$13) + CHOOSE(CONTROL!$C$28, 0.0415, 0)</f>
        <v>70.007199999999997</v>
      </c>
      <c r="D1041" s="4">
        <f>104.7259 * CHOOSE(CONTROL!$C$9, $C$13, 100%, $E$13) + CHOOSE(CONTROL!$C$28, 0.0021, 0)</f>
        <v>104.72799999999999</v>
      </c>
      <c r="E1041" s="4">
        <f>515.963439520168 * CHOOSE(CONTROL!$C$9, $C$13, 100%, $E$13) + CHOOSE(CONTROL!$C$28, 0.0021, 0)</f>
        <v>515.96553952016802</v>
      </c>
    </row>
    <row r="1042" spans="1:5" ht="15">
      <c r="A1042" s="13">
        <v>73231</v>
      </c>
      <c r="B1042" s="4">
        <f>70.549 * CHOOSE(CONTROL!$C$9, $C$13, 100%, $E$13) + CHOOSE(CONTROL!$C$28, 0.0415, 0)</f>
        <v>70.590500000000006</v>
      </c>
      <c r="C1042" s="4">
        <f>70.1858 * CHOOSE(CONTROL!$C$9, $C$13, 100%, $E$13) + CHOOSE(CONTROL!$C$28, 0.0415, 0)</f>
        <v>70.2273</v>
      </c>
      <c r="D1042" s="4">
        <f>105.6753 * CHOOSE(CONTROL!$C$9, $C$13, 100%, $E$13) + CHOOSE(CONTROL!$C$28, 0.0021, 0)</f>
        <v>105.67739999999999</v>
      </c>
      <c r="E1042" s="4">
        <f>517.596018139724 * CHOOSE(CONTROL!$C$9, $C$13, 100%, $E$13) + CHOOSE(CONTROL!$C$28, 0.0021, 0)</f>
        <v>517.59811813972408</v>
      </c>
    </row>
    <row r="1043" spans="1:5" ht="15">
      <c r="A1043" s="13">
        <v>73262</v>
      </c>
      <c r="B1043" s="4">
        <f>70.5268 * CHOOSE(CONTROL!$C$9, $C$13, 100%, $E$13) + CHOOSE(CONTROL!$C$28, 0.0415, 0)</f>
        <v>70.568299999999994</v>
      </c>
      <c r="C1043" s="4">
        <f>70.1636 * CHOOSE(CONTROL!$C$9, $C$13, 100%, $E$13) + CHOOSE(CONTROL!$C$28, 0.0415, 0)</f>
        <v>70.205100000000002</v>
      </c>
      <c r="D1043" s="4">
        <f>107.3884 * CHOOSE(CONTROL!$C$9, $C$13, 100%, $E$13) + CHOOSE(CONTROL!$C$28, 0.0021, 0)</f>
        <v>107.3905</v>
      </c>
      <c r="E1043" s="4">
        <f>517.431388362962 * CHOOSE(CONTROL!$C$9, $C$13, 100%, $E$13) + CHOOSE(CONTROL!$C$28, 0.0021, 0)</f>
        <v>517.43348836296207</v>
      </c>
    </row>
    <row r="1044" spans="1:5" ht="15">
      <c r="A1044" s="13">
        <v>73293</v>
      </c>
      <c r="B1044" s="4">
        <f>72.1969 * CHOOSE(CONTROL!$C$9, $C$13, 100%, $E$13) + CHOOSE(CONTROL!$C$28, 0.0415, 0)</f>
        <v>72.238399999999999</v>
      </c>
      <c r="C1044" s="4">
        <f>71.8336 * CHOOSE(CONTROL!$C$9, $C$13, 100%, $E$13) + CHOOSE(CONTROL!$C$28, 0.0415, 0)</f>
        <v>71.875100000000003</v>
      </c>
      <c r="D1044" s="4">
        <f>106.2571 * CHOOSE(CONTROL!$C$9, $C$13, 100%, $E$13) + CHOOSE(CONTROL!$C$28, 0.0021, 0)</f>
        <v>106.25919999999999</v>
      </c>
      <c r="E1044" s="4">
        <f>529.819779064303 * CHOOSE(CONTROL!$C$9, $C$13, 100%, $E$13) + CHOOSE(CONTROL!$C$28, 0.0021, 0)</f>
        <v>529.82187906430306</v>
      </c>
    </row>
    <row r="1045" spans="1:5" ht="15">
      <c r="A1045" s="13">
        <v>73323</v>
      </c>
      <c r="B1045" s="4">
        <f>69.3506 * CHOOSE(CONTROL!$C$9, $C$13, 100%, $E$13) + CHOOSE(CONTROL!$C$28, 0.0415, 0)</f>
        <v>69.392099999999999</v>
      </c>
      <c r="C1045" s="4">
        <f>68.9873 * CHOOSE(CONTROL!$C$9, $C$13, 100%, $E$13) + CHOOSE(CONTROL!$C$28, 0.0415, 0)</f>
        <v>69.028800000000004</v>
      </c>
      <c r="D1045" s="4">
        <f>105.7226 * CHOOSE(CONTROL!$C$9, $C$13, 100%, $E$13) + CHOOSE(CONTROL!$C$28, 0.0021, 0)</f>
        <v>105.7247</v>
      </c>
      <c r="E1045" s="4">
        <f>508.706010194577 * CHOOSE(CONTROL!$C$9, $C$13, 100%, $E$13) + CHOOSE(CONTROL!$C$28, 0.0021, 0)</f>
        <v>508.70811019457699</v>
      </c>
    </row>
    <row r="1046" spans="1:5" ht="15">
      <c r="A1046" s="13">
        <v>73354</v>
      </c>
      <c r="B1046" s="4">
        <f>67.0721 * CHOOSE(CONTROL!$C$9, $C$13, 100%, $E$13) + CHOOSE(CONTROL!$C$28, 0.0211, 0)</f>
        <v>67.09320000000001</v>
      </c>
      <c r="C1046" s="4">
        <f>66.7088 * CHOOSE(CONTROL!$C$9, $C$13, 100%, $E$13) + CHOOSE(CONTROL!$C$28, 0.0211, 0)</f>
        <v>66.729900000000001</v>
      </c>
      <c r="D1046" s="4">
        <f>104.2913 * CHOOSE(CONTROL!$C$9, $C$13, 100%, $E$13) + CHOOSE(CONTROL!$C$28, 0.0021, 0)</f>
        <v>104.29340000000001</v>
      </c>
      <c r="E1046" s="4">
        <f>491.804019780345 * CHOOSE(CONTROL!$C$9, $C$13, 100%, $E$13) + CHOOSE(CONTROL!$C$28, 0.0021, 0)</f>
        <v>491.806119780345</v>
      </c>
    </row>
    <row r="1047" spans="1:5" ht="15">
      <c r="A1047" s="13">
        <v>73384</v>
      </c>
      <c r="B1047" s="4">
        <f>65.6046 * CHOOSE(CONTROL!$C$9, $C$13, 100%, $E$13) + CHOOSE(CONTROL!$C$28, 0.0211, 0)</f>
        <v>65.625700000000009</v>
      </c>
      <c r="C1047" s="4">
        <f>65.2413 * CHOOSE(CONTROL!$C$9, $C$13, 100%, $E$13) + CHOOSE(CONTROL!$C$28, 0.0211, 0)</f>
        <v>65.2624</v>
      </c>
      <c r="D1047" s="4">
        <f>103.7993 * CHOOSE(CONTROL!$C$9, $C$13, 100%, $E$13) + CHOOSE(CONTROL!$C$28, 0.0021, 0)</f>
        <v>103.8014</v>
      </c>
      <c r="E1047" s="4">
        <f>480.917875791957 * CHOOSE(CONTROL!$C$9, $C$13, 100%, $E$13) + CHOOSE(CONTROL!$C$28, 0.0021, 0)</f>
        <v>480.91997579195697</v>
      </c>
    </row>
    <row r="1048" spans="1:5" ht="15">
      <c r="A1048" s="13">
        <v>73415</v>
      </c>
      <c r="B1048" s="4">
        <f>64.5892 * CHOOSE(CONTROL!$C$9, $C$13, 100%, $E$13) + CHOOSE(CONTROL!$C$28, 0.0211, 0)</f>
        <v>64.610300000000009</v>
      </c>
      <c r="C1048" s="4">
        <f>64.2259 * CHOOSE(CONTROL!$C$9, $C$13, 100%, $E$13) + CHOOSE(CONTROL!$C$28, 0.0211, 0)</f>
        <v>64.247</v>
      </c>
      <c r="D1048" s="4">
        <f>100.1767 * CHOOSE(CONTROL!$C$9, $C$13, 100%, $E$13) + CHOOSE(CONTROL!$C$28, 0.0021, 0)</f>
        <v>100.1788</v>
      </c>
      <c r="E1048" s="4">
        <f>473.386063505096 * CHOOSE(CONTROL!$C$9, $C$13, 100%, $E$13) + CHOOSE(CONTROL!$C$28, 0.0021, 0)</f>
        <v>473.38816350509597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8.837275</v>
      </c>
      <c r="C1050" s="4">
        <f>AVERAGE(C17:C28)</f>
        <v>8.4739916666666684</v>
      </c>
      <c r="D1050" s="4">
        <f>AVERAGE(D17:D28)</f>
        <v>14.691608333333335</v>
      </c>
      <c r="E1050" s="4">
        <f>AVERAGE(E17:E28)</f>
        <v>53.701266666666662</v>
      </c>
    </row>
    <row r="1051" spans="1:5" ht="15">
      <c r="A1051" s="3">
        <v>2016</v>
      </c>
      <c r="B1051" s="4">
        <f>AVERAGE(B29:B40)</f>
        <v>9.6506916666666669</v>
      </c>
      <c r="C1051" s="4">
        <f>AVERAGE(C29:C40)</f>
        <v>9.2874083333333335</v>
      </c>
      <c r="D1051" s="4">
        <f>AVERAGE(D29:D40)</f>
        <v>15.717783333333335</v>
      </c>
      <c r="E1051" s="4">
        <f>AVERAGE(E29:E40)</f>
        <v>61.193766666666647</v>
      </c>
    </row>
    <row r="1052" spans="1:5" ht="15">
      <c r="A1052" s="3">
        <v>2017</v>
      </c>
      <c r="B1052" s="4">
        <f>AVERAGE(B41:B52)</f>
        <v>10.265941666666665</v>
      </c>
      <c r="C1052" s="4">
        <f>AVERAGE(C41:C52)</f>
        <v>9.9026499999999995</v>
      </c>
      <c r="D1052" s="4">
        <f>AVERAGE(D41:D52)</f>
        <v>16.47686666666667</v>
      </c>
      <c r="E1052" s="4">
        <f>AVERAGE(E41:E52)</f>
        <v>65.131266666666662</v>
      </c>
    </row>
    <row r="1053" spans="1:5" ht="15">
      <c r="A1053" s="3">
        <v>2018</v>
      </c>
      <c r="B1053" s="4">
        <f>AVERAGE(B53:B64)</f>
        <v>11.637158333333332</v>
      </c>
      <c r="C1053" s="4">
        <f>AVERAGE(C53:C64)</f>
        <v>11.273874999999999</v>
      </c>
      <c r="D1053" s="4">
        <f>AVERAGE(D53:D64)</f>
        <v>18.002174999999998</v>
      </c>
      <c r="E1053" s="4">
        <f>AVERAGE(E53:E64)</f>
        <v>73.778766666666669</v>
      </c>
    </row>
    <row r="1054" spans="1:5" ht="15">
      <c r="A1054" s="3">
        <v>2019</v>
      </c>
      <c r="B1054" s="4">
        <f>AVERAGE(B65:B76)</f>
        <v>12.042683333333331</v>
      </c>
      <c r="C1054" s="4">
        <f>AVERAGE(C65:C76)</f>
        <v>11.679408333333333</v>
      </c>
      <c r="D1054" s="4">
        <f>AVERAGE(D65:D76)</f>
        <v>18.608725000000003</v>
      </c>
      <c r="E1054" s="4">
        <f>AVERAGE(E65:E76)</f>
        <v>76.965018497721374</v>
      </c>
    </row>
    <row r="1055" spans="1:5" ht="15">
      <c r="A1055" s="3">
        <v>2020</v>
      </c>
      <c r="B1055" s="4">
        <f>AVERAGE(B77:B88)</f>
        <v>13.974233333333336</v>
      </c>
      <c r="C1055" s="4">
        <f>AVERAGE(C77:C88)</f>
        <v>13.610941666666667</v>
      </c>
      <c r="D1055" s="4">
        <f>AVERAGE(D77:D88)</f>
        <v>21.135008333333335</v>
      </c>
      <c r="E1055" s="4">
        <f>AVERAGE(E77:E88)</f>
        <v>89.820581445312499</v>
      </c>
    </row>
    <row r="1056" spans="1:5" ht="15">
      <c r="A1056" s="3">
        <v>2021</v>
      </c>
      <c r="B1056" s="4">
        <f>AVERAGE(B89:B100)</f>
        <v>14.620174999999998</v>
      </c>
      <c r="C1056" s="4">
        <f>AVERAGE(C89:C100)</f>
        <v>14.256891666666668</v>
      </c>
      <c r="D1056" s="4">
        <f>AVERAGE(D89:D100)</f>
        <v>22.069949999999995</v>
      </c>
      <c r="E1056" s="4">
        <f>AVERAGE(E89:E100)</f>
        <v>93.630319604492158</v>
      </c>
    </row>
    <row r="1057" spans="1:5" ht="15">
      <c r="A1057" s="3">
        <v>2022</v>
      </c>
      <c r="B1057" s="4">
        <f>AVERAGE(B101:B112)</f>
        <v>15.130691666666669</v>
      </c>
      <c r="C1057" s="4">
        <f>AVERAGE(C101:C112)</f>
        <v>14.767408333333336</v>
      </c>
      <c r="D1057" s="4">
        <f>AVERAGE(D101:D112)</f>
        <v>23.398241666666664</v>
      </c>
      <c r="E1057" s="4">
        <f>AVERAGE(E101:E112)</f>
        <v>98.532991418457016</v>
      </c>
    </row>
    <row r="1058" spans="1:5" ht="15">
      <c r="A1058" s="3">
        <v>2023</v>
      </c>
      <c r="B1058" s="4">
        <f>AVERAGE(B113:B124)</f>
        <v>15.905866666666668</v>
      </c>
      <c r="C1058" s="4">
        <f>AVERAGE(C113:C124)</f>
        <v>15.542575000000001</v>
      </c>
      <c r="D1058" s="4">
        <f>AVERAGE(D113:D124)</f>
        <v>24.528233333333329</v>
      </c>
      <c r="E1058" s="4">
        <f>AVERAGE(E113:E124)</f>
        <v>103.42910958251962</v>
      </c>
    </row>
    <row r="1059" spans="1:5" ht="15">
      <c r="A1059" s="3">
        <v>2024</v>
      </c>
      <c r="B1059" s="4">
        <f>AVERAGE(B125:B136)</f>
        <v>16.793224999999996</v>
      </c>
      <c r="C1059" s="4">
        <f>AVERAGE(C125:C136)</f>
        <v>16.429941666666668</v>
      </c>
      <c r="D1059" s="4">
        <f>AVERAGE(D125:D136)</f>
        <v>25.558366666666661</v>
      </c>
      <c r="E1059" s="4">
        <f>AVERAGE(E125:E136)</f>
        <v>108.29261971435545</v>
      </c>
    </row>
    <row r="1060" spans="1:5" ht="15">
      <c r="A1060" s="3">
        <v>2025</v>
      </c>
      <c r="B1060" s="4">
        <f>AVERAGE(B137:B148)</f>
        <v>18.207575000000002</v>
      </c>
      <c r="C1060" s="4">
        <f>AVERAGE(C137:C148)</f>
        <v>17.84429166666667</v>
      </c>
      <c r="D1060" s="4">
        <f>AVERAGE(D137:D148)</f>
        <v>26.725074999999993</v>
      </c>
      <c r="E1060" s="4">
        <f>AVERAGE(E137:E148)</f>
        <v>114.15194130859383</v>
      </c>
    </row>
    <row r="1061" spans="1:5" ht="15">
      <c r="A1061" s="3">
        <v>2026</v>
      </c>
      <c r="B1061" s="4">
        <f>AVERAGE(B149:B160)</f>
        <v>18.786950000000004</v>
      </c>
      <c r="C1061" s="4">
        <f>AVERAGE(C149:C160)</f>
        <v>18.423650000000002</v>
      </c>
      <c r="D1061" s="4">
        <f>AVERAGE(D149:D160)</f>
        <v>27.476024999999993</v>
      </c>
      <c r="E1061" s="4">
        <f>AVERAGE(E149:E160)</f>
        <v>118.00690651855483</v>
      </c>
    </row>
    <row r="1062" spans="1:5" ht="15">
      <c r="A1062" s="3">
        <v>2027</v>
      </c>
      <c r="B1062" s="4">
        <f>AVERAGE(B161:B172)</f>
        <v>19.379733333333334</v>
      </c>
      <c r="C1062" s="4">
        <f>AVERAGE(C161:C172)</f>
        <v>19.016458333333333</v>
      </c>
      <c r="D1062" s="4">
        <f>AVERAGE(D161:D172)</f>
        <v>28.22453333333333</v>
      </c>
      <c r="E1062" s="4">
        <f>AVERAGE(E161:E172)</f>
        <v>121.85736275634775</v>
      </c>
    </row>
    <row r="1063" spans="1:5" ht="15">
      <c r="A1063" s="3">
        <v>2028</v>
      </c>
      <c r="B1063" s="4">
        <f>AVERAGE(B173:B184)</f>
        <v>19.932800000000004</v>
      </c>
      <c r="C1063" s="4">
        <f>AVERAGE(C173:C184)</f>
        <v>19.569524999999999</v>
      </c>
      <c r="D1063" s="4">
        <f>AVERAGE(D173:D184)</f>
        <v>28.913991666666671</v>
      </c>
      <c r="E1063" s="4">
        <f>AVERAGE(E173:E184)</f>
        <v>125.703142175293</v>
      </c>
    </row>
    <row r="1064" spans="1:5" ht="15">
      <c r="A1064" s="3">
        <v>2029</v>
      </c>
      <c r="B1064" s="4">
        <f>AVERAGE(B185:B196)</f>
        <v>20.532041666666665</v>
      </c>
      <c r="C1064" s="4">
        <f>AVERAGE(C185:C196)</f>
        <v>20.168766666666667</v>
      </c>
      <c r="D1064" s="4">
        <f>AVERAGE(D185:D196)</f>
        <v>29.552975</v>
      </c>
      <c r="E1064" s="4">
        <f>AVERAGE(E185:E196)</f>
        <v>129.54406166992194</v>
      </c>
    </row>
    <row r="1065" spans="1:5" ht="15">
      <c r="A1065" s="3">
        <v>2030</v>
      </c>
      <c r="B1065" s="4">
        <f>AVERAGE(B197:B208)</f>
        <v>21.130533333333332</v>
      </c>
      <c r="C1065" s="4">
        <f>AVERAGE(C197:C208)</f>
        <v>20.767266666666668</v>
      </c>
      <c r="D1065" s="4">
        <f>AVERAGE(D197:D208)</f>
        <v>30.199691666666666</v>
      </c>
      <c r="E1065" s="4">
        <f>AVERAGE(E197:E208)</f>
        <v>133.37967873535166</v>
      </c>
    </row>
    <row r="1066" spans="1:5" ht="15">
      <c r="A1066" s="3">
        <v>2031</v>
      </c>
      <c r="B1066" s="4">
        <f>AVERAGE(B209:B220)</f>
        <v>21.881574999999998</v>
      </c>
      <c r="C1066" s="4">
        <f>AVERAGE(C209:C220)</f>
        <v>21.518283333333333</v>
      </c>
      <c r="D1066" s="4">
        <f>AVERAGE(D209:D220)</f>
        <v>31.022441666666662</v>
      </c>
      <c r="E1066" s="4">
        <f>AVERAGE(E209:E220)</f>
        <v>138.24114418945308</v>
      </c>
    </row>
    <row r="1067" spans="1:5" ht="15">
      <c r="A1067" s="3">
        <v>2032</v>
      </c>
      <c r="B1067" s="4">
        <f>AVERAGE(B221:B232)</f>
        <v>22.648250000000004</v>
      </c>
      <c r="C1067" s="4">
        <f>AVERAGE(C221:C232)</f>
        <v>22.284966666666666</v>
      </c>
      <c r="D1067" s="4">
        <f>AVERAGE(D221:D232)</f>
        <v>31.845200000000002</v>
      </c>
      <c r="E1067" s="4">
        <f>AVERAGE(E221:E232)</f>
        <v>143.10216713867192</v>
      </c>
    </row>
    <row r="1068" spans="1:5" ht="15">
      <c r="A1068" s="3">
        <v>2033</v>
      </c>
      <c r="B1068" s="4">
        <f>AVERAGE(B233:B244)</f>
        <v>23.414899999999999</v>
      </c>
      <c r="C1068" s="4">
        <f>AVERAGE(C233:C244)</f>
        <v>23.051633333333331</v>
      </c>
      <c r="D1068" s="4">
        <f>AVERAGE(D233:D244)</f>
        <v>32.667949999999998</v>
      </c>
      <c r="E1068" s="4">
        <f>AVERAGE(E233:E244)</f>
        <v>147.96273232421876</v>
      </c>
    </row>
    <row r="1069" spans="1:5" ht="15">
      <c r="A1069" s="3">
        <v>2034</v>
      </c>
      <c r="B1069" s="4">
        <f>AVERAGE(B245:B256)</f>
        <v>24.181583333333336</v>
      </c>
      <c r="C1069" s="4">
        <f>AVERAGE(C245:C256)</f>
        <v>23.818291666666667</v>
      </c>
      <c r="D1069" s="4">
        <f>AVERAGE(D245:D256)</f>
        <v>33.490716666666664</v>
      </c>
      <c r="E1069" s="4">
        <f>AVERAGE(E245:E256)</f>
        <v>152.82282448730467</v>
      </c>
    </row>
    <row r="1070" spans="1:5" ht="15">
      <c r="A1070" s="3">
        <v>2035</v>
      </c>
      <c r="B1070" s="4">
        <f>AVERAGE(B257:B268)</f>
        <v>24.948249999999998</v>
      </c>
      <c r="C1070" s="4">
        <f>AVERAGE(C257:C268)</f>
        <v>24.58496666666667</v>
      </c>
      <c r="D1070" s="4">
        <f>AVERAGE(D257:D268)</f>
        <v>34.340899999999998</v>
      </c>
      <c r="E1070" s="4">
        <f>AVERAGE(E257:E268)</f>
        <v>157.68245888671885</v>
      </c>
    </row>
    <row r="1071" spans="1:5" ht="15">
      <c r="A1071" s="3">
        <v>2036</v>
      </c>
      <c r="B1071" s="4">
        <f>AVERAGE(B269:B280)</f>
        <v>25.327908333333337</v>
      </c>
      <c r="C1071" s="4">
        <f>AVERAGE(C269:C280)</f>
        <v>24.964633333333335</v>
      </c>
      <c r="D1071" s="4">
        <f>AVERAGE(D269:D280)</f>
        <v>34.914891666666669</v>
      </c>
      <c r="E1071" s="4">
        <f>AVERAGE(E269:E280)</f>
        <v>160.47625695564747</v>
      </c>
    </row>
    <row r="1072" spans="1:5" ht="15">
      <c r="A1072" s="3">
        <v>2037</v>
      </c>
      <c r="B1072" s="4">
        <f>AVERAGE(B281:B292)</f>
        <v>25.713574999999995</v>
      </c>
      <c r="C1072" s="4">
        <f>AVERAGE(C281:C292)</f>
        <v>25.350291666666664</v>
      </c>
      <c r="D1072" s="4">
        <f>AVERAGE(D281:D292)</f>
        <v>35.499024999999996</v>
      </c>
      <c r="E1072" s="4">
        <f>AVERAGE(E281:E292)</f>
        <v>163.3195558482997</v>
      </c>
    </row>
    <row r="1073" spans="1:5" ht="15">
      <c r="A1073" s="3">
        <f t="shared" ref="A1073:A1104" si="0">A1072+1</f>
        <v>2038</v>
      </c>
      <c r="B1073" s="4">
        <f>AVERAGE(B293:B304)</f>
        <v>26.10529166666667</v>
      </c>
      <c r="C1073" s="4">
        <f>AVERAGE(C293:C304)</f>
        <v>25.742008333333331</v>
      </c>
      <c r="D1073" s="4">
        <f>AVERAGE(D293:D304)</f>
        <v>36.093458333333324</v>
      </c>
      <c r="E1073" s="4">
        <f>AVERAGE(E293:E304)</f>
        <v>166.21323262575518</v>
      </c>
    </row>
    <row r="1074" spans="1:5" ht="15">
      <c r="A1074" s="3">
        <f t="shared" si="0"/>
        <v>2039</v>
      </c>
      <c r="B1074" s="4">
        <f>AVERAGE(B305:B316)</f>
        <v>26.503158333333332</v>
      </c>
      <c r="C1074" s="4">
        <f>AVERAGE(C305:C316)</f>
        <v>26.139891666666671</v>
      </c>
      <c r="D1074" s="4">
        <f>AVERAGE(D305:D316)</f>
        <v>36.698433333333327</v>
      </c>
      <c r="E1074" s="4">
        <f>AVERAGE(E305:E316)</f>
        <v>169.15817988895793</v>
      </c>
    </row>
    <row r="1075" spans="1:5" ht="15">
      <c r="A1075" s="3">
        <f t="shared" si="0"/>
        <v>2040</v>
      </c>
      <c r="B1075" s="4">
        <f>AVERAGE(B317:B328)</f>
        <v>26.907299999999996</v>
      </c>
      <c r="C1075" s="4">
        <f>AVERAGE(C317:C328)</f>
        <v>26.544033333333335</v>
      </c>
      <c r="D1075" s="4">
        <f>AVERAGE(D317:D328)</f>
        <v>37.314074999999995</v>
      </c>
      <c r="E1075" s="4">
        <f>AVERAGE(E317:E328)</f>
        <v>172.15530605405527</v>
      </c>
    </row>
    <row r="1076" spans="1:5" ht="15">
      <c r="A1076" s="3">
        <f t="shared" si="0"/>
        <v>2041</v>
      </c>
      <c r="B1076" s="4">
        <f>AVERAGE(B329:B340)</f>
        <v>27.317783333333335</v>
      </c>
      <c r="C1076" s="4">
        <f>AVERAGE(C329:C340)</f>
        <v>26.954499999999996</v>
      </c>
      <c r="D1076" s="4">
        <f>AVERAGE(D329:D340)</f>
        <v>37.940599999999996</v>
      </c>
      <c r="E1076" s="4">
        <f>AVERAGE(E329:E340)</f>
        <v>175.20553563261174</v>
      </c>
    </row>
    <row r="1077" spans="1:5" ht="15">
      <c r="A1077" s="3">
        <f t="shared" si="0"/>
        <v>2042</v>
      </c>
      <c r="B1077" s="4">
        <f>AVERAGE(B341:B352)</f>
        <v>27.734733333333338</v>
      </c>
      <c r="C1077" s="4">
        <f>AVERAGE(C341:C352)</f>
        <v>27.371449999999999</v>
      </c>
      <c r="D1077" s="4">
        <f>AVERAGE(D341:D352)</f>
        <v>38.578183333333335</v>
      </c>
      <c r="E1077" s="4">
        <f>AVERAGE(E341:E352)</f>
        <v>178.30980951679103</v>
      </c>
    </row>
    <row r="1078" spans="1:5" ht="15">
      <c r="A1078" s="3">
        <f t="shared" si="0"/>
        <v>2043</v>
      </c>
      <c r="B1078" s="4">
        <f>AVERAGE(B353:B364)</f>
        <v>28.158241666666669</v>
      </c>
      <c r="C1078" s="4">
        <f>AVERAGE(C353:C364)</f>
        <v>27.794941666666663</v>
      </c>
      <c r="D1078" s="4">
        <f>AVERAGE(D353:D364)</f>
        <v>39.227033333333331</v>
      </c>
      <c r="E1078" s="4">
        <f>AVERAGE(E353:E364)</f>
        <v>181.46908526958774</v>
      </c>
    </row>
    <row r="1079" spans="1:5" ht="15">
      <c r="A1079" s="3">
        <f t="shared" si="0"/>
        <v>2044</v>
      </c>
      <c r="B1079" s="4">
        <f>AVERAGE(B365:B376)</f>
        <v>28.588383333333336</v>
      </c>
      <c r="C1079" s="4">
        <f>AVERAGE(C365:C376)</f>
        <v>28.225116666666665</v>
      </c>
      <c r="D1079" s="4">
        <f>AVERAGE(D365:D376)</f>
        <v>39.887358333333331</v>
      </c>
      <c r="E1079" s="4">
        <f>AVERAGE(E365:E376)</f>
        <v>184.68433742020389</v>
      </c>
    </row>
    <row r="1080" spans="1:5" ht="15">
      <c r="A1080" s="3">
        <f t="shared" si="0"/>
        <v>2045</v>
      </c>
      <c r="B1080" s="4">
        <f>AVERAGE(B377:B388)</f>
        <v>29.025333333333332</v>
      </c>
      <c r="C1080" s="4">
        <f>AVERAGE(C377:C388)</f>
        <v>28.66203333333333</v>
      </c>
      <c r="D1080" s="4">
        <f>AVERAGE(D377:D388)</f>
        <v>40.559350000000002</v>
      </c>
      <c r="E1080" s="4">
        <f>AVERAGE(E377:E388)</f>
        <v>187.95655776465844</v>
      </c>
    </row>
    <row r="1081" spans="1:5" ht="15">
      <c r="A1081" s="3">
        <f t="shared" si="0"/>
        <v>2046</v>
      </c>
      <c r="B1081" s="4">
        <f>AVERAGE(B389:B400)</f>
        <v>29.469108333333338</v>
      </c>
      <c r="C1081" s="4">
        <f>AVERAGE(C389:C400)</f>
        <v>29.105816666666666</v>
      </c>
      <c r="D1081" s="4">
        <f>AVERAGE(D389:D400)</f>
        <v>41.243199999999995</v>
      </c>
      <c r="E1081" s="4">
        <f>AVERAGE(E389:E400)</f>
        <v>191.28675567172095</v>
      </c>
    </row>
    <row r="1082" spans="1:5" ht="15">
      <c r="A1082" s="3">
        <f t="shared" si="0"/>
        <v>2047</v>
      </c>
      <c r="B1082" s="4">
        <f>AVERAGE(B401:B412)</f>
        <v>29.919883333333331</v>
      </c>
      <c r="C1082" s="4">
        <f>AVERAGE(C401:C412)</f>
        <v>29.556591666666662</v>
      </c>
      <c r="D1082" s="4">
        <f>AVERAGE(D401:D412)</f>
        <v>41.939141666666664</v>
      </c>
      <c r="E1082" s="4">
        <f>AVERAGE(E401:E412)</f>
        <v>194.67595839426966</v>
      </c>
    </row>
    <row r="1083" spans="1:5" ht="15">
      <c r="A1083" s="3">
        <f t="shared" si="0"/>
        <v>2048</v>
      </c>
      <c r="B1083" s="4">
        <f>AVERAGE(B413:B424)</f>
        <v>30.377733333333335</v>
      </c>
      <c r="C1083" s="4">
        <f>AVERAGE(C413:C424)</f>
        <v>30.01445</v>
      </c>
      <c r="D1083" s="4">
        <f>AVERAGE(D413:D424)</f>
        <v>42.647366666666663</v>
      </c>
      <c r="E1083" s="4">
        <f>AVERAGE(E413:E424)</f>
        <v>198.12521138616293</v>
      </c>
    </row>
    <row r="1084" spans="1:5" ht="15">
      <c r="A1084" s="3">
        <f t="shared" si="0"/>
        <v>2049</v>
      </c>
      <c r="B1084" s="4">
        <f>AVERAGE(B425:B436)</f>
        <v>30.842816666666664</v>
      </c>
      <c r="C1084" s="4">
        <f>AVERAGE(C425:C436)</f>
        <v>30.479516666666665</v>
      </c>
      <c r="D1084" s="4">
        <f>AVERAGE(D425:D436)</f>
        <v>43.368116666666651</v>
      </c>
      <c r="E1084" s="4">
        <f>AVERAGE(E425:E436)</f>
        <v>201.63557862472589</v>
      </c>
    </row>
    <row r="1085" spans="1:5" ht="15">
      <c r="A1085" s="3">
        <f t="shared" si="0"/>
        <v>2050</v>
      </c>
      <c r="B1085" s="4">
        <f>AVERAGE(B437:B448)</f>
        <v>31.31515833333334</v>
      </c>
      <c r="C1085" s="4">
        <f>AVERAGE(C437:C448)</f>
        <v>30.951874999999998</v>
      </c>
      <c r="D1085" s="4">
        <f>AVERAGE(D437:D448)</f>
        <v>44.101616666666672</v>
      </c>
      <c r="E1085" s="4">
        <f>AVERAGE(E437:E448)</f>
        <v>205.20814293895251</v>
      </c>
    </row>
    <row r="1086" spans="1:5" ht="15">
      <c r="A1086" s="3">
        <f t="shared" si="0"/>
        <v>2051</v>
      </c>
      <c r="B1086" s="4">
        <f>AVERAGE(B449:B460)</f>
        <v>31.794974999999994</v>
      </c>
      <c r="C1086" s="4">
        <f>AVERAGE(C449:C460)</f>
        <v>31.431691666666669</v>
      </c>
      <c r="D1086" s="4">
        <f>AVERAGE(D449:D460)</f>
        <v>44.848050000000001</v>
      </c>
      <c r="E1086" s="4">
        <f>AVERAGE(E449:E460)</f>
        <v>208.84400634352019</v>
      </c>
    </row>
    <row r="1087" spans="1:5" ht="15">
      <c r="A1087" s="3">
        <f t="shared" si="0"/>
        <v>2052</v>
      </c>
      <c r="B1087" s="4">
        <f>AVERAGE(B461:B472)</f>
        <v>32.282308333333333</v>
      </c>
      <c r="C1087" s="4">
        <f>AVERAGE(C461:C472)</f>
        <v>31.919041666666672</v>
      </c>
      <c r="D1087" s="4">
        <f>AVERAGE(D461:D472)</f>
        <v>45.607691666666661</v>
      </c>
      <c r="E1087" s="4">
        <f>AVERAGE(E461:E472)</f>
        <v>212.54429037872512</v>
      </c>
    </row>
    <row r="1088" spans="1:5" ht="15">
      <c r="A1088" s="3">
        <f t="shared" si="0"/>
        <v>2053</v>
      </c>
      <c r="B1088" s="4">
        <f>AVERAGE(B473:B484)</f>
        <v>32.777325000000005</v>
      </c>
      <c r="C1088" s="4">
        <f>AVERAGE(C473:C484)</f>
        <v>32.414050000000003</v>
      </c>
      <c r="D1088" s="4">
        <f>AVERAGE(D473:D484)</f>
        <v>46.380750000000006</v>
      </c>
      <c r="E1088" s="4">
        <f>AVERAGE(E473:E484)</f>
        <v>216.31013645643824</v>
      </c>
    </row>
    <row r="1089" spans="1:5" ht="15">
      <c r="A1089" s="3">
        <f t="shared" si="0"/>
        <v>2054</v>
      </c>
      <c r="B1089" s="4">
        <f>AVERAGE(B485:B496)</f>
        <v>33.280116666666665</v>
      </c>
      <c r="C1089" s="4">
        <f>AVERAGE(C485:C496)</f>
        <v>32.916825000000003</v>
      </c>
      <c r="D1089" s="4">
        <f>AVERAGE(D485:D496)</f>
        <v>47.167466666666662</v>
      </c>
      <c r="E1089" s="4">
        <f>AVERAGE(E485:E496)</f>
        <v>220.14270621219268</v>
      </c>
    </row>
    <row r="1090" spans="1:5" ht="15">
      <c r="A1090" s="3">
        <f t="shared" si="0"/>
        <v>2055</v>
      </c>
      <c r="B1090" s="4">
        <f>AVERAGE(B497:B508)</f>
        <v>33.790816666666665</v>
      </c>
      <c r="C1090" s="4">
        <f>AVERAGE(C497:C508)</f>
        <v>33.427533333333336</v>
      </c>
      <c r="D1090" s="4">
        <f>AVERAGE(D497:D508)</f>
        <v>47.968066666666665</v>
      </c>
      <c r="E1090" s="4">
        <f>AVERAGE(E497:E508)</f>
        <v>224.04318186350864</v>
      </c>
    </row>
    <row r="1091" spans="1:5" ht="15">
      <c r="A1091" s="3">
        <f t="shared" si="0"/>
        <v>2056</v>
      </c>
      <c r="B1091" s="4">
        <f>AVERAGE(B509:B520)</f>
        <v>34.309558333333335</v>
      </c>
      <c r="C1091" s="4">
        <f>AVERAGE(C509:C520)</f>
        <v>33.946266666666666</v>
      </c>
      <c r="D1091" s="4">
        <f>AVERAGE(D509:D520)</f>
        <v>48.782841666666663</v>
      </c>
      <c r="E1091" s="4">
        <f>AVERAGE(E509:E520)</f>
        <v>228.01276657456717</v>
      </c>
    </row>
    <row r="1092" spans="1:5" ht="15">
      <c r="A1092" s="3">
        <f t="shared" si="0"/>
        <v>2057</v>
      </c>
      <c r="B1092" s="4">
        <f>AVERAGE(B521:B532)</f>
        <v>34.836441666666666</v>
      </c>
      <c r="C1092" s="4">
        <f>AVERAGE(C521:C532)</f>
        <v>34.47314166666667</v>
      </c>
      <c r="D1092" s="4">
        <f>AVERAGE(D521:D532)</f>
        <v>49.611983333333335</v>
      </c>
      <c r="E1092" s="4">
        <f>AVERAGE(E521:E532)</f>
        <v>232.0526848273461</v>
      </c>
    </row>
    <row r="1093" spans="1:5" ht="15">
      <c r="A1093" s="3">
        <f t="shared" si="0"/>
        <v>2058</v>
      </c>
      <c r="B1093" s="4">
        <f>AVERAGE(B533:B544)</f>
        <v>35.371599999999994</v>
      </c>
      <c r="C1093" s="4">
        <f>AVERAGE(C533:C544)</f>
        <v>35.008333333333326</v>
      </c>
      <c r="D1093" s="4">
        <f>AVERAGE(D533:D544)</f>
        <v>50.455783333333329</v>
      </c>
      <c r="E1093" s="4">
        <f>AVERAGE(E533:E544)</f>
        <v>236.16418279932972</v>
      </c>
    </row>
    <row r="1094" spans="1:5" ht="15">
      <c r="A1094" s="3">
        <f t="shared" si="0"/>
        <v>2059</v>
      </c>
      <c r="B1094" s="4">
        <f>AVERAGE(B545:B556)</f>
        <v>35.915183333333331</v>
      </c>
      <c r="C1094" s="4">
        <f>AVERAGE(C545:C556)</f>
        <v>35.551899999999996</v>
      </c>
      <c r="D1094" s="4">
        <f>AVERAGE(D545:D556)</f>
        <v>51.314499999999988</v>
      </c>
      <c r="E1094" s="4">
        <f>AVERAGE(E545:E556)</f>
        <v>240.34852874791352</v>
      </c>
    </row>
    <row r="1095" spans="1:5" ht="15">
      <c r="A1095" s="3">
        <f t="shared" si="0"/>
        <v>2060</v>
      </c>
      <c r="B1095" s="4">
        <f>AVERAGE(B557:B568)</f>
        <v>36.467324999999995</v>
      </c>
      <c r="C1095" s="4">
        <f>AVERAGE(C557:C568)</f>
        <v>36.104033333333334</v>
      </c>
      <c r="D1095" s="4">
        <f>AVERAGE(D557:D568)</f>
        <v>52.188383333333327</v>
      </c>
      <c r="E1095" s="4">
        <f>AVERAGE(E557:E568)</f>
        <v>244.60701340161904</v>
      </c>
    </row>
    <row r="1096" spans="1:5" ht="15">
      <c r="A1096" s="3">
        <f t="shared" si="0"/>
        <v>2061</v>
      </c>
      <c r="B1096" s="4">
        <f>AVERAGE(B569:B580)</f>
        <v>37.028149999999989</v>
      </c>
      <c r="C1096" s="4">
        <f>AVERAGE(C569:C580)</f>
        <v>36.664866666666661</v>
      </c>
      <c r="D1096" s="4">
        <f>AVERAGE(D569:D580)</f>
        <v>53.0777</v>
      </c>
      <c r="E1096" s="4">
        <f>AVERAGE(E569:E580)</f>
        <v>248.94095035823668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37.597775000000006</v>
      </c>
      <c r="C1097" s="4">
        <f t="shared" ca="1" si="1"/>
        <v>37.234508333333331</v>
      </c>
      <c r="D1097" s="4">
        <f t="shared" ca="1" si="1"/>
        <v>53.982758333333344</v>
      </c>
      <c r="E1097" s="4">
        <f t="shared" ca="1" si="1"/>
        <v>253.35167649002975</v>
      </c>
    </row>
    <row r="1098" spans="1:5" ht="15">
      <c r="A1098" s="3">
        <f t="shared" si="0"/>
        <v>2063</v>
      </c>
      <c r="B1098" s="4">
        <f t="shared" ca="1" si="1"/>
        <v>38.176374999999993</v>
      </c>
      <c r="C1098" s="4">
        <f t="shared" ca="1" si="1"/>
        <v>37.813091666666665</v>
      </c>
      <c r="D1098" s="4">
        <f t="shared" ca="1" si="1"/>
        <v>54.903766666666662</v>
      </c>
      <c r="E1098" s="4">
        <f t="shared" ca="1" si="1"/>
        <v>257.84055235611157</v>
      </c>
    </row>
    <row r="1099" spans="1:5" ht="15">
      <c r="A1099" s="3">
        <f t="shared" si="0"/>
        <v>2064</v>
      </c>
      <c r="B1099" s="4">
        <f t="shared" ca="1" si="1"/>
        <v>38.764066666666665</v>
      </c>
      <c r="C1099" s="4">
        <f t="shared" ca="1" si="1"/>
        <v>38.40079166666667</v>
      </c>
      <c r="D1099" s="4">
        <f t="shared" ca="1" si="1"/>
        <v>55.841074999999989</v>
      </c>
      <c r="E1099" s="4">
        <f t="shared" ca="1" si="1"/>
        <v>262.40896262213323</v>
      </c>
    </row>
    <row r="1100" spans="1:5" ht="15">
      <c r="A1100" s="3">
        <f t="shared" si="0"/>
        <v>2065</v>
      </c>
      <c r="B1100" s="4">
        <f t="shared" ca="1" si="1"/>
        <v>39.361008333333338</v>
      </c>
      <c r="C1100" s="4">
        <f t="shared" ca="1" si="1"/>
        <v>38.997716666666669</v>
      </c>
      <c r="D1100" s="4">
        <f t="shared" ca="1" si="1"/>
        <v>56.794924999999999</v>
      </c>
      <c r="E1100" s="4">
        <f t="shared" ca="1" si="1"/>
        <v>267.05831648740462</v>
      </c>
    </row>
    <row r="1101" spans="1:5" ht="15">
      <c r="A1101" s="3">
        <f t="shared" si="0"/>
        <v>2066</v>
      </c>
      <c r="B1101" s="4">
        <f t="shared" ca="1" si="1"/>
        <v>39.967325000000002</v>
      </c>
      <c r="C1101" s="4">
        <f t="shared" ca="1" si="1"/>
        <v>39.604049999999994</v>
      </c>
      <c r="D1101" s="4">
        <f t="shared" ca="1" si="1"/>
        <v>57.765649999999994</v>
      </c>
      <c r="E1101" s="4">
        <f t="shared" ca="1" si="1"/>
        <v>271.79004811958538</v>
      </c>
    </row>
    <row r="1102" spans="1:5" ht="15">
      <c r="A1102" s="3">
        <f t="shared" si="0"/>
        <v>2067</v>
      </c>
      <c r="B1102" s="4">
        <f t="shared" ca="1" si="1"/>
        <v>40.583175000000004</v>
      </c>
      <c r="C1102" s="4">
        <f t="shared" ca="1" si="1"/>
        <v>40.219900000000003</v>
      </c>
      <c r="D1102" s="4">
        <f t="shared" ca="1" si="1"/>
        <v>58.753516666666677</v>
      </c>
      <c r="E1102" s="4">
        <f t="shared" ca="1" si="1"/>
        <v>276.60561709707656</v>
      </c>
    </row>
    <row r="1103" spans="1:5" ht="15">
      <c r="A1103" s="3">
        <f t="shared" si="0"/>
        <v>2068</v>
      </c>
      <c r="B1103" s="4">
        <f t="shared" ca="1" si="1"/>
        <v>41.208733333333335</v>
      </c>
      <c r="C1103" s="4">
        <f t="shared" ca="1" si="1"/>
        <v>40.845441666666659</v>
      </c>
      <c r="D1103" s="4">
        <f t="shared" ca="1" si="1"/>
        <v>59.758825000000002</v>
      </c>
      <c r="E1103" s="4">
        <f t="shared" ca="1" si="1"/>
        <v>281.50650885925126</v>
      </c>
    </row>
    <row r="1104" spans="1:5" ht="15">
      <c r="A1104" s="3">
        <f t="shared" si="0"/>
        <v>2069</v>
      </c>
      <c r="B1104" s="4">
        <f t="shared" ca="1" si="1"/>
        <v>41.844108333333331</v>
      </c>
      <c r="C1104" s="4">
        <f t="shared" ca="1" si="1"/>
        <v>41.480833333333329</v>
      </c>
      <c r="D1104" s="4">
        <f t="shared" ca="1" si="1"/>
        <v>60.781908333333341</v>
      </c>
      <c r="E1104" s="4">
        <f t="shared" ca="1" si="1"/>
        <v>286.49423516466192</v>
      </c>
    </row>
    <row r="1105" spans="1:5" ht="15">
      <c r="A1105" s="3">
        <f t="shared" ref="A1105:A1135" si="2">A1104+1</f>
        <v>2070</v>
      </c>
      <c r="B1105" s="4">
        <f t="shared" ca="1" si="1"/>
        <v>42.489466666666665</v>
      </c>
      <c r="C1105" s="4">
        <f t="shared" ca="1" si="1"/>
        <v>42.126174999999996</v>
      </c>
      <c r="D1105" s="4">
        <f t="shared" ca="1" si="1"/>
        <v>61.823066666666676</v>
      </c>
      <c r="E1105" s="4">
        <f t="shared" ca="1" si="1"/>
        <v>291.57033455736632</v>
      </c>
    </row>
    <row r="1106" spans="1:5" ht="15">
      <c r="A1106" s="3">
        <f t="shared" si="2"/>
        <v>2071</v>
      </c>
      <c r="B1106" s="4">
        <f t="shared" ca="1" si="1"/>
        <v>43.14499166666667</v>
      </c>
      <c r="C1106" s="4">
        <f t="shared" ca="1" si="1"/>
        <v>42.781699999999994</v>
      </c>
      <c r="D1106" s="4">
        <f t="shared" ca="1" si="1"/>
        <v>62.882624999999997</v>
      </c>
      <c r="E1106" s="4">
        <f t="shared" ca="1" si="1"/>
        <v>296.73637284151647</v>
      </c>
    </row>
    <row r="1107" spans="1:5" ht="15">
      <c r="A1107" s="3">
        <f t="shared" si="2"/>
        <v>2072</v>
      </c>
      <c r="B1107" s="4">
        <f t="shared" ca="1" si="1"/>
        <v>43.810816666666661</v>
      </c>
      <c r="C1107" s="4">
        <f t="shared" ca="1" si="1"/>
        <v>43.447525000000006</v>
      </c>
      <c r="D1107" s="4">
        <f t="shared" ca="1" si="1"/>
        <v>63.960891666666662</v>
      </c>
      <c r="E1107" s="4">
        <f t="shared" ca="1" si="1"/>
        <v>301.99394356435533</v>
      </c>
    </row>
    <row r="1108" spans="1:5" ht="15">
      <c r="A1108" s="3">
        <f t="shared" si="2"/>
        <v>2073</v>
      </c>
      <c r="B1108" s="4">
        <f t="shared" ca="1" si="1"/>
        <v>44.487108333333332</v>
      </c>
      <c r="C1108" s="4">
        <f t="shared" ca="1" si="1"/>
        <v>44.123808333333329</v>
      </c>
      <c r="D1108" s="4">
        <f t="shared" ca="1" si="1"/>
        <v>65.058224999999993</v>
      </c>
      <c r="E1108" s="4">
        <f t="shared" ca="1" si="1"/>
        <v>307.34466850777346</v>
      </c>
    </row>
    <row r="1109" spans="1:5" ht="15">
      <c r="A1109" s="3">
        <f t="shared" si="2"/>
        <v>2074</v>
      </c>
      <c r="B1109" s="4">
        <f t="shared" ca="1" si="1"/>
        <v>45.174025</v>
      </c>
      <c r="C1109" s="4">
        <f t="shared" ca="1" si="1"/>
        <v>44.810741666666672</v>
      </c>
      <c r="D1109" s="4">
        <f t="shared" ca="1" si="1"/>
        <v>66.174941666666669</v>
      </c>
      <c r="E1109" s="4">
        <f t="shared" ca="1" si="1"/>
        <v>312.79019818857188</v>
      </c>
    </row>
    <row r="1110" spans="1:5" ht="15">
      <c r="A1110" s="3">
        <f t="shared" si="2"/>
        <v>2075</v>
      </c>
      <c r="B1110" s="4">
        <f t="shared" ca="1" si="1"/>
        <v>45.871758333333332</v>
      </c>
      <c r="C1110" s="4">
        <f t="shared" ca="1" si="1"/>
        <v>45.508474999999997</v>
      </c>
      <c r="D1110" s="4">
        <f t="shared" ca="1" si="1"/>
        <v>67.311383333333325</v>
      </c>
      <c r="E1110" s="4">
        <f t="shared" ca="1" si="1"/>
        <v>318.33221236759164</v>
      </c>
    </row>
    <row r="1111" spans="1:5" ht="15">
      <c r="A1111" s="3">
        <f t="shared" si="2"/>
        <v>2076</v>
      </c>
      <c r="B1111" s="4">
        <f t="shared" ca="1" si="1"/>
        <v>46.580458333333326</v>
      </c>
      <c r="C1111" s="4">
        <f t="shared" ca="1" si="1"/>
        <v>46.217183333333331</v>
      </c>
      <c r="D1111" s="4">
        <f t="shared" ca="1" si="1"/>
        <v>68.467899999999986</v>
      </c>
      <c r="E1111" s="4">
        <f t="shared" ca="1" si="1"/>
        <v>323.97242056786166</v>
      </c>
    </row>
    <row r="1112" spans="1:5" ht="15">
      <c r="A1112" s="3">
        <f t="shared" si="2"/>
        <v>2077</v>
      </c>
      <c r="B1112" s="4">
        <f t="shared" ca="1" si="1"/>
        <v>47.300308333333334</v>
      </c>
      <c r="C1112" s="4">
        <f t="shared" ca="1" si="1"/>
        <v>46.937016666666665</v>
      </c>
      <c r="D1112" s="4">
        <f t="shared" ca="1" si="1"/>
        <v>69.644841666666665</v>
      </c>
      <c r="E1112" s="4">
        <f t="shared" ca="1" si="1"/>
        <v>329.7125626019303</v>
      </c>
    </row>
    <row r="1113" spans="1:5" ht="15">
      <c r="A1113" s="3">
        <f t="shared" si="2"/>
        <v>2078</v>
      </c>
      <c r="B1113" s="4">
        <f t="shared" ca="1" si="1"/>
        <v>48.031458333333319</v>
      </c>
      <c r="C1113" s="4">
        <f t="shared" ca="1" si="1"/>
        <v>47.668191666666665</v>
      </c>
      <c r="D1113" s="4">
        <f t="shared" ca="1" si="1"/>
        <v>70.842600000000019</v>
      </c>
      <c r="E1113" s="4">
        <f t="shared" ca="1" si="1"/>
        <v>335.55440910853707</v>
      </c>
    </row>
    <row r="1114" spans="1:5" ht="15">
      <c r="A1114" s="3">
        <f t="shared" si="2"/>
        <v>2079</v>
      </c>
      <c r="B1114" s="4">
        <f t="shared" ca="1" si="1"/>
        <v>48.774141666666658</v>
      </c>
      <c r="C1114" s="4">
        <f t="shared" ca="1" si="1"/>
        <v>48.410849999999989</v>
      </c>
      <c r="D1114" s="4">
        <f t="shared" ca="1" si="1"/>
        <v>72.061508333333336</v>
      </c>
      <c r="E1114" s="4">
        <f t="shared" ca="1" si="1"/>
        <v>341.49976209879401</v>
      </c>
    </row>
    <row r="1115" spans="1:5" ht="15">
      <c r="A1115" s="3">
        <f t="shared" si="2"/>
        <v>2080</v>
      </c>
      <c r="B1115" s="4">
        <f t="shared" ca="1" si="1"/>
        <v>49.528474999999993</v>
      </c>
      <c r="C1115" s="4">
        <f t="shared" ca="1" si="1"/>
        <v>49.165191666666665</v>
      </c>
      <c r="D1115" s="4">
        <f t="shared" ca="1" si="1"/>
        <v>73.301966666666672</v>
      </c>
      <c r="E1115" s="4">
        <f t="shared" ca="1" si="1"/>
        <v>347.55045551204722</v>
      </c>
    </row>
    <row r="1116" spans="1:5" ht="15">
      <c r="A1116" s="3">
        <f t="shared" si="2"/>
        <v>2081</v>
      </c>
      <c r="B1116" s="4">
        <f t="shared" ca="1" si="1"/>
        <v>50.294691666666665</v>
      </c>
      <c r="C1116" s="4">
        <f t="shared" ca="1" si="1"/>
        <v>49.931399999999996</v>
      </c>
      <c r="D1116" s="4">
        <f t="shared" ca="1" si="1"/>
        <v>74.564333333333323</v>
      </c>
      <c r="E1116" s="4">
        <f t="shared" ca="1" si="1"/>
        <v>353.70835578158216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51.072933333333332</v>
      </c>
      <c r="C1117" s="4">
        <f t="shared" ca="1" si="3"/>
        <v>50.709650000000003</v>
      </c>
      <c r="D1117" s="4">
        <f t="shared" ca="1" si="3"/>
        <v>75.848991666666663</v>
      </c>
      <c r="E1117" s="4">
        <f t="shared" ca="1" si="3"/>
        <v>359.97536241035641</v>
      </c>
    </row>
    <row r="1118" spans="1:5" ht="15">
      <c r="A1118" s="3">
        <f t="shared" si="2"/>
        <v>2083</v>
      </c>
      <c r="B1118" s="4">
        <f t="shared" ca="1" si="3"/>
        <v>51.863416666666659</v>
      </c>
      <c r="C1118" s="4">
        <f t="shared" ca="1" si="3"/>
        <v>51.500133333333331</v>
      </c>
      <c r="D1118" s="4">
        <f t="shared" ca="1" si="3"/>
        <v>77.156366666666656</v>
      </c>
      <c r="E1118" s="4">
        <f t="shared" ca="1" si="3"/>
        <v>366.35340855693124</v>
      </c>
    </row>
    <row r="1119" spans="1:5" ht="15">
      <c r="A1119" s="3">
        <f t="shared" si="2"/>
        <v>2084</v>
      </c>
      <c r="B1119" s="4">
        <f t="shared" ca="1" si="3"/>
        <v>52.666333333333334</v>
      </c>
      <c r="C1119" s="4">
        <f t="shared" ca="1" si="3"/>
        <v>52.303075</v>
      </c>
      <c r="D1119" s="4">
        <f t="shared" ca="1" si="3"/>
        <v>78.486824999999996</v>
      </c>
      <c r="E1119" s="4">
        <f t="shared" ca="1" si="3"/>
        <v>372.84446163178592</v>
      </c>
    </row>
    <row r="1120" spans="1:5" ht="15">
      <c r="A1120" s="3">
        <f t="shared" si="2"/>
        <v>2085</v>
      </c>
      <c r="B1120" s="4">
        <f t="shared" ca="1" si="3"/>
        <v>53.481891666666662</v>
      </c>
      <c r="C1120" s="4">
        <f t="shared" ca="1" si="3"/>
        <v>53.118616666666668</v>
      </c>
      <c r="D1120" s="4">
        <f t="shared" ca="1" si="3"/>
        <v>79.840800000000002</v>
      </c>
      <c r="E1120" s="4">
        <f t="shared" ca="1" si="3"/>
        <v>379.45052390419625</v>
      </c>
    </row>
    <row r="1121" spans="1:5" ht="15">
      <c r="A1121" s="3">
        <f t="shared" si="2"/>
        <v>2086</v>
      </c>
      <c r="B1121" s="4">
        <f t="shared" ca="1" si="3"/>
        <v>54.31025833333333</v>
      </c>
      <c r="C1121" s="4">
        <f t="shared" ca="1" si="3"/>
        <v>53.946983333333321</v>
      </c>
      <c r="D1121" s="4">
        <f t="shared" ca="1" si="3"/>
        <v>81.218708333333339</v>
      </c>
      <c r="E1121" s="4">
        <f t="shared" ca="1" si="3"/>
        <v>386.17363311986696</v>
      </c>
    </row>
    <row r="1122" spans="1:5" ht="15">
      <c r="A1122" s="3">
        <f t="shared" si="2"/>
        <v>2087</v>
      </c>
      <c r="B1122" s="4">
        <f t="shared" ca="1" si="3"/>
        <v>55.151666666666678</v>
      </c>
      <c r="C1122" s="4">
        <f t="shared" ca="1" si="3"/>
        <v>54.788375000000002</v>
      </c>
      <c r="D1122" s="4">
        <f t="shared" ca="1" si="3"/>
        <v>82.620941666666667</v>
      </c>
      <c r="E1122" s="4">
        <f t="shared" ca="1" si="3"/>
        <v>393.01586312950673</v>
      </c>
    </row>
    <row r="1123" spans="1:5" ht="15">
      <c r="A1123" s="3">
        <f t="shared" si="2"/>
        <v>2088</v>
      </c>
      <c r="B1123" s="4">
        <f t="shared" ca="1" si="3"/>
        <v>56.006291666666662</v>
      </c>
      <c r="C1123" s="4">
        <f t="shared" ca="1" si="3"/>
        <v>55.64299166666666</v>
      </c>
      <c r="D1123" s="4">
        <f t="shared" ca="1" si="3"/>
        <v>84.04795</v>
      </c>
      <c r="E1123" s="4">
        <f t="shared" ca="1" si="3"/>
        <v>399.97932452854161</v>
      </c>
    </row>
    <row r="1124" spans="1:5" ht="15">
      <c r="A1124" s="3">
        <f t="shared" si="2"/>
        <v>2089</v>
      </c>
      <c r="B1124" s="4">
        <f t="shared" ca="1" si="3"/>
        <v>56.874358333333333</v>
      </c>
      <c r="C1124" s="4">
        <f t="shared" ca="1" si="3"/>
        <v>56.511075000000005</v>
      </c>
      <c r="D1124" s="4">
        <f t="shared" ca="1" si="3"/>
        <v>85.500183333333339</v>
      </c>
      <c r="E1124" s="4">
        <f t="shared" ca="1" si="3"/>
        <v>407.06616530816001</v>
      </c>
    </row>
    <row r="1125" spans="1:5" ht="15">
      <c r="A1125" s="3">
        <f t="shared" si="2"/>
        <v>2090</v>
      </c>
      <c r="B1125" s="4">
        <f t="shared" ca="1" si="3"/>
        <v>57.756083333333329</v>
      </c>
      <c r="C1125" s="4">
        <f t="shared" ca="1" si="3"/>
        <v>57.39279166666666</v>
      </c>
      <c r="D1125" s="4">
        <f t="shared" ca="1" si="3"/>
        <v>86.978066666666663</v>
      </c>
      <c r="E1125" s="4">
        <f t="shared" ca="1" si="3"/>
        <v>414.27857151789749</v>
      </c>
    </row>
    <row r="1126" spans="1:5" ht="15">
      <c r="A1126" s="3">
        <f t="shared" si="2"/>
        <v>2091</v>
      </c>
      <c r="B1126" s="4">
        <f t="shared" ca="1" si="3"/>
        <v>58.651649999999997</v>
      </c>
      <c r="C1126" s="4">
        <f t="shared" ca="1" si="3"/>
        <v>58.288391666666676</v>
      </c>
      <c r="D1126" s="4">
        <f t="shared" ca="1" si="3"/>
        <v>88.482066666666654</v>
      </c>
      <c r="E1126" s="4">
        <f t="shared" ca="1" si="3"/>
        <v>421.61876793995611</v>
      </c>
    </row>
    <row r="1127" spans="1:5" ht="15">
      <c r="A1127" s="3">
        <f t="shared" si="2"/>
        <v>2092</v>
      </c>
      <c r="B1127" s="4">
        <f t="shared" ca="1" si="3"/>
        <v>59.561308333333329</v>
      </c>
      <c r="C1127" s="4">
        <f t="shared" ca="1" si="3"/>
        <v>59.198041666666661</v>
      </c>
      <c r="D1127" s="4">
        <f t="shared" ca="1" si="3"/>
        <v>90.012625</v>
      </c>
      <c r="E1127" s="4">
        <f t="shared" ca="1" si="3"/>
        <v>429.0890187754772</v>
      </c>
    </row>
    <row r="1128" spans="1:5" ht="15">
      <c r="A1128" s="3">
        <f t="shared" si="2"/>
        <v>2093</v>
      </c>
      <c r="B1128" s="4">
        <f t="shared" ca="1" si="3"/>
        <v>60.485291666666662</v>
      </c>
      <c r="C1128" s="4">
        <f t="shared" ca="1" si="3"/>
        <v>60.121991666666673</v>
      </c>
      <c r="D1128" s="4">
        <f t="shared" ca="1" si="3"/>
        <v>91.570258333333342</v>
      </c>
      <c r="E1128" s="4">
        <f t="shared" ca="1" si="3"/>
        <v>436.69162834296759</v>
      </c>
    </row>
    <row r="1129" spans="1:5" ht="15">
      <c r="A1129" s="3">
        <f t="shared" si="2"/>
        <v>2094</v>
      </c>
      <c r="B1129" s="4">
        <f t="shared" ca="1" si="3"/>
        <v>61.4238</v>
      </c>
      <c r="C1129" s="4">
        <f t="shared" ca="1" si="3"/>
        <v>61.060499999999998</v>
      </c>
      <c r="D1129" s="4">
        <f t="shared" ca="1" si="3"/>
        <v>93.155383333333319</v>
      </c>
      <c r="E1129" s="4">
        <f t="shared" ca="1" si="3"/>
        <v>444.42894178910461</v>
      </c>
    </row>
    <row r="1130" spans="1:5" ht="15">
      <c r="A1130" s="3">
        <f t="shared" si="2"/>
        <v>2095</v>
      </c>
      <c r="B1130" s="4">
        <f t="shared" ca="1" si="3"/>
        <v>62.377041666666678</v>
      </c>
      <c r="C1130" s="4">
        <f t="shared" ca="1" si="3"/>
        <v>62.013766666666669</v>
      </c>
      <c r="D1130" s="4">
        <f t="shared" ca="1" si="3"/>
        <v>94.768533333333323</v>
      </c>
      <c r="E1130" s="4">
        <f t="shared" ca="1" si="3"/>
        <v>452.30334581213515</v>
      </c>
    </row>
    <row r="1131" spans="1:5" ht="15">
      <c r="A1131" s="3">
        <f t="shared" si="2"/>
        <v>2096</v>
      </c>
      <c r="B1131" s="4">
        <f t="shared" ca="1" si="3"/>
        <v>63.345283333333327</v>
      </c>
      <c r="C1131" s="4">
        <f t="shared" ca="1" si="3"/>
        <v>62.981999999999992</v>
      </c>
      <c r="D1131" s="4">
        <f t="shared" ca="1" si="3"/>
        <v>96.410174999999995</v>
      </c>
      <c r="E1131" s="4">
        <f t="shared" ca="1" si="3"/>
        <v>460.31726939808897</v>
      </c>
    </row>
    <row r="1132" spans="1:5" ht="15">
      <c r="A1132" s="3">
        <f t="shared" si="2"/>
        <v>2097</v>
      </c>
      <c r="B1132" s="4">
        <f t="shared" ca="1" si="3"/>
        <v>64.32875833333334</v>
      </c>
      <c r="C1132" s="4">
        <f t="shared" ca="1" si="3"/>
        <v>63.965474999999991</v>
      </c>
      <c r="D1132" s="4">
        <f t="shared" ca="1" si="3"/>
        <v>98.080816666666649</v>
      </c>
      <c r="E1132" s="4">
        <f t="shared" ca="1" si="3"/>
        <v>468.47318457004053</v>
      </c>
    </row>
    <row r="1133" spans="1:5" ht="15">
      <c r="A1133" s="3">
        <f t="shared" si="2"/>
        <v>2098</v>
      </c>
      <c r="B1133" s="4">
        <f t="shared" ca="1" si="3"/>
        <v>65.32770833333332</v>
      </c>
      <c r="C1133" s="4">
        <f t="shared" ca="1" si="3"/>
        <v>64.964416666666665</v>
      </c>
      <c r="D1133" s="4">
        <f t="shared" ca="1" si="3"/>
        <v>99.780983333333324</v>
      </c>
      <c r="E1133" s="4">
        <f t="shared" ca="1" si="3"/>
        <v>476.77360715064202</v>
      </c>
    </row>
    <row r="1134" spans="1:5" ht="15">
      <c r="A1134" s="3">
        <f t="shared" si="2"/>
        <v>2099</v>
      </c>
      <c r="B1134" s="4">
        <f t="shared" ca="1" si="3"/>
        <v>66.34234166666667</v>
      </c>
      <c r="C1134" s="4">
        <f t="shared" ca="1" si="3"/>
        <v>65.979066666666654</v>
      </c>
      <c r="D1134" s="4">
        <f t="shared" ca="1" si="3"/>
        <v>101.51119166666666</v>
      </c>
      <c r="E1134" s="4">
        <f t="shared" ca="1" si="3"/>
        <v>485.22109753817091</v>
      </c>
    </row>
    <row r="1135" spans="1:5" ht="15">
      <c r="A1135" s="3">
        <f t="shared" si="2"/>
        <v>2100</v>
      </c>
      <c r="B1135" s="4">
        <f t="shared" ca="1" si="3"/>
        <v>67.372941666666676</v>
      </c>
      <c r="C1135" s="4">
        <f t="shared" ca="1" si="3"/>
        <v>67.009666666666675</v>
      </c>
      <c r="D1135" s="4">
        <f t="shared" ca="1" si="3"/>
        <v>103.27194999999999</v>
      </c>
      <c r="E1135" s="4">
        <f t="shared" ca="1" si="3"/>
        <v>493.81826149632474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scale="85"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5"/>
  <sheetViews>
    <sheetView zoomScale="70" workbookViewId="0">
      <pane xSplit="1" ySplit="16" topLeftCell="B17" activePane="bottomRight" state="frozen"/>
      <selection activeCell="A8" sqref="A8"/>
      <selection pane="topRight" activeCell="A8" sqref="A8"/>
      <selection pane="bottomLeft" activeCell="A8" sqref="A8"/>
      <selection pane="bottomRight" activeCell="B17" sqref="B17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71</v>
      </c>
    </row>
    <row r="8" spans="1:15" ht="12.6" customHeight="1"/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42005</v>
      </c>
      <c r="B17" s="63">
        <f>2.4907 * CHOOSE(CONTROL!$C$22, $C$13, 100%, $E$13)</f>
        <v>2.4906999999999999</v>
      </c>
      <c r="C17" s="63">
        <f>2.5129 * CHOOSE(CONTROL!$C$22, $C$13, 100%, $E$13)</f>
        <v>2.5129000000000001</v>
      </c>
      <c r="D17" s="63">
        <f>2.5129 * CHOOSE(CONTROL!$C$22, $C$13, 100%, $E$13)</f>
        <v>2.5129000000000001</v>
      </c>
      <c r="E17" s="64">
        <f>3.1876 * CHOOSE(CONTROL!$C$22, $C$13, 100%, $E$13)</f>
        <v>3.1876000000000002</v>
      </c>
      <c r="F17" s="64">
        <f>3.254 * CHOOSE(CONTROL!$C$22, $C$13, 100%, $E$13)</f>
        <v>3.254</v>
      </c>
      <c r="G17" s="64">
        <f>3.2541 * CHOOSE(CONTROL!$C$22, $C$13, 100%, $E$13)</f>
        <v>3.2541000000000002</v>
      </c>
      <c r="H17" s="64">
        <f>5.3531* CHOOSE(CONTROL!$C$22, $C$13, 100%, $E$13)</f>
        <v>5.3531000000000004</v>
      </c>
      <c r="I17" s="64">
        <f>5.3532 * CHOOSE(CONTROL!$C$22, $C$13, 100%, $E$13)</f>
        <v>5.3532000000000002</v>
      </c>
      <c r="J17" s="64">
        <f>3.1876 * CHOOSE(CONTROL!$C$22, $C$13, 100%, $E$13)</f>
        <v>3.1876000000000002</v>
      </c>
      <c r="K17" s="64">
        <f>3.1877 * CHOOSE(CONTROL!$C$22, $C$13, 100%, $E$13)</f>
        <v>3.1877</v>
      </c>
      <c r="L17" s="4"/>
      <c r="M17" s="64"/>
      <c r="N17" s="64"/>
    </row>
    <row r="18" spans="1:14" ht="15">
      <c r="A18" s="13">
        <v>42036</v>
      </c>
      <c r="B18" s="63">
        <f>2.4906 * CHOOSE(CONTROL!$C$22, $C$13, 100%, $E$13)</f>
        <v>2.4906000000000001</v>
      </c>
      <c r="C18" s="63">
        <f>2.5152 * CHOOSE(CONTROL!$C$22, $C$13, 100%, $E$13)</f>
        <v>2.5152000000000001</v>
      </c>
      <c r="D18" s="63">
        <f>2.5152 * CHOOSE(CONTROL!$C$22, $C$13, 100%, $E$13)</f>
        <v>2.5152000000000001</v>
      </c>
      <c r="E18" s="64">
        <f>3.1987 * CHOOSE(CONTROL!$C$22, $C$13, 100%, $E$13)</f>
        <v>3.1987000000000001</v>
      </c>
      <c r="F18" s="64">
        <f>3.254 * CHOOSE(CONTROL!$C$22, $C$13, 100%, $E$13)</f>
        <v>3.254</v>
      </c>
      <c r="G18" s="64">
        <f>3.2541 * CHOOSE(CONTROL!$C$22, $C$13, 100%, $E$13)</f>
        <v>3.2541000000000002</v>
      </c>
      <c r="H18" s="64">
        <f>5.3643* CHOOSE(CONTROL!$C$22, $C$13, 100%, $E$13)</f>
        <v>5.3643000000000001</v>
      </c>
      <c r="I18" s="64">
        <f>5.3644 * CHOOSE(CONTROL!$C$22, $C$13, 100%, $E$13)</f>
        <v>5.3643999999999998</v>
      </c>
      <c r="J18" s="64">
        <f>3.1987 * CHOOSE(CONTROL!$C$22, $C$13, 100%, $E$13)</f>
        <v>3.1987000000000001</v>
      </c>
      <c r="K18" s="64">
        <f>3.1987 * CHOOSE(CONTROL!$C$22, $C$13, 100%, $E$13)</f>
        <v>3.1987000000000001</v>
      </c>
      <c r="L18" s="4"/>
      <c r="M18" s="64"/>
      <c r="N18" s="64"/>
    </row>
    <row r="19" spans="1:14" ht="15">
      <c r="A19" s="13">
        <v>42064</v>
      </c>
      <c r="B19" s="63">
        <f>2.4913 * CHOOSE(CONTROL!$C$22, $C$13, 100%, $E$13)</f>
        <v>2.4912999999999998</v>
      </c>
      <c r="C19" s="63">
        <f>2.5122 * CHOOSE(CONTROL!$C$22, $C$13, 100%, $E$13)</f>
        <v>2.5122</v>
      </c>
      <c r="D19" s="63">
        <f>2.5122 * CHOOSE(CONTROL!$C$22, $C$13, 100%, $E$13)</f>
        <v>2.5122</v>
      </c>
      <c r="E19" s="64">
        <f>3.1433 * CHOOSE(CONTROL!$C$22, $C$13, 100%, $E$13)</f>
        <v>3.1433</v>
      </c>
      <c r="F19" s="64">
        <f>3.254 * CHOOSE(CONTROL!$C$22, $C$13, 100%, $E$13)</f>
        <v>3.254</v>
      </c>
      <c r="G19" s="64">
        <f>3.2541 * CHOOSE(CONTROL!$C$22, $C$13, 100%, $E$13)</f>
        <v>3.2541000000000002</v>
      </c>
      <c r="H19" s="64">
        <f>5.3755* CHOOSE(CONTROL!$C$22, $C$13, 100%, $E$13)</f>
        <v>5.3754999999999997</v>
      </c>
      <c r="I19" s="64">
        <f>5.3755 * CHOOSE(CONTROL!$C$22, $C$13, 100%, $E$13)</f>
        <v>5.3754999999999997</v>
      </c>
      <c r="J19" s="64">
        <f>3.1433 * CHOOSE(CONTROL!$C$22, $C$13, 100%, $E$13)</f>
        <v>3.1433</v>
      </c>
      <c r="K19" s="64">
        <f>3.1434 * CHOOSE(CONTROL!$C$22, $C$13, 100%, $E$13)</f>
        <v>3.1434000000000002</v>
      </c>
      <c r="L19" s="4"/>
      <c r="M19" s="64"/>
      <c r="N19" s="64"/>
    </row>
    <row r="20" spans="1:14" ht="15">
      <c r="A20" s="13">
        <v>42095</v>
      </c>
      <c r="B20" s="63">
        <f>2.489 * CHOOSE(CONTROL!$C$22, $C$13, 100%, $E$13)</f>
        <v>2.4889999999999999</v>
      </c>
      <c r="C20" s="63">
        <f>2.5091 * CHOOSE(CONTROL!$C$22, $C$13, 100%, $E$13)</f>
        <v>2.5091000000000001</v>
      </c>
      <c r="D20" s="63">
        <f>2.5091 * CHOOSE(CONTROL!$C$22, $C$13, 100%, $E$13)</f>
        <v>2.5091000000000001</v>
      </c>
      <c r="E20" s="64">
        <f>3.186 * CHOOSE(CONTROL!$C$22, $C$13, 100%, $E$13)</f>
        <v>3.1859999999999999</v>
      </c>
      <c r="F20" s="64">
        <f>3.254 * CHOOSE(CONTROL!$C$22, $C$13, 100%, $E$13)</f>
        <v>3.254</v>
      </c>
      <c r="G20" s="64">
        <f>3.2541 * CHOOSE(CONTROL!$C$22, $C$13, 100%, $E$13)</f>
        <v>3.2541000000000002</v>
      </c>
      <c r="H20" s="64">
        <f>5.3867* CHOOSE(CONTROL!$C$22, $C$13, 100%, $E$13)</f>
        <v>5.3867000000000003</v>
      </c>
      <c r="I20" s="64">
        <f>5.3867 * CHOOSE(CONTROL!$C$22, $C$13, 100%, $E$13)</f>
        <v>5.3867000000000003</v>
      </c>
      <c r="J20" s="64">
        <f>3.186 * CHOOSE(CONTROL!$C$22, $C$13, 100%, $E$13)</f>
        <v>3.1859999999999999</v>
      </c>
      <c r="K20" s="64">
        <f>3.1861 * CHOOSE(CONTROL!$C$22, $C$13, 100%, $E$13)</f>
        <v>3.1861000000000002</v>
      </c>
      <c r="L20" s="4"/>
      <c r="M20" s="64"/>
      <c r="N20" s="64"/>
    </row>
    <row r="21" spans="1:14" ht="15">
      <c r="A21" s="13">
        <v>42125</v>
      </c>
      <c r="B21" s="63">
        <f>2.4919 * CHOOSE(CONTROL!$C$22, $C$13, 100%, $E$13)</f>
        <v>2.4918999999999998</v>
      </c>
      <c r="C21" s="63">
        <f>2.5114 * CHOOSE(CONTROL!$C$22, $C$13, 100%, $E$13)</f>
        <v>2.5114000000000001</v>
      </c>
      <c r="D21" s="63">
        <f>2.5244 * CHOOSE(CONTROL!$C$22, $C$13, 100%, $E$13)</f>
        <v>2.5244</v>
      </c>
      <c r="E21" s="64">
        <f>3.186 * CHOOSE(CONTROL!$C$22, $C$13, 100%, $E$13)</f>
        <v>3.1859999999999999</v>
      </c>
      <c r="F21" s="64">
        <f>3.254 * CHOOSE(CONTROL!$C$22, $C$13, 100%, $E$13)</f>
        <v>3.254</v>
      </c>
      <c r="G21" s="64">
        <f>3.2697 * CHOOSE(CONTROL!$C$22, $C$13, 100%, $E$13)</f>
        <v>3.2696999999999998</v>
      </c>
      <c r="H21" s="64">
        <f>5.3979* CHOOSE(CONTROL!$C$22, $C$13, 100%, $E$13)</f>
        <v>5.3978999999999999</v>
      </c>
      <c r="I21" s="64">
        <f>5.4136 * CHOOSE(CONTROL!$C$22, $C$13, 100%, $E$13)</f>
        <v>5.4135999999999997</v>
      </c>
      <c r="J21" s="64">
        <f>3.186 * CHOOSE(CONTROL!$C$22, $C$13, 100%, $E$13)</f>
        <v>3.1859999999999999</v>
      </c>
      <c r="K21" s="64">
        <f>3.2017 * CHOOSE(CONTROL!$C$22, $C$13, 100%, $E$13)</f>
        <v>3.2017000000000002</v>
      </c>
      <c r="L21" s="4"/>
      <c r="M21" s="64"/>
      <c r="N21" s="64"/>
    </row>
    <row r="22" spans="1:14" ht="15">
      <c r="A22" s="13">
        <v>42156</v>
      </c>
      <c r="B22" s="63">
        <f>2.4945 * CHOOSE(CONTROL!$C$22, $C$13, 100%, $E$13)</f>
        <v>2.4944999999999999</v>
      </c>
      <c r="C22" s="63">
        <f>2.5175 * CHOOSE(CONTROL!$C$22, $C$13, 100%, $E$13)</f>
        <v>2.5175000000000001</v>
      </c>
      <c r="D22" s="63">
        <f>2.5305 * CHOOSE(CONTROL!$C$22, $C$13, 100%, $E$13)</f>
        <v>2.5305</v>
      </c>
      <c r="E22" s="64">
        <f>3.2268 * CHOOSE(CONTROL!$C$22, $C$13, 100%, $E$13)</f>
        <v>3.2267999999999999</v>
      </c>
      <c r="F22" s="64">
        <f>3.254 * CHOOSE(CONTROL!$C$22, $C$13, 100%, $E$13)</f>
        <v>3.254</v>
      </c>
      <c r="G22" s="64">
        <f>3.2697 * CHOOSE(CONTROL!$C$22, $C$13, 100%, $E$13)</f>
        <v>3.2696999999999998</v>
      </c>
      <c r="H22" s="64">
        <f>5.4091* CHOOSE(CONTROL!$C$22, $C$13, 100%, $E$13)</f>
        <v>5.4090999999999996</v>
      </c>
      <c r="I22" s="64">
        <f>5.4248 * CHOOSE(CONTROL!$C$22, $C$13, 100%, $E$13)</f>
        <v>5.4248000000000003</v>
      </c>
      <c r="J22" s="64">
        <f>3.2268 * CHOOSE(CONTROL!$C$22, $C$13, 100%, $E$13)</f>
        <v>3.2267999999999999</v>
      </c>
      <c r="K22" s="64">
        <f>3.2425 * CHOOSE(CONTROL!$C$22, $C$13, 100%, $E$13)</f>
        <v>3.2425000000000002</v>
      </c>
      <c r="L22" s="4"/>
      <c r="M22" s="64"/>
      <c r="N22" s="64"/>
    </row>
    <row r="23" spans="1:14" ht="15">
      <c r="A23" s="13">
        <v>42186</v>
      </c>
      <c r="B23" s="63">
        <f>2.5054 * CHOOSE(CONTROL!$C$22, $C$13, 100%, $E$13)</f>
        <v>2.5053999999999998</v>
      </c>
      <c r="C23" s="63">
        <f>2.5357 * CHOOSE(CONTROL!$C$22, $C$13, 100%, $E$13)</f>
        <v>2.5356999999999998</v>
      </c>
      <c r="D23" s="63">
        <f>2.5487 * CHOOSE(CONTROL!$C$22, $C$13, 100%, $E$13)</f>
        <v>2.5487000000000002</v>
      </c>
      <c r="E23" s="64">
        <f>3.2136 * CHOOSE(CONTROL!$C$22, $C$13, 100%, $E$13)</f>
        <v>3.2136</v>
      </c>
      <c r="F23" s="64">
        <f>3.254 * CHOOSE(CONTROL!$C$22, $C$13, 100%, $E$13)</f>
        <v>3.254</v>
      </c>
      <c r="G23" s="64">
        <f>3.2697 * CHOOSE(CONTROL!$C$22, $C$13, 100%, $E$13)</f>
        <v>3.2696999999999998</v>
      </c>
      <c r="H23" s="64">
        <f>5.4204* CHOOSE(CONTROL!$C$22, $C$13, 100%, $E$13)</f>
        <v>5.4203999999999999</v>
      </c>
      <c r="I23" s="64">
        <f>5.4361 * CHOOSE(CONTROL!$C$22, $C$13, 100%, $E$13)</f>
        <v>5.4360999999999997</v>
      </c>
      <c r="J23" s="64">
        <f>3.2136 * CHOOSE(CONTROL!$C$22, $C$13, 100%, $E$13)</f>
        <v>3.2136</v>
      </c>
      <c r="K23" s="64">
        <f>3.2293 * CHOOSE(CONTROL!$C$22, $C$13, 100%, $E$13)</f>
        <v>3.2292999999999998</v>
      </c>
      <c r="L23" s="4"/>
      <c r="M23" s="64"/>
      <c r="N23" s="64"/>
    </row>
    <row r="24" spans="1:14" ht="15">
      <c r="A24" s="13">
        <v>42217</v>
      </c>
      <c r="B24" s="63">
        <f>2.5144 * CHOOSE(CONTROL!$C$22, $C$13, 100%, $E$13)</f>
        <v>2.5144000000000002</v>
      </c>
      <c r="C24" s="63">
        <f>2.5502 * CHOOSE(CONTROL!$C$22, $C$13, 100%, $E$13)</f>
        <v>2.5501999999999998</v>
      </c>
      <c r="D24" s="63">
        <f>2.5631 * CHOOSE(CONTROL!$C$22, $C$13, 100%, $E$13)</f>
        <v>2.5630999999999999</v>
      </c>
      <c r="E24" s="64">
        <f>3.2338 * CHOOSE(CONTROL!$C$22, $C$13, 100%, $E$13)</f>
        <v>3.2338</v>
      </c>
      <c r="F24" s="64">
        <f>3.254 * CHOOSE(CONTROL!$C$22, $C$13, 100%, $E$13)</f>
        <v>3.254</v>
      </c>
      <c r="G24" s="64">
        <f>3.2697 * CHOOSE(CONTROL!$C$22, $C$13, 100%, $E$13)</f>
        <v>3.2696999999999998</v>
      </c>
      <c r="H24" s="64">
        <f>5.4317* CHOOSE(CONTROL!$C$22, $C$13, 100%, $E$13)</f>
        <v>5.4317000000000002</v>
      </c>
      <c r="I24" s="64">
        <f>5.4474 * CHOOSE(CONTROL!$C$22, $C$13, 100%, $E$13)</f>
        <v>5.4474</v>
      </c>
      <c r="J24" s="64">
        <f>3.2338 * CHOOSE(CONTROL!$C$22, $C$13, 100%, $E$13)</f>
        <v>3.2338</v>
      </c>
      <c r="K24" s="64">
        <f>3.2495 * CHOOSE(CONTROL!$C$22, $C$13, 100%, $E$13)</f>
        <v>3.2494999999999998</v>
      </c>
      <c r="L24" s="4"/>
      <c r="M24" s="64"/>
      <c r="N24" s="64"/>
    </row>
    <row r="25" spans="1:14" ht="15">
      <c r="A25" s="13">
        <v>42248</v>
      </c>
      <c r="B25" s="63">
        <f>2.5116 * CHOOSE(CONTROL!$C$22, $C$13, 100%, $E$13)</f>
        <v>2.5116000000000001</v>
      </c>
      <c r="C25" s="63">
        <f>2.5471 * CHOOSE(CONTROL!$C$22, $C$13, 100%, $E$13)</f>
        <v>2.5470999999999999</v>
      </c>
      <c r="D25" s="63">
        <f>2.5601 * CHOOSE(CONTROL!$C$22, $C$13, 100%, $E$13)</f>
        <v>2.5600999999999998</v>
      </c>
      <c r="E25" s="64">
        <f>3.2287 * CHOOSE(CONTROL!$C$22, $C$13, 100%, $E$13)</f>
        <v>3.2286999999999999</v>
      </c>
      <c r="F25" s="64">
        <f>3.254 * CHOOSE(CONTROL!$C$22, $C$13, 100%, $E$13)</f>
        <v>3.254</v>
      </c>
      <c r="G25" s="64">
        <f>3.2697 * CHOOSE(CONTROL!$C$22, $C$13, 100%, $E$13)</f>
        <v>3.2696999999999998</v>
      </c>
      <c r="H25" s="64">
        <f>5.443* CHOOSE(CONTROL!$C$22, $C$13, 100%, $E$13)</f>
        <v>5.4429999999999996</v>
      </c>
      <c r="I25" s="64">
        <f>5.4587 * CHOOSE(CONTROL!$C$22, $C$13, 100%, $E$13)</f>
        <v>5.4587000000000003</v>
      </c>
      <c r="J25" s="64">
        <f>3.2287 * CHOOSE(CONTROL!$C$22, $C$13, 100%, $E$13)</f>
        <v>3.2286999999999999</v>
      </c>
      <c r="K25" s="64">
        <f>3.2444 * CHOOSE(CONTROL!$C$22, $C$13, 100%, $E$13)</f>
        <v>3.2444000000000002</v>
      </c>
      <c r="L25" s="4"/>
      <c r="M25" s="64"/>
      <c r="N25" s="64"/>
    </row>
    <row r="26" spans="1:14" ht="15">
      <c r="A26" s="13">
        <v>42278</v>
      </c>
      <c r="B26" s="63">
        <f>2.5077 * CHOOSE(CONTROL!$C$22, $C$13, 100%, $E$13)</f>
        <v>2.5076999999999998</v>
      </c>
      <c r="C26" s="63">
        <f>2.538 * CHOOSE(CONTROL!$C$22, $C$13, 100%, $E$13)</f>
        <v>2.5379999999999998</v>
      </c>
      <c r="D26" s="63">
        <f>2.538 * CHOOSE(CONTROL!$C$22, $C$13, 100%, $E$13)</f>
        <v>2.5379999999999998</v>
      </c>
      <c r="E26" s="64">
        <f>3.2365 * CHOOSE(CONTROL!$C$22, $C$13, 100%, $E$13)</f>
        <v>3.2364999999999999</v>
      </c>
      <c r="F26" s="64">
        <f>3.254 * CHOOSE(CONTROL!$C$22, $C$13, 100%, $E$13)</f>
        <v>3.254</v>
      </c>
      <c r="G26" s="64">
        <f>3.2541 * CHOOSE(CONTROL!$C$22, $C$13, 100%, $E$13)</f>
        <v>3.2541000000000002</v>
      </c>
      <c r="H26" s="64">
        <f>5.4543* CHOOSE(CONTROL!$C$22, $C$13, 100%, $E$13)</f>
        <v>5.4542999999999999</v>
      </c>
      <c r="I26" s="64">
        <f>5.4544 * CHOOSE(CONTROL!$C$22, $C$13, 100%, $E$13)</f>
        <v>5.4543999999999997</v>
      </c>
      <c r="J26" s="64">
        <f>3.2365 * CHOOSE(CONTROL!$C$22, $C$13, 100%, $E$13)</f>
        <v>3.2364999999999999</v>
      </c>
      <c r="K26" s="64">
        <f>3.2366 * CHOOSE(CONTROL!$C$22, $C$13, 100%, $E$13)</f>
        <v>3.2366000000000001</v>
      </c>
      <c r="L26" s="4"/>
      <c r="M26" s="64"/>
      <c r="N26" s="64"/>
    </row>
    <row r="27" spans="1:14" ht="15">
      <c r="A27" s="13">
        <v>42309</v>
      </c>
      <c r="B27" s="63">
        <f>2.5106 * CHOOSE(CONTROL!$C$22, $C$13, 100%, $E$13)</f>
        <v>2.5106000000000002</v>
      </c>
      <c r="C27" s="63">
        <f>2.5433 * CHOOSE(CONTROL!$C$22, $C$13, 100%, $E$13)</f>
        <v>2.5432999999999999</v>
      </c>
      <c r="D27" s="63">
        <f>2.5433 * CHOOSE(CONTROL!$C$22, $C$13, 100%, $E$13)</f>
        <v>2.5432999999999999</v>
      </c>
      <c r="E27" s="64">
        <f>3.2365 * CHOOSE(CONTROL!$C$22, $C$13, 100%, $E$13)</f>
        <v>3.2364999999999999</v>
      </c>
      <c r="F27" s="64">
        <f>3.254 * CHOOSE(CONTROL!$C$22, $C$13, 100%, $E$13)</f>
        <v>3.254</v>
      </c>
      <c r="G27" s="64">
        <f>3.2541 * CHOOSE(CONTROL!$C$22, $C$13, 100%, $E$13)</f>
        <v>3.2541000000000002</v>
      </c>
      <c r="H27" s="64">
        <f>5.4657* CHOOSE(CONTROL!$C$22, $C$13, 100%, $E$13)</f>
        <v>5.4657</v>
      </c>
      <c r="I27" s="64">
        <f>5.4658 * CHOOSE(CONTROL!$C$22, $C$13, 100%, $E$13)</f>
        <v>5.4657999999999998</v>
      </c>
      <c r="J27" s="64">
        <f>3.2365 * CHOOSE(CONTROL!$C$22, $C$13, 100%, $E$13)</f>
        <v>3.2364999999999999</v>
      </c>
      <c r="K27" s="64">
        <f>3.2366 * CHOOSE(CONTROL!$C$22, $C$13, 100%, $E$13)</f>
        <v>3.2366000000000001</v>
      </c>
      <c r="L27" s="4"/>
      <c r="M27" s="64"/>
      <c r="N27" s="64"/>
    </row>
    <row r="28" spans="1:14" ht="15">
      <c r="A28" s="13">
        <v>42339</v>
      </c>
      <c r="B28" s="63">
        <f>2.5133 * CHOOSE(CONTROL!$C$22, $C$13, 100%, $E$13)</f>
        <v>2.5133000000000001</v>
      </c>
      <c r="C28" s="63">
        <f>2.5463 * CHOOSE(CONTROL!$C$22, $C$13, 100%, $E$13)</f>
        <v>2.5463</v>
      </c>
      <c r="D28" s="63">
        <f>2.5464 * CHOOSE(CONTROL!$C$22, $C$13, 100%, $E$13)</f>
        <v>2.5464000000000002</v>
      </c>
      <c r="E28" s="64">
        <f>3.2307 * CHOOSE(CONTROL!$C$22, $C$13, 100%, $E$13)</f>
        <v>3.2307000000000001</v>
      </c>
      <c r="F28" s="64">
        <f>3.254 * CHOOSE(CONTROL!$C$22, $C$13, 100%, $E$13)</f>
        <v>3.254</v>
      </c>
      <c r="G28" s="64">
        <f>3.2541 * CHOOSE(CONTROL!$C$22, $C$13, 100%, $E$13)</f>
        <v>3.2541000000000002</v>
      </c>
      <c r="H28" s="64">
        <f>5.4771* CHOOSE(CONTROL!$C$22, $C$13, 100%, $E$13)</f>
        <v>5.4771000000000001</v>
      </c>
      <c r="I28" s="64">
        <f>5.4772 * CHOOSE(CONTROL!$C$22, $C$13, 100%, $E$13)</f>
        <v>5.4771999999999998</v>
      </c>
      <c r="J28" s="64">
        <f>3.2307 * CHOOSE(CONTROL!$C$22, $C$13, 100%, $E$13)</f>
        <v>3.2307000000000001</v>
      </c>
      <c r="K28" s="64">
        <f>3.2307 * CHOOSE(CONTROL!$C$22, $C$13, 100%, $E$13)</f>
        <v>3.2307000000000001</v>
      </c>
      <c r="L28" s="4"/>
      <c r="M28" s="64"/>
      <c r="N28" s="64"/>
    </row>
    <row r="29" spans="1:14" ht="15">
      <c r="A29" s="13">
        <v>42370</v>
      </c>
      <c r="B29" s="63">
        <f>2.8414 * CHOOSE(CONTROL!$C$22, $C$13, 100%, $E$13)</f>
        <v>2.8414000000000001</v>
      </c>
      <c r="C29" s="63">
        <f>2.8414 * CHOOSE(CONTROL!$C$22, $C$13, 100%, $E$13)</f>
        <v>2.8414000000000001</v>
      </c>
      <c r="D29" s="63">
        <f>2.8414 * CHOOSE(CONTROL!$C$22, $C$13, 100%, $E$13)</f>
        <v>2.8414000000000001</v>
      </c>
      <c r="E29" s="64">
        <f>3.358 * CHOOSE(CONTROL!$C$22, $C$13, 100%, $E$13)</f>
        <v>3.3580000000000001</v>
      </c>
      <c r="F29" s="64">
        <f>3.446 * CHOOSE(CONTROL!$C$22, $C$13, 100%, $E$13)</f>
        <v>3.4460000000000002</v>
      </c>
      <c r="G29" s="64">
        <f>3.4461 * CHOOSE(CONTROL!$C$22, $C$13, 100%, $E$13)</f>
        <v>3.4460999999999999</v>
      </c>
      <c r="H29" s="64">
        <f>5.4885* CHOOSE(CONTROL!$C$22, $C$13, 100%, $E$13)</f>
        <v>5.4885000000000002</v>
      </c>
      <c r="I29" s="64">
        <f>5.4886 * CHOOSE(CONTROL!$C$22, $C$13, 100%, $E$13)</f>
        <v>5.4885999999999999</v>
      </c>
      <c r="J29" s="64">
        <f>3.358 * CHOOSE(CONTROL!$C$22, $C$13, 100%, $E$13)</f>
        <v>3.3580000000000001</v>
      </c>
      <c r="K29" s="64">
        <f>3.3581 * CHOOSE(CONTROL!$C$22, $C$13, 100%, $E$13)</f>
        <v>3.3580999999999999</v>
      </c>
      <c r="L29" s="4"/>
      <c r="M29" s="64"/>
      <c r="N29" s="64"/>
    </row>
    <row r="30" spans="1:14" ht="15">
      <c r="A30" s="13">
        <v>42401</v>
      </c>
      <c r="B30" s="63">
        <f>2.8414 * CHOOSE(CONTROL!$C$22, $C$13, 100%, $E$13)</f>
        <v>2.8414000000000001</v>
      </c>
      <c r="C30" s="63">
        <f>2.8414 * CHOOSE(CONTROL!$C$22, $C$13, 100%, $E$13)</f>
        <v>2.8414000000000001</v>
      </c>
      <c r="D30" s="63">
        <f>2.8414 * CHOOSE(CONTROL!$C$22, $C$13, 100%, $E$13)</f>
        <v>2.8414000000000001</v>
      </c>
      <c r="E30" s="64">
        <f>3.402 * CHOOSE(CONTROL!$C$22, $C$13, 100%, $E$13)</f>
        <v>3.4020000000000001</v>
      </c>
      <c r="F30" s="64">
        <f>3.446 * CHOOSE(CONTROL!$C$22, $C$13, 100%, $E$13)</f>
        <v>3.4460000000000002</v>
      </c>
      <c r="G30" s="64">
        <f>3.4461 * CHOOSE(CONTROL!$C$22, $C$13, 100%, $E$13)</f>
        <v>3.4460999999999999</v>
      </c>
      <c r="H30" s="64">
        <f>5.4999* CHOOSE(CONTROL!$C$22, $C$13, 100%, $E$13)</f>
        <v>5.4999000000000002</v>
      </c>
      <c r="I30" s="64">
        <f>5.5 * CHOOSE(CONTROL!$C$22, $C$13, 100%, $E$13)</f>
        <v>5.5</v>
      </c>
      <c r="J30" s="64">
        <f>3.402 * CHOOSE(CONTROL!$C$22, $C$13, 100%, $E$13)</f>
        <v>3.4020000000000001</v>
      </c>
      <c r="K30" s="64">
        <f>3.4021 * CHOOSE(CONTROL!$C$22, $C$13, 100%, $E$13)</f>
        <v>3.4020999999999999</v>
      </c>
      <c r="L30" s="4"/>
      <c r="M30" s="64"/>
      <c r="N30" s="64"/>
    </row>
    <row r="31" spans="1:14" ht="15">
      <c r="A31" s="13">
        <v>42430</v>
      </c>
      <c r="B31" s="63">
        <f>2.8384 * CHOOSE(CONTROL!$C$22, $C$13, 100%, $E$13)</f>
        <v>2.8384</v>
      </c>
      <c r="C31" s="63">
        <f>2.8384 * CHOOSE(CONTROL!$C$22, $C$13, 100%, $E$13)</f>
        <v>2.8384</v>
      </c>
      <c r="D31" s="63">
        <f>2.8384 * CHOOSE(CONTROL!$C$22, $C$13, 100%, $E$13)</f>
        <v>2.8384</v>
      </c>
      <c r="E31" s="64">
        <f>3.358 * CHOOSE(CONTROL!$C$22, $C$13, 100%, $E$13)</f>
        <v>3.3580000000000001</v>
      </c>
      <c r="F31" s="64">
        <f>3.446 * CHOOSE(CONTROL!$C$22, $C$13, 100%, $E$13)</f>
        <v>3.4460000000000002</v>
      </c>
      <c r="G31" s="64">
        <f>3.4461 * CHOOSE(CONTROL!$C$22, $C$13, 100%, $E$13)</f>
        <v>3.4460999999999999</v>
      </c>
      <c r="H31" s="64">
        <f>5.5114* CHOOSE(CONTROL!$C$22, $C$13, 100%, $E$13)</f>
        <v>5.5114000000000001</v>
      </c>
      <c r="I31" s="64">
        <f>5.5115 * CHOOSE(CONTROL!$C$22, $C$13, 100%, $E$13)</f>
        <v>5.5114999999999998</v>
      </c>
      <c r="J31" s="64">
        <f>3.358 * CHOOSE(CONTROL!$C$22, $C$13, 100%, $E$13)</f>
        <v>3.3580000000000001</v>
      </c>
      <c r="K31" s="64">
        <f>3.3581 * CHOOSE(CONTROL!$C$22, $C$13, 100%, $E$13)</f>
        <v>3.3580999999999999</v>
      </c>
      <c r="L31" s="4"/>
      <c r="M31" s="64"/>
      <c r="N31" s="64"/>
    </row>
    <row r="32" spans="1:14" ht="15">
      <c r="A32" s="13">
        <v>42461</v>
      </c>
      <c r="B32" s="63">
        <f>2.8276 * CHOOSE(CONTROL!$C$22, $C$13, 100%, $E$13)</f>
        <v>2.8275999999999999</v>
      </c>
      <c r="C32" s="63">
        <f>2.8276 * CHOOSE(CONTROL!$C$22, $C$13, 100%, $E$13)</f>
        <v>2.8275999999999999</v>
      </c>
      <c r="D32" s="63">
        <f>2.8276 * CHOOSE(CONTROL!$C$22, $C$13, 100%, $E$13)</f>
        <v>2.8275999999999999</v>
      </c>
      <c r="E32" s="64">
        <f>3.402 * CHOOSE(CONTROL!$C$22, $C$13, 100%, $E$13)</f>
        <v>3.4020000000000001</v>
      </c>
      <c r="F32" s="64">
        <f>3.446 * CHOOSE(CONTROL!$C$22, $C$13, 100%, $E$13)</f>
        <v>3.4460000000000002</v>
      </c>
      <c r="G32" s="64">
        <f>3.4461 * CHOOSE(CONTROL!$C$22, $C$13, 100%, $E$13)</f>
        <v>3.4460999999999999</v>
      </c>
      <c r="H32" s="64">
        <f>5.5229* CHOOSE(CONTROL!$C$22, $C$13, 100%, $E$13)</f>
        <v>5.5228999999999999</v>
      </c>
      <c r="I32" s="64">
        <f>5.523 * CHOOSE(CONTROL!$C$22, $C$13, 100%, $E$13)</f>
        <v>5.5229999999999997</v>
      </c>
      <c r="J32" s="64">
        <f>3.402 * CHOOSE(CONTROL!$C$22, $C$13, 100%, $E$13)</f>
        <v>3.4020000000000001</v>
      </c>
      <c r="K32" s="64">
        <f>3.4021 * CHOOSE(CONTROL!$C$22, $C$13, 100%, $E$13)</f>
        <v>3.4020999999999999</v>
      </c>
      <c r="L32" s="4"/>
      <c r="M32" s="64"/>
      <c r="N32" s="64"/>
    </row>
    <row r="33" spans="1:14" ht="15">
      <c r="A33" s="13">
        <v>42491</v>
      </c>
      <c r="B33" s="63">
        <f>2.8307 * CHOOSE(CONTROL!$C$22, $C$13, 100%, $E$13)</f>
        <v>2.8307000000000002</v>
      </c>
      <c r="C33" s="63">
        <f>2.8307 * CHOOSE(CONTROL!$C$22, $C$13, 100%, $E$13)</f>
        <v>2.8307000000000002</v>
      </c>
      <c r="D33" s="63">
        <f>2.8437 * CHOOSE(CONTROL!$C$22, $C$13, 100%, $E$13)</f>
        <v>2.8437000000000001</v>
      </c>
      <c r="E33" s="64">
        <f>3.358 * CHOOSE(CONTROL!$C$22, $C$13, 100%, $E$13)</f>
        <v>3.3580000000000001</v>
      </c>
      <c r="F33" s="64">
        <f>3.446 * CHOOSE(CONTROL!$C$22, $C$13, 100%, $E$13)</f>
        <v>3.4460000000000002</v>
      </c>
      <c r="G33" s="64">
        <f>3.4617 * CHOOSE(CONTROL!$C$22, $C$13, 100%, $E$13)</f>
        <v>3.4617</v>
      </c>
      <c r="H33" s="64">
        <f>5.5344* CHOOSE(CONTROL!$C$22, $C$13, 100%, $E$13)</f>
        <v>5.5343999999999998</v>
      </c>
      <c r="I33" s="64">
        <f>5.5501 * CHOOSE(CONTROL!$C$22, $C$13, 100%, $E$13)</f>
        <v>5.5500999999999996</v>
      </c>
      <c r="J33" s="64">
        <f>3.358 * CHOOSE(CONTROL!$C$22, $C$13, 100%, $E$13)</f>
        <v>3.3580000000000001</v>
      </c>
      <c r="K33" s="64">
        <f>3.3737 * CHOOSE(CONTROL!$C$22, $C$13, 100%, $E$13)</f>
        <v>3.3736999999999999</v>
      </c>
      <c r="L33" s="4"/>
      <c r="M33" s="64"/>
      <c r="N33" s="64"/>
    </row>
    <row r="34" spans="1:14" ht="15">
      <c r="A34" s="13">
        <v>42522</v>
      </c>
      <c r="B34" s="63">
        <f>2.8398 * CHOOSE(CONTROL!$C$22, $C$13, 100%, $E$13)</f>
        <v>2.8397999999999999</v>
      </c>
      <c r="C34" s="63">
        <f>2.8398 * CHOOSE(CONTROL!$C$22, $C$13, 100%, $E$13)</f>
        <v>2.8397999999999999</v>
      </c>
      <c r="D34" s="63">
        <f>2.8528 * CHOOSE(CONTROL!$C$22, $C$13, 100%, $E$13)</f>
        <v>2.8527999999999998</v>
      </c>
      <c r="E34" s="64">
        <f>3.402 * CHOOSE(CONTROL!$C$22, $C$13, 100%, $E$13)</f>
        <v>3.4020000000000001</v>
      </c>
      <c r="F34" s="64">
        <f>3.446 * CHOOSE(CONTROL!$C$22, $C$13, 100%, $E$13)</f>
        <v>3.4460000000000002</v>
      </c>
      <c r="G34" s="64">
        <f>3.4617 * CHOOSE(CONTROL!$C$22, $C$13, 100%, $E$13)</f>
        <v>3.4617</v>
      </c>
      <c r="H34" s="64">
        <f>5.5459* CHOOSE(CONTROL!$C$22, $C$13, 100%, $E$13)</f>
        <v>5.5458999999999996</v>
      </c>
      <c r="I34" s="64">
        <f>5.5616 * CHOOSE(CONTROL!$C$22, $C$13, 100%, $E$13)</f>
        <v>5.5616000000000003</v>
      </c>
      <c r="J34" s="64">
        <f>3.402 * CHOOSE(CONTROL!$C$22, $C$13, 100%, $E$13)</f>
        <v>3.4020000000000001</v>
      </c>
      <c r="K34" s="64">
        <f>3.4177 * CHOOSE(CONTROL!$C$22, $C$13, 100%, $E$13)</f>
        <v>3.4177</v>
      </c>
      <c r="L34" s="4"/>
      <c r="M34" s="64"/>
      <c r="N34" s="64"/>
    </row>
    <row r="35" spans="1:14" ht="15">
      <c r="A35" s="13">
        <v>42552</v>
      </c>
      <c r="B35" s="63">
        <f>2.8772 * CHOOSE(CONTROL!$C$22, $C$13, 100%, $E$13)</f>
        <v>2.8772000000000002</v>
      </c>
      <c r="C35" s="63">
        <f>2.8772 * CHOOSE(CONTROL!$C$22, $C$13, 100%, $E$13)</f>
        <v>2.8772000000000002</v>
      </c>
      <c r="D35" s="63">
        <f>2.8902 * CHOOSE(CONTROL!$C$22, $C$13, 100%, $E$13)</f>
        <v>2.8902000000000001</v>
      </c>
      <c r="E35" s="64">
        <f>3.3756 * CHOOSE(CONTROL!$C$22, $C$13, 100%, $E$13)</f>
        <v>3.3755999999999999</v>
      </c>
      <c r="F35" s="64">
        <f>3.446 * CHOOSE(CONTROL!$C$22, $C$13, 100%, $E$13)</f>
        <v>3.4460000000000002</v>
      </c>
      <c r="G35" s="64">
        <f>3.4617 * CHOOSE(CONTROL!$C$22, $C$13, 100%, $E$13)</f>
        <v>3.4617</v>
      </c>
      <c r="H35" s="64">
        <f>5.5575* CHOOSE(CONTROL!$C$22, $C$13, 100%, $E$13)</f>
        <v>5.5575000000000001</v>
      </c>
      <c r="I35" s="64">
        <f>5.5731 * CHOOSE(CONTROL!$C$22, $C$13, 100%, $E$13)</f>
        <v>5.5731000000000002</v>
      </c>
      <c r="J35" s="64">
        <f>3.3756 * CHOOSE(CONTROL!$C$22, $C$13, 100%, $E$13)</f>
        <v>3.3755999999999999</v>
      </c>
      <c r="K35" s="64">
        <f>3.3913 * CHOOSE(CONTROL!$C$22, $C$13, 100%, $E$13)</f>
        <v>3.3913000000000002</v>
      </c>
      <c r="L35" s="4"/>
      <c r="M35" s="4"/>
      <c r="N35" s="4"/>
    </row>
    <row r="36" spans="1:14" ht="15">
      <c r="A36" s="13">
        <v>42583</v>
      </c>
      <c r="B36" s="63">
        <f>2.9046 * CHOOSE(CONTROL!$C$22, $C$13, 100%, $E$13)</f>
        <v>2.9045999999999998</v>
      </c>
      <c r="C36" s="63">
        <f>2.9046 * CHOOSE(CONTROL!$C$22, $C$13, 100%, $E$13)</f>
        <v>2.9045999999999998</v>
      </c>
      <c r="D36" s="63">
        <f>2.9175 * CHOOSE(CONTROL!$C$22, $C$13, 100%, $E$13)</f>
        <v>2.9175</v>
      </c>
      <c r="E36" s="64">
        <f>3.4108 * CHOOSE(CONTROL!$C$22, $C$13, 100%, $E$13)</f>
        <v>3.4108000000000001</v>
      </c>
      <c r="F36" s="64">
        <f>3.446 * CHOOSE(CONTROL!$C$22, $C$13, 100%, $E$13)</f>
        <v>3.4460000000000002</v>
      </c>
      <c r="G36" s="64">
        <f>3.4617 * CHOOSE(CONTROL!$C$22, $C$13, 100%, $E$13)</f>
        <v>3.4617</v>
      </c>
      <c r="H36" s="64">
        <f>5.569* CHOOSE(CONTROL!$C$22, $C$13, 100%, $E$13)</f>
        <v>5.569</v>
      </c>
      <c r="I36" s="64">
        <f>5.5847 * CHOOSE(CONTROL!$C$22, $C$13, 100%, $E$13)</f>
        <v>5.5846999999999998</v>
      </c>
      <c r="J36" s="64">
        <f>3.4108 * CHOOSE(CONTROL!$C$22, $C$13, 100%, $E$13)</f>
        <v>3.4108000000000001</v>
      </c>
      <c r="K36" s="64">
        <f>3.4265 * CHOOSE(CONTROL!$C$22, $C$13, 100%, $E$13)</f>
        <v>3.4264999999999999</v>
      </c>
      <c r="L36" s="4"/>
      <c r="M36" s="4"/>
      <c r="N36" s="4"/>
    </row>
    <row r="37" spans="1:14" ht="15">
      <c r="A37" s="13">
        <v>42614</v>
      </c>
      <c r="B37" s="63">
        <f>2.8985 * CHOOSE(CONTROL!$C$22, $C$13, 100%, $E$13)</f>
        <v>2.8984999999999999</v>
      </c>
      <c r="C37" s="63">
        <f>2.8985 * CHOOSE(CONTROL!$C$22, $C$13, 100%, $E$13)</f>
        <v>2.8984999999999999</v>
      </c>
      <c r="D37" s="63">
        <f>2.9115 * CHOOSE(CONTROL!$C$22, $C$13, 100%, $E$13)</f>
        <v>2.9115000000000002</v>
      </c>
      <c r="E37" s="64">
        <f>3.358 * CHOOSE(CONTROL!$C$22, $C$13, 100%, $E$13)</f>
        <v>3.3580000000000001</v>
      </c>
      <c r="F37" s="64">
        <f>3.446 * CHOOSE(CONTROL!$C$22, $C$13, 100%, $E$13)</f>
        <v>3.4460000000000002</v>
      </c>
      <c r="G37" s="64">
        <f>3.4617 * CHOOSE(CONTROL!$C$22, $C$13, 100%, $E$13)</f>
        <v>3.4617</v>
      </c>
      <c r="H37" s="64">
        <f>5.5806* CHOOSE(CONTROL!$C$22, $C$13, 100%, $E$13)</f>
        <v>5.5805999999999996</v>
      </c>
      <c r="I37" s="64">
        <f>5.5963 * CHOOSE(CONTROL!$C$22, $C$13, 100%, $E$13)</f>
        <v>5.5963000000000003</v>
      </c>
      <c r="J37" s="64">
        <f>3.358 * CHOOSE(CONTROL!$C$22, $C$13, 100%, $E$13)</f>
        <v>3.3580000000000001</v>
      </c>
      <c r="K37" s="64">
        <f>3.3737 * CHOOSE(CONTROL!$C$22, $C$13, 100%, $E$13)</f>
        <v>3.3736999999999999</v>
      </c>
      <c r="L37" s="4"/>
      <c r="M37" s="4"/>
      <c r="N37" s="4"/>
    </row>
    <row r="38" spans="1:14" ht="15">
      <c r="A38" s="13">
        <v>42644</v>
      </c>
      <c r="B38" s="63">
        <f>2.9149 * CHOOSE(CONTROL!$C$22, $C$13, 100%, $E$13)</f>
        <v>2.9148999999999998</v>
      </c>
      <c r="C38" s="63">
        <f>2.9149 * CHOOSE(CONTROL!$C$22, $C$13, 100%, $E$13)</f>
        <v>2.9148999999999998</v>
      </c>
      <c r="D38" s="63">
        <f>2.9149 * CHOOSE(CONTROL!$C$22, $C$13, 100%, $E$13)</f>
        <v>2.9148999999999998</v>
      </c>
      <c r="E38" s="64">
        <f>3.3756 * CHOOSE(CONTROL!$C$22, $C$13, 100%, $E$13)</f>
        <v>3.3755999999999999</v>
      </c>
      <c r="F38" s="64">
        <f>3.446 * CHOOSE(CONTROL!$C$22, $C$13, 100%, $E$13)</f>
        <v>3.4460000000000002</v>
      </c>
      <c r="G38" s="64">
        <f>3.4461 * CHOOSE(CONTROL!$C$22, $C$13, 100%, $E$13)</f>
        <v>3.4460999999999999</v>
      </c>
      <c r="H38" s="64">
        <f>5.5923* CHOOSE(CONTROL!$C$22, $C$13, 100%, $E$13)</f>
        <v>5.5922999999999998</v>
      </c>
      <c r="I38" s="64">
        <f>5.5924 * CHOOSE(CONTROL!$C$22, $C$13, 100%, $E$13)</f>
        <v>5.5923999999999996</v>
      </c>
      <c r="J38" s="64">
        <f>3.3756 * CHOOSE(CONTROL!$C$22, $C$13, 100%, $E$13)</f>
        <v>3.3755999999999999</v>
      </c>
      <c r="K38" s="64">
        <f>3.3757 * CHOOSE(CONTROL!$C$22, $C$13, 100%, $E$13)</f>
        <v>3.3757000000000001</v>
      </c>
      <c r="L38" s="4"/>
      <c r="M38" s="4"/>
      <c r="N38" s="4"/>
    </row>
    <row r="39" spans="1:14" ht="15">
      <c r="A39" s="13">
        <v>42675</v>
      </c>
      <c r="B39" s="63">
        <f>2.918 * CHOOSE(CONTROL!$C$22, $C$13, 100%, $E$13)</f>
        <v>2.9180000000000001</v>
      </c>
      <c r="C39" s="63">
        <f>2.918 * CHOOSE(CONTROL!$C$22, $C$13, 100%, $E$13)</f>
        <v>2.9180000000000001</v>
      </c>
      <c r="D39" s="63">
        <f>2.918 * CHOOSE(CONTROL!$C$22, $C$13, 100%, $E$13)</f>
        <v>2.9180000000000001</v>
      </c>
      <c r="E39" s="64">
        <f>3.402 * CHOOSE(CONTROL!$C$22, $C$13, 100%, $E$13)</f>
        <v>3.4020000000000001</v>
      </c>
      <c r="F39" s="64">
        <f>3.446 * CHOOSE(CONTROL!$C$22, $C$13, 100%, $E$13)</f>
        <v>3.4460000000000002</v>
      </c>
      <c r="G39" s="64">
        <f>3.4461 * CHOOSE(CONTROL!$C$22, $C$13, 100%, $E$13)</f>
        <v>3.4460999999999999</v>
      </c>
      <c r="H39" s="64">
        <f>5.6039* CHOOSE(CONTROL!$C$22, $C$13, 100%, $E$13)</f>
        <v>5.6039000000000003</v>
      </c>
      <c r="I39" s="64">
        <f>5.604 * CHOOSE(CONTROL!$C$22, $C$13, 100%, $E$13)</f>
        <v>5.6040000000000001</v>
      </c>
      <c r="J39" s="64">
        <f>3.402 * CHOOSE(CONTROL!$C$22, $C$13, 100%, $E$13)</f>
        <v>3.4020000000000001</v>
      </c>
      <c r="K39" s="64">
        <f>3.4021 * CHOOSE(CONTROL!$C$22, $C$13, 100%, $E$13)</f>
        <v>3.4020999999999999</v>
      </c>
      <c r="L39" s="4"/>
      <c r="M39" s="4"/>
      <c r="N39" s="4"/>
    </row>
    <row r="40" spans="1:14" ht="15">
      <c r="A40" s="13">
        <v>42705</v>
      </c>
      <c r="B40" s="63">
        <f>2.921 * CHOOSE(CONTROL!$C$22, $C$13, 100%, $E$13)</f>
        <v>2.9209999999999998</v>
      </c>
      <c r="C40" s="63">
        <f>2.921 * CHOOSE(CONTROL!$C$22, $C$13, 100%, $E$13)</f>
        <v>2.9209999999999998</v>
      </c>
      <c r="D40" s="63">
        <f>2.921 * CHOOSE(CONTROL!$C$22, $C$13, 100%, $E$13)</f>
        <v>2.9209999999999998</v>
      </c>
      <c r="E40" s="64">
        <f>3.446 * CHOOSE(CONTROL!$C$22, $C$13, 100%, $E$13)</f>
        <v>3.4460000000000002</v>
      </c>
      <c r="F40" s="64">
        <f>3.446 * CHOOSE(CONTROL!$C$22, $C$13, 100%, $E$13)</f>
        <v>3.4460000000000002</v>
      </c>
      <c r="G40" s="64">
        <f>3.4461 * CHOOSE(CONTROL!$C$22, $C$13, 100%, $E$13)</f>
        <v>3.4460999999999999</v>
      </c>
      <c r="H40" s="64">
        <f>5.6156* CHOOSE(CONTROL!$C$22, $C$13, 100%, $E$13)</f>
        <v>5.6155999999999997</v>
      </c>
      <c r="I40" s="64">
        <f>5.6157 * CHOOSE(CONTROL!$C$22, $C$13, 100%, $E$13)</f>
        <v>5.6157000000000004</v>
      </c>
      <c r="J40" s="64">
        <f>3.446 * CHOOSE(CONTROL!$C$22, $C$13, 100%, $E$13)</f>
        <v>3.4460000000000002</v>
      </c>
      <c r="K40" s="64">
        <f>3.4461 * CHOOSE(CONTROL!$C$22, $C$13, 100%, $E$13)</f>
        <v>3.4460999999999999</v>
      </c>
      <c r="L40" s="4"/>
      <c r="M40" s="4"/>
      <c r="N40" s="4"/>
    </row>
    <row r="41" spans="1:14" ht="15">
      <c r="A41" s="13">
        <v>42736</v>
      </c>
      <c r="B41" s="63">
        <f>2.9632 * CHOOSE(CONTROL!$C$22, $C$13, 100%, $E$13)</f>
        <v>2.9632000000000001</v>
      </c>
      <c r="C41" s="63">
        <f>2.9632 * CHOOSE(CONTROL!$C$22, $C$13, 100%, $E$13)</f>
        <v>2.9632000000000001</v>
      </c>
      <c r="D41" s="63">
        <f>2.9632 * CHOOSE(CONTROL!$C$22, $C$13, 100%, $E$13)</f>
        <v>2.9632000000000001</v>
      </c>
      <c r="E41" s="64">
        <f>3.5517 * CHOOSE(CONTROL!$C$22, $C$13, 100%, $E$13)</f>
        <v>3.5516999999999999</v>
      </c>
      <c r="F41" s="64">
        <f>3.5517 * CHOOSE(CONTROL!$C$22, $C$13, 100%, $E$13)</f>
        <v>3.5516999999999999</v>
      </c>
      <c r="G41" s="64">
        <f>3.5517 * CHOOSE(CONTROL!$C$22, $C$13, 100%, $E$13)</f>
        <v>3.5516999999999999</v>
      </c>
      <c r="H41" s="64">
        <f>5.6273* CHOOSE(CONTROL!$C$22, $C$13, 100%, $E$13)</f>
        <v>5.6273</v>
      </c>
      <c r="I41" s="64">
        <f>5.6274 * CHOOSE(CONTROL!$C$22, $C$13, 100%, $E$13)</f>
        <v>5.6273999999999997</v>
      </c>
      <c r="J41" s="64">
        <f>3.5517 * CHOOSE(CONTROL!$C$22, $C$13, 100%, $E$13)</f>
        <v>3.5516999999999999</v>
      </c>
      <c r="K41" s="64">
        <f>3.5517 * CHOOSE(CONTROL!$C$22, $C$13, 100%, $E$13)</f>
        <v>3.5516999999999999</v>
      </c>
      <c r="L41" s="4"/>
      <c r="M41" s="4"/>
      <c r="N41" s="4"/>
    </row>
    <row r="42" spans="1:14" ht="15">
      <c r="A42" s="13">
        <v>42767</v>
      </c>
      <c r="B42" s="63">
        <f>2.9601 * CHOOSE(CONTROL!$C$22, $C$13, 100%, $E$13)</f>
        <v>2.9601000000000002</v>
      </c>
      <c r="C42" s="63">
        <f>2.9601 * CHOOSE(CONTROL!$C$22, $C$13, 100%, $E$13)</f>
        <v>2.9601000000000002</v>
      </c>
      <c r="D42" s="63">
        <f>2.9602 * CHOOSE(CONTROL!$C$22, $C$13, 100%, $E$13)</f>
        <v>2.9601999999999999</v>
      </c>
      <c r="E42" s="64">
        <f>3.521 * CHOOSE(CONTROL!$C$22, $C$13, 100%, $E$13)</f>
        <v>3.5209999999999999</v>
      </c>
      <c r="F42" s="64">
        <f>3.521 * CHOOSE(CONTROL!$C$22, $C$13, 100%, $E$13)</f>
        <v>3.5209999999999999</v>
      </c>
      <c r="G42" s="64">
        <f>3.5211 * CHOOSE(CONTROL!$C$22, $C$13, 100%, $E$13)</f>
        <v>3.5211000000000001</v>
      </c>
      <c r="H42" s="64">
        <f>5.639* CHOOSE(CONTROL!$C$22, $C$13, 100%, $E$13)</f>
        <v>5.6390000000000002</v>
      </c>
      <c r="I42" s="64">
        <f>5.6391 * CHOOSE(CONTROL!$C$22, $C$13, 100%, $E$13)</f>
        <v>5.6391</v>
      </c>
      <c r="J42" s="64">
        <f>3.521 * CHOOSE(CONTROL!$C$22, $C$13, 100%, $E$13)</f>
        <v>3.5209999999999999</v>
      </c>
      <c r="K42" s="64">
        <f>3.5211 * CHOOSE(CONTROL!$C$22, $C$13, 100%, $E$13)</f>
        <v>3.5211000000000001</v>
      </c>
      <c r="L42" s="4"/>
      <c r="M42" s="4"/>
      <c r="N42" s="4"/>
    </row>
    <row r="43" spans="1:14" ht="15">
      <c r="A43" s="13">
        <v>42795</v>
      </c>
      <c r="B43" s="63">
        <f>2.9571 * CHOOSE(CONTROL!$C$22, $C$13, 100%, $E$13)</f>
        <v>2.9571000000000001</v>
      </c>
      <c r="C43" s="63">
        <f>2.9571 * CHOOSE(CONTROL!$C$22, $C$13, 100%, $E$13)</f>
        <v>2.9571000000000001</v>
      </c>
      <c r="D43" s="63">
        <f>2.9571 * CHOOSE(CONTROL!$C$22, $C$13, 100%, $E$13)</f>
        <v>2.9571000000000001</v>
      </c>
      <c r="E43" s="64">
        <f>3.5414 * CHOOSE(CONTROL!$C$22, $C$13, 100%, $E$13)</f>
        <v>3.5413999999999999</v>
      </c>
      <c r="F43" s="64">
        <f>3.5414 * CHOOSE(CONTROL!$C$22, $C$13, 100%, $E$13)</f>
        <v>3.5413999999999999</v>
      </c>
      <c r="G43" s="64">
        <f>3.5415 * CHOOSE(CONTROL!$C$22, $C$13, 100%, $E$13)</f>
        <v>3.5415000000000001</v>
      </c>
      <c r="H43" s="64">
        <f>5.6508* CHOOSE(CONTROL!$C$22, $C$13, 100%, $E$13)</f>
        <v>5.6508000000000003</v>
      </c>
      <c r="I43" s="64">
        <f>5.6508 * CHOOSE(CONTROL!$C$22, $C$13, 100%, $E$13)</f>
        <v>5.6508000000000003</v>
      </c>
      <c r="J43" s="64">
        <f>3.5414 * CHOOSE(CONTROL!$C$22, $C$13, 100%, $E$13)</f>
        <v>3.5413999999999999</v>
      </c>
      <c r="K43" s="64">
        <f>3.5415 * CHOOSE(CONTROL!$C$22, $C$13, 100%, $E$13)</f>
        <v>3.5415000000000001</v>
      </c>
      <c r="L43" s="4"/>
      <c r="M43" s="4"/>
      <c r="N43" s="4"/>
    </row>
    <row r="44" spans="1:14" ht="15">
      <c r="A44" s="13">
        <v>42826</v>
      </c>
      <c r="B44" s="63">
        <f>2.9537 * CHOOSE(CONTROL!$C$22, $C$13, 100%, $E$13)</f>
        <v>2.9537</v>
      </c>
      <c r="C44" s="63">
        <f>2.9537 * CHOOSE(CONTROL!$C$22, $C$13, 100%, $E$13)</f>
        <v>2.9537</v>
      </c>
      <c r="D44" s="63">
        <f>2.9537 * CHOOSE(CONTROL!$C$22, $C$13, 100%, $E$13)</f>
        <v>2.9537</v>
      </c>
      <c r="E44" s="64">
        <f>3.5613 * CHOOSE(CONTROL!$C$22, $C$13, 100%, $E$13)</f>
        <v>3.5613000000000001</v>
      </c>
      <c r="F44" s="64">
        <f>3.5613 * CHOOSE(CONTROL!$C$22, $C$13, 100%, $E$13)</f>
        <v>3.5613000000000001</v>
      </c>
      <c r="G44" s="64">
        <f>3.5614 * CHOOSE(CONTROL!$C$22, $C$13, 100%, $E$13)</f>
        <v>3.5613999999999999</v>
      </c>
      <c r="H44" s="64">
        <f>5.6625* CHOOSE(CONTROL!$C$22, $C$13, 100%, $E$13)</f>
        <v>5.6624999999999996</v>
      </c>
      <c r="I44" s="64">
        <f>5.6626 * CHOOSE(CONTROL!$C$22, $C$13, 100%, $E$13)</f>
        <v>5.6626000000000003</v>
      </c>
      <c r="J44" s="64">
        <f>3.5613 * CHOOSE(CONTROL!$C$22, $C$13, 100%, $E$13)</f>
        <v>3.5613000000000001</v>
      </c>
      <c r="K44" s="64">
        <f>3.5614 * CHOOSE(CONTROL!$C$22, $C$13, 100%, $E$13)</f>
        <v>3.5613999999999999</v>
      </c>
      <c r="L44" s="4"/>
      <c r="M44" s="4"/>
      <c r="N44" s="4"/>
    </row>
    <row r="45" spans="1:14" ht="15">
      <c r="A45" s="13">
        <v>42856</v>
      </c>
      <c r="B45" s="63">
        <f>2.9537 * CHOOSE(CONTROL!$C$22, $C$13, 100%, $E$13)</f>
        <v>2.9537</v>
      </c>
      <c r="C45" s="63">
        <f>2.9537 * CHOOSE(CONTROL!$C$22, $C$13, 100%, $E$13)</f>
        <v>2.9537</v>
      </c>
      <c r="D45" s="63">
        <f>2.9667 * CHOOSE(CONTROL!$C$22, $C$13, 100%, $E$13)</f>
        <v>2.9666999999999999</v>
      </c>
      <c r="E45" s="64">
        <f>3.5704 * CHOOSE(CONTROL!$C$22, $C$13, 100%, $E$13)</f>
        <v>3.5703999999999998</v>
      </c>
      <c r="F45" s="64">
        <f>3.5704 * CHOOSE(CONTROL!$C$22, $C$13, 100%, $E$13)</f>
        <v>3.5703999999999998</v>
      </c>
      <c r="G45" s="64">
        <f>3.5861 * CHOOSE(CONTROL!$C$22, $C$13, 100%, $E$13)</f>
        <v>3.5861000000000001</v>
      </c>
      <c r="H45" s="64">
        <f>5.6743* CHOOSE(CONTROL!$C$22, $C$13, 100%, $E$13)</f>
        <v>5.6742999999999997</v>
      </c>
      <c r="I45" s="64">
        <f>5.69 * CHOOSE(CONTROL!$C$22, $C$13, 100%, $E$13)</f>
        <v>5.69</v>
      </c>
      <c r="J45" s="64">
        <f>3.5704 * CHOOSE(CONTROL!$C$22, $C$13, 100%, $E$13)</f>
        <v>3.5703999999999998</v>
      </c>
      <c r="K45" s="64">
        <f>3.5861 * CHOOSE(CONTROL!$C$22, $C$13, 100%, $E$13)</f>
        <v>3.5861000000000001</v>
      </c>
      <c r="L45" s="4"/>
      <c r="M45" s="4"/>
      <c r="N45" s="4"/>
    </row>
    <row r="46" spans="1:14" ht="15">
      <c r="A46" s="13">
        <v>42887</v>
      </c>
      <c r="B46" s="63">
        <f>2.9598 * CHOOSE(CONTROL!$C$22, $C$13, 100%, $E$13)</f>
        <v>2.9598</v>
      </c>
      <c r="C46" s="63">
        <f>2.9598 * CHOOSE(CONTROL!$C$22, $C$13, 100%, $E$13)</f>
        <v>2.9598</v>
      </c>
      <c r="D46" s="63">
        <f>2.9727 * CHOOSE(CONTROL!$C$22, $C$13, 100%, $E$13)</f>
        <v>2.9727000000000001</v>
      </c>
      <c r="E46" s="64">
        <f>3.5655 * CHOOSE(CONTROL!$C$22, $C$13, 100%, $E$13)</f>
        <v>3.5655000000000001</v>
      </c>
      <c r="F46" s="64">
        <f>3.5655 * CHOOSE(CONTROL!$C$22, $C$13, 100%, $E$13)</f>
        <v>3.5655000000000001</v>
      </c>
      <c r="G46" s="64">
        <f>3.5812 * CHOOSE(CONTROL!$C$22, $C$13, 100%, $E$13)</f>
        <v>3.5811999999999999</v>
      </c>
      <c r="H46" s="64">
        <f>5.6862* CHOOSE(CONTROL!$C$22, $C$13, 100%, $E$13)</f>
        <v>5.6862000000000004</v>
      </c>
      <c r="I46" s="64">
        <f>5.7018 * CHOOSE(CONTROL!$C$22, $C$13, 100%, $E$13)</f>
        <v>5.7018000000000004</v>
      </c>
      <c r="J46" s="64">
        <f>3.5655 * CHOOSE(CONTROL!$C$22, $C$13, 100%, $E$13)</f>
        <v>3.5655000000000001</v>
      </c>
      <c r="K46" s="64">
        <f>3.5812 * CHOOSE(CONTROL!$C$22, $C$13, 100%, $E$13)</f>
        <v>3.5811999999999999</v>
      </c>
      <c r="L46" s="4"/>
      <c r="M46" s="4"/>
      <c r="N46" s="4"/>
    </row>
    <row r="47" spans="1:14" ht="15">
      <c r="A47" s="13">
        <v>42917</v>
      </c>
      <c r="B47" s="63">
        <f>3.0475 * CHOOSE(CONTROL!$C$22, $C$13, 100%, $E$13)</f>
        <v>3.0474999999999999</v>
      </c>
      <c r="C47" s="63">
        <f>3.0475 * CHOOSE(CONTROL!$C$22, $C$13, 100%, $E$13)</f>
        <v>3.0474999999999999</v>
      </c>
      <c r="D47" s="63">
        <f>3.0605 * CHOOSE(CONTROL!$C$22, $C$13, 100%, $E$13)</f>
        <v>3.0605000000000002</v>
      </c>
      <c r="E47" s="64">
        <f>3.6468 * CHOOSE(CONTROL!$C$22, $C$13, 100%, $E$13)</f>
        <v>3.6467999999999998</v>
      </c>
      <c r="F47" s="64">
        <f>3.6468 * CHOOSE(CONTROL!$C$22, $C$13, 100%, $E$13)</f>
        <v>3.6467999999999998</v>
      </c>
      <c r="G47" s="64">
        <f>3.6624 * CHOOSE(CONTROL!$C$22, $C$13, 100%, $E$13)</f>
        <v>3.6623999999999999</v>
      </c>
      <c r="H47" s="64">
        <f>5.698* CHOOSE(CONTROL!$C$22, $C$13, 100%, $E$13)</f>
        <v>5.6980000000000004</v>
      </c>
      <c r="I47" s="64">
        <f>5.7137 * CHOOSE(CONTROL!$C$22, $C$13, 100%, $E$13)</f>
        <v>5.7137000000000002</v>
      </c>
      <c r="J47" s="64">
        <f>3.6468 * CHOOSE(CONTROL!$C$22, $C$13, 100%, $E$13)</f>
        <v>3.6467999999999998</v>
      </c>
      <c r="K47" s="64">
        <f>3.6624 * CHOOSE(CONTROL!$C$22, $C$13, 100%, $E$13)</f>
        <v>3.6623999999999999</v>
      </c>
      <c r="L47" s="4"/>
      <c r="M47" s="4"/>
      <c r="N47" s="4"/>
    </row>
    <row r="48" spans="1:14" ht="15">
      <c r="A48" s="13">
        <v>42948</v>
      </c>
      <c r="B48" s="63">
        <f>3.0542 * CHOOSE(CONTROL!$C$22, $C$13, 100%, $E$13)</f>
        <v>3.0541999999999998</v>
      </c>
      <c r="C48" s="63">
        <f>3.0542 * CHOOSE(CONTROL!$C$22, $C$13, 100%, $E$13)</f>
        <v>3.0541999999999998</v>
      </c>
      <c r="D48" s="63">
        <f>3.0672 * CHOOSE(CONTROL!$C$22, $C$13, 100%, $E$13)</f>
        <v>3.0672000000000001</v>
      </c>
      <c r="E48" s="64">
        <f>3.6242 * CHOOSE(CONTROL!$C$22, $C$13, 100%, $E$13)</f>
        <v>3.6242000000000001</v>
      </c>
      <c r="F48" s="64">
        <f>3.6242 * CHOOSE(CONTROL!$C$22, $C$13, 100%, $E$13)</f>
        <v>3.6242000000000001</v>
      </c>
      <c r="G48" s="64">
        <f>3.6399 * CHOOSE(CONTROL!$C$22, $C$13, 100%, $E$13)</f>
        <v>3.6398999999999999</v>
      </c>
      <c r="H48" s="64">
        <f>5.7099* CHOOSE(CONTROL!$C$22, $C$13, 100%, $E$13)</f>
        <v>5.7099000000000002</v>
      </c>
      <c r="I48" s="64">
        <f>5.7256 * CHOOSE(CONTROL!$C$22, $C$13, 100%, $E$13)</f>
        <v>5.7256</v>
      </c>
      <c r="J48" s="64">
        <f>3.6242 * CHOOSE(CONTROL!$C$22, $C$13, 100%, $E$13)</f>
        <v>3.6242000000000001</v>
      </c>
      <c r="K48" s="64">
        <f>3.6399 * CHOOSE(CONTROL!$C$22, $C$13, 100%, $E$13)</f>
        <v>3.6398999999999999</v>
      </c>
      <c r="L48" s="4"/>
      <c r="M48" s="4"/>
      <c r="N48" s="4"/>
    </row>
    <row r="49" spans="1:14" ht="15">
      <c r="A49" s="13">
        <v>42979</v>
      </c>
      <c r="B49" s="63">
        <f>3.0512 * CHOOSE(CONTROL!$C$22, $C$13, 100%, $E$13)</f>
        <v>3.0512000000000001</v>
      </c>
      <c r="C49" s="63">
        <f>3.0512 * CHOOSE(CONTROL!$C$22, $C$13, 100%, $E$13)</f>
        <v>3.0512000000000001</v>
      </c>
      <c r="D49" s="63">
        <f>3.0642 * CHOOSE(CONTROL!$C$22, $C$13, 100%, $E$13)</f>
        <v>3.0642</v>
      </c>
      <c r="E49" s="64">
        <f>3.6191 * CHOOSE(CONTROL!$C$22, $C$13, 100%, $E$13)</f>
        <v>3.6191</v>
      </c>
      <c r="F49" s="64">
        <f>3.6191 * CHOOSE(CONTROL!$C$22, $C$13, 100%, $E$13)</f>
        <v>3.6191</v>
      </c>
      <c r="G49" s="64">
        <f>3.6348 * CHOOSE(CONTROL!$C$22, $C$13, 100%, $E$13)</f>
        <v>3.6347999999999998</v>
      </c>
      <c r="H49" s="64">
        <f>5.7218* CHOOSE(CONTROL!$C$22, $C$13, 100%, $E$13)</f>
        <v>5.7218</v>
      </c>
      <c r="I49" s="64">
        <f>5.7375 * CHOOSE(CONTROL!$C$22, $C$13, 100%, $E$13)</f>
        <v>5.7374999999999998</v>
      </c>
      <c r="J49" s="64">
        <f>3.6191 * CHOOSE(CONTROL!$C$22, $C$13, 100%, $E$13)</f>
        <v>3.6191</v>
      </c>
      <c r="K49" s="64">
        <f>3.6348 * CHOOSE(CONTROL!$C$22, $C$13, 100%, $E$13)</f>
        <v>3.6347999999999998</v>
      </c>
      <c r="L49" s="4"/>
      <c r="M49" s="4"/>
      <c r="N49" s="4"/>
    </row>
    <row r="50" spans="1:14" ht="15">
      <c r="A50" s="13">
        <v>43009</v>
      </c>
      <c r="B50" s="63">
        <f>3.0423 * CHOOSE(CONTROL!$C$22, $C$13, 100%, $E$13)</f>
        <v>3.0423</v>
      </c>
      <c r="C50" s="63">
        <f>3.0423 * CHOOSE(CONTROL!$C$22, $C$13, 100%, $E$13)</f>
        <v>3.0423</v>
      </c>
      <c r="D50" s="63">
        <f>3.0423 * CHOOSE(CONTROL!$C$22, $C$13, 100%, $E$13)</f>
        <v>3.0423</v>
      </c>
      <c r="E50" s="64">
        <f>3.6178 * CHOOSE(CONTROL!$C$22, $C$13, 100%, $E$13)</f>
        <v>3.6177999999999999</v>
      </c>
      <c r="F50" s="64">
        <f>3.6178 * CHOOSE(CONTROL!$C$22, $C$13, 100%, $E$13)</f>
        <v>3.6177999999999999</v>
      </c>
      <c r="G50" s="64">
        <f>3.6178 * CHOOSE(CONTROL!$C$22, $C$13, 100%, $E$13)</f>
        <v>3.6177999999999999</v>
      </c>
      <c r="H50" s="64">
        <f>5.7337* CHOOSE(CONTROL!$C$22, $C$13, 100%, $E$13)</f>
        <v>5.7336999999999998</v>
      </c>
      <c r="I50" s="64">
        <f>5.7338 * CHOOSE(CONTROL!$C$22, $C$13, 100%, $E$13)</f>
        <v>5.7337999999999996</v>
      </c>
      <c r="J50" s="64">
        <f>3.6178 * CHOOSE(CONTROL!$C$22, $C$13, 100%, $E$13)</f>
        <v>3.6177999999999999</v>
      </c>
      <c r="K50" s="64">
        <f>3.6178 * CHOOSE(CONTROL!$C$22, $C$13, 100%, $E$13)</f>
        <v>3.6177999999999999</v>
      </c>
      <c r="L50" s="4"/>
      <c r="M50" s="4"/>
      <c r="N50" s="4"/>
    </row>
    <row r="51" spans="1:14" ht="15">
      <c r="A51" s="13">
        <v>43040</v>
      </c>
      <c r="B51" s="63">
        <f>3.0454 * CHOOSE(CONTROL!$C$22, $C$13, 100%, $E$13)</f>
        <v>3.0453999999999999</v>
      </c>
      <c r="C51" s="63">
        <f>3.0454 * CHOOSE(CONTROL!$C$22, $C$13, 100%, $E$13)</f>
        <v>3.0453999999999999</v>
      </c>
      <c r="D51" s="63">
        <f>3.0454 * CHOOSE(CONTROL!$C$22, $C$13, 100%, $E$13)</f>
        <v>3.0453999999999999</v>
      </c>
      <c r="E51" s="64">
        <f>3.6259 * CHOOSE(CONTROL!$C$22, $C$13, 100%, $E$13)</f>
        <v>3.6259000000000001</v>
      </c>
      <c r="F51" s="64">
        <f>3.6259 * CHOOSE(CONTROL!$C$22, $C$13, 100%, $E$13)</f>
        <v>3.6259000000000001</v>
      </c>
      <c r="G51" s="64">
        <f>3.626 * CHOOSE(CONTROL!$C$22, $C$13, 100%, $E$13)</f>
        <v>3.6259999999999999</v>
      </c>
      <c r="H51" s="64">
        <f>5.7456* CHOOSE(CONTROL!$C$22, $C$13, 100%, $E$13)</f>
        <v>5.7455999999999996</v>
      </c>
      <c r="I51" s="64">
        <f>5.7457 * CHOOSE(CONTROL!$C$22, $C$13, 100%, $E$13)</f>
        <v>5.7457000000000003</v>
      </c>
      <c r="J51" s="64">
        <f>3.6259 * CHOOSE(CONTROL!$C$22, $C$13, 100%, $E$13)</f>
        <v>3.6259000000000001</v>
      </c>
      <c r="K51" s="64">
        <f>3.626 * CHOOSE(CONTROL!$C$22, $C$13, 100%, $E$13)</f>
        <v>3.6259999999999999</v>
      </c>
      <c r="L51" s="4"/>
      <c r="M51" s="4"/>
      <c r="N51" s="4"/>
    </row>
    <row r="52" spans="1:14" ht="15">
      <c r="A52" s="13">
        <v>43070</v>
      </c>
      <c r="B52" s="63">
        <f>3.0454 * CHOOSE(CONTROL!$C$22, $C$13, 100%, $E$13)</f>
        <v>3.0453999999999999</v>
      </c>
      <c r="C52" s="63">
        <f>3.0454 * CHOOSE(CONTROL!$C$22, $C$13, 100%, $E$13)</f>
        <v>3.0453999999999999</v>
      </c>
      <c r="D52" s="63">
        <f>3.0454 * CHOOSE(CONTROL!$C$22, $C$13, 100%, $E$13)</f>
        <v>3.0453999999999999</v>
      </c>
      <c r="E52" s="64">
        <f>3.6108 * CHOOSE(CONTROL!$C$22, $C$13, 100%, $E$13)</f>
        <v>3.6107999999999998</v>
      </c>
      <c r="F52" s="64">
        <f>3.6108 * CHOOSE(CONTROL!$C$22, $C$13, 100%, $E$13)</f>
        <v>3.6107999999999998</v>
      </c>
      <c r="G52" s="64">
        <f>3.6109 * CHOOSE(CONTROL!$C$22, $C$13, 100%, $E$13)</f>
        <v>3.6109</v>
      </c>
      <c r="H52" s="64">
        <f>5.7576* CHOOSE(CONTROL!$C$22, $C$13, 100%, $E$13)</f>
        <v>5.7576000000000001</v>
      </c>
      <c r="I52" s="64">
        <f>5.7577 * CHOOSE(CONTROL!$C$22, $C$13, 100%, $E$13)</f>
        <v>5.7576999999999998</v>
      </c>
      <c r="J52" s="64">
        <f>3.6108 * CHOOSE(CONTROL!$C$22, $C$13, 100%, $E$13)</f>
        <v>3.6107999999999998</v>
      </c>
      <c r="K52" s="64">
        <f>3.6109 * CHOOSE(CONTROL!$C$22, $C$13, 100%, $E$13)</f>
        <v>3.6109</v>
      </c>
      <c r="L52" s="4"/>
      <c r="M52" s="4"/>
      <c r="N52" s="4"/>
    </row>
    <row r="53" spans="1:14" ht="15">
      <c r="A53" s="13">
        <v>43101</v>
      </c>
      <c r="B53" s="63">
        <f>3.0799 * CHOOSE(CONTROL!$C$22, $C$13, 100%, $E$13)</f>
        <v>3.0798999999999999</v>
      </c>
      <c r="C53" s="63">
        <f>3.0799 * CHOOSE(CONTROL!$C$22, $C$13, 100%, $E$13)</f>
        <v>3.0798999999999999</v>
      </c>
      <c r="D53" s="63">
        <f>3.0799 * CHOOSE(CONTROL!$C$22, $C$13, 100%, $E$13)</f>
        <v>3.0798999999999999</v>
      </c>
      <c r="E53" s="64">
        <f>3.7211 * CHOOSE(CONTROL!$C$22, $C$13, 100%, $E$13)</f>
        <v>3.7210999999999999</v>
      </c>
      <c r="F53" s="64">
        <f>3.7211 * CHOOSE(CONTROL!$C$22, $C$13, 100%, $E$13)</f>
        <v>3.7210999999999999</v>
      </c>
      <c r="G53" s="64">
        <f>3.7212 * CHOOSE(CONTROL!$C$22, $C$13, 100%, $E$13)</f>
        <v>3.7212000000000001</v>
      </c>
      <c r="H53" s="64">
        <f>5.7696* CHOOSE(CONTROL!$C$22, $C$13, 100%, $E$13)</f>
        <v>5.7695999999999996</v>
      </c>
      <c r="I53" s="64">
        <f>5.7697 * CHOOSE(CONTROL!$C$22, $C$13, 100%, $E$13)</f>
        <v>5.7697000000000003</v>
      </c>
      <c r="J53" s="64">
        <f>3.7211 * CHOOSE(CONTROL!$C$22, $C$13, 100%, $E$13)</f>
        <v>3.7210999999999999</v>
      </c>
      <c r="K53" s="64">
        <f>3.7212 * CHOOSE(CONTROL!$C$22, $C$13, 100%, $E$13)</f>
        <v>3.7212000000000001</v>
      </c>
      <c r="L53" s="4"/>
      <c r="M53" s="4"/>
      <c r="N53" s="4"/>
    </row>
    <row r="54" spans="1:14" ht="15">
      <c r="A54" s="13">
        <v>43132</v>
      </c>
      <c r="B54" s="63">
        <f>3.0769 * CHOOSE(CONTROL!$C$22, $C$13, 100%, $E$13)</f>
        <v>3.0769000000000002</v>
      </c>
      <c r="C54" s="63">
        <f>3.0769 * CHOOSE(CONTROL!$C$22, $C$13, 100%, $E$13)</f>
        <v>3.0769000000000002</v>
      </c>
      <c r="D54" s="63">
        <f>3.0769 * CHOOSE(CONTROL!$C$22, $C$13, 100%, $E$13)</f>
        <v>3.0769000000000002</v>
      </c>
      <c r="E54" s="64">
        <f>3.6823 * CHOOSE(CONTROL!$C$22, $C$13, 100%, $E$13)</f>
        <v>3.6823000000000001</v>
      </c>
      <c r="F54" s="64">
        <f>3.6823 * CHOOSE(CONTROL!$C$22, $C$13, 100%, $E$13)</f>
        <v>3.6823000000000001</v>
      </c>
      <c r="G54" s="64">
        <f>3.6823 * CHOOSE(CONTROL!$C$22, $C$13, 100%, $E$13)</f>
        <v>3.6823000000000001</v>
      </c>
      <c r="H54" s="64">
        <f>5.7816* CHOOSE(CONTROL!$C$22, $C$13, 100%, $E$13)</f>
        <v>5.7816000000000001</v>
      </c>
      <c r="I54" s="64">
        <f>5.7817 * CHOOSE(CONTROL!$C$22, $C$13, 100%, $E$13)</f>
        <v>5.7816999999999998</v>
      </c>
      <c r="J54" s="64">
        <f>3.6823 * CHOOSE(CONTROL!$C$22, $C$13, 100%, $E$13)</f>
        <v>3.6823000000000001</v>
      </c>
      <c r="K54" s="64">
        <f>3.6823 * CHOOSE(CONTROL!$C$22, $C$13, 100%, $E$13)</f>
        <v>3.6823000000000001</v>
      </c>
      <c r="L54" s="4"/>
      <c r="M54" s="4"/>
      <c r="N54" s="4"/>
    </row>
    <row r="55" spans="1:14" ht="15">
      <c r="A55" s="13">
        <v>43160</v>
      </c>
      <c r="B55" s="63">
        <f>3.0739 * CHOOSE(CONTROL!$C$22, $C$13, 100%, $E$13)</f>
        <v>3.0739000000000001</v>
      </c>
      <c r="C55" s="63">
        <f>3.0739 * CHOOSE(CONTROL!$C$22, $C$13, 100%, $E$13)</f>
        <v>3.0739000000000001</v>
      </c>
      <c r="D55" s="63">
        <f>3.0739 * CHOOSE(CONTROL!$C$22, $C$13, 100%, $E$13)</f>
        <v>3.0739000000000001</v>
      </c>
      <c r="E55" s="64">
        <f>3.7091 * CHOOSE(CONTROL!$C$22, $C$13, 100%, $E$13)</f>
        <v>3.7090999999999998</v>
      </c>
      <c r="F55" s="64">
        <f>3.7091 * CHOOSE(CONTROL!$C$22, $C$13, 100%, $E$13)</f>
        <v>3.7090999999999998</v>
      </c>
      <c r="G55" s="64">
        <f>3.7092 * CHOOSE(CONTROL!$C$22, $C$13, 100%, $E$13)</f>
        <v>3.7092000000000001</v>
      </c>
      <c r="H55" s="64">
        <f>5.7937* CHOOSE(CONTROL!$C$22, $C$13, 100%, $E$13)</f>
        <v>5.7937000000000003</v>
      </c>
      <c r="I55" s="64">
        <f>5.7937 * CHOOSE(CONTROL!$C$22, $C$13, 100%, $E$13)</f>
        <v>5.7937000000000003</v>
      </c>
      <c r="J55" s="64">
        <f>3.7091 * CHOOSE(CONTROL!$C$22, $C$13, 100%, $E$13)</f>
        <v>3.7090999999999998</v>
      </c>
      <c r="K55" s="64">
        <f>3.7092 * CHOOSE(CONTROL!$C$22, $C$13, 100%, $E$13)</f>
        <v>3.7092000000000001</v>
      </c>
      <c r="L55" s="4"/>
      <c r="M55" s="4"/>
      <c r="N55" s="4"/>
    </row>
    <row r="56" spans="1:14" ht="15">
      <c r="A56" s="13">
        <v>43191</v>
      </c>
      <c r="B56" s="63">
        <f>3.0705 * CHOOSE(CONTROL!$C$22, $C$13, 100%, $E$13)</f>
        <v>3.0705</v>
      </c>
      <c r="C56" s="63">
        <f>3.0705 * CHOOSE(CONTROL!$C$22, $C$13, 100%, $E$13)</f>
        <v>3.0705</v>
      </c>
      <c r="D56" s="63">
        <f>3.0705 * CHOOSE(CONTROL!$C$22, $C$13, 100%, $E$13)</f>
        <v>3.0705</v>
      </c>
      <c r="E56" s="64">
        <f>3.7359 * CHOOSE(CONTROL!$C$22, $C$13, 100%, $E$13)</f>
        <v>3.7359</v>
      </c>
      <c r="F56" s="64">
        <f>3.7359 * CHOOSE(CONTROL!$C$22, $C$13, 100%, $E$13)</f>
        <v>3.7359</v>
      </c>
      <c r="G56" s="64">
        <f>3.736 * CHOOSE(CONTROL!$C$22, $C$13, 100%, $E$13)</f>
        <v>3.7360000000000002</v>
      </c>
      <c r="H56" s="64">
        <f>5.8057* CHOOSE(CONTROL!$C$22, $C$13, 100%, $E$13)</f>
        <v>5.8056999999999999</v>
      </c>
      <c r="I56" s="64">
        <f>5.8058 * CHOOSE(CONTROL!$C$22, $C$13, 100%, $E$13)</f>
        <v>5.8057999999999996</v>
      </c>
      <c r="J56" s="64">
        <f>3.7359 * CHOOSE(CONTROL!$C$22, $C$13, 100%, $E$13)</f>
        <v>3.7359</v>
      </c>
      <c r="K56" s="64">
        <f>3.736 * CHOOSE(CONTROL!$C$22, $C$13, 100%, $E$13)</f>
        <v>3.7360000000000002</v>
      </c>
      <c r="L56" s="4"/>
      <c r="M56" s="4"/>
      <c r="N56" s="4"/>
    </row>
    <row r="57" spans="1:14" ht="15">
      <c r="A57" s="13">
        <v>43221</v>
      </c>
      <c r="B57" s="63">
        <f>3.0705 * CHOOSE(CONTROL!$C$22, $C$13, 100%, $E$13)</f>
        <v>3.0705</v>
      </c>
      <c r="C57" s="63">
        <f>3.0705 * CHOOSE(CONTROL!$C$22, $C$13, 100%, $E$13)</f>
        <v>3.0705</v>
      </c>
      <c r="D57" s="63">
        <f>3.0835 * CHOOSE(CONTROL!$C$22, $C$13, 100%, $E$13)</f>
        <v>3.0834999999999999</v>
      </c>
      <c r="E57" s="64">
        <f>3.7476 * CHOOSE(CONTROL!$C$22, $C$13, 100%, $E$13)</f>
        <v>3.7475999999999998</v>
      </c>
      <c r="F57" s="64">
        <f>3.7476 * CHOOSE(CONTROL!$C$22, $C$13, 100%, $E$13)</f>
        <v>3.7475999999999998</v>
      </c>
      <c r="G57" s="64">
        <f>3.7633 * CHOOSE(CONTROL!$C$22, $C$13, 100%, $E$13)</f>
        <v>3.7633000000000001</v>
      </c>
      <c r="H57" s="64">
        <f>5.8178* CHOOSE(CONTROL!$C$22, $C$13, 100%, $E$13)</f>
        <v>5.8178000000000001</v>
      </c>
      <c r="I57" s="64">
        <f>5.8335 * CHOOSE(CONTROL!$C$22, $C$13, 100%, $E$13)</f>
        <v>5.8334999999999999</v>
      </c>
      <c r="J57" s="64">
        <f>3.7476 * CHOOSE(CONTROL!$C$22, $C$13, 100%, $E$13)</f>
        <v>3.7475999999999998</v>
      </c>
      <c r="K57" s="64">
        <f>3.7633 * CHOOSE(CONTROL!$C$22, $C$13, 100%, $E$13)</f>
        <v>3.7633000000000001</v>
      </c>
      <c r="L57" s="4"/>
      <c r="M57" s="4"/>
      <c r="N57" s="4"/>
    </row>
    <row r="58" spans="1:14" ht="15">
      <c r="A58" s="13">
        <v>43252</v>
      </c>
      <c r="B58" s="63">
        <f>3.0766 * CHOOSE(CONTROL!$C$22, $C$13, 100%, $E$13)</f>
        <v>3.0766</v>
      </c>
      <c r="C58" s="63">
        <f>3.0766 * CHOOSE(CONTROL!$C$22, $C$13, 100%, $E$13)</f>
        <v>3.0766</v>
      </c>
      <c r="D58" s="63">
        <f>3.0896 * CHOOSE(CONTROL!$C$22, $C$13, 100%, $E$13)</f>
        <v>3.0895999999999999</v>
      </c>
      <c r="E58" s="64">
        <f>3.7402 * CHOOSE(CONTROL!$C$22, $C$13, 100%, $E$13)</f>
        <v>3.7402000000000002</v>
      </c>
      <c r="F58" s="64">
        <f>3.7402 * CHOOSE(CONTROL!$C$22, $C$13, 100%, $E$13)</f>
        <v>3.7402000000000002</v>
      </c>
      <c r="G58" s="64">
        <f>3.7558 * CHOOSE(CONTROL!$C$22, $C$13, 100%, $E$13)</f>
        <v>3.7557999999999998</v>
      </c>
      <c r="H58" s="64">
        <f>5.83* CHOOSE(CONTROL!$C$22, $C$13, 100%, $E$13)</f>
        <v>5.83</v>
      </c>
      <c r="I58" s="64">
        <f>5.8456 * CHOOSE(CONTROL!$C$22, $C$13, 100%, $E$13)</f>
        <v>5.8456000000000001</v>
      </c>
      <c r="J58" s="64">
        <f>3.7402 * CHOOSE(CONTROL!$C$22, $C$13, 100%, $E$13)</f>
        <v>3.7402000000000002</v>
      </c>
      <c r="K58" s="64">
        <f>3.7558 * CHOOSE(CONTROL!$C$22, $C$13, 100%, $E$13)</f>
        <v>3.7557999999999998</v>
      </c>
      <c r="L58" s="4"/>
      <c r="M58" s="4"/>
      <c r="N58" s="4"/>
    </row>
    <row r="59" spans="1:14" ht="15">
      <c r="A59" s="13">
        <v>43282</v>
      </c>
      <c r="B59" s="63">
        <f>3.1468 * CHOOSE(CONTROL!$C$22, $C$13, 100%, $E$13)</f>
        <v>3.1467999999999998</v>
      </c>
      <c r="C59" s="63">
        <f>3.1468 * CHOOSE(CONTROL!$C$22, $C$13, 100%, $E$13)</f>
        <v>3.1467999999999998</v>
      </c>
      <c r="D59" s="63">
        <f>3.1598 * CHOOSE(CONTROL!$C$22, $C$13, 100%, $E$13)</f>
        <v>3.1598000000000002</v>
      </c>
      <c r="E59" s="64">
        <f>3.7912 * CHOOSE(CONTROL!$C$22, $C$13, 100%, $E$13)</f>
        <v>3.7911999999999999</v>
      </c>
      <c r="F59" s="64">
        <f>3.7912 * CHOOSE(CONTROL!$C$22, $C$13, 100%, $E$13)</f>
        <v>3.7911999999999999</v>
      </c>
      <c r="G59" s="64">
        <f>3.8069 * CHOOSE(CONTROL!$C$22, $C$13, 100%, $E$13)</f>
        <v>3.8069000000000002</v>
      </c>
      <c r="H59" s="64">
        <f>5.8421* CHOOSE(CONTROL!$C$22, $C$13, 100%, $E$13)</f>
        <v>5.8421000000000003</v>
      </c>
      <c r="I59" s="64">
        <f>5.8578 * CHOOSE(CONTROL!$C$22, $C$13, 100%, $E$13)</f>
        <v>5.8578000000000001</v>
      </c>
      <c r="J59" s="64">
        <f>3.7912 * CHOOSE(CONTROL!$C$22, $C$13, 100%, $E$13)</f>
        <v>3.7911999999999999</v>
      </c>
      <c r="K59" s="64">
        <f>3.8069 * CHOOSE(CONTROL!$C$22, $C$13, 100%, $E$13)</f>
        <v>3.8069000000000002</v>
      </c>
      <c r="L59" s="4"/>
      <c r="M59" s="4"/>
      <c r="N59" s="4"/>
    </row>
    <row r="60" spans="1:14" ht="15">
      <c r="A60" s="13">
        <v>43313</v>
      </c>
      <c r="B60" s="63">
        <f>3.1535 * CHOOSE(CONTROL!$C$22, $C$13, 100%, $E$13)</f>
        <v>3.1535000000000002</v>
      </c>
      <c r="C60" s="63">
        <f>3.1535 * CHOOSE(CONTROL!$C$22, $C$13, 100%, $E$13)</f>
        <v>3.1535000000000002</v>
      </c>
      <c r="D60" s="63">
        <f>3.1665 * CHOOSE(CONTROL!$C$22, $C$13, 100%, $E$13)</f>
        <v>3.1665000000000001</v>
      </c>
      <c r="E60" s="64">
        <f>3.7609 * CHOOSE(CONTROL!$C$22, $C$13, 100%, $E$13)</f>
        <v>3.7608999999999999</v>
      </c>
      <c r="F60" s="64">
        <f>3.7609 * CHOOSE(CONTROL!$C$22, $C$13, 100%, $E$13)</f>
        <v>3.7608999999999999</v>
      </c>
      <c r="G60" s="64">
        <f>3.7766 * CHOOSE(CONTROL!$C$22, $C$13, 100%, $E$13)</f>
        <v>3.7766000000000002</v>
      </c>
      <c r="H60" s="64">
        <f>5.8543* CHOOSE(CONTROL!$C$22, $C$13, 100%, $E$13)</f>
        <v>5.8543000000000003</v>
      </c>
      <c r="I60" s="64">
        <f>5.87 * CHOOSE(CONTROL!$C$22, $C$13, 100%, $E$13)</f>
        <v>5.87</v>
      </c>
      <c r="J60" s="64">
        <f>3.7609 * CHOOSE(CONTROL!$C$22, $C$13, 100%, $E$13)</f>
        <v>3.7608999999999999</v>
      </c>
      <c r="K60" s="64">
        <f>3.7766 * CHOOSE(CONTROL!$C$22, $C$13, 100%, $E$13)</f>
        <v>3.7766000000000002</v>
      </c>
      <c r="L60" s="4"/>
      <c r="M60" s="4"/>
      <c r="N60" s="4"/>
    </row>
    <row r="61" spans="1:14" ht="15">
      <c r="A61" s="13">
        <v>43344</v>
      </c>
      <c r="B61" s="63">
        <f>3.1505 * CHOOSE(CONTROL!$C$22, $C$13, 100%, $E$13)</f>
        <v>3.1505000000000001</v>
      </c>
      <c r="C61" s="63">
        <f>3.1505 * CHOOSE(CONTROL!$C$22, $C$13, 100%, $E$13)</f>
        <v>3.1505000000000001</v>
      </c>
      <c r="D61" s="63">
        <f>3.1634 * CHOOSE(CONTROL!$C$22, $C$13, 100%, $E$13)</f>
        <v>3.1634000000000002</v>
      </c>
      <c r="E61" s="64">
        <f>3.7549 * CHOOSE(CONTROL!$C$22, $C$13, 100%, $E$13)</f>
        <v>3.7549000000000001</v>
      </c>
      <c r="F61" s="64">
        <f>3.7549 * CHOOSE(CONTROL!$C$22, $C$13, 100%, $E$13)</f>
        <v>3.7549000000000001</v>
      </c>
      <c r="G61" s="64">
        <f>3.7706 * CHOOSE(CONTROL!$C$22, $C$13, 100%, $E$13)</f>
        <v>3.7706</v>
      </c>
      <c r="H61" s="64">
        <f>5.8665* CHOOSE(CONTROL!$C$22, $C$13, 100%, $E$13)</f>
        <v>5.8665000000000003</v>
      </c>
      <c r="I61" s="64">
        <f>5.8821 * CHOOSE(CONTROL!$C$22, $C$13, 100%, $E$13)</f>
        <v>5.8821000000000003</v>
      </c>
      <c r="J61" s="64">
        <f>3.7549 * CHOOSE(CONTROL!$C$22, $C$13, 100%, $E$13)</f>
        <v>3.7549000000000001</v>
      </c>
      <c r="K61" s="64">
        <f>3.7706 * CHOOSE(CONTROL!$C$22, $C$13, 100%, $E$13)</f>
        <v>3.7706</v>
      </c>
      <c r="L61" s="4"/>
      <c r="M61" s="4"/>
      <c r="N61" s="4"/>
    </row>
    <row r="62" spans="1:14" ht="15">
      <c r="A62" s="13">
        <v>43374</v>
      </c>
      <c r="B62" s="63">
        <f>3.1419 * CHOOSE(CONTROL!$C$22, $C$13, 100%, $E$13)</f>
        <v>3.1419000000000001</v>
      </c>
      <c r="C62" s="63">
        <f>3.1419 * CHOOSE(CONTROL!$C$22, $C$13, 100%, $E$13)</f>
        <v>3.1419000000000001</v>
      </c>
      <c r="D62" s="63">
        <f>3.1419 * CHOOSE(CONTROL!$C$22, $C$13, 100%, $E$13)</f>
        <v>3.1419000000000001</v>
      </c>
      <c r="E62" s="64">
        <f>3.7571 * CHOOSE(CONTROL!$C$22, $C$13, 100%, $E$13)</f>
        <v>3.7570999999999999</v>
      </c>
      <c r="F62" s="64">
        <f>3.7571 * CHOOSE(CONTROL!$C$22, $C$13, 100%, $E$13)</f>
        <v>3.7570999999999999</v>
      </c>
      <c r="G62" s="64">
        <f>3.7571 * CHOOSE(CONTROL!$C$22, $C$13, 100%, $E$13)</f>
        <v>3.7570999999999999</v>
      </c>
      <c r="H62" s="64">
        <f>5.8787* CHOOSE(CONTROL!$C$22, $C$13, 100%, $E$13)</f>
        <v>5.8787000000000003</v>
      </c>
      <c r="I62" s="64">
        <f>5.8788 * CHOOSE(CONTROL!$C$22, $C$13, 100%, $E$13)</f>
        <v>5.8788</v>
      </c>
      <c r="J62" s="64">
        <f>3.7571 * CHOOSE(CONTROL!$C$22, $C$13, 100%, $E$13)</f>
        <v>3.7570999999999999</v>
      </c>
      <c r="K62" s="64">
        <f>3.7571 * CHOOSE(CONTROL!$C$22, $C$13, 100%, $E$13)</f>
        <v>3.7570999999999999</v>
      </c>
      <c r="L62" s="4"/>
      <c r="M62" s="4"/>
      <c r="N62" s="4"/>
    </row>
    <row r="63" spans="1:14" ht="15">
      <c r="A63" s="13">
        <v>43405</v>
      </c>
      <c r="B63" s="63">
        <f>3.1449 * CHOOSE(CONTROL!$C$22, $C$13, 100%, $E$13)</f>
        <v>3.1448999999999998</v>
      </c>
      <c r="C63" s="63">
        <f>3.1449 * CHOOSE(CONTROL!$C$22, $C$13, 100%, $E$13)</f>
        <v>3.1448999999999998</v>
      </c>
      <c r="D63" s="63">
        <f>3.1449 * CHOOSE(CONTROL!$C$22, $C$13, 100%, $E$13)</f>
        <v>3.1448999999999998</v>
      </c>
      <c r="E63" s="64">
        <f>3.767 * CHOOSE(CONTROL!$C$22, $C$13, 100%, $E$13)</f>
        <v>3.7669999999999999</v>
      </c>
      <c r="F63" s="64">
        <f>3.767 * CHOOSE(CONTROL!$C$22, $C$13, 100%, $E$13)</f>
        <v>3.7669999999999999</v>
      </c>
      <c r="G63" s="64">
        <f>3.767 * CHOOSE(CONTROL!$C$22, $C$13, 100%, $E$13)</f>
        <v>3.7669999999999999</v>
      </c>
      <c r="H63" s="64">
        <f>5.8909* CHOOSE(CONTROL!$C$22, $C$13, 100%, $E$13)</f>
        <v>5.8909000000000002</v>
      </c>
      <c r="I63" s="64">
        <f>5.891 * CHOOSE(CONTROL!$C$22, $C$13, 100%, $E$13)</f>
        <v>5.891</v>
      </c>
      <c r="J63" s="64">
        <f>3.767 * CHOOSE(CONTROL!$C$22, $C$13, 100%, $E$13)</f>
        <v>3.7669999999999999</v>
      </c>
      <c r="K63" s="64">
        <f>3.767 * CHOOSE(CONTROL!$C$22, $C$13, 100%, $E$13)</f>
        <v>3.7669999999999999</v>
      </c>
      <c r="L63" s="4"/>
      <c r="M63" s="4"/>
      <c r="N63" s="4"/>
    </row>
    <row r="64" spans="1:14" ht="15">
      <c r="A64" s="13">
        <v>43435</v>
      </c>
      <c r="B64" s="63">
        <f>3.1449 * CHOOSE(CONTROL!$C$22, $C$13, 100%, $E$13)</f>
        <v>3.1448999999999998</v>
      </c>
      <c r="C64" s="63">
        <f>3.1449 * CHOOSE(CONTROL!$C$22, $C$13, 100%, $E$13)</f>
        <v>3.1448999999999998</v>
      </c>
      <c r="D64" s="63">
        <f>3.1449 * CHOOSE(CONTROL!$C$22, $C$13, 100%, $E$13)</f>
        <v>3.1448999999999998</v>
      </c>
      <c r="E64" s="64">
        <f>3.7475 * CHOOSE(CONTROL!$C$22, $C$13, 100%, $E$13)</f>
        <v>3.7475000000000001</v>
      </c>
      <c r="F64" s="64">
        <f>3.7475 * CHOOSE(CONTROL!$C$22, $C$13, 100%, $E$13)</f>
        <v>3.7475000000000001</v>
      </c>
      <c r="G64" s="64">
        <f>3.7476 * CHOOSE(CONTROL!$C$22, $C$13, 100%, $E$13)</f>
        <v>3.7475999999999998</v>
      </c>
      <c r="H64" s="64">
        <f>5.9032* CHOOSE(CONTROL!$C$22, $C$13, 100%, $E$13)</f>
        <v>5.9032</v>
      </c>
      <c r="I64" s="64">
        <f>5.9033 * CHOOSE(CONTROL!$C$22, $C$13, 100%, $E$13)</f>
        <v>5.9032999999999998</v>
      </c>
      <c r="J64" s="64">
        <f>3.7475 * CHOOSE(CONTROL!$C$22, $C$13, 100%, $E$13)</f>
        <v>3.7475000000000001</v>
      </c>
      <c r="K64" s="64">
        <f>3.7476 * CHOOSE(CONTROL!$C$22, $C$13, 100%, $E$13)</f>
        <v>3.7475999999999998</v>
      </c>
      <c r="L64" s="4"/>
      <c r="M64" s="4"/>
      <c r="N64" s="4"/>
    </row>
    <row r="65" spans="1:14" ht="15">
      <c r="A65" s="13">
        <v>43466</v>
      </c>
      <c r="B65" s="63">
        <f>3.1467 * CHOOSE(CONTROL!$C$22, $C$13, 100%, $E$13)</f>
        <v>3.1467000000000001</v>
      </c>
      <c r="C65" s="63">
        <f>3.1467 * CHOOSE(CONTROL!$C$22, $C$13, 100%, $E$13)</f>
        <v>3.1467000000000001</v>
      </c>
      <c r="D65" s="63">
        <f>3.1467 * CHOOSE(CONTROL!$C$22, $C$13, 100%, $E$13)</f>
        <v>3.1467000000000001</v>
      </c>
      <c r="E65" s="64">
        <f>3.844 * CHOOSE(CONTROL!$C$22, $C$13, 100%, $E$13)</f>
        <v>3.8439999999999999</v>
      </c>
      <c r="F65" s="64">
        <f>3.844 * CHOOSE(CONTROL!$C$22, $C$13, 100%, $E$13)</f>
        <v>3.8439999999999999</v>
      </c>
      <c r="G65" s="64">
        <f>3.8441 * CHOOSE(CONTROL!$C$22, $C$13, 100%, $E$13)</f>
        <v>3.8441000000000001</v>
      </c>
      <c r="H65" s="64">
        <f>5.9155* CHOOSE(CONTROL!$C$22, $C$13, 100%, $E$13)</f>
        <v>5.9154999999999998</v>
      </c>
      <c r="I65" s="64">
        <f>5.9156 * CHOOSE(CONTROL!$C$22, $C$13, 100%, $E$13)</f>
        <v>5.9156000000000004</v>
      </c>
      <c r="J65" s="64">
        <f>3.844 * CHOOSE(CONTROL!$C$22, $C$13, 100%, $E$13)</f>
        <v>3.8439999999999999</v>
      </c>
      <c r="K65" s="64">
        <f>3.8441 * CHOOSE(CONTROL!$C$22, $C$13, 100%, $E$13)</f>
        <v>3.8441000000000001</v>
      </c>
      <c r="L65" s="4"/>
      <c r="M65" s="4"/>
      <c r="N65" s="4"/>
    </row>
    <row r="66" spans="1:14" ht="15">
      <c r="A66" s="13">
        <v>43497</v>
      </c>
      <c r="B66" s="63">
        <f>3.1437 * CHOOSE(CONTROL!$C$22, $C$13, 100%, $E$13)</f>
        <v>3.1436999999999999</v>
      </c>
      <c r="C66" s="63">
        <f>3.1437 * CHOOSE(CONTROL!$C$22, $C$13, 100%, $E$13)</f>
        <v>3.1436999999999999</v>
      </c>
      <c r="D66" s="63">
        <f>3.1437 * CHOOSE(CONTROL!$C$22, $C$13, 100%, $E$13)</f>
        <v>3.1436999999999999</v>
      </c>
      <c r="E66" s="64">
        <f>3.7978 * CHOOSE(CONTROL!$C$22, $C$13, 100%, $E$13)</f>
        <v>3.7978000000000001</v>
      </c>
      <c r="F66" s="64">
        <f>3.7978 * CHOOSE(CONTROL!$C$22, $C$13, 100%, $E$13)</f>
        <v>3.7978000000000001</v>
      </c>
      <c r="G66" s="64">
        <f>3.7979 * CHOOSE(CONTROL!$C$22, $C$13, 100%, $E$13)</f>
        <v>3.7978999999999998</v>
      </c>
      <c r="H66" s="64">
        <f>5.9278* CHOOSE(CONTROL!$C$22, $C$13, 100%, $E$13)</f>
        <v>5.9278000000000004</v>
      </c>
      <c r="I66" s="64">
        <f>5.9279 * CHOOSE(CONTROL!$C$22, $C$13, 100%, $E$13)</f>
        <v>5.9279000000000002</v>
      </c>
      <c r="J66" s="64">
        <f>3.7978 * CHOOSE(CONTROL!$C$22, $C$13, 100%, $E$13)</f>
        <v>3.7978000000000001</v>
      </c>
      <c r="K66" s="64">
        <f>3.7979 * CHOOSE(CONTROL!$C$22, $C$13, 100%, $E$13)</f>
        <v>3.7978999999999998</v>
      </c>
      <c r="L66" s="4"/>
      <c r="M66" s="4"/>
      <c r="N66" s="4"/>
    </row>
    <row r="67" spans="1:14" ht="15">
      <c r="A67" s="13">
        <v>43525</v>
      </c>
      <c r="B67" s="63">
        <f>3.1407 * CHOOSE(CONTROL!$C$22, $C$13, 100%, $E$13)</f>
        <v>3.1406999999999998</v>
      </c>
      <c r="C67" s="63">
        <f>3.1407 * CHOOSE(CONTROL!$C$22, $C$13, 100%, $E$13)</f>
        <v>3.1406999999999998</v>
      </c>
      <c r="D67" s="63">
        <f>3.1407 * CHOOSE(CONTROL!$C$22, $C$13, 100%, $E$13)</f>
        <v>3.1406999999999998</v>
      </c>
      <c r="E67" s="64">
        <f>3.8304 * CHOOSE(CONTROL!$C$22, $C$13, 100%, $E$13)</f>
        <v>3.8304</v>
      </c>
      <c r="F67" s="64">
        <f>3.8304 * CHOOSE(CONTROL!$C$22, $C$13, 100%, $E$13)</f>
        <v>3.8304</v>
      </c>
      <c r="G67" s="64">
        <f>3.8305 * CHOOSE(CONTROL!$C$22, $C$13, 100%, $E$13)</f>
        <v>3.8304999999999998</v>
      </c>
      <c r="H67" s="64">
        <f>5.9402* CHOOSE(CONTROL!$C$22, $C$13, 100%, $E$13)</f>
        <v>5.9401999999999999</v>
      </c>
      <c r="I67" s="64">
        <f>5.9403 * CHOOSE(CONTROL!$C$22, $C$13, 100%, $E$13)</f>
        <v>5.9402999999999997</v>
      </c>
      <c r="J67" s="64">
        <f>3.8304 * CHOOSE(CONTROL!$C$22, $C$13, 100%, $E$13)</f>
        <v>3.8304</v>
      </c>
      <c r="K67" s="64">
        <f>3.8305 * CHOOSE(CONTROL!$C$22, $C$13, 100%, $E$13)</f>
        <v>3.8304999999999998</v>
      </c>
      <c r="L67" s="4"/>
      <c r="M67" s="4"/>
      <c r="N67" s="4"/>
    </row>
    <row r="68" spans="1:14" ht="15">
      <c r="A68" s="13">
        <v>43556</v>
      </c>
      <c r="B68" s="63">
        <f>3.1374 * CHOOSE(CONTROL!$C$22, $C$13, 100%, $E$13)</f>
        <v>3.1374</v>
      </c>
      <c r="C68" s="63">
        <f>3.1374 * CHOOSE(CONTROL!$C$22, $C$13, 100%, $E$13)</f>
        <v>3.1374</v>
      </c>
      <c r="D68" s="63">
        <f>3.1374 * CHOOSE(CONTROL!$C$22, $C$13, 100%, $E$13)</f>
        <v>3.1374</v>
      </c>
      <c r="E68" s="64">
        <f>3.8635 * CHOOSE(CONTROL!$C$22, $C$13, 100%, $E$13)</f>
        <v>3.8635000000000002</v>
      </c>
      <c r="F68" s="64">
        <f>3.8635 * CHOOSE(CONTROL!$C$22, $C$13, 100%, $E$13)</f>
        <v>3.8635000000000002</v>
      </c>
      <c r="G68" s="64">
        <f>3.8636 * CHOOSE(CONTROL!$C$22, $C$13, 100%, $E$13)</f>
        <v>3.8635999999999999</v>
      </c>
      <c r="H68" s="64">
        <f>5.9526* CHOOSE(CONTROL!$C$22, $C$13, 100%, $E$13)</f>
        <v>5.9526000000000003</v>
      </c>
      <c r="I68" s="64">
        <f>5.9526 * CHOOSE(CONTROL!$C$22, $C$13, 100%, $E$13)</f>
        <v>5.9526000000000003</v>
      </c>
      <c r="J68" s="64">
        <f>3.8635 * CHOOSE(CONTROL!$C$22, $C$13, 100%, $E$13)</f>
        <v>3.8635000000000002</v>
      </c>
      <c r="K68" s="64">
        <f>3.8636 * CHOOSE(CONTROL!$C$22, $C$13, 100%, $E$13)</f>
        <v>3.8635999999999999</v>
      </c>
      <c r="L68" s="4"/>
      <c r="M68" s="4"/>
      <c r="N68" s="4"/>
    </row>
    <row r="69" spans="1:14" ht="15">
      <c r="A69" s="13">
        <v>43586</v>
      </c>
      <c r="B69" s="63">
        <f>3.1374 * CHOOSE(CONTROL!$C$22, $C$13, 100%, $E$13)</f>
        <v>3.1374</v>
      </c>
      <c r="C69" s="63">
        <f>3.1374 * CHOOSE(CONTROL!$C$22, $C$13, 100%, $E$13)</f>
        <v>3.1374</v>
      </c>
      <c r="D69" s="63">
        <f>3.1504 * CHOOSE(CONTROL!$C$22, $C$13, 100%, $E$13)</f>
        <v>3.1503999999999999</v>
      </c>
      <c r="E69" s="64">
        <f>3.8775 * CHOOSE(CONTROL!$C$22, $C$13, 100%, $E$13)</f>
        <v>3.8774999999999999</v>
      </c>
      <c r="F69" s="64">
        <f>3.8775 * CHOOSE(CONTROL!$C$22, $C$13, 100%, $E$13)</f>
        <v>3.8774999999999999</v>
      </c>
      <c r="G69" s="64">
        <f>3.8932 * CHOOSE(CONTROL!$C$22, $C$13, 100%, $E$13)</f>
        <v>3.8932000000000002</v>
      </c>
      <c r="H69" s="64">
        <f>5.965* CHOOSE(CONTROL!$C$22, $C$13, 100%, $E$13)</f>
        <v>5.9649999999999999</v>
      </c>
      <c r="I69" s="64">
        <f>5.9806 * CHOOSE(CONTROL!$C$22, $C$13, 100%, $E$13)</f>
        <v>5.9805999999999999</v>
      </c>
      <c r="J69" s="64">
        <f>3.8775 * CHOOSE(CONTROL!$C$22, $C$13, 100%, $E$13)</f>
        <v>3.8774999999999999</v>
      </c>
      <c r="K69" s="64">
        <f>3.8932 * CHOOSE(CONTROL!$C$22, $C$13, 100%, $E$13)</f>
        <v>3.8932000000000002</v>
      </c>
      <c r="L69" s="4"/>
      <c r="M69" s="4"/>
      <c r="N69" s="4"/>
    </row>
    <row r="70" spans="1:14" ht="15">
      <c r="A70" s="13">
        <v>43617</v>
      </c>
      <c r="B70" s="63">
        <f>3.1435 * CHOOSE(CONTROL!$C$22, $C$13, 100%, $E$13)</f>
        <v>3.1435</v>
      </c>
      <c r="C70" s="63">
        <f>3.1435 * CHOOSE(CONTROL!$C$22, $C$13, 100%, $E$13)</f>
        <v>3.1435</v>
      </c>
      <c r="D70" s="63">
        <f>3.1564 * CHOOSE(CONTROL!$C$22, $C$13, 100%, $E$13)</f>
        <v>3.1564000000000001</v>
      </c>
      <c r="E70" s="64">
        <f>3.8678 * CHOOSE(CONTROL!$C$22, $C$13, 100%, $E$13)</f>
        <v>3.8677999999999999</v>
      </c>
      <c r="F70" s="64">
        <f>3.8678 * CHOOSE(CONTROL!$C$22, $C$13, 100%, $E$13)</f>
        <v>3.8677999999999999</v>
      </c>
      <c r="G70" s="64">
        <f>3.8835 * CHOOSE(CONTROL!$C$22, $C$13, 100%, $E$13)</f>
        <v>3.8835000000000002</v>
      </c>
      <c r="H70" s="64">
        <f>5.9774* CHOOSE(CONTROL!$C$22, $C$13, 100%, $E$13)</f>
        <v>5.9774000000000003</v>
      </c>
      <c r="I70" s="64">
        <f>5.9931 * CHOOSE(CONTROL!$C$22, $C$13, 100%, $E$13)</f>
        <v>5.9931000000000001</v>
      </c>
      <c r="J70" s="64">
        <f>3.8678 * CHOOSE(CONTROL!$C$22, $C$13, 100%, $E$13)</f>
        <v>3.8677999999999999</v>
      </c>
      <c r="K70" s="64">
        <f>3.8835 * CHOOSE(CONTROL!$C$22, $C$13, 100%, $E$13)</f>
        <v>3.8835000000000002</v>
      </c>
      <c r="L70" s="4"/>
      <c r="M70" s="4"/>
      <c r="N70" s="4"/>
    </row>
    <row r="71" spans="1:14" ht="15">
      <c r="A71" s="13">
        <v>43647</v>
      </c>
      <c r="B71" s="63">
        <f>3.1331 * CHOOSE(CONTROL!$C$22, $C$13, 100%, $E$13)</f>
        <v>3.1331000000000002</v>
      </c>
      <c r="C71" s="63">
        <f>3.1331 * CHOOSE(CONTROL!$C$22, $C$13, 100%, $E$13)</f>
        <v>3.1331000000000002</v>
      </c>
      <c r="D71" s="63">
        <f>3.146 * CHOOSE(CONTROL!$C$22, $C$13, 100%, $E$13)</f>
        <v>3.1459999999999999</v>
      </c>
      <c r="E71" s="64">
        <f>3.901 * CHOOSE(CONTROL!$C$22, $C$13, 100%, $E$13)</f>
        <v>3.9009999999999998</v>
      </c>
      <c r="F71" s="64">
        <f>3.901 * CHOOSE(CONTROL!$C$22, $C$13, 100%, $E$13)</f>
        <v>3.9009999999999998</v>
      </c>
      <c r="G71" s="64">
        <f>3.9167 * CHOOSE(CONTROL!$C$22, $C$13, 100%, $E$13)</f>
        <v>3.9167000000000001</v>
      </c>
      <c r="H71" s="64">
        <f>5.9898* CHOOSE(CONTROL!$C$22, $C$13, 100%, $E$13)</f>
        <v>5.9897999999999998</v>
      </c>
      <c r="I71" s="64">
        <f>6.0055 * CHOOSE(CONTROL!$C$22, $C$13, 100%, $E$13)</f>
        <v>6.0054999999999996</v>
      </c>
      <c r="J71" s="64">
        <f>3.901 * CHOOSE(CONTROL!$C$22, $C$13, 100%, $E$13)</f>
        <v>3.9009999999999998</v>
      </c>
      <c r="K71" s="64">
        <f>3.9167 * CHOOSE(CONTROL!$C$22, $C$13, 100%, $E$13)</f>
        <v>3.9167000000000001</v>
      </c>
      <c r="L71" s="4"/>
      <c r="M71" s="4"/>
      <c r="N71" s="4"/>
    </row>
    <row r="72" spans="1:14" ht="15">
      <c r="A72" s="13">
        <v>43678</v>
      </c>
      <c r="B72" s="63">
        <f>3.1398 * CHOOSE(CONTROL!$C$22, $C$13, 100%, $E$13)</f>
        <v>3.1398000000000001</v>
      </c>
      <c r="C72" s="63">
        <f>3.1398 * CHOOSE(CONTROL!$C$22, $C$13, 100%, $E$13)</f>
        <v>3.1398000000000001</v>
      </c>
      <c r="D72" s="63">
        <f>3.1527 * CHOOSE(CONTROL!$C$22, $C$13, 100%, $E$13)</f>
        <v>3.1526999999999998</v>
      </c>
      <c r="E72" s="64">
        <f>3.8637 * CHOOSE(CONTROL!$C$22, $C$13, 100%, $E$13)</f>
        <v>3.8637000000000001</v>
      </c>
      <c r="F72" s="64">
        <f>3.8637 * CHOOSE(CONTROL!$C$22, $C$13, 100%, $E$13)</f>
        <v>3.8637000000000001</v>
      </c>
      <c r="G72" s="64">
        <f>3.8794 * CHOOSE(CONTROL!$C$22, $C$13, 100%, $E$13)</f>
        <v>3.8794</v>
      </c>
      <c r="H72" s="64">
        <f>6.0023* CHOOSE(CONTROL!$C$22, $C$13, 100%, $E$13)</f>
        <v>6.0023</v>
      </c>
      <c r="I72" s="64">
        <f>6.018 * CHOOSE(CONTROL!$C$22, $C$13, 100%, $E$13)</f>
        <v>6.0179999999999998</v>
      </c>
      <c r="J72" s="64">
        <f>3.8637 * CHOOSE(CONTROL!$C$22, $C$13, 100%, $E$13)</f>
        <v>3.8637000000000001</v>
      </c>
      <c r="K72" s="64">
        <f>3.8794 * CHOOSE(CONTROL!$C$22, $C$13, 100%, $E$13)</f>
        <v>3.8794</v>
      </c>
      <c r="L72" s="4"/>
      <c r="M72" s="4"/>
      <c r="N72" s="4"/>
    </row>
    <row r="73" spans="1:14" ht="15">
      <c r="A73" s="13">
        <v>43709</v>
      </c>
      <c r="B73" s="63">
        <f>3.1367 * CHOOSE(CONTROL!$C$22, $C$13, 100%, $E$13)</f>
        <v>3.1366999999999998</v>
      </c>
      <c r="C73" s="63">
        <f>3.1367 * CHOOSE(CONTROL!$C$22, $C$13, 100%, $E$13)</f>
        <v>3.1366999999999998</v>
      </c>
      <c r="D73" s="63">
        <f>3.1497 * CHOOSE(CONTROL!$C$22, $C$13, 100%, $E$13)</f>
        <v>3.1497000000000002</v>
      </c>
      <c r="E73" s="64">
        <f>3.8569 * CHOOSE(CONTROL!$C$22, $C$13, 100%, $E$13)</f>
        <v>3.8569</v>
      </c>
      <c r="F73" s="64">
        <f>3.8569 * CHOOSE(CONTROL!$C$22, $C$13, 100%, $E$13)</f>
        <v>3.8569</v>
      </c>
      <c r="G73" s="64">
        <f>3.8726 * CHOOSE(CONTROL!$C$22, $C$13, 100%, $E$13)</f>
        <v>3.8725999999999998</v>
      </c>
      <c r="H73" s="64">
        <f>6.0148* CHOOSE(CONTROL!$C$22, $C$13, 100%, $E$13)</f>
        <v>6.0148000000000001</v>
      </c>
      <c r="I73" s="64">
        <f>6.0305 * CHOOSE(CONTROL!$C$22, $C$13, 100%, $E$13)</f>
        <v>6.0305</v>
      </c>
      <c r="J73" s="64">
        <f>3.8569 * CHOOSE(CONTROL!$C$22, $C$13, 100%, $E$13)</f>
        <v>3.8569</v>
      </c>
      <c r="K73" s="64">
        <f>3.8726 * CHOOSE(CONTROL!$C$22, $C$13, 100%, $E$13)</f>
        <v>3.8725999999999998</v>
      </c>
      <c r="L73" s="4"/>
      <c r="M73" s="4"/>
      <c r="N73" s="4"/>
    </row>
    <row r="74" spans="1:14" ht="15">
      <c r="A74" s="13">
        <v>43739</v>
      </c>
      <c r="B74" s="63">
        <f>3.1284 * CHOOSE(CONTROL!$C$22, $C$13, 100%, $E$13)</f>
        <v>3.1284000000000001</v>
      </c>
      <c r="C74" s="63">
        <f>3.1284 * CHOOSE(CONTROL!$C$22, $C$13, 100%, $E$13)</f>
        <v>3.1284000000000001</v>
      </c>
      <c r="D74" s="63">
        <f>3.1284 * CHOOSE(CONTROL!$C$22, $C$13, 100%, $E$13)</f>
        <v>3.1284000000000001</v>
      </c>
      <c r="E74" s="64">
        <f>3.8621 * CHOOSE(CONTROL!$C$22, $C$13, 100%, $E$13)</f>
        <v>3.8620999999999999</v>
      </c>
      <c r="F74" s="64">
        <f>3.8621 * CHOOSE(CONTROL!$C$22, $C$13, 100%, $E$13)</f>
        <v>3.8620999999999999</v>
      </c>
      <c r="G74" s="64">
        <f>3.8622 * CHOOSE(CONTROL!$C$22, $C$13, 100%, $E$13)</f>
        <v>3.8622000000000001</v>
      </c>
      <c r="H74" s="64">
        <f>6.0274* CHOOSE(CONTROL!$C$22, $C$13, 100%, $E$13)</f>
        <v>6.0274000000000001</v>
      </c>
      <c r="I74" s="64">
        <f>6.0274 * CHOOSE(CONTROL!$C$22, $C$13, 100%, $E$13)</f>
        <v>6.0274000000000001</v>
      </c>
      <c r="J74" s="64">
        <f>3.8621 * CHOOSE(CONTROL!$C$22, $C$13, 100%, $E$13)</f>
        <v>3.8620999999999999</v>
      </c>
      <c r="K74" s="64">
        <f>3.8622 * CHOOSE(CONTROL!$C$22, $C$13, 100%, $E$13)</f>
        <v>3.8622000000000001</v>
      </c>
      <c r="L74" s="4"/>
      <c r="M74" s="4"/>
      <c r="N74" s="4"/>
    </row>
    <row r="75" spans="1:14" ht="15">
      <c r="A75" s="13">
        <v>43770</v>
      </c>
      <c r="B75" s="63">
        <f>3.1314 * CHOOSE(CONTROL!$C$22, $C$13, 100%, $E$13)</f>
        <v>3.1314000000000002</v>
      </c>
      <c r="C75" s="63">
        <f>3.1314 * CHOOSE(CONTROL!$C$22, $C$13, 100%, $E$13)</f>
        <v>3.1314000000000002</v>
      </c>
      <c r="D75" s="63">
        <f>3.1314 * CHOOSE(CONTROL!$C$22, $C$13, 100%, $E$13)</f>
        <v>3.1314000000000002</v>
      </c>
      <c r="E75" s="64">
        <f>3.8736 * CHOOSE(CONTROL!$C$22, $C$13, 100%, $E$13)</f>
        <v>3.8736000000000002</v>
      </c>
      <c r="F75" s="64">
        <f>3.8736 * CHOOSE(CONTROL!$C$22, $C$13, 100%, $E$13)</f>
        <v>3.8736000000000002</v>
      </c>
      <c r="G75" s="64">
        <f>3.8737 * CHOOSE(CONTROL!$C$22, $C$13, 100%, $E$13)</f>
        <v>3.8736999999999999</v>
      </c>
      <c r="H75" s="64">
        <f>6.0399* CHOOSE(CONTROL!$C$22, $C$13, 100%, $E$13)</f>
        <v>6.0399000000000003</v>
      </c>
      <c r="I75" s="64">
        <f>6.04 * CHOOSE(CONTROL!$C$22, $C$13, 100%, $E$13)</f>
        <v>6.04</v>
      </c>
      <c r="J75" s="64">
        <f>3.8736 * CHOOSE(CONTROL!$C$22, $C$13, 100%, $E$13)</f>
        <v>3.8736000000000002</v>
      </c>
      <c r="K75" s="64">
        <f>3.8737 * CHOOSE(CONTROL!$C$22, $C$13, 100%, $E$13)</f>
        <v>3.8736999999999999</v>
      </c>
      <c r="L75" s="4"/>
      <c r="M75" s="4"/>
      <c r="N75" s="4"/>
    </row>
    <row r="76" spans="1:14" ht="15">
      <c r="A76" s="13">
        <v>43800</v>
      </c>
      <c r="B76" s="63">
        <f>3.1314 * CHOOSE(CONTROL!$C$22, $C$13, 100%, $E$13)</f>
        <v>3.1314000000000002</v>
      </c>
      <c r="C76" s="63">
        <f>3.1314 * CHOOSE(CONTROL!$C$22, $C$13, 100%, $E$13)</f>
        <v>3.1314000000000002</v>
      </c>
      <c r="D76" s="63">
        <f>3.1314 * CHOOSE(CONTROL!$C$22, $C$13, 100%, $E$13)</f>
        <v>3.1314000000000002</v>
      </c>
      <c r="E76" s="64">
        <f>3.8503 * CHOOSE(CONTROL!$C$22, $C$13, 100%, $E$13)</f>
        <v>3.8502999999999998</v>
      </c>
      <c r="F76" s="64">
        <f>3.8503 * CHOOSE(CONTROL!$C$22, $C$13, 100%, $E$13)</f>
        <v>3.8502999999999998</v>
      </c>
      <c r="G76" s="64">
        <f>3.8503 * CHOOSE(CONTROL!$C$22, $C$13, 100%, $E$13)</f>
        <v>3.8502999999999998</v>
      </c>
      <c r="H76" s="64">
        <f>6.0525* CHOOSE(CONTROL!$C$22, $C$13, 100%, $E$13)</f>
        <v>6.0525000000000002</v>
      </c>
      <c r="I76" s="64">
        <f>6.0526 * CHOOSE(CONTROL!$C$22, $C$13, 100%, $E$13)</f>
        <v>6.0526</v>
      </c>
      <c r="J76" s="64">
        <f>3.8503 * CHOOSE(CONTROL!$C$22, $C$13, 100%, $E$13)</f>
        <v>3.8502999999999998</v>
      </c>
      <c r="K76" s="64">
        <f>3.8503 * CHOOSE(CONTROL!$C$22, $C$13, 100%, $E$13)</f>
        <v>3.8502999999999998</v>
      </c>
      <c r="L76" s="4"/>
      <c r="M76" s="4"/>
      <c r="N76" s="4"/>
    </row>
    <row r="77" spans="1:14" ht="15">
      <c r="A77" s="13">
        <v>43831</v>
      </c>
      <c r="B77" s="63">
        <f>3.167 * CHOOSE(CONTROL!$C$22, $C$13, 100%, $E$13)</f>
        <v>3.1669999999999998</v>
      </c>
      <c r="C77" s="63">
        <f>3.167 * CHOOSE(CONTROL!$C$22, $C$13, 100%, $E$13)</f>
        <v>3.1669999999999998</v>
      </c>
      <c r="D77" s="63">
        <f>3.167 * CHOOSE(CONTROL!$C$22, $C$13, 100%, $E$13)</f>
        <v>3.1669999999999998</v>
      </c>
      <c r="E77" s="64">
        <f>3.8608 * CHOOSE(CONTROL!$C$22, $C$13, 100%, $E$13)</f>
        <v>3.8607999999999998</v>
      </c>
      <c r="F77" s="64">
        <f>3.8608 * CHOOSE(CONTROL!$C$22, $C$13, 100%, $E$13)</f>
        <v>3.8607999999999998</v>
      </c>
      <c r="G77" s="64">
        <f>3.8609 * CHOOSE(CONTROL!$C$22, $C$13, 100%, $E$13)</f>
        <v>3.8609</v>
      </c>
      <c r="H77" s="64">
        <f>6.0651* CHOOSE(CONTROL!$C$22, $C$13, 100%, $E$13)</f>
        <v>6.0651000000000002</v>
      </c>
      <c r="I77" s="64">
        <f>6.0652 * CHOOSE(CONTROL!$C$22, $C$13, 100%, $E$13)</f>
        <v>6.0651999999999999</v>
      </c>
      <c r="J77" s="64">
        <f>3.8608 * CHOOSE(CONTROL!$C$22, $C$13, 100%, $E$13)</f>
        <v>3.8607999999999998</v>
      </c>
      <c r="K77" s="64">
        <f>3.8609 * CHOOSE(CONTROL!$C$22, $C$13, 100%, $E$13)</f>
        <v>3.8609</v>
      </c>
      <c r="L77" s="4"/>
      <c r="M77" s="4"/>
      <c r="N77" s="4"/>
    </row>
    <row r="78" spans="1:14" ht="15">
      <c r="A78" s="13">
        <v>43862</v>
      </c>
      <c r="B78" s="63">
        <f>3.164 * CHOOSE(CONTROL!$C$22, $C$13, 100%, $E$13)</f>
        <v>3.1640000000000001</v>
      </c>
      <c r="C78" s="63">
        <f>3.164 * CHOOSE(CONTROL!$C$22, $C$13, 100%, $E$13)</f>
        <v>3.1640000000000001</v>
      </c>
      <c r="D78" s="63">
        <f>3.164 * CHOOSE(CONTROL!$C$22, $C$13, 100%, $E$13)</f>
        <v>3.1640000000000001</v>
      </c>
      <c r="E78" s="64">
        <f>3.8041 * CHOOSE(CONTROL!$C$22, $C$13, 100%, $E$13)</f>
        <v>3.8041</v>
      </c>
      <c r="F78" s="64">
        <f>3.8041 * CHOOSE(CONTROL!$C$22, $C$13, 100%, $E$13)</f>
        <v>3.8041</v>
      </c>
      <c r="G78" s="64">
        <f>3.8041 * CHOOSE(CONTROL!$C$22, $C$13, 100%, $E$13)</f>
        <v>3.8041</v>
      </c>
      <c r="H78" s="64">
        <f>6.0777* CHOOSE(CONTROL!$C$22, $C$13, 100%, $E$13)</f>
        <v>6.0777000000000001</v>
      </c>
      <c r="I78" s="64">
        <f>6.0778 * CHOOSE(CONTROL!$C$22, $C$13, 100%, $E$13)</f>
        <v>6.0777999999999999</v>
      </c>
      <c r="J78" s="64">
        <f>3.8041 * CHOOSE(CONTROL!$C$22, $C$13, 100%, $E$13)</f>
        <v>3.8041</v>
      </c>
      <c r="K78" s="64">
        <f>3.8041 * CHOOSE(CONTROL!$C$22, $C$13, 100%, $E$13)</f>
        <v>3.8041</v>
      </c>
      <c r="L78" s="4"/>
      <c r="M78" s="4"/>
      <c r="N78" s="4"/>
    </row>
    <row r="79" spans="1:14" ht="15">
      <c r="A79" s="13">
        <v>43891</v>
      </c>
      <c r="B79" s="63">
        <f>3.1609 * CHOOSE(CONTROL!$C$22, $C$13, 100%, $E$13)</f>
        <v>3.1608999999999998</v>
      </c>
      <c r="C79" s="63">
        <f>3.1609 * CHOOSE(CONTROL!$C$22, $C$13, 100%, $E$13)</f>
        <v>3.1608999999999998</v>
      </c>
      <c r="D79" s="63">
        <f>3.1609 * CHOOSE(CONTROL!$C$22, $C$13, 100%, $E$13)</f>
        <v>3.1608999999999998</v>
      </c>
      <c r="E79" s="64">
        <f>3.845 * CHOOSE(CONTROL!$C$22, $C$13, 100%, $E$13)</f>
        <v>3.8450000000000002</v>
      </c>
      <c r="F79" s="64">
        <f>3.845 * CHOOSE(CONTROL!$C$22, $C$13, 100%, $E$13)</f>
        <v>3.8450000000000002</v>
      </c>
      <c r="G79" s="64">
        <f>3.8451 * CHOOSE(CONTROL!$C$22, $C$13, 100%, $E$13)</f>
        <v>3.8451</v>
      </c>
      <c r="H79" s="64">
        <f>6.0904* CHOOSE(CONTROL!$C$22, $C$13, 100%, $E$13)</f>
        <v>6.0903999999999998</v>
      </c>
      <c r="I79" s="64">
        <f>6.0905 * CHOOSE(CONTROL!$C$22, $C$13, 100%, $E$13)</f>
        <v>6.0904999999999996</v>
      </c>
      <c r="J79" s="64">
        <f>3.845 * CHOOSE(CONTROL!$C$22, $C$13, 100%, $E$13)</f>
        <v>3.8450000000000002</v>
      </c>
      <c r="K79" s="64">
        <f>3.8451 * CHOOSE(CONTROL!$C$22, $C$13, 100%, $E$13)</f>
        <v>3.8451</v>
      </c>
      <c r="L79" s="4"/>
      <c r="M79" s="4"/>
      <c r="N79" s="4"/>
    </row>
    <row r="80" spans="1:14" ht="15">
      <c r="A80" s="13">
        <v>43922</v>
      </c>
      <c r="B80" s="63">
        <f>3.1577 * CHOOSE(CONTROL!$C$22, $C$13, 100%, $E$13)</f>
        <v>3.1577000000000002</v>
      </c>
      <c r="C80" s="63">
        <f>3.1577 * CHOOSE(CONTROL!$C$22, $C$13, 100%, $E$13)</f>
        <v>3.1577000000000002</v>
      </c>
      <c r="D80" s="63">
        <f>3.1577 * CHOOSE(CONTROL!$C$22, $C$13, 100%, $E$13)</f>
        <v>3.1577000000000002</v>
      </c>
      <c r="E80" s="64">
        <f>3.8871 * CHOOSE(CONTROL!$C$22, $C$13, 100%, $E$13)</f>
        <v>3.8871000000000002</v>
      </c>
      <c r="F80" s="64">
        <f>3.8871 * CHOOSE(CONTROL!$C$22, $C$13, 100%, $E$13)</f>
        <v>3.8871000000000002</v>
      </c>
      <c r="G80" s="64">
        <f>3.8872 * CHOOSE(CONTROL!$C$22, $C$13, 100%, $E$13)</f>
        <v>3.8872</v>
      </c>
      <c r="H80" s="64">
        <f>6.1031* CHOOSE(CONTROL!$C$22, $C$13, 100%, $E$13)</f>
        <v>6.1031000000000004</v>
      </c>
      <c r="I80" s="64">
        <f>6.1032 * CHOOSE(CONTROL!$C$22, $C$13, 100%, $E$13)</f>
        <v>6.1032000000000002</v>
      </c>
      <c r="J80" s="64">
        <f>3.8871 * CHOOSE(CONTROL!$C$22, $C$13, 100%, $E$13)</f>
        <v>3.8871000000000002</v>
      </c>
      <c r="K80" s="64">
        <f>3.8872 * CHOOSE(CONTROL!$C$22, $C$13, 100%, $E$13)</f>
        <v>3.8872</v>
      </c>
      <c r="L80" s="4"/>
      <c r="M80" s="4"/>
      <c r="N80" s="4"/>
    </row>
    <row r="81" spans="1:14" ht="15">
      <c r="A81" s="13">
        <v>43952</v>
      </c>
      <c r="B81" s="63">
        <f>3.1577 * CHOOSE(CONTROL!$C$22, $C$13, 100%, $E$13)</f>
        <v>3.1577000000000002</v>
      </c>
      <c r="C81" s="63">
        <f>3.1577 * CHOOSE(CONTROL!$C$22, $C$13, 100%, $E$13)</f>
        <v>3.1577000000000002</v>
      </c>
      <c r="D81" s="63">
        <f>3.1707 * CHOOSE(CONTROL!$C$22, $C$13, 100%, $E$13)</f>
        <v>3.1707000000000001</v>
      </c>
      <c r="E81" s="64">
        <f>3.9044 * CHOOSE(CONTROL!$C$22, $C$13, 100%, $E$13)</f>
        <v>3.9043999999999999</v>
      </c>
      <c r="F81" s="64">
        <f>3.9044 * CHOOSE(CONTROL!$C$22, $C$13, 100%, $E$13)</f>
        <v>3.9043999999999999</v>
      </c>
      <c r="G81" s="64">
        <f>3.9201 * CHOOSE(CONTROL!$C$22, $C$13, 100%, $E$13)</f>
        <v>3.9201000000000001</v>
      </c>
      <c r="H81" s="64">
        <f>6.1158* CHOOSE(CONTROL!$C$22, $C$13, 100%, $E$13)</f>
        <v>6.1158000000000001</v>
      </c>
      <c r="I81" s="64">
        <f>6.1315 * CHOOSE(CONTROL!$C$22, $C$13, 100%, $E$13)</f>
        <v>6.1315</v>
      </c>
      <c r="J81" s="64">
        <f>3.9044 * CHOOSE(CONTROL!$C$22, $C$13, 100%, $E$13)</f>
        <v>3.9043999999999999</v>
      </c>
      <c r="K81" s="64">
        <f>3.9201 * CHOOSE(CONTROL!$C$22, $C$13, 100%, $E$13)</f>
        <v>3.9201000000000001</v>
      </c>
      <c r="L81" s="4"/>
      <c r="M81" s="4"/>
      <c r="N81" s="4"/>
    </row>
    <row r="82" spans="1:14" ht="15">
      <c r="A82" s="13">
        <v>43983</v>
      </c>
      <c r="B82" s="63">
        <f>3.1638 * CHOOSE(CONTROL!$C$22, $C$13, 100%, $E$13)</f>
        <v>3.1638000000000002</v>
      </c>
      <c r="C82" s="63">
        <f>3.1638 * CHOOSE(CONTROL!$C$22, $C$13, 100%, $E$13)</f>
        <v>3.1638000000000002</v>
      </c>
      <c r="D82" s="63">
        <f>3.1768 * CHOOSE(CONTROL!$C$22, $C$13, 100%, $E$13)</f>
        <v>3.1768000000000001</v>
      </c>
      <c r="E82" s="64">
        <f>3.8913 * CHOOSE(CONTROL!$C$22, $C$13, 100%, $E$13)</f>
        <v>3.8913000000000002</v>
      </c>
      <c r="F82" s="64">
        <f>3.8913 * CHOOSE(CONTROL!$C$22, $C$13, 100%, $E$13)</f>
        <v>3.8913000000000002</v>
      </c>
      <c r="G82" s="64">
        <f>3.907 * CHOOSE(CONTROL!$C$22, $C$13, 100%, $E$13)</f>
        <v>3.907</v>
      </c>
      <c r="H82" s="64">
        <f>6.1285* CHOOSE(CONTROL!$C$22, $C$13, 100%, $E$13)</f>
        <v>6.1284999999999998</v>
      </c>
      <c r="I82" s="64">
        <f>6.1442 * CHOOSE(CONTROL!$C$22, $C$13, 100%, $E$13)</f>
        <v>6.1441999999999997</v>
      </c>
      <c r="J82" s="64">
        <f>3.8913 * CHOOSE(CONTROL!$C$22, $C$13, 100%, $E$13)</f>
        <v>3.8913000000000002</v>
      </c>
      <c r="K82" s="64">
        <f>3.907 * CHOOSE(CONTROL!$C$22, $C$13, 100%, $E$13)</f>
        <v>3.907</v>
      </c>
      <c r="L82" s="4"/>
      <c r="M82" s="4"/>
      <c r="N82" s="4"/>
    </row>
    <row r="83" spans="1:14" ht="15">
      <c r="A83" s="13">
        <v>44013</v>
      </c>
      <c r="B83" s="63">
        <f>3.2348 * CHOOSE(CONTROL!$C$22, $C$13, 100%, $E$13)</f>
        <v>3.2347999999999999</v>
      </c>
      <c r="C83" s="63">
        <f>3.2348 * CHOOSE(CONTROL!$C$22, $C$13, 100%, $E$13)</f>
        <v>3.2347999999999999</v>
      </c>
      <c r="D83" s="63">
        <f>3.2478 * CHOOSE(CONTROL!$C$22, $C$13, 100%, $E$13)</f>
        <v>3.2477999999999998</v>
      </c>
      <c r="E83" s="64">
        <f>3.6313 * CHOOSE(CONTROL!$C$22, $C$13, 100%, $E$13)</f>
        <v>3.6313</v>
      </c>
      <c r="F83" s="64">
        <f>3.6313 * CHOOSE(CONTROL!$C$22, $C$13, 100%, $E$13)</f>
        <v>3.6313</v>
      </c>
      <c r="G83" s="64">
        <f>3.647 * CHOOSE(CONTROL!$C$22, $C$13, 100%, $E$13)</f>
        <v>3.6469999999999998</v>
      </c>
      <c r="H83" s="64">
        <f>6.1413* CHOOSE(CONTROL!$C$22, $C$13, 100%, $E$13)</f>
        <v>6.1413000000000002</v>
      </c>
      <c r="I83" s="64">
        <f>6.157 * CHOOSE(CONTROL!$C$22, $C$13, 100%, $E$13)</f>
        <v>6.157</v>
      </c>
      <c r="J83" s="64">
        <f>3.6313 * CHOOSE(CONTROL!$C$22, $C$13, 100%, $E$13)</f>
        <v>3.6313</v>
      </c>
      <c r="K83" s="64">
        <f>3.647 * CHOOSE(CONTROL!$C$22, $C$13, 100%, $E$13)</f>
        <v>3.6469999999999998</v>
      </c>
      <c r="L83" s="4"/>
      <c r="M83" s="4"/>
      <c r="N83" s="4"/>
    </row>
    <row r="84" spans="1:14" ht="15">
      <c r="A84" s="13">
        <v>44044</v>
      </c>
      <c r="B84" s="63">
        <f>3.2415 * CHOOSE(CONTROL!$C$22, $C$13, 100%, $E$13)</f>
        <v>3.2414999999999998</v>
      </c>
      <c r="C84" s="63">
        <f>3.2415 * CHOOSE(CONTROL!$C$22, $C$13, 100%, $E$13)</f>
        <v>3.2414999999999998</v>
      </c>
      <c r="D84" s="63">
        <f>3.2545 * CHOOSE(CONTROL!$C$22, $C$13, 100%, $E$13)</f>
        <v>3.2545000000000002</v>
      </c>
      <c r="E84" s="64">
        <f>3.5839 * CHOOSE(CONTROL!$C$22, $C$13, 100%, $E$13)</f>
        <v>3.5838999999999999</v>
      </c>
      <c r="F84" s="64">
        <f>3.5839 * CHOOSE(CONTROL!$C$22, $C$13, 100%, $E$13)</f>
        <v>3.5838999999999999</v>
      </c>
      <c r="G84" s="64">
        <f>3.5995 * CHOOSE(CONTROL!$C$22, $C$13, 100%, $E$13)</f>
        <v>3.5994999999999999</v>
      </c>
      <c r="H84" s="64">
        <f>6.1541* CHOOSE(CONTROL!$C$22, $C$13, 100%, $E$13)</f>
        <v>6.1540999999999997</v>
      </c>
      <c r="I84" s="64">
        <f>6.1698 * CHOOSE(CONTROL!$C$22, $C$13, 100%, $E$13)</f>
        <v>6.1698000000000004</v>
      </c>
      <c r="J84" s="64">
        <f>3.5839 * CHOOSE(CONTROL!$C$22, $C$13, 100%, $E$13)</f>
        <v>3.5838999999999999</v>
      </c>
      <c r="K84" s="64">
        <f>3.5995 * CHOOSE(CONTROL!$C$22, $C$13, 100%, $E$13)</f>
        <v>3.5994999999999999</v>
      </c>
      <c r="L84" s="4"/>
      <c r="M84" s="4"/>
      <c r="N84" s="4"/>
    </row>
    <row r="85" spans="1:14" ht="15">
      <c r="A85" s="13">
        <v>44075</v>
      </c>
      <c r="B85" s="63">
        <f>3.2384 * CHOOSE(CONTROL!$C$22, $C$13, 100%, $E$13)</f>
        <v>3.2383999999999999</v>
      </c>
      <c r="C85" s="63">
        <f>3.2384 * CHOOSE(CONTROL!$C$22, $C$13, 100%, $E$13)</f>
        <v>3.2383999999999999</v>
      </c>
      <c r="D85" s="63">
        <f>3.2514 * CHOOSE(CONTROL!$C$22, $C$13, 100%, $E$13)</f>
        <v>3.2513999999999998</v>
      </c>
      <c r="E85" s="64">
        <f>3.576 * CHOOSE(CONTROL!$C$22, $C$13, 100%, $E$13)</f>
        <v>3.5760000000000001</v>
      </c>
      <c r="F85" s="64">
        <f>3.576 * CHOOSE(CONTROL!$C$22, $C$13, 100%, $E$13)</f>
        <v>3.5760000000000001</v>
      </c>
      <c r="G85" s="64">
        <f>3.5916 * CHOOSE(CONTROL!$C$22, $C$13, 100%, $E$13)</f>
        <v>3.5916000000000001</v>
      </c>
      <c r="H85" s="64">
        <f>6.1669* CHOOSE(CONTROL!$C$22, $C$13, 100%, $E$13)</f>
        <v>6.1669</v>
      </c>
      <c r="I85" s="64">
        <f>6.1826 * CHOOSE(CONTROL!$C$22, $C$13, 100%, $E$13)</f>
        <v>6.1825999999999999</v>
      </c>
      <c r="J85" s="64">
        <f>3.576 * CHOOSE(CONTROL!$C$22, $C$13, 100%, $E$13)</f>
        <v>3.5760000000000001</v>
      </c>
      <c r="K85" s="64">
        <f>3.5916 * CHOOSE(CONTROL!$C$22, $C$13, 100%, $E$13)</f>
        <v>3.5916000000000001</v>
      </c>
      <c r="L85" s="4"/>
      <c r="M85" s="4"/>
      <c r="N85" s="4"/>
    </row>
    <row r="86" spans="1:14" ht="15">
      <c r="A86" s="13">
        <v>44105</v>
      </c>
      <c r="B86" s="63">
        <f>3.2304 * CHOOSE(CONTROL!$C$22, $C$13, 100%, $E$13)</f>
        <v>3.2303999999999999</v>
      </c>
      <c r="C86" s="63">
        <f>3.2304 * CHOOSE(CONTROL!$C$22, $C$13, 100%, $E$13)</f>
        <v>3.2303999999999999</v>
      </c>
      <c r="D86" s="63">
        <f>3.2304 * CHOOSE(CONTROL!$C$22, $C$13, 100%, $E$13)</f>
        <v>3.2303999999999999</v>
      </c>
      <c r="E86" s="64">
        <f>3.5857 * CHOOSE(CONTROL!$C$22, $C$13, 100%, $E$13)</f>
        <v>3.5857000000000001</v>
      </c>
      <c r="F86" s="64">
        <f>3.5857 * CHOOSE(CONTROL!$C$22, $C$13, 100%, $E$13)</f>
        <v>3.5857000000000001</v>
      </c>
      <c r="G86" s="64">
        <f>3.5858 * CHOOSE(CONTROL!$C$22, $C$13, 100%, $E$13)</f>
        <v>3.5857999999999999</v>
      </c>
      <c r="H86" s="64">
        <f>6.1798* CHOOSE(CONTROL!$C$22, $C$13, 100%, $E$13)</f>
        <v>6.1798000000000002</v>
      </c>
      <c r="I86" s="64">
        <f>6.1799 * CHOOSE(CONTROL!$C$22, $C$13, 100%, $E$13)</f>
        <v>6.1798999999999999</v>
      </c>
      <c r="J86" s="64">
        <f>3.5857 * CHOOSE(CONTROL!$C$22, $C$13, 100%, $E$13)</f>
        <v>3.5857000000000001</v>
      </c>
      <c r="K86" s="64">
        <f>3.5858 * CHOOSE(CONTROL!$C$22, $C$13, 100%, $E$13)</f>
        <v>3.5857999999999999</v>
      </c>
      <c r="L86" s="4"/>
      <c r="M86" s="4"/>
      <c r="N86" s="4"/>
    </row>
    <row r="87" spans="1:14" ht="15">
      <c r="A87" s="13">
        <v>44136</v>
      </c>
      <c r="B87" s="63">
        <f>3.2335 * CHOOSE(CONTROL!$C$22, $C$13, 100%, $E$13)</f>
        <v>3.2334999999999998</v>
      </c>
      <c r="C87" s="63">
        <f>3.2335 * CHOOSE(CONTROL!$C$22, $C$13, 100%, $E$13)</f>
        <v>3.2334999999999998</v>
      </c>
      <c r="D87" s="63">
        <f>3.2335 * CHOOSE(CONTROL!$C$22, $C$13, 100%, $E$13)</f>
        <v>3.2334999999999998</v>
      </c>
      <c r="E87" s="64">
        <f>3.5994 * CHOOSE(CONTROL!$C$22, $C$13, 100%, $E$13)</f>
        <v>3.5994000000000002</v>
      </c>
      <c r="F87" s="64">
        <f>3.5994 * CHOOSE(CONTROL!$C$22, $C$13, 100%, $E$13)</f>
        <v>3.5994000000000002</v>
      </c>
      <c r="G87" s="64">
        <f>3.5995 * CHOOSE(CONTROL!$C$22, $C$13, 100%, $E$13)</f>
        <v>3.5994999999999999</v>
      </c>
      <c r="H87" s="64">
        <f>6.1926* CHOOSE(CONTROL!$C$22, $C$13, 100%, $E$13)</f>
        <v>6.1925999999999997</v>
      </c>
      <c r="I87" s="64">
        <f>6.1927 * CHOOSE(CONTROL!$C$22, $C$13, 100%, $E$13)</f>
        <v>6.1927000000000003</v>
      </c>
      <c r="J87" s="64">
        <f>3.5994 * CHOOSE(CONTROL!$C$22, $C$13, 100%, $E$13)</f>
        <v>3.5994000000000002</v>
      </c>
      <c r="K87" s="64">
        <f>3.5995 * CHOOSE(CONTROL!$C$22, $C$13, 100%, $E$13)</f>
        <v>3.5994999999999999</v>
      </c>
      <c r="L87" s="4"/>
      <c r="M87" s="4"/>
      <c r="N87" s="4"/>
    </row>
    <row r="88" spans="1:14" ht="15">
      <c r="A88" s="13">
        <v>44166</v>
      </c>
      <c r="B88" s="63">
        <f>3.2335 * CHOOSE(CONTROL!$C$22, $C$13, 100%, $E$13)</f>
        <v>3.2334999999999998</v>
      </c>
      <c r="C88" s="63">
        <f>3.2335 * CHOOSE(CONTROL!$C$22, $C$13, 100%, $E$13)</f>
        <v>3.2334999999999998</v>
      </c>
      <c r="D88" s="63">
        <f>3.2335 * CHOOSE(CONTROL!$C$22, $C$13, 100%, $E$13)</f>
        <v>3.2334999999999998</v>
      </c>
      <c r="E88" s="64">
        <f>3.5704 * CHOOSE(CONTROL!$C$22, $C$13, 100%, $E$13)</f>
        <v>3.5703999999999998</v>
      </c>
      <c r="F88" s="64">
        <f>3.5704 * CHOOSE(CONTROL!$C$22, $C$13, 100%, $E$13)</f>
        <v>3.5703999999999998</v>
      </c>
      <c r="G88" s="64">
        <f>3.5705 * CHOOSE(CONTROL!$C$22, $C$13, 100%, $E$13)</f>
        <v>3.5705</v>
      </c>
      <c r="H88" s="64">
        <f>6.2056* CHOOSE(CONTROL!$C$22, $C$13, 100%, $E$13)</f>
        <v>6.2055999999999996</v>
      </c>
      <c r="I88" s="64">
        <f>6.2056 * CHOOSE(CONTROL!$C$22, $C$13, 100%, $E$13)</f>
        <v>6.2055999999999996</v>
      </c>
      <c r="J88" s="64">
        <f>3.5704 * CHOOSE(CONTROL!$C$22, $C$13, 100%, $E$13)</f>
        <v>3.5703999999999998</v>
      </c>
      <c r="K88" s="64">
        <f>3.5705 * CHOOSE(CONTROL!$C$22, $C$13, 100%, $E$13)</f>
        <v>3.5705</v>
      </c>
      <c r="L88" s="4"/>
      <c r="M88" s="4"/>
      <c r="N88" s="4"/>
    </row>
    <row r="89" spans="1:14" ht="15">
      <c r="A89" s="13">
        <v>44197</v>
      </c>
      <c r="B89" s="63">
        <f>3.2543 * CHOOSE(CONTROL!$C$22, $C$13, 100%, $E$13)</f>
        <v>3.2543000000000002</v>
      </c>
      <c r="C89" s="63">
        <f>3.2543 * CHOOSE(CONTROL!$C$22, $C$13, 100%, $E$13)</f>
        <v>3.2543000000000002</v>
      </c>
      <c r="D89" s="63">
        <f>3.2543 * CHOOSE(CONTROL!$C$22, $C$13, 100%, $E$13)</f>
        <v>3.2543000000000002</v>
      </c>
      <c r="E89" s="64">
        <f>3.6909 * CHOOSE(CONTROL!$C$22, $C$13, 100%, $E$13)</f>
        <v>3.6909000000000001</v>
      </c>
      <c r="F89" s="64">
        <f>3.6909 * CHOOSE(CONTROL!$C$22, $C$13, 100%, $E$13)</f>
        <v>3.6909000000000001</v>
      </c>
      <c r="G89" s="64">
        <f>3.6909 * CHOOSE(CONTROL!$C$22, $C$13, 100%, $E$13)</f>
        <v>3.6909000000000001</v>
      </c>
      <c r="H89" s="64">
        <f>6.2185* CHOOSE(CONTROL!$C$22, $C$13, 100%, $E$13)</f>
        <v>6.2184999999999997</v>
      </c>
      <c r="I89" s="64">
        <f>6.2186 * CHOOSE(CONTROL!$C$22, $C$13, 100%, $E$13)</f>
        <v>6.2186000000000003</v>
      </c>
      <c r="J89" s="64">
        <f>3.6909 * CHOOSE(CONTROL!$C$22, $C$13, 100%, $E$13)</f>
        <v>3.6909000000000001</v>
      </c>
      <c r="K89" s="64">
        <f>3.6909 * CHOOSE(CONTROL!$C$22, $C$13, 100%, $E$13)</f>
        <v>3.6909000000000001</v>
      </c>
      <c r="L89" s="4"/>
      <c r="M89" s="4"/>
      <c r="N89" s="4"/>
    </row>
    <row r="90" spans="1:14" ht="15">
      <c r="A90" s="13">
        <v>44228</v>
      </c>
      <c r="B90" s="63">
        <f>3.2513 * CHOOSE(CONTROL!$C$22, $C$13, 100%, $E$13)</f>
        <v>3.2513000000000001</v>
      </c>
      <c r="C90" s="63">
        <f>3.2513 * CHOOSE(CONTROL!$C$22, $C$13, 100%, $E$13)</f>
        <v>3.2513000000000001</v>
      </c>
      <c r="D90" s="63">
        <f>3.2513 * CHOOSE(CONTROL!$C$22, $C$13, 100%, $E$13)</f>
        <v>3.2513000000000001</v>
      </c>
      <c r="E90" s="64">
        <f>3.6298 * CHOOSE(CONTROL!$C$22, $C$13, 100%, $E$13)</f>
        <v>3.6297999999999999</v>
      </c>
      <c r="F90" s="64">
        <f>3.6298 * CHOOSE(CONTROL!$C$22, $C$13, 100%, $E$13)</f>
        <v>3.6297999999999999</v>
      </c>
      <c r="G90" s="64">
        <f>3.6299 * CHOOSE(CONTROL!$C$22, $C$13, 100%, $E$13)</f>
        <v>3.6299000000000001</v>
      </c>
      <c r="H90" s="64">
        <f>6.2314* CHOOSE(CONTROL!$C$22, $C$13, 100%, $E$13)</f>
        <v>6.2313999999999998</v>
      </c>
      <c r="I90" s="64">
        <f>6.2315 * CHOOSE(CONTROL!$C$22, $C$13, 100%, $E$13)</f>
        <v>6.2314999999999996</v>
      </c>
      <c r="J90" s="64">
        <f>3.6298 * CHOOSE(CONTROL!$C$22, $C$13, 100%, $E$13)</f>
        <v>3.6297999999999999</v>
      </c>
      <c r="K90" s="64">
        <f>3.6299 * CHOOSE(CONTROL!$C$22, $C$13, 100%, $E$13)</f>
        <v>3.6299000000000001</v>
      </c>
      <c r="L90" s="4"/>
      <c r="M90" s="4"/>
      <c r="N90" s="4"/>
    </row>
    <row r="91" spans="1:14" ht="15">
      <c r="A91" s="13">
        <v>44256</v>
      </c>
      <c r="B91" s="63">
        <f>3.2482 * CHOOSE(CONTROL!$C$22, $C$13, 100%, $E$13)</f>
        <v>3.2482000000000002</v>
      </c>
      <c r="C91" s="63">
        <f>3.2482 * CHOOSE(CONTROL!$C$22, $C$13, 100%, $E$13)</f>
        <v>3.2482000000000002</v>
      </c>
      <c r="D91" s="63">
        <f>3.2482 * CHOOSE(CONTROL!$C$22, $C$13, 100%, $E$13)</f>
        <v>3.2482000000000002</v>
      </c>
      <c r="E91" s="64">
        <f>3.6741 * CHOOSE(CONTROL!$C$22, $C$13, 100%, $E$13)</f>
        <v>3.6741000000000001</v>
      </c>
      <c r="F91" s="64">
        <f>3.6741 * CHOOSE(CONTROL!$C$22, $C$13, 100%, $E$13)</f>
        <v>3.6741000000000001</v>
      </c>
      <c r="G91" s="64">
        <f>3.6742 * CHOOSE(CONTROL!$C$22, $C$13, 100%, $E$13)</f>
        <v>3.6741999999999999</v>
      </c>
      <c r="H91" s="64">
        <f>6.2444* CHOOSE(CONTROL!$C$22, $C$13, 100%, $E$13)</f>
        <v>6.2443999999999997</v>
      </c>
      <c r="I91" s="64">
        <f>6.2445 * CHOOSE(CONTROL!$C$22, $C$13, 100%, $E$13)</f>
        <v>6.2445000000000004</v>
      </c>
      <c r="J91" s="64">
        <f>3.6741 * CHOOSE(CONTROL!$C$22, $C$13, 100%, $E$13)</f>
        <v>3.6741000000000001</v>
      </c>
      <c r="K91" s="64">
        <f>3.6742 * CHOOSE(CONTROL!$C$22, $C$13, 100%, $E$13)</f>
        <v>3.6741999999999999</v>
      </c>
      <c r="L91" s="4"/>
      <c r="M91" s="4"/>
      <c r="N91" s="4"/>
    </row>
    <row r="92" spans="1:14" ht="15">
      <c r="A92" s="13">
        <v>44287</v>
      </c>
      <c r="B92" s="63">
        <f>3.2451 * CHOOSE(CONTROL!$C$22, $C$13, 100%, $E$13)</f>
        <v>3.2450999999999999</v>
      </c>
      <c r="C92" s="63">
        <f>3.2451 * CHOOSE(CONTROL!$C$22, $C$13, 100%, $E$13)</f>
        <v>3.2450999999999999</v>
      </c>
      <c r="D92" s="63">
        <f>3.2451 * CHOOSE(CONTROL!$C$22, $C$13, 100%, $E$13)</f>
        <v>3.2450999999999999</v>
      </c>
      <c r="E92" s="64">
        <f>3.7198 * CHOOSE(CONTROL!$C$22, $C$13, 100%, $E$13)</f>
        <v>3.7198000000000002</v>
      </c>
      <c r="F92" s="64">
        <f>3.7198 * CHOOSE(CONTROL!$C$22, $C$13, 100%, $E$13)</f>
        <v>3.7198000000000002</v>
      </c>
      <c r="G92" s="64">
        <f>3.7199 * CHOOSE(CONTROL!$C$22, $C$13, 100%, $E$13)</f>
        <v>3.7199</v>
      </c>
      <c r="H92" s="64">
        <f>6.2574* CHOOSE(CONTROL!$C$22, $C$13, 100%, $E$13)</f>
        <v>6.2573999999999996</v>
      </c>
      <c r="I92" s="64">
        <f>6.2575 * CHOOSE(CONTROL!$C$22, $C$13, 100%, $E$13)</f>
        <v>6.2575000000000003</v>
      </c>
      <c r="J92" s="64">
        <f>3.7198 * CHOOSE(CONTROL!$C$22, $C$13, 100%, $E$13)</f>
        <v>3.7198000000000002</v>
      </c>
      <c r="K92" s="64">
        <f>3.7199 * CHOOSE(CONTROL!$C$22, $C$13, 100%, $E$13)</f>
        <v>3.7199</v>
      </c>
      <c r="L92" s="4"/>
      <c r="M92" s="4"/>
      <c r="N92" s="4"/>
    </row>
    <row r="93" spans="1:14" ht="15">
      <c r="A93" s="13">
        <v>44317</v>
      </c>
      <c r="B93" s="63">
        <f>3.2451 * CHOOSE(CONTROL!$C$22, $C$13, 100%, $E$13)</f>
        <v>3.2450999999999999</v>
      </c>
      <c r="C93" s="63">
        <f>3.2451 * CHOOSE(CONTROL!$C$22, $C$13, 100%, $E$13)</f>
        <v>3.2450999999999999</v>
      </c>
      <c r="D93" s="63">
        <f>3.2581 * CHOOSE(CONTROL!$C$22, $C$13, 100%, $E$13)</f>
        <v>3.2581000000000002</v>
      </c>
      <c r="E93" s="64">
        <f>3.7385 * CHOOSE(CONTROL!$C$22, $C$13, 100%, $E$13)</f>
        <v>3.7385000000000002</v>
      </c>
      <c r="F93" s="64">
        <f>3.7385 * CHOOSE(CONTROL!$C$22, $C$13, 100%, $E$13)</f>
        <v>3.7385000000000002</v>
      </c>
      <c r="G93" s="64">
        <f>3.7542 * CHOOSE(CONTROL!$C$22, $C$13, 100%, $E$13)</f>
        <v>3.7542</v>
      </c>
      <c r="H93" s="64">
        <f>6.2705* CHOOSE(CONTROL!$C$22, $C$13, 100%, $E$13)</f>
        <v>6.2705000000000002</v>
      </c>
      <c r="I93" s="64">
        <f>6.2861 * CHOOSE(CONTROL!$C$22, $C$13, 100%, $E$13)</f>
        <v>6.2861000000000002</v>
      </c>
      <c r="J93" s="64">
        <f>3.7385 * CHOOSE(CONTROL!$C$22, $C$13, 100%, $E$13)</f>
        <v>3.7385000000000002</v>
      </c>
      <c r="K93" s="64">
        <f>3.7542 * CHOOSE(CONTROL!$C$22, $C$13, 100%, $E$13)</f>
        <v>3.7542</v>
      </c>
      <c r="L93" s="4"/>
      <c r="M93" s="4"/>
      <c r="N93" s="4"/>
    </row>
    <row r="94" spans="1:14" ht="15">
      <c r="A94" s="13">
        <v>44348</v>
      </c>
      <c r="B94" s="63">
        <f>3.2512 * CHOOSE(CONTROL!$C$22, $C$13, 100%, $E$13)</f>
        <v>3.2511999999999999</v>
      </c>
      <c r="C94" s="63">
        <f>3.2512 * CHOOSE(CONTROL!$C$22, $C$13, 100%, $E$13)</f>
        <v>3.2511999999999999</v>
      </c>
      <c r="D94" s="63">
        <f>3.2641 * CHOOSE(CONTROL!$C$22, $C$13, 100%, $E$13)</f>
        <v>3.2641</v>
      </c>
      <c r="E94" s="64">
        <f>3.724 * CHOOSE(CONTROL!$C$22, $C$13, 100%, $E$13)</f>
        <v>3.7240000000000002</v>
      </c>
      <c r="F94" s="64">
        <f>3.724 * CHOOSE(CONTROL!$C$22, $C$13, 100%, $E$13)</f>
        <v>3.7240000000000002</v>
      </c>
      <c r="G94" s="64">
        <f>3.7397 * CHOOSE(CONTROL!$C$22, $C$13, 100%, $E$13)</f>
        <v>3.7397</v>
      </c>
      <c r="H94" s="64">
        <f>6.2835* CHOOSE(CONTROL!$C$22, $C$13, 100%, $E$13)</f>
        <v>6.2835000000000001</v>
      </c>
      <c r="I94" s="64">
        <f>6.2992 * CHOOSE(CONTROL!$C$22, $C$13, 100%, $E$13)</f>
        <v>6.2991999999999999</v>
      </c>
      <c r="J94" s="64">
        <f>3.724 * CHOOSE(CONTROL!$C$22, $C$13, 100%, $E$13)</f>
        <v>3.7240000000000002</v>
      </c>
      <c r="K94" s="64">
        <f>3.7397 * CHOOSE(CONTROL!$C$22, $C$13, 100%, $E$13)</f>
        <v>3.7397</v>
      </c>
      <c r="L94" s="4"/>
      <c r="M94" s="4"/>
      <c r="N94" s="4"/>
    </row>
    <row r="95" spans="1:14" ht="15">
      <c r="A95" s="13">
        <v>44378</v>
      </c>
      <c r="B95" s="63">
        <f>3.2867 * CHOOSE(CONTROL!$C$22, $C$13, 100%, $E$13)</f>
        <v>3.2867000000000002</v>
      </c>
      <c r="C95" s="63">
        <f>3.2867 * CHOOSE(CONTROL!$C$22, $C$13, 100%, $E$13)</f>
        <v>3.2867000000000002</v>
      </c>
      <c r="D95" s="63">
        <f>3.2997 * CHOOSE(CONTROL!$C$22, $C$13, 100%, $E$13)</f>
        <v>3.2997000000000001</v>
      </c>
      <c r="E95" s="64">
        <f>3.8884 * CHOOSE(CONTROL!$C$22, $C$13, 100%, $E$13)</f>
        <v>3.8883999999999999</v>
      </c>
      <c r="F95" s="64">
        <f>3.8884 * CHOOSE(CONTROL!$C$22, $C$13, 100%, $E$13)</f>
        <v>3.8883999999999999</v>
      </c>
      <c r="G95" s="64">
        <f>3.9041 * CHOOSE(CONTROL!$C$22, $C$13, 100%, $E$13)</f>
        <v>3.9041000000000001</v>
      </c>
      <c r="H95" s="64">
        <f>6.2966* CHOOSE(CONTROL!$C$22, $C$13, 100%, $E$13)</f>
        <v>6.2965999999999998</v>
      </c>
      <c r="I95" s="64">
        <f>6.3123 * CHOOSE(CONTROL!$C$22, $C$13, 100%, $E$13)</f>
        <v>6.3122999999999996</v>
      </c>
      <c r="J95" s="64">
        <f>3.8884 * CHOOSE(CONTROL!$C$22, $C$13, 100%, $E$13)</f>
        <v>3.8883999999999999</v>
      </c>
      <c r="K95" s="64">
        <f>3.9041 * CHOOSE(CONTROL!$C$22, $C$13, 100%, $E$13)</f>
        <v>3.9041000000000001</v>
      </c>
      <c r="L95" s="4"/>
      <c r="M95" s="4"/>
      <c r="N95" s="4"/>
    </row>
    <row r="96" spans="1:14" ht="15">
      <c r="A96" s="13">
        <v>44409</v>
      </c>
      <c r="B96" s="63">
        <f>3.2934 * CHOOSE(CONTROL!$C$22, $C$13, 100%, $E$13)</f>
        <v>3.2934000000000001</v>
      </c>
      <c r="C96" s="63">
        <f>3.2934 * CHOOSE(CONTROL!$C$22, $C$13, 100%, $E$13)</f>
        <v>3.2934000000000001</v>
      </c>
      <c r="D96" s="63">
        <f>3.3063 * CHOOSE(CONTROL!$C$22, $C$13, 100%, $E$13)</f>
        <v>3.3062999999999998</v>
      </c>
      <c r="E96" s="64">
        <f>3.8369 * CHOOSE(CONTROL!$C$22, $C$13, 100%, $E$13)</f>
        <v>3.8369</v>
      </c>
      <c r="F96" s="64">
        <f>3.8369 * CHOOSE(CONTROL!$C$22, $C$13, 100%, $E$13)</f>
        <v>3.8369</v>
      </c>
      <c r="G96" s="64">
        <f>3.8526 * CHOOSE(CONTROL!$C$22, $C$13, 100%, $E$13)</f>
        <v>3.8525999999999998</v>
      </c>
      <c r="H96" s="64">
        <f>6.3097* CHOOSE(CONTROL!$C$22, $C$13, 100%, $E$13)</f>
        <v>6.3097000000000003</v>
      </c>
      <c r="I96" s="64">
        <f>6.3254 * CHOOSE(CONTROL!$C$22, $C$13, 100%, $E$13)</f>
        <v>6.3254000000000001</v>
      </c>
      <c r="J96" s="64">
        <f>3.8369 * CHOOSE(CONTROL!$C$22, $C$13, 100%, $E$13)</f>
        <v>3.8369</v>
      </c>
      <c r="K96" s="64">
        <f>3.8526 * CHOOSE(CONTROL!$C$22, $C$13, 100%, $E$13)</f>
        <v>3.8525999999999998</v>
      </c>
      <c r="L96" s="4"/>
      <c r="M96" s="4"/>
      <c r="N96" s="4"/>
    </row>
    <row r="97" spans="1:14" ht="15">
      <c r="A97" s="13">
        <v>44440</v>
      </c>
      <c r="B97" s="63">
        <f>3.2903 * CHOOSE(CONTROL!$C$22, $C$13, 100%, $E$13)</f>
        <v>3.2902999999999998</v>
      </c>
      <c r="C97" s="63">
        <f>3.2903 * CHOOSE(CONTROL!$C$22, $C$13, 100%, $E$13)</f>
        <v>3.2902999999999998</v>
      </c>
      <c r="D97" s="63">
        <f>3.3033 * CHOOSE(CONTROL!$C$22, $C$13, 100%, $E$13)</f>
        <v>3.3033000000000001</v>
      </c>
      <c r="E97" s="64">
        <f>3.8285 * CHOOSE(CONTROL!$C$22, $C$13, 100%, $E$13)</f>
        <v>3.8285</v>
      </c>
      <c r="F97" s="64">
        <f>3.8285 * CHOOSE(CONTROL!$C$22, $C$13, 100%, $E$13)</f>
        <v>3.8285</v>
      </c>
      <c r="G97" s="64">
        <f>3.8442 * CHOOSE(CONTROL!$C$22, $C$13, 100%, $E$13)</f>
        <v>3.8441999999999998</v>
      </c>
      <c r="H97" s="64">
        <f>6.3229* CHOOSE(CONTROL!$C$22, $C$13, 100%, $E$13)</f>
        <v>6.3228999999999997</v>
      </c>
      <c r="I97" s="64">
        <f>6.3386 * CHOOSE(CONTROL!$C$22, $C$13, 100%, $E$13)</f>
        <v>6.3385999999999996</v>
      </c>
      <c r="J97" s="64">
        <f>3.8285 * CHOOSE(CONTROL!$C$22, $C$13, 100%, $E$13)</f>
        <v>3.8285</v>
      </c>
      <c r="K97" s="64">
        <f>3.8442 * CHOOSE(CONTROL!$C$22, $C$13, 100%, $E$13)</f>
        <v>3.8441999999999998</v>
      </c>
      <c r="L97" s="4"/>
      <c r="M97" s="4"/>
      <c r="N97" s="4"/>
    </row>
    <row r="98" spans="1:14" ht="15">
      <c r="A98" s="13">
        <v>44470</v>
      </c>
      <c r="B98" s="63">
        <f>3.2826 * CHOOSE(CONTROL!$C$22, $C$13, 100%, $E$13)</f>
        <v>3.2826</v>
      </c>
      <c r="C98" s="63">
        <f>3.2826 * CHOOSE(CONTROL!$C$22, $C$13, 100%, $E$13)</f>
        <v>3.2826</v>
      </c>
      <c r="D98" s="63">
        <f>3.2826 * CHOOSE(CONTROL!$C$22, $C$13, 100%, $E$13)</f>
        <v>3.2826</v>
      </c>
      <c r="E98" s="64">
        <f>3.8401 * CHOOSE(CONTROL!$C$22, $C$13, 100%, $E$13)</f>
        <v>3.8401000000000001</v>
      </c>
      <c r="F98" s="64">
        <f>3.8401 * CHOOSE(CONTROL!$C$22, $C$13, 100%, $E$13)</f>
        <v>3.8401000000000001</v>
      </c>
      <c r="G98" s="64">
        <f>3.8402 * CHOOSE(CONTROL!$C$22, $C$13, 100%, $E$13)</f>
        <v>3.8401999999999998</v>
      </c>
      <c r="H98" s="64">
        <f>6.3361* CHOOSE(CONTROL!$C$22, $C$13, 100%, $E$13)</f>
        <v>6.3361000000000001</v>
      </c>
      <c r="I98" s="64">
        <f>6.3361 * CHOOSE(CONTROL!$C$22, $C$13, 100%, $E$13)</f>
        <v>6.3361000000000001</v>
      </c>
      <c r="J98" s="64">
        <f>3.8401 * CHOOSE(CONTROL!$C$22, $C$13, 100%, $E$13)</f>
        <v>3.8401000000000001</v>
      </c>
      <c r="K98" s="64">
        <f>3.8402 * CHOOSE(CONTROL!$C$22, $C$13, 100%, $E$13)</f>
        <v>3.8401999999999998</v>
      </c>
      <c r="L98" s="4"/>
      <c r="M98" s="4"/>
      <c r="N98" s="4"/>
    </row>
    <row r="99" spans="1:14" ht="15">
      <c r="A99" s="13">
        <v>44501</v>
      </c>
      <c r="B99" s="63">
        <f>3.2856 * CHOOSE(CONTROL!$C$22, $C$13, 100%, $E$13)</f>
        <v>3.2856000000000001</v>
      </c>
      <c r="C99" s="63">
        <f>3.2856 * CHOOSE(CONTROL!$C$22, $C$13, 100%, $E$13)</f>
        <v>3.2856000000000001</v>
      </c>
      <c r="D99" s="63">
        <f>3.2856 * CHOOSE(CONTROL!$C$22, $C$13, 100%, $E$13)</f>
        <v>3.2856000000000001</v>
      </c>
      <c r="E99" s="64">
        <f>3.8547 * CHOOSE(CONTROL!$C$22, $C$13, 100%, $E$13)</f>
        <v>3.8546999999999998</v>
      </c>
      <c r="F99" s="64">
        <f>3.8547 * CHOOSE(CONTROL!$C$22, $C$13, 100%, $E$13)</f>
        <v>3.8546999999999998</v>
      </c>
      <c r="G99" s="64">
        <f>3.8547 * CHOOSE(CONTROL!$C$22, $C$13, 100%, $E$13)</f>
        <v>3.8546999999999998</v>
      </c>
      <c r="H99" s="64">
        <f>6.3493* CHOOSE(CONTROL!$C$22, $C$13, 100%, $E$13)</f>
        <v>6.3493000000000004</v>
      </c>
      <c r="I99" s="64">
        <f>6.3493 * CHOOSE(CONTROL!$C$22, $C$13, 100%, $E$13)</f>
        <v>6.3493000000000004</v>
      </c>
      <c r="J99" s="64">
        <f>3.8547 * CHOOSE(CONTROL!$C$22, $C$13, 100%, $E$13)</f>
        <v>3.8546999999999998</v>
      </c>
      <c r="K99" s="64">
        <f>3.8547 * CHOOSE(CONTROL!$C$22, $C$13, 100%, $E$13)</f>
        <v>3.8546999999999998</v>
      </c>
      <c r="L99" s="4"/>
      <c r="M99" s="4"/>
      <c r="N99" s="4"/>
    </row>
    <row r="100" spans="1:14" ht="15">
      <c r="A100" s="13">
        <v>44531</v>
      </c>
      <c r="B100" s="63">
        <f>3.2856 * CHOOSE(CONTROL!$C$22, $C$13, 100%, $E$13)</f>
        <v>3.2856000000000001</v>
      </c>
      <c r="C100" s="63">
        <f>3.2856 * CHOOSE(CONTROL!$C$22, $C$13, 100%, $E$13)</f>
        <v>3.2856000000000001</v>
      </c>
      <c r="D100" s="63">
        <f>3.2856 * CHOOSE(CONTROL!$C$22, $C$13, 100%, $E$13)</f>
        <v>3.2856000000000001</v>
      </c>
      <c r="E100" s="64">
        <f>3.8235 * CHOOSE(CONTROL!$C$22, $C$13, 100%, $E$13)</f>
        <v>3.8235000000000001</v>
      </c>
      <c r="F100" s="64">
        <f>3.8235 * CHOOSE(CONTROL!$C$22, $C$13, 100%, $E$13)</f>
        <v>3.8235000000000001</v>
      </c>
      <c r="G100" s="64">
        <f>3.8236 * CHOOSE(CONTROL!$C$22, $C$13, 100%, $E$13)</f>
        <v>3.8235999999999999</v>
      </c>
      <c r="H100" s="64">
        <f>6.3625* CHOOSE(CONTROL!$C$22, $C$13, 100%, $E$13)</f>
        <v>6.3624999999999998</v>
      </c>
      <c r="I100" s="64">
        <f>6.3626 * CHOOSE(CONTROL!$C$22, $C$13, 100%, $E$13)</f>
        <v>6.3625999999999996</v>
      </c>
      <c r="J100" s="64">
        <f>3.8235 * CHOOSE(CONTROL!$C$22, $C$13, 100%, $E$13)</f>
        <v>3.8235000000000001</v>
      </c>
      <c r="K100" s="64">
        <f>3.8236 * CHOOSE(CONTROL!$C$22, $C$13, 100%, $E$13)</f>
        <v>3.8235999999999999</v>
      </c>
      <c r="L100" s="4"/>
      <c r="M100" s="4"/>
      <c r="N100" s="4"/>
    </row>
    <row r="101" spans="1:14" ht="15">
      <c r="A101" s="13">
        <v>44562</v>
      </c>
      <c r="B101" s="63">
        <f>3.315 * CHOOSE(CONTROL!$C$22, $C$13, 100%, $E$13)</f>
        <v>3.3149999999999999</v>
      </c>
      <c r="C101" s="63">
        <f>3.315 * CHOOSE(CONTROL!$C$22, $C$13, 100%, $E$13)</f>
        <v>3.3149999999999999</v>
      </c>
      <c r="D101" s="63">
        <f>3.3151 * CHOOSE(CONTROL!$C$22, $C$13, 100%, $E$13)</f>
        <v>3.3151000000000002</v>
      </c>
      <c r="E101" s="64">
        <f>3.9024 * CHOOSE(CONTROL!$C$22, $C$13, 100%, $E$13)</f>
        <v>3.9024000000000001</v>
      </c>
      <c r="F101" s="64">
        <f>3.9024 * CHOOSE(CONTROL!$C$22, $C$13, 100%, $E$13)</f>
        <v>3.9024000000000001</v>
      </c>
      <c r="G101" s="64">
        <f>3.9025 * CHOOSE(CONTROL!$C$22, $C$13, 100%, $E$13)</f>
        <v>3.9024999999999999</v>
      </c>
      <c r="H101" s="64">
        <f>6.3757* CHOOSE(CONTROL!$C$22, $C$13, 100%, $E$13)</f>
        <v>6.3757000000000001</v>
      </c>
      <c r="I101" s="64">
        <f>6.3758 * CHOOSE(CONTROL!$C$22, $C$13, 100%, $E$13)</f>
        <v>6.3757999999999999</v>
      </c>
      <c r="J101" s="64">
        <f>3.9024 * CHOOSE(CONTROL!$C$22, $C$13, 100%, $E$13)</f>
        <v>3.9024000000000001</v>
      </c>
      <c r="K101" s="64">
        <f>3.9025 * CHOOSE(CONTROL!$C$22, $C$13, 100%, $E$13)</f>
        <v>3.9024999999999999</v>
      </c>
      <c r="L101" s="4"/>
      <c r="M101" s="4"/>
      <c r="N101" s="4"/>
    </row>
    <row r="102" spans="1:14" ht="15">
      <c r="A102" s="13">
        <v>44593</v>
      </c>
      <c r="B102" s="63">
        <f>3.312 * CHOOSE(CONTROL!$C$22, $C$13, 100%, $E$13)</f>
        <v>3.3119999999999998</v>
      </c>
      <c r="C102" s="63">
        <f>3.312 * CHOOSE(CONTROL!$C$22, $C$13, 100%, $E$13)</f>
        <v>3.3119999999999998</v>
      </c>
      <c r="D102" s="63">
        <f>3.312 * CHOOSE(CONTROL!$C$22, $C$13, 100%, $E$13)</f>
        <v>3.3119999999999998</v>
      </c>
      <c r="E102" s="64">
        <f>3.8381 * CHOOSE(CONTROL!$C$22, $C$13, 100%, $E$13)</f>
        <v>3.8380999999999998</v>
      </c>
      <c r="F102" s="64">
        <f>3.8381 * CHOOSE(CONTROL!$C$22, $C$13, 100%, $E$13)</f>
        <v>3.8380999999999998</v>
      </c>
      <c r="G102" s="64">
        <f>3.8382 * CHOOSE(CONTROL!$C$22, $C$13, 100%, $E$13)</f>
        <v>3.8382000000000001</v>
      </c>
      <c r="H102" s="64">
        <f>6.389* CHOOSE(CONTROL!$C$22, $C$13, 100%, $E$13)</f>
        <v>6.3890000000000002</v>
      </c>
      <c r="I102" s="64">
        <f>6.3891 * CHOOSE(CONTROL!$C$22, $C$13, 100%, $E$13)</f>
        <v>6.3891</v>
      </c>
      <c r="J102" s="64">
        <f>3.8381 * CHOOSE(CONTROL!$C$22, $C$13, 100%, $E$13)</f>
        <v>3.8380999999999998</v>
      </c>
      <c r="K102" s="64">
        <f>3.8382 * CHOOSE(CONTROL!$C$22, $C$13, 100%, $E$13)</f>
        <v>3.8382000000000001</v>
      </c>
      <c r="L102" s="4"/>
      <c r="M102" s="4"/>
      <c r="N102" s="4"/>
    </row>
    <row r="103" spans="1:14" ht="15">
      <c r="A103" s="13">
        <v>44621</v>
      </c>
      <c r="B103" s="63">
        <f>3.309 * CHOOSE(CONTROL!$C$22, $C$13, 100%, $E$13)</f>
        <v>3.3090000000000002</v>
      </c>
      <c r="C103" s="63">
        <f>3.309 * CHOOSE(CONTROL!$C$22, $C$13, 100%, $E$13)</f>
        <v>3.3090000000000002</v>
      </c>
      <c r="D103" s="63">
        <f>3.309 * CHOOSE(CONTROL!$C$22, $C$13, 100%, $E$13)</f>
        <v>3.3090000000000002</v>
      </c>
      <c r="E103" s="64">
        <f>3.885 * CHOOSE(CONTROL!$C$22, $C$13, 100%, $E$13)</f>
        <v>3.8849999999999998</v>
      </c>
      <c r="F103" s="64">
        <f>3.885 * CHOOSE(CONTROL!$C$22, $C$13, 100%, $E$13)</f>
        <v>3.8849999999999998</v>
      </c>
      <c r="G103" s="64">
        <f>3.8851 * CHOOSE(CONTROL!$C$22, $C$13, 100%, $E$13)</f>
        <v>3.8851</v>
      </c>
      <c r="H103" s="64">
        <f>6.4023* CHOOSE(CONTROL!$C$22, $C$13, 100%, $E$13)</f>
        <v>6.4023000000000003</v>
      </c>
      <c r="I103" s="64">
        <f>6.4024 * CHOOSE(CONTROL!$C$22, $C$13, 100%, $E$13)</f>
        <v>6.4024000000000001</v>
      </c>
      <c r="J103" s="64">
        <f>3.885 * CHOOSE(CONTROL!$C$22, $C$13, 100%, $E$13)</f>
        <v>3.8849999999999998</v>
      </c>
      <c r="K103" s="64">
        <f>3.8851 * CHOOSE(CONTROL!$C$22, $C$13, 100%, $E$13)</f>
        <v>3.8851</v>
      </c>
      <c r="L103" s="4"/>
      <c r="M103" s="4"/>
      <c r="N103" s="4"/>
    </row>
    <row r="104" spans="1:14" ht="15">
      <c r="A104" s="13">
        <v>44652</v>
      </c>
      <c r="B104" s="63">
        <f>3.3059 * CHOOSE(CONTROL!$C$22, $C$13, 100%, $E$13)</f>
        <v>3.3058999999999998</v>
      </c>
      <c r="C104" s="63">
        <f>3.3059 * CHOOSE(CONTROL!$C$22, $C$13, 100%, $E$13)</f>
        <v>3.3058999999999998</v>
      </c>
      <c r="D104" s="63">
        <f>3.3059 * CHOOSE(CONTROL!$C$22, $C$13, 100%, $E$13)</f>
        <v>3.3058999999999998</v>
      </c>
      <c r="E104" s="64">
        <f>3.9334 * CHOOSE(CONTROL!$C$22, $C$13, 100%, $E$13)</f>
        <v>3.9333999999999998</v>
      </c>
      <c r="F104" s="64">
        <f>3.9334 * CHOOSE(CONTROL!$C$22, $C$13, 100%, $E$13)</f>
        <v>3.9333999999999998</v>
      </c>
      <c r="G104" s="64">
        <f>3.9335 * CHOOSE(CONTROL!$C$22, $C$13, 100%, $E$13)</f>
        <v>3.9335</v>
      </c>
      <c r="H104" s="64">
        <f>6.4157* CHOOSE(CONTROL!$C$22, $C$13, 100%, $E$13)</f>
        <v>6.4157000000000002</v>
      </c>
      <c r="I104" s="64">
        <f>6.4157 * CHOOSE(CONTROL!$C$22, $C$13, 100%, $E$13)</f>
        <v>6.4157000000000002</v>
      </c>
      <c r="J104" s="64">
        <f>3.9334 * CHOOSE(CONTROL!$C$22, $C$13, 100%, $E$13)</f>
        <v>3.9333999999999998</v>
      </c>
      <c r="K104" s="64">
        <f>3.9335 * CHOOSE(CONTROL!$C$22, $C$13, 100%, $E$13)</f>
        <v>3.9335</v>
      </c>
      <c r="L104" s="4"/>
      <c r="M104" s="4"/>
      <c r="N104" s="4"/>
    </row>
    <row r="105" spans="1:14" ht="15">
      <c r="A105" s="13">
        <v>44682</v>
      </c>
      <c r="B105" s="63">
        <f>3.3059 * CHOOSE(CONTROL!$C$22, $C$13, 100%, $E$13)</f>
        <v>3.3058999999999998</v>
      </c>
      <c r="C105" s="63">
        <f>3.3059 * CHOOSE(CONTROL!$C$22, $C$13, 100%, $E$13)</f>
        <v>3.3058999999999998</v>
      </c>
      <c r="D105" s="63">
        <f>3.3189 * CHOOSE(CONTROL!$C$22, $C$13, 100%, $E$13)</f>
        <v>3.3189000000000002</v>
      </c>
      <c r="E105" s="64">
        <f>3.9531 * CHOOSE(CONTROL!$C$22, $C$13, 100%, $E$13)</f>
        <v>3.9531000000000001</v>
      </c>
      <c r="F105" s="64">
        <f>3.9531 * CHOOSE(CONTROL!$C$22, $C$13, 100%, $E$13)</f>
        <v>3.9531000000000001</v>
      </c>
      <c r="G105" s="64">
        <f>3.9688 * CHOOSE(CONTROL!$C$22, $C$13, 100%, $E$13)</f>
        <v>3.9687999999999999</v>
      </c>
      <c r="H105" s="64">
        <f>6.429* CHOOSE(CONTROL!$C$22, $C$13, 100%, $E$13)</f>
        <v>6.4290000000000003</v>
      </c>
      <c r="I105" s="64">
        <f>6.4447 * CHOOSE(CONTROL!$C$22, $C$13, 100%, $E$13)</f>
        <v>6.4447000000000001</v>
      </c>
      <c r="J105" s="64">
        <f>3.9531 * CHOOSE(CONTROL!$C$22, $C$13, 100%, $E$13)</f>
        <v>3.9531000000000001</v>
      </c>
      <c r="K105" s="64">
        <f>3.9688 * CHOOSE(CONTROL!$C$22, $C$13, 100%, $E$13)</f>
        <v>3.9687999999999999</v>
      </c>
      <c r="L105" s="4"/>
      <c r="M105" s="4"/>
      <c r="N105" s="4"/>
    </row>
    <row r="106" spans="1:14" ht="15">
      <c r="A106" s="13">
        <v>44713</v>
      </c>
      <c r="B106" s="63">
        <f>3.312 * CHOOSE(CONTROL!$C$22, $C$13, 100%, $E$13)</f>
        <v>3.3119999999999998</v>
      </c>
      <c r="C106" s="63">
        <f>3.312 * CHOOSE(CONTROL!$C$22, $C$13, 100%, $E$13)</f>
        <v>3.3119999999999998</v>
      </c>
      <c r="D106" s="63">
        <f>3.325 * CHOOSE(CONTROL!$C$22, $C$13, 100%, $E$13)</f>
        <v>3.3250000000000002</v>
      </c>
      <c r="E106" s="64">
        <f>3.9376 * CHOOSE(CONTROL!$C$22, $C$13, 100%, $E$13)</f>
        <v>3.9376000000000002</v>
      </c>
      <c r="F106" s="64">
        <f>3.9376 * CHOOSE(CONTROL!$C$22, $C$13, 100%, $E$13)</f>
        <v>3.9376000000000002</v>
      </c>
      <c r="G106" s="64">
        <f>3.9533 * CHOOSE(CONTROL!$C$22, $C$13, 100%, $E$13)</f>
        <v>3.9533</v>
      </c>
      <c r="H106" s="64">
        <f>6.4424* CHOOSE(CONTROL!$C$22, $C$13, 100%, $E$13)</f>
        <v>6.4424000000000001</v>
      </c>
      <c r="I106" s="64">
        <f>6.4581 * CHOOSE(CONTROL!$C$22, $C$13, 100%, $E$13)</f>
        <v>6.4581</v>
      </c>
      <c r="J106" s="64">
        <f>3.9376 * CHOOSE(CONTROL!$C$22, $C$13, 100%, $E$13)</f>
        <v>3.9376000000000002</v>
      </c>
      <c r="K106" s="64">
        <f>3.9533 * CHOOSE(CONTROL!$C$22, $C$13, 100%, $E$13)</f>
        <v>3.9533</v>
      </c>
      <c r="L106" s="4"/>
      <c r="M106" s="4"/>
      <c r="N106" s="4"/>
    </row>
    <row r="107" spans="1:14" ht="15">
      <c r="A107" s="13">
        <v>44743</v>
      </c>
      <c r="B107" s="63">
        <f>3.3675 * CHOOSE(CONTROL!$C$22, $C$13, 100%, $E$13)</f>
        <v>3.3675000000000002</v>
      </c>
      <c r="C107" s="63">
        <f>3.3675 * CHOOSE(CONTROL!$C$22, $C$13, 100%, $E$13)</f>
        <v>3.3675000000000002</v>
      </c>
      <c r="D107" s="63">
        <f>3.3804 * CHOOSE(CONTROL!$C$22, $C$13, 100%, $E$13)</f>
        <v>3.3803999999999998</v>
      </c>
      <c r="E107" s="64">
        <f>4.0252 * CHOOSE(CONTROL!$C$22, $C$13, 100%, $E$13)</f>
        <v>4.0251999999999999</v>
      </c>
      <c r="F107" s="64">
        <f>4.0252 * CHOOSE(CONTROL!$C$22, $C$13, 100%, $E$13)</f>
        <v>4.0251999999999999</v>
      </c>
      <c r="G107" s="64">
        <f>4.0409 * CHOOSE(CONTROL!$C$22, $C$13, 100%, $E$13)</f>
        <v>4.0408999999999997</v>
      </c>
      <c r="H107" s="64">
        <f>6.4558* CHOOSE(CONTROL!$C$22, $C$13, 100%, $E$13)</f>
        <v>6.4558</v>
      </c>
      <c r="I107" s="64">
        <f>6.4715 * CHOOSE(CONTROL!$C$22, $C$13, 100%, $E$13)</f>
        <v>6.4714999999999998</v>
      </c>
      <c r="J107" s="64">
        <f>4.0252 * CHOOSE(CONTROL!$C$22, $C$13, 100%, $E$13)</f>
        <v>4.0251999999999999</v>
      </c>
      <c r="K107" s="64">
        <f>4.0409 * CHOOSE(CONTROL!$C$22, $C$13, 100%, $E$13)</f>
        <v>4.0408999999999997</v>
      </c>
      <c r="L107" s="4"/>
      <c r="M107" s="4"/>
      <c r="N107" s="4"/>
    </row>
    <row r="108" spans="1:14" ht="15">
      <c r="A108" s="13">
        <v>44774</v>
      </c>
      <c r="B108" s="63">
        <f>3.3742 * CHOOSE(CONTROL!$C$22, $C$13, 100%, $E$13)</f>
        <v>3.3742000000000001</v>
      </c>
      <c r="C108" s="63">
        <f>3.3742 * CHOOSE(CONTROL!$C$22, $C$13, 100%, $E$13)</f>
        <v>3.3742000000000001</v>
      </c>
      <c r="D108" s="63">
        <f>3.3871 * CHOOSE(CONTROL!$C$22, $C$13, 100%, $E$13)</f>
        <v>3.3871000000000002</v>
      </c>
      <c r="E108" s="64">
        <f>3.9706 * CHOOSE(CONTROL!$C$22, $C$13, 100%, $E$13)</f>
        <v>3.9706000000000001</v>
      </c>
      <c r="F108" s="64">
        <f>3.9706 * CHOOSE(CONTROL!$C$22, $C$13, 100%, $E$13)</f>
        <v>3.9706000000000001</v>
      </c>
      <c r="G108" s="64">
        <f>3.9863 * CHOOSE(CONTROL!$C$22, $C$13, 100%, $E$13)</f>
        <v>3.9863</v>
      </c>
      <c r="H108" s="64">
        <f>6.4693* CHOOSE(CONTROL!$C$22, $C$13, 100%, $E$13)</f>
        <v>6.4692999999999996</v>
      </c>
      <c r="I108" s="64">
        <f>6.485 * CHOOSE(CONTROL!$C$22, $C$13, 100%, $E$13)</f>
        <v>6.4850000000000003</v>
      </c>
      <c r="J108" s="64">
        <f>3.9706 * CHOOSE(CONTROL!$C$22, $C$13, 100%, $E$13)</f>
        <v>3.9706000000000001</v>
      </c>
      <c r="K108" s="64">
        <f>3.9863 * CHOOSE(CONTROL!$C$22, $C$13, 100%, $E$13)</f>
        <v>3.9863</v>
      </c>
      <c r="L108" s="4"/>
      <c r="M108" s="4"/>
      <c r="N108" s="4"/>
    </row>
    <row r="109" spans="1:14" ht="15">
      <c r="A109" s="13">
        <v>44805</v>
      </c>
      <c r="B109" s="63">
        <f>3.3711 * CHOOSE(CONTROL!$C$22, $C$13, 100%, $E$13)</f>
        <v>3.3711000000000002</v>
      </c>
      <c r="C109" s="63">
        <f>3.3711 * CHOOSE(CONTROL!$C$22, $C$13, 100%, $E$13)</f>
        <v>3.3711000000000002</v>
      </c>
      <c r="D109" s="63">
        <f>3.3841 * CHOOSE(CONTROL!$C$22, $C$13, 100%, $E$13)</f>
        <v>3.3841000000000001</v>
      </c>
      <c r="E109" s="64">
        <f>3.9619 * CHOOSE(CONTROL!$C$22, $C$13, 100%, $E$13)</f>
        <v>3.9619</v>
      </c>
      <c r="F109" s="64">
        <f>3.9619 * CHOOSE(CONTROL!$C$22, $C$13, 100%, $E$13)</f>
        <v>3.9619</v>
      </c>
      <c r="G109" s="64">
        <f>3.9776 * CHOOSE(CONTROL!$C$22, $C$13, 100%, $E$13)</f>
        <v>3.9775999999999998</v>
      </c>
      <c r="H109" s="64">
        <f>6.4828* CHOOSE(CONTROL!$C$22, $C$13, 100%, $E$13)</f>
        <v>6.4828000000000001</v>
      </c>
      <c r="I109" s="64">
        <f>6.4985 * CHOOSE(CONTROL!$C$22, $C$13, 100%, $E$13)</f>
        <v>6.4984999999999999</v>
      </c>
      <c r="J109" s="64">
        <f>3.9619 * CHOOSE(CONTROL!$C$22, $C$13, 100%, $E$13)</f>
        <v>3.9619</v>
      </c>
      <c r="K109" s="64">
        <f>3.9776 * CHOOSE(CONTROL!$C$22, $C$13, 100%, $E$13)</f>
        <v>3.9775999999999998</v>
      </c>
      <c r="L109" s="4"/>
      <c r="M109" s="4"/>
      <c r="N109" s="4"/>
    </row>
    <row r="110" spans="1:14" ht="15">
      <c r="A110" s="13">
        <v>44835</v>
      </c>
      <c r="B110" s="63">
        <f>3.3637 * CHOOSE(CONTROL!$C$22, $C$13, 100%, $E$13)</f>
        <v>3.3637000000000001</v>
      </c>
      <c r="C110" s="63">
        <f>3.3637 * CHOOSE(CONTROL!$C$22, $C$13, 100%, $E$13)</f>
        <v>3.3637000000000001</v>
      </c>
      <c r="D110" s="63">
        <f>3.3637 * CHOOSE(CONTROL!$C$22, $C$13, 100%, $E$13)</f>
        <v>3.3637000000000001</v>
      </c>
      <c r="E110" s="64">
        <f>3.9748 * CHOOSE(CONTROL!$C$22, $C$13, 100%, $E$13)</f>
        <v>3.9748000000000001</v>
      </c>
      <c r="F110" s="64">
        <f>3.9748 * CHOOSE(CONTROL!$C$22, $C$13, 100%, $E$13)</f>
        <v>3.9748000000000001</v>
      </c>
      <c r="G110" s="64">
        <f>3.9749 * CHOOSE(CONTROL!$C$22, $C$13, 100%, $E$13)</f>
        <v>3.9748999999999999</v>
      </c>
      <c r="H110" s="64">
        <f>6.4963* CHOOSE(CONTROL!$C$22, $C$13, 100%, $E$13)</f>
        <v>6.4962999999999997</v>
      </c>
      <c r="I110" s="64">
        <f>6.4964 * CHOOSE(CONTROL!$C$22, $C$13, 100%, $E$13)</f>
        <v>6.4964000000000004</v>
      </c>
      <c r="J110" s="64">
        <f>3.9748 * CHOOSE(CONTROL!$C$22, $C$13, 100%, $E$13)</f>
        <v>3.9748000000000001</v>
      </c>
      <c r="K110" s="64">
        <f>3.9749 * CHOOSE(CONTROL!$C$22, $C$13, 100%, $E$13)</f>
        <v>3.9748999999999999</v>
      </c>
      <c r="L110" s="4"/>
      <c r="M110" s="4"/>
      <c r="N110" s="4"/>
    </row>
    <row r="111" spans="1:14" ht="15">
      <c r="A111" s="13">
        <v>44866</v>
      </c>
      <c r="B111" s="63">
        <f>3.3667 * CHOOSE(CONTROL!$C$22, $C$13, 100%, $E$13)</f>
        <v>3.3666999999999998</v>
      </c>
      <c r="C111" s="63">
        <f>3.3667 * CHOOSE(CONTROL!$C$22, $C$13, 100%, $E$13)</f>
        <v>3.3666999999999998</v>
      </c>
      <c r="D111" s="63">
        <f>3.3667 * CHOOSE(CONTROL!$C$22, $C$13, 100%, $E$13)</f>
        <v>3.3666999999999998</v>
      </c>
      <c r="E111" s="64">
        <f>3.9901 * CHOOSE(CONTROL!$C$22, $C$13, 100%, $E$13)</f>
        <v>3.9901</v>
      </c>
      <c r="F111" s="64">
        <f>3.9901 * CHOOSE(CONTROL!$C$22, $C$13, 100%, $E$13)</f>
        <v>3.9901</v>
      </c>
      <c r="G111" s="64">
        <f>3.9902 * CHOOSE(CONTROL!$C$22, $C$13, 100%, $E$13)</f>
        <v>3.9902000000000002</v>
      </c>
      <c r="H111" s="64">
        <f>6.5098* CHOOSE(CONTROL!$C$22, $C$13, 100%, $E$13)</f>
        <v>6.5098000000000003</v>
      </c>
      <c r="I111" s="64">
        <f>6.5099 * CHOOSE(CONTROL!$C$22, $C$13, 100%, $E$13)</f>
        <v>6.5099</v>
      </c>
      <c r="J111" s="64">
        <f>3.9901 * CHOOSE(CONTROL!$C$22, $C$13, 100%, $E$13)</f>
        <v>3.9901</v>
      </c>
      <c r="K111" s="64">
        <f>3.9902 * CHOOSE(CONTROL!$C$22, $C$13, 100%, $E$13)</f>
        <v>3.9902000000000002</v>
      </c>
      <c r="L111" s="4"/>
      <c r="M111" s="4"/>
      <c r="N111" s="4"/>
    </row>
    <row r="112" spans="1:14" ht="15">
      <c r="A112" s="13">
        <v>44896</v>
      </c>
      <c r="B112" s="63">
        <f>3.3667 * CHOOSE(CONTROL!$C$22, $C$13, 100%, $E$13)</f>
        <v>3.3666999999999998</v>
      </c>
      <c r="C112" s="63">
        <f>3.3667 * CHOOSE(CONTROL!$C$22, $C$13, 100%, $E$13)</f>
        <v>3.3666999999999998</v>
      </c>
      <c r="D112" s="63">
        <f>3.3667 * CHOOSE(CONTROL!$C$22, $C$13, 100%, $E$13)</f>
        <v>3.3666999999999998</v>
      </c>
      <c r="E112" s="64">
        <f>3.9572 * CHOOSE(CONTROL!$C$22, $C$13, 100%, $E$13)</f>
        <v>3.9571999999999998</v>
      </c>
      <c r="F112" s="64">
        <f>3.9572 * CHOOSE(CONTROL!$C$22, $C$13, 100%, $E$13)</f>
        <v>3.9571999999999998</v>
      </c>
      <c r="G112" s="64">
        <f>3.9573 * CHOOSE(CONTROL!$C$22, $C$13, 100%, $E$13)</f>
        <v>3.9573</v>
      </c>
      <c r="H112" s="64">
        <f>6.5234* CHOOSE(CONTROL!$C$22, $C$13, 100%, $E$13)</f>
        <v>6.5233999999999996</v>
      </c>
      <c r="I112" s="64">
        <f>6.5235 * CHOOSE(CONTROL!$C$22, $C$13, 100%, $E$13)</f>
        <v>6.5235000000000003</v>
      </c>
      <c r="J112" s="64">
        <f>3.9572 * CHOOSE(CONTROL!$C$22, $C$13, 100%, $E$13)</f>
        <v>3.9571999999999998</v>
      </c>
      <c r="K112" s="64">
        <f>3.9573 * CHOOSE(CONTROL!$C$22, $C$13, 100%, $E$13)</f>
        <v>3.9573</v>
      </c>
      <c r="L112" s="4"/>
      <c r="M112" s="4"/>
      <c r="N112" s="4"/>
    </row>
    <row r="113" spans="1:14" ht="15">
      <c r="A113" s="13">
        <v>44927</v>
      </c>
      <c r="B113" s="63">
        <f>3.3924 * CHOOSE(CONTROL!$C$22, $C$13, 100%, $E$13)</f>
        <v>3.3923999999999999</v>
      </c>
      <c r="C113" s="63">
        <f>3.3924 * CHOOSE(CONTROL!$C$22, $C$13, 100%, $E$13)</f>
        <v>3.3923999999999999</v>
      </c>
      <c r="D113" s="63">
        <f>3.3924 * CHOOSE(CONTROL!$C$22, $C$13, 100%, $E$13)</f>
        <v>3.3923999999999999</v>
      </c>
      <c r="E113" s="64">
        <f>4.0337 * CHOOSE(CONTROL!$C$22, $C$13, 100%, $E$13)</f>
        <v>4.0336999999999996</v>
      </c>
      <c r="F113" s="64">
        <f>4.0337 * CHOOSE(CONTROL!$C$22, $C$13, 100%, $E$13)</f>
        <v>4.0336999999999996</v>
      </c>
      <c r="G113" s="64">
        <f>4.0338 * CHOOSE(CONTROL!$C$22, $C$13, 100%, $E$13)</f>
        <v>4.0338000000000003</v>
      </c>
      <c r="H113" s="64">
        <f>6.537* CHOOSE(CONTROL!$C$22, $C$13, 100%, $E$13)</f>
        <v>6.5369999999999999</v>
      </c>
      <c r="I113" s="64">
        <f>6.537 * CHOOSE(CONTROL!$C$22, $C$13, 100%, $E$13)</f>
        <v>6.5369999999999999</v>
      </c>
      <c r="J113" s="64">
        <f>4.0337 * CHOOSE(CONTROL!$C$22, $C$13, 100%, $E$13)</f>
        <v>4.0336999999999996</v>
      </c>
      <c r="K113" s="64">
        <f>4.0338 * CHOOSE(CONTROL!$C$22, $C$13, 100%, $E$13)</f>
        <v>4.0338000000000003</v>
      </c>
      <c r="L113" s="4"/>
      <c r="M113" s="4"/>
      <c r="N113" s="4"/>
    </row>
    <row r="114" spans="1:14" ht="15">
      <c r="A114" s="13">
        <v>44958</v>
      </c>
      <c r="B114" s="63">
        <f>3.3894 * CHOOSE(CONTROL!$C$22, $C$13, 100%, $E$13)</f>
        <v>3.3894000000000002</v>
      </c>
      <c r="C114" s="63">
        <f>3.3894 * CHOOSE(CONTROL!$C$22, $C$13, 100%, $E$13)</f>
        <v>3.3894000000000002</v>
      </c>
      <c r="D114" s="63">
        <f>3.3894 * CHOOSE(CONTROL!$C$22, $C$13, 100%, $E$13)</f>
        <v>3.3894000000000002</v>
      </c>
      <c r="E114" s="64">
        <f>3.9661 * CHOOSE(CONTROL!$C$22, $C$13, 100%, $E$13)</f>
        <v>3.9661</v>
      </c>
      <c r="F114" s="64">
        <f>3.9661 * CHOOSE(CONTROL!$C$22, $C$13, 100%, $E$13)</f>
        <v>3.9661</v>
      </c>
      <c r="G114" s="64">
        <f>3.9662 * CHOOSE(CONTROL!$C$22, $C$13, 100%, $E$13)</f>
        <v>3.9662000000000002</v>
      </c>
      <c r="H114" s="64">
        <f>6.5506* CHOOSE(CONTROL!$C$22, $C$13, 100%, $E$13)</f>
        <v>6.5506000000000002</v>
      </c>
      <c r="I114" s="64">
        <f>6.5507 * CHOOSE(CONTROL!$C$22, $C$13, 100%, $E$13)</f>
        <v>6.5507</v>
      </c>
      <c r="J114" s="64">
        <f>3.9661 * CHOOSE(CONTROL!$C$22, $C$13, 100%, $E$13)</f>
        <v>3.9661</v>
      </c>
      <c r="K114" s="64">
        <f>3.9662 * CHOOSE(CONTROL!$C$22, $C$13, 100%, $E$13)</f>
        <v>3.9662000000000002</v>
      </c>
      <c r="L114" s="4"/>
      <c r="M114" s="4"/>
      <c r="N114" s="4"/>
    </row>
    <row r="115" spans="1:14" ht="15">
      <c r="A115" s="13">
        <v>44986</v>
      </c>
      <c r="B115" s="63">
        <f>3.3863 * CHOOSE(CONTROL!$C$22, $C$13, 100%, $E$13)</f>
        <v>3.3862999999999999</v>
      </c>
      <c r="C115" s="63">
        <f>3.3863 * CHOOSE(CONTROL!$C$22, $C$13, 100%, $E$13)</f>
        <v>3.3862999999999999</v>
      </c>
      <c r="D115" s="63">
        <f>3.3863 * CHOOSE(CONTROL!$C$22, $C$13, 100%, $E$13)</f>
        <v>3.3862999999999999</v>
      </c>
      <c r="E115" s="64">
        <f>4.0156 * CHOOSE(CONTROL!$C$22, $C$13, 100%, $E$13)</f>
        <v>4.0156000000000001</v>
      </c>
      <c r="F115" s="64">
        <f>4.0156 * CHOOSE(CONTROL!$C$22, $C$13, 100%, $E$13)</f>
        <v>4.0156000000000001</v>
      </c>
      <c r="G115" s="64">
        <f>4.0157 * CHOOSE(CONTROL!$C$22, $C$13, 100%, $E$13)</f>
        <v>4.0156999999999998</v>
      </c>
      <c r="H115" s="64">
        <f>6.5642* CHOOSE(CONTROL!$C$22, $C$13, 100%, $E$13)</f>
        <v>6.5641999999999996</v>
      </c>
      <c r="I115" s="64">
        <f>6.5643 * CHOOSE(CONTROL!$C$22, $C$13, 100%, $E$13)</f>
        <v>6.5643000000000002</v>
      </c>
      <c r="J115" s="64">
        <f>4.0156 * CHOOSE(CONTROL!$C$22, $C$13, 100%, $E$13)</f>
        <v>4.0156000000000001</v>
      </c>
      <c r="K115" s="64">
        <f>4.0157 * CHOOSE(CONTROL!$C$22, $C$13, 100%, $E$13)</f>
        <v>4.0156999999999998</v>
      </c>
      <c r="L115" s="4"/>
      <c r="M115" s="4"/>
      <c r="N115" s="4"/>
    </row>
    <row r="116" spans="1:14" ht="15">
      <c r="A116" s="13">
        <v>45017</v>
      </c>
      <c r="B116" s="63">
        <f>3.3833 * CHOOSE(CONTROL!$C$22, $C$13, 100%, $E$13)</f>
        <v>3.3833000000000002</v>
      </c>
      <c r="C116" s="63">
        <f>3.3833 * CHOOSE(CONTROL!$C$22, $C$13, 100%, $E$13)</f>
        <v>3.3833000000000002</v>
      </c>
      <c r="D116" s="63">
        <f>3.3833 * CHOOSE(CONTROL!$C$22, $C$13, 100%, $E$13)</f>
        <v>3.3833000000000002</v>
      </c>
      <c r="E116" s="64">
        <f>4.0669 * CHOOSE(CONTROL!$C$22, $C$13, 100%, $E$13)</f>
        <v>4.0669000000000004</v>
      </c>
      <c r="F116" s="64">
        <f>4.0669 * CHOOSE(CONTROL!$C$22, $C$13, 100%, $E$13)</f>
        <v>4.0669000000000004</v>
      </c>
      <c r="G116" s="64">
        <f>4.067 * CHOOSE(CONTROL!$C$22, $C$13, 100%, $E$13)</f>
        <v>4.0670000000000002</v>
      </c>
      <c r="H116" s="64">
        <f>6.5779* CHOOSE(CONTROL!$C$22, $C$13, 100%, $E$13)</f>
        <v>6.5778999999999996</v>
      </c>
      <c r="I116" s="64">
        <f>6.578 * CHOOSE(CONTROL!$C$22, $C$13, 100%, $E$13)</f>
        <v>6.5780000000000003</v>
      </c>
      <c r="J116" s="64">
        <f>4.0669 * CHOOSE(CONTROL!$C$22, $C$13, 100%, $E$13)</f>
        <v>4.0669000000000004</v>
      </c>
      <c r="K116" s="64">
        <f>4.067 * CHOOSE(CONTROL!$C$22, $C$13, 100%, $E$13)</f>
        <v>4.0670000000000002</v>
      </c>
      <c r="L116" s="4"/>
      <c r="M116" s="4"/>
      <c r="N116" s="4"/>
    </row>
    <row r="117" spans="1:14" ht="15">
      <c r="A117" s="13">
        <v>45047</v>
      </c>
      <c r="B117" s="63">
        <f>3.3833 * CHOOSE(CONTROL!$C$22, $C$13, 100%, $E$13)</f>
        <v>3.3833000000000002</v>
      </c>
      <c r="C117" s="63">
        <f>3.3833 * CHOOSE(CONTROL!$C$22, $C$13, 100%, $E$13)</f>
        <v>3.3833000000000002</v>
      </c>
      <c r="D117" s="63">
        <f>3.3963 * CHOOSE(CONTROL!$C$22, $C$13, 100%, $E$13)</f>
        <v>3.3963000000000001</v>
      </c>
      <c r="E117" s="64">
        <f>4.0877 * CHOOSE(CONTROL!$C$22, $C$13, 100%, $E$13)</f>
        <v>4.0876999999999999</v>
      </c>
      <c r="F117" s="64">
        <f>4.0877 * CHOOSE(CONTROL!$C$22, $C$13, 100%, $E$13)</f>
        <v>4.0876999999999999</v>
      </c>
      <c r="G117" s="64">
        <f>4.1034 * CHOOSE(CONTROL!$C$22, $C$13, 100%, $E$13)</f>
        <v>4.1033999999999997</v>
      </c>
      <c r="H117" s="64">
        <f>6.5916* CHOOSE(CONTROL!$C$22, $C$13, 100%, $E$13)</f>
        <v>6.5915999999999997</v>
      </c>
      <c r="I117" s="64">
        <f>6.6073 * CHOOSE(CONTROL!$C$22, $C$13, 100%, $E$13)</f>
        <v>6.6073000000000004</v>
      </c>
      <c r="J117" s="64">
        <f>4.0877 * CHOOSE(CONTROL!$C$22, $C$13, 100%, $E$13)</f>
        <v>4.0876999999999999</v>
      </c>
      <c r="K117" s="64">
        <f>4.1034 * CHOOSE(CONTROL!$C$22, $C$13, 100%, $E$13)</f>
        <v>4.1033999999999997</v>
      </c>
      <c r="L117" s="4"/>
      <c r="M117" s="4"/>
      <c r="N117" s="4"/>
    </row>
    <row r="118" spans="1:14" ht="15">
      <c r="A118" s="13">
        <v>45078</v>
      </c>
      <c r="B118" s="63">
        <f>3.3894 * CHOOSE(CONTROL!$C$22, $C$13, 100%, $E$13)</f>
        <v>3.3894000000000002</v>
      </c>
      <c r="C118" s="63">
        <f>3.3894 * CHOOSE(CONTROL!$C$22, $C$13, 100%, $E$13)</f>
        <v>3.3894000000000002</v>
      </c>
      <c r="D118" s="63">
        <f>3.4024 * CHOOSE(CONTROL!$C$22, $C$13, 100%, $E$13)</f>
        <v>3.4024000000000001</v>
      </c>
      <c r="E118" s="64">
        <f>4.0711 * CHOOSE(CONTROL!$C$22, $C$13, 100%, $E$13)</f>
        <v>4.0711000000000004</v>
      </c>
      <c r="F118" s="64">
        <f>4.0711 * CHOOSE(CONTROL!$C$22, $C$13, 100%, $E$13)</f>
        <v>4.0711000000000004</v>
      </c>
      <c r="G118" s="64">
        <f>4.0868 * CHOOSE(CONTROL!$C$22, $C$13, 100%, $E$13)</f>
        <v>4.0868000000000002</v>
      </c>
      <c r="H118" s="64">
        <f>6.6053* CHOOSE(CONTROL!$C$22, $C$13, 100%, $E$13)</f>
        <v>6.6052999999999997</v>
      </c>
      <c r="I118" s="64">
        <f>6.621 * CHOOSE(CONTROL!$C$22, $C$13, 100%, $E$13)</f>
        <v>6.6210000000000004</v>
      </c>
      <c r="J118" s="64">
        <f>4.0711 * CHOOSE(CONTROL!$C$22, $C$13, 100%, $E$13)</f>
        <v>4.0711000000000004</v>
      </c>
      <c r="K118" s="64">
        <f>4.0868 * CHOOSE(CONTROL!$C$22, $C$13, 100%, $E$13)</f>
        <v>4.0868000000000002</v>
      </c>
      <c r="L118" s="4"/>
      <c r="M118" s="4"/>
      <c r="N118" s="4"/>
    </row>
    <row r="119" spans="1:14" ht="15">
      <c r="A119" s="13">
        <v>45108</v>
      </c>
      <c r="B119" s="63">
        <f>3.4356 * CHOOSE(CONTROL!$C$22, $C$13, 100%, $E$13)</f>
        <v>3.4356</v>
      </c>
      <c r="C119" s="63">
        <f>3.4356 * CHOOSE(CONTROL!$C$22, $C$13, 100%, $E$13)</f>
        <v>3.4356</v>
      </c>
      <c r="D119" s="63">
        <f>3.4486 * CHOOSE(CONTROL!$C$22, $C$13, 100%, $E$13)</f>
        <v>3.4485999999999999</v>
      </c>
      <c r="E119" s="64">
        <f>4.1492 * CHOOSE(CONTROL!$C$22, $C$13, 100%, $E$13)</f>
        <v>4.1492000000000004</v>
      </c>
      <c r="F119" s="64">
        <f>4.1492 * CHOOSE(CONTROL!$C$22, $C$13, 100%, $E$13)</f>
        <v>4.1492000000000004</v>
      </c>
      <c r="G119" s="64">
        <f>4.1649 * CHOOSE(CONTROL!$C$22, $C$13, 100%, $E$13)</f>
        <v>4.1649000000000003</v>
      </c>
      <c r="H119" s="64">
        <f>6.6191* CHOOSE(CONTROL!$C$22, $C$13, 100%, $E$13)</f>
        <v>6.6191000000000004</v>
      </c>
      <c r="I119" s="64">
        <f>6.6348 * CHOOSE(CONTROL!$C$22, $C$13, 100%, $E$13)</f>
        <v>6.6348000000000003</v>
      </c>
      <c r="J119" s="64">
        <f>4.1492 * CHOOSE(CONTROL!$C$22, $C$13, 100%, $E$13)</f>
        <v>4.1492000000000004</v>
      </c>
      <c r="K119" s="64">
        <f>4.1649 * CHOOSE(CONTROL!$C$22, $C$13, 100%, $E$13)</f>
        <v>4.1649000000000003</v>
      </c>
      <c r="L119" s="4"/>
      <c r="M119" s="4"/>
      <c r="N119" s="4"/>
    </row>
    <row r="120" spans="1:14" ht="15">
      <c r="A120" s="13">
        <v>45139</v>
      </c>
      <c r="B120" s="63">
        <f>3.4423 * CHOOSE(CONTROL!$C$22, $C$13, 100%, $E$13)</f>
        <v>3.4422999999999999</v>
      </c>
      <c r="C120" s="63">
        <f>3.4423 * CHOOSE(CONTROL!$C$22, $C$13, 100%, $E$13)</f>
        <v>3.4422999999999999</v>
      </c>
      <c r="D120" s="63">
        <f>3.4553 * CHOOSE(CONTROL!$C$22, $C$13, 100%, $E$13)</f>
        <v>3.4552999999999998</v>
      </c>
      <c r="E120" s="64">
        <f>4.0915 * CHOOSE(CONTROL!$C$22, $C$13, 100%, $E$13)</f>
        <v>4.0914999999999999</v>
      </c>
      <c r="F120" s="64">
        <f>4.0915 * CHOOSE(CONTROL!$C$22, $C$13, 100%, $E$13)</f>
        <v>4.0914999999999999</v>
      </c>
      <c r="G120" s="64">
        <f>4.1072 * CHOOSE(CONTROL!$C$22, $C$13, 100%, $E$13)</f>
        <v>4.1071999999999997</v>
      </c>
      <c r="H120" s="64">
        <f>6.6329* CHOOSE(CONTROL!$C$22, $C$13, 100%, $E$13)</f>
        <v>6.6329000000000002</v>
      </c>
      <c r="I120" s="64">
        <f>6.6486 * CHOOSE(CONTROL!$C$22, $C$13, 100%, $E$13)</f>
        <v>6.6486000000000001</v>
      </c>
      <c r="J120" s="64">
        <f>4.0915 * CHOOSE(CONTROL!$C$22, $C$13, 100%, $E$13)</f>
        <v>4.0914999999999999</v>
      </c>
      <c r="K120" s="64">
        <f>4.1072 * CHOOSE(CONTROL!$C$22, $C$13, 100%, $E$13)</f>
        <v>4.1071999999999997</v>
      </c>
      <c r="L120" s="4"/>
      <c r="M120" s="4"/>
      <c r="N120" s="4"/>
    </row>
    <row r="121" spans="1:14" ht="15">
      <c r="A121" s="13">
        <v>45170</v>
      </c>
      <c r="B121" s="63">
        <f>3.4393 * CHOOSE(CONTROL!$C$22, $C$13, 100%, $E$13)</f>
        <v>3.4392999999999998</v>
      </c>
      <c r="C121" s="63">
        <f>3.4393 * CHOOSE(CONTROL!$C$22, $C$13, 100%, $E$13)</f>
        <v>3.4392999999999998</v>
      </c>
      <c r="D121" s="63">
        <f>3.4523 * CHOOSE(CONTROL!$C$22, $C$13, 100%, $E$13)</f>
        <v>3.4523000000000001</v>
      </c>
      <c r="E121" s="64">
        <f>4.0824 * CHOOSE(CONTROL!$C$22, $C$13, 100%, $E$13)</f>
        <v>4.0823999999999998</v>
      </c>
      <c r="F121" s="64">
        <f>4.0824 * CHOOSE(CONTROL!$C$22, $C$13, 100%, $E$13)</f>
        <v>4.0823999999999998</v>
      </c>
      <c r="G121" s="64">
        <f>4.0981 * CHOOSE(CONTROL!$C$22, $C$13, 100%, $E$13)</f>
        <v>4.0980999999999996</v>
      </c>
      <c r="H121" s="64">
        <f>6.6467* CHOOSE(CONTROL!$C$22, $C$13, 100%, $E$13)</f>
        <v>6.6467000000000001</v>
      </c>
      <c r="I121" s="64">
        <f>6.6624 * CHOOSE(CONTROL!$C$22, $C$13, 100%, $E$13)</f>
        <v>6.6623999999999999</v>
      </c>
      <c r="J121" s="64">
        <f>4.0824 * CHOOSE(CONTROL!$C$22, $C$13, 100%, $E$13)</f>
        <v>4.0823999999999998</v>
      </c>
      <c r="K121" s="64">
        <f>4.0981 * CHOOSE(CONTROL!$C$22, $C$13, 100%, $E$13)</f>
        <v>4.0980999999999996</v>
      </c>
      <c r="L121" s="4"/>
      <c r="M121" s="4"/>
      <c r="N121" s="4"/>
    </row>
    <row r="122" spans="1:14" ht="15">
      <c r="A122" s="13">
        <v>45200</v>
      </c>
      <c r="B122" s="63">
        <f>3.4321 * CHOOSE(CONTROL!$C$22, $C$13, 100%, $E$13)</f>
        <v>3.4321000000000002</v>
      </c>
      <c r="C122" s="63">
        <f>3.4321 * CHOOSE(CONTROL!$C$22, $C$13, 100%, $E$13)</f>
        <v>3.4321000000000002</v>
      </c>
      <c r="D122" s="63">
        <f>3.4321 * CHOOSE(CONTROL!$C$22, $C$13, 100%, $E$13)</f>
        <v>3.4321000000000002</v>
      </c>
      <c r="E122" s="64">
        <f>4.0968 * CHOOSE(CONTROL!$C$22, $C$13, 100%, $E$13)</f>
        <v>4.0968</v>
      </c>
      <c r="F122" s="64">
        <f>4.0968 * CHOOSE(CONTROL!$C$22, $C$13, 100%, $E$13)</f>
        <v>4.0968</v>
      </c>
      <c r="G122" s="64">
        <f>4.0968 * CHOOSE(CONTROL!$C$22, $C$13, 100%, $E$13)</f>
        <v>4.0968</v>
      </c>
      <c r="H122" s="64">
        <f>6.6606* CHOOSE(CONTROL!$C$22, $C$13, 100%, $E$13)</f>
        <v>6.6605999999999996</v>
      </c>
      <c r="I122" s="64">
        <f>6.6606 * CHOOSE(CONTROL!$C$22, $C$13, 100%, $E$13)</f>
        <v>6.6605999999999996</v>
      </c>
      <c r="J122" s="64">
        <f>4.0968 * CHOOSE(CONTROL!$C$22, $C$13, 100%, $E$13)</f>
        <v>4.0968</v>
      </c>
      <c r="K122" s="64">
        <f>4.0968 * CHOOSE(CONTROL!$C$22, $C$13, 100%, $E$13)</f>
        <v>4.0968</v>
      </c>
      <c r="L122" s="4"/>
      <c r="M122" s="4"/>
      <c r="N122" s="4"/>
    </row>
    <row r="123" spans="1:14" ht="15">
      <c r="A123" s="13">
        <v>45231</v>
      </c>
      <c r="B123" s="63">
        <f>3.4352 * CHOOSE(CONTROL!$C$22, $C$13, 100%, $E$13)</f>
        <v>3.4352</v>
      </c>
      <c r="C123" s="63">
        <f>3.4352 * CHOOSE(CONTROL!$C$22, $C$13, 100%, $E$13)</f>
        <v>3.4352</v>
      </c>
      <c r="D123" s="63">
        <f>3.4352 * CHOOSE(CONTROL!$C$22, $C$13, 100%, $E$13)</f>
        <v>3.4352</v>
      </c>
      <c r="E123" s="64">
        <f>4.1127 * CHOOSE(CONTROL!$C$22, $C$13, 100%, $E$13)</f>
        <v>4.1127000000000002</v>
      </c>
      <c r="F123" s="64">
        <f>4.1127 * CHOOSE(CONTROL!$C$22, $C$13, 100%, $E$13)</f>
        <v>4.1127000000000002</v>
      </c>
      <c r="G123" s="64">
        <f>4.1128 * CHOOSE(CONTROL!$C$22, $C$13, 100%, $E$13)</f>
        <v>4.1128</v>
      </c>
      <c r="H123" s="64">
        <f>6.6744* CHOOSE(CONTROL!$C$22, $C$13, 100%, $E$13)</f>
        <v>6.6744000000000003</v>
      </c>
      <c r="I123" s="64">
        <f>6.6745 * CHOOSE(CONTROL!$C$22, $C$13, 100%, $E$13)</f>
        <v>6.6745000000000001</v>
      </c>
      <c r="J123" s="64">
        <f>4.1127 * CHOOSE(CONTROL!$C$22, $C$13, 100%, $E$13)</f>
        <v>4.1127000000000002</v>
      </c>
      <c r="K123" s="64">
        <f>4.1128 * CHOOSE(CONTROL!$C$22, $C$13, 100%, $E$13)</f>
        <v>4.1128</v>
      </c>
      <c r="L123" s="4"/>
      <c r="M123" s="4"/>
      <c r="N123" s="4"/>
    </row>
    <row r="124" spans="1:14" ht="15">
      <c r="A124" s="13">
        <v>45261</v>
      </c>
      <c r="B124" s="63">
        <f>3.4352 * CHOOSE(CONTROL!$C$22, $C$13, 100%, $E$13)</f>
        <v>3.4352</v>
      </c>
      <c r="C124" s="63">
        <f>3.4352 * CHOOSE(CONTROL!$C$22, $C$13, 100%, $E$13)</f>
        <v>3.4352</v>
      </c>
      <c r="D124" s="63">
        <f>3.4352 * CHOOSE(CONTROL!$C$22, $C$13, 100%, $E$13)</f>
        <v>3.4352</v>
      </c>
      <c r="E124" s="64">
        <f>4.0781 * CHOOSE(CONTROL!$C$22, $C$13, 100%, $E$13)</f>
        <v>4.0781000000000001</v>
      </c>
      <c r="F124" s="64">
        <f>4.0781 * CHOOSE(CONTROL!$C$22, $C$13, 100%, $E$13)</f>
        <v>4.0781000000000001</v>
      </c>
      <c r="G124" s="64">
        <f>4.0782 * CHOOSE(CONTROL!$C$22, $C$13, 100%, $E$13)</f>
        <v>4.0781999999999998</v>
      </c>
      <c r="H124" s="64">
        <f>6.6883* CHOOSE(CONTROL!$C$22, $C$13, 100%, $E$13)</f>
        <v>6.6882999999999999</v>
      </c>
      <c r="I124" s="64">
        <f>6.6884 * CHOOSE(CONTROL!$C$22, $C$13, 100%, $E$13)</f>
        <v>6.6883999999999997</v>
      </c>
      <c r="J124" s="64">
        <f>4.0781 * CHOOSE(CONTROL!$C$22, $C$13, 100%, $E$13)</f>
        <v>4.0781000000000001</v>
      </c>
      <c r="K124" s="64">
        <f>4.0782 * CHOOSE(CONTROL!$C$22, $C$13, 100%, $E$13)</f>
        <v>4.0781999999999998</v>
      </c>
      <c r="L124" s="4"/>
      <c r="M124" s="4"/>
      <c r="N124" s="4"/>
    </row>
    <row r="125" spans="1:14" ht="15">
      <c r="A125" s="13">
        <v>45292</v>
      </c>
      <c r="B125" s="63">
        <f>3.4652 * CHOOSE(CONTROL!$C$22, $C$13, 100%, $E$13)</f>
        <v>3.4651999999999998</v>
      </c>
      <c r="C125" s="63">
        <f>3.4652 * CHOOSE(CONTROL!$C$22, $C$13, 100%, $E$13)</f>
        <v>3.4651999999999998</v>
      </c>
      <c r="D125" s="63">
        <f>3.4652 * CHOOSE(CONTROL!$C$22, $C$13, 100%, $E$13)</f>
        <v>3.4651999999999998</v>
      </c>
      <c r="E125" s="64">
        <f>4.1228 * CHOOSE(CONTROL!$C$22, $C$13, 100%, $E$13)</f>
        <v>4.1227999999999998</v>
      </c>
      <c r="F125" s="64">
        <f>4.1228 * CHOOSE(CONTROL!$C$22, $C$13, 100%, $E$13)</f>
        <v>4.1227999999999998</v>
      </c>
      <c r="G125" s="64">
        <f>4.1229 * CHOOSE(CONTROL!$C$22, $C$13, 100%, $E$13)</f>
        <v>4.1228999999999996</v>
      </c>
      <c r="H125" s="64">
        <f>6.7023* CHOOSE(CONTROL!$C$22, $C$13, 100%, $E$13)</f>
        <v>6.7023000000000001</v>
      </c>
      <c r="I125" s="64">
        <f>6.7024 * CHOOSE(CONTROL!$C$22, $C$13, 100%, $E$13)</f>
        <v>6.7023999999999999</v>
      </c>
      <c r="J125" s="64">
        <f>4.1228 * CHOOSE(CONTROL!$C$22, $C$13, 100%, $E$13)</f>
        <v>4.1227999999999998</v>
      </c>
      <c r="K125" s="64">
        <f>4.1229 * CHOOSE(CONTROL!$C$22, $C$13, 100%, $E$13)</f>
        <v>4.1228999999999996</v>
      </c>
      <c r="L125" s="4"/>
      <c r="M125" s="4"/>
      <c r="N125" s="4"/>
    </row>
    <row r="126" spans="1:14" ht="15">
      <c r="A126" s="13">
        <v>45323</v>
      </c>
      <c r="B126" s="63">
        <f>3.4621 * CHOOSE(CONTROL!$C$22, $C$13, 100%, $E$13)</f>
        <v>3.4621</v>
      </c>
      <c r="C126" s="63">
        <f>3.4621 * CHOOSE(CONTROL!$C$22, $C$13, 100%, $E$13)</f>
        <v>3.4621</v>
      </c>
      <c r="D126" s="63">
        <f>3.4621 * CHOOSE(CONTROL!$C$22, $C$13, 100%, $E$13)</f>
        <v>3.4621</v>
      </c>
      <c r="E126" s="64">
        <f>4.0546 * CHOOSE(CONTROL!$C$22, $C$13, 100%, $E$13)</f>
        <v>4.0545999999999998</v>
      </c>
      <c r="F126" s="64">
        <f>4.0546 * CHOOSE(CONTROL!$C$22, $C$13, 100%, $E$13)</f>
        <v>4.0545999999999998</v>
      </c>
      <c r="G126" s="64">
        <f>4.0547 * CHOOSE(CONTROL!$C$22, $C$13, 100%, $E$13)</f>
        <v>4.0547000000000004</v>
      </c>
      <c r="H126" s="64">
        <f>6.7162* CHOOSE(CONTROL!$C$22, $C$13, 100%, $E$13)</f>
        <v>6.7161999999999997</v>
      </c>
      <c r="I126" s="64">
        <f>6.7163 * CHOOSE(CONTROL!$C$22, $C$13, 100%, $E$13)</f>
        <v>6.7163000000000004</v>
      </c>
      <c r="J126" s="64">
        <f>4.0546 * CHOOSE(CONTROL!$C$22, $C$13, 100%, $E$13)</f>
        <v>4.0545999999999998</v>
      </c>
      <c r="K126" s="64">
        <f>4.0547 * CHOOSE(CONTROL!$C$22, $C$13, 100%, $E$13)</f>
        <v>4.0547000000000004</v>
      </c>
      <c r="L126" s="4"/>
      <c r="M126" s="4"/>
      <c r="N126" s="4"/>
    </row>
    <row r="127" spans="1:14" ht="15">
      <c r="A127" s="13">
        <v>45352</v>
      </c>
      <c r="B127" s="63">
        <f>3.4591 * CHOOSE(CONTROL!$C$22, $C$13, 100%, $E$13)</f>
        <v>3.4590999999999998</v>
      </c>
      <c r="C127" s="63">
        <f>3.4591 * CHOOSE(CONTROL!$C$22, $C$13, 100%, $E$13)</f>
        <v>3.4590999999999998</v>
      </c>
      <c r="D127" s="63">
        <f>3.4591 * CHOOSE(CONTROL!$C$22, $C$13, 100%, $E$13)</f>
        <v>3.4590999999999998</v>
      </c>
      <c r="E127" s="64">
        <f>4.1046 * CHOOSE(CONTROL!$C$22, $C$13, 100%, $E$13)</f>
        <v>4.1045999999999996</v>
      </c>
      <c r="F127" s="64">
        <f>4.1046 * CHOOSE(CONTROL!$C$22, $C$13, 100%, $E$13)</f>
        <v>4.1045999999999996</v>
      </c>
      <c r="G127" s="64">
        <f>4.1046 * CHOOSE(CONTROL!$C$22, $C$13, 100%, $E$13)</f>
        <v>4.1045999999999996</v>
      </c>
      <c r="H127" s="64">
        <f>6.7302* CHOOSE(CONTROL!$C$22, $C$13, 100%, $E$13)</f>
        <v>6.7302</v>
      </c>
      <c r="I127" s="64">
        <f>6.7303 * CHOOSE(CONTROL!$C$22, $C$13, 100%, $E$13)</f>
        <v>6.7302999999999997</v>
      </c>
      <c r="J127" s="64">
        <f>4.1046 * CHOOSE(CONTROL!$C$22, $C$13, 100%, $E$13)</f>
        <v>4.1045999999999996</v>
      </c>
      <c r="K127" s="64">
        <f>4.1046 * CHOOSE(CONTROL!$C$22, $C$13, 100%, $E$13)</f>
        <v>4.1045999999999996</v>
      </c>
      <c r="L127" s="4"/>
      <c r="M127" s="4"/>
      <c r="N127" s="4"/>
    </row>
    <row r="128" spans="1:14" ht="15">
      <c r="A128" s="13">
        <v>45383</v>
      </c>
      <c r="B128" s="63">
        <f>3.4562 * CHOOSE(CONTROL!$C$22, $C$13, 100%, $E$13)</f>
        <v>3.4561999999999999</v>
      </c>
      <c r="C128" s="63">
        <f>3.4562 * CHOOSE(CONTROL!$C$22, $C$13, 100%, $E$13)</f>
        <v>3.4561999999999999</v>
      </c>
      <c r="D128" s="63">
        <f>3.4562 * CHOOSE(CONTROL!$C$22, $C$13, 100%, $E$13)</f>
        <v>3.4561999999999999</v>
      </c>
      <c r="E128" s="64">
        <f>4.1563 * CHOOSE(CONTROL!$C$22, $C$13, 100%, $E$13)</f>
        <v>4.1562999999999999</v>
      </c>
      <c r="F128" s="64">
        <f>4.1563 * CHOOSE(CONTROL!$C$22, $C$13, 100%, $E$13)</f>
        <v>4.1562999999999999</v>
      </c>
      <c r="G128" s="64">
        <f>4.1563 * CHOOSE(CONTROL!$C$22, $C$13, 100%, $E$13)</f>
        <v>4.1562999999999999</v>
      </c>
      <c r="H128" s="64">
        <f>6.7443* CHOOSE(CONTROL!$C$22, $C$13, 100%, $E$13)</f>
        <v>6.7443</v>
      </c>
      <c r="I128" s="64">
        <f>6.7443 * CHOOSE(CONTROL!$C$22, $C$13, 100%, $E$13)</f>
        <v>6.7443</v>
      </c>
      <c r="J128" s="64">
        <f>4.1563 * CHOOSE(CONTROL!$C$22, $C$13, 100%, $E$13)</f>
        <v>4.1562999999999999</v>
      </c>
      <c r="K128" s="64">
        <f>4.1563 * CHOOSE(CONTROL!$C$22, $C$13, 100%, $E$13)</f>
        <v>4.1562999999999999</v>
      </c>
      <c r="L128" s="4"/>
      <c r="M128" s="4"/>
      <c r="N128" s="4"/>
    </row>
    <row r="129" spans="1:14" ht="15">
      <c r="A129" s="13">
        <v>45413</v>
      </c>
      <c r="B129" s="63">
        <f>3.4562 * CHOOSE(CONTROL!$C$22, $C$13, 100%, $E$13)</f>
        <v>3.4561999999999999</v>
      </c>
      <c r="C129" s="63">
        <f>3.4562 * CHOOSE(CONTROL!$C$22, $C$13, 100%, $E$13)</f>
        <v>3.4561999999999999</v>
      </c>
      <c r="D129" s="63">
        <f>3.4692 * CHOOSE(CONTROL!$C$22, $C$13, 100%, $E$13)</f>
        <v>3.4691999999999998</v>
      </c>
      <c r="E129" s="64">
        <f>4.1772 * CHOOSE(CONTROL!$C$22, $C$13, 100%, $E$13)</f>
        <v>4.1772</v>
      </c>
      <c r="F129" s="64">
        <f>4.1772 * CHOOSE(CONTROL!$C$22, $C$13, 100%, $E$13)</f>
        <v>4.1772</v>
      </c>
      <c r="G129" s="64">
        <f>4.1929 * CHOOSE(CONTROL!$C$22, $C$13, 100%, $E$13)</f>
        <v>4.1928999999999998</v>
      </c>
      <c r="H129" s="64">
        <f>6.7583* CHOOSE(CONTROL!$C$22, $C$13, 100%, $E$13)</f>
        <v>6.7583000000000002</v>
      </c>
      <c r="I129" s="64">
        <f>6.774 * CHOOSE(CONTROL!$C$22, $C$13, 100%, $E$13)</f>
        <v>6.774</v>
      </c>
      <c r="J129" s="64">
        <f>4.1772 * CHOOSE(CONTROL!$C$22, $C$13, 100%, $E$13)</f>
        <v>4.1772</v>
      </c>
      <c r="K129" s="64">
        <f>4.1929 * CHOOSE(CONTROL!$C$22, $C$13, 100%, $E$13)</f>
        <v>4.1928999999999998</v>
      </c>
      <c r="L129" s="4"/>
      <c r="M129" s="4"/>
      <c r="N129" s="4"/>
    </row>
    <row r="130" spans="1:14" ht="15">
      <c r="A130" s="13">
        <v>45444</v>
      </c>
      <c r="B130" s="63">
        <f>3.4623 * CHOOSE(CONTROL!$C$22, $C$13, 100%, $E$13)</f>
        <v>3.4622999999999999</v>
      </c>
      <c r="C130" s="63">
        <f>3.4623 * CHOOSE(CONTROL!$C$22, $C$13, 100%, $E$13)</f>
        <v>3.4622999999999999</v>
      </c>
      <c r="D130" s="63">
        <f>3.4753 * CHOOSE(CONTROL!$C$22, $C$13, 100%, $E$13)</f>
        <v>3.4752999999999998</v>
      </c>
      <c r="E130" s="64">
        <f>4.1605 * CHOOSE(CONTROL!$C$22, $C$13, 100%, $E$13)</f>
        <v>4.1604999999999999</v>
      </c>
      <c r="F130" s="64">
        <f>4.1605 * CHOOSE(CONTROL!$C$22, $C$13, 100%, $E$13)</f>
        <v>4.1604999999999999</v>
      </c>
      <c r="G130" s="64">
        <f>4.1762 * CHOOSE(CONTROL!$C$22, $C$13, 100%, $E$13)</f>
        <v>4.1761999999999997</v>
      </c>
      <c r="H130" s="64">
        <f>6.7724* CHOOSE(CONTROL!$C$22, $C$13, 100%, $E$13)</f>
        <v>6.7724000000000002</v>
      </c>
      <c r="I130" s="64">
        <f>6.7881 * CHOOSE(CONTROL!$C$22, $C$13, 100%, $E$13)</f>
        <v>6.7881</v>
      </c>
      <c r="J130" s="64">
        <f>4.1605 * CHOOSE(CONTROL!$C$22, $C$13, 100%, $E$13)</f>
        <v>4.1604999999999999</v>
      </c>
      <c r="K130" s="64">
        <f>4.1762 * CHOOSE(CONTROL!$C$22, $C$13, 100%, $E$13)</f>
        <v>4.1761999999999997</v>
      </c>
      <c r="L130" s="4"/>
      <c r="M130" s="4"/>
      <c r="N130" s="4"/>
    </row>
    <row r="131" spans="1:14" ht="15">
      <c r="A131" s="13">
        <v>45474</v>
      </c>
      <c r="B131" s="63">
        <f>3.5185 * CHOOSE(CONTROL!$C$22, $C$13, 100%, $E$13)</f>
        <v>3.5185</v>
      </c>
      <c r="C131" s="63">
        <f>3.5185 * CHOOSE(CONTROL!$C$22, $C$13, 100%, $E$13)</f>
        <v>3.5185</v>
      </c>
      <c r="D131" s="63">
        <f>3.5314 * CHOOSE(CONTROL!$C$22, $C$13, 100%, $E$13)</f>
        <v>3.5314000000000001</v>
      </c>
      <c r="E131" s="64">
        <f>4.2301 * CHOOSE(CONTROL!$C$22, $C$13, 100%, $E$13)</f>
        <v>4.2301000000000002</v>
      </c>
      <c r="F131" s="64">
        <f>4.2301 * CHOOSE(CONTROL!$C$22, $C$13, 100%, $E$13)</f>
        <v>4.2301000000000002</v>
      </c>
      <c r="G131" s="64">
        <f>4.2458 * CHOOSE(CONTROL!$C$22, $C$13, 100%, $E$13)</f>
        <v>4.2458</v>
      </c>
      <c r="H131" s="64">
        <f>6.7865* CHOOSE(CONTROL!$C$22, $C$13, 100%, $E$13)</f>
        <v>6.7865000000000002</v>
      </c>
      <c r="I131" s="64">
        <f>6.8022 * CHOOSE(CONTROL!$C$22, $C$13, 100%, $E$13)</f>
        <v>6.8022</v>
      </c>
      <c r="J131" s="64">
        <f>4.2301 * CHOOSE(CONTROL!$C$22, $C$13, 100%, $E$13)</f>
        <v>4.2301000000000002</v>
      </c>
      <c r="K131" s="64">
        <f>4.2458 * CHOOSE(CONTROL!$C$22, $C$13, 100%, $E$13)</f>
        <v>4.2458</v>
      </c>
      <c r="L131" s="4"/>
      <c r="M131" s="4"/>
      <c r="N131" s="4"/>
    </row>
    <row r="132" spans="1:14" ht="15">
      <c r="A132" s="13">
        <v>45505</v>
      </c>
      <c r="B132" s="63">
        <f>3.5251 * CHOOSE(CONTROL!$C$22, $C$13, 100%, $E$13)</f>
        <v>3.5251000000000001</v>
      </c>
      <c r="C132" s="63">
        <f>3.5251 * CHOOSE(CONTROL!$C$22, $C$13, 100%, $E$13)</f>
        <v>3.5251000000000001</v>
      </c>
      <c r="D132" s="63">
        <f>3.5381 * CHOOSE(CONTROL!$C$22, $C$13, 100%, $E$13)</f>
        <v>3.5381</v>
      </c>
      <c r="E132" s="64">
        <f>4.1718 * CHOOSE(CONTROL!$C$22, $C$13, 100%, $E$13)</f>
        <v>4.1718000000000002</v>
      </c>
      <c r="F132" s="64">
        <f>4.1718 * CHOOSE(CONTROL!$C$22, $C$13, 100%, $E$13)</f>
        <v>4.1718000000000002</v>
      </c>
      <c r="G132" s="64">
        <f>4.1875 * CHOOSE(CONTROL!$C$22, $C$13, 100%, $E$13)</f>
        <v>4.1875</v>
      </c>
      <c r="H132" s="64">
        <f>6.8006* CHOOSE(CONTROL!$C$22, $C$13, 100%, $E$13)</f>
        <v>6.8006000000000002</v>
      </c>
      <c r="I132" s="64">
        <f>6.8163 * CHOOSE(CONTROL!$C$22, $C$13, 100%, $E$13)</f>
        <v>6.8163</v>
      </c>
      <c r="J132" s="64">
        <f>4.1718 * CHOOSE(CONTROL!$C$22, $C$13, 100%, $E$13)</f>
        <v>4.1718000000000002</v>
      </c>
      <c r="K132" s="64">
        <f>4.1875 * CHOOSE(CONTROL!$C$22, $C$13, 100%, $E$13)</f>
        <v>4.1875</v>
      </c>
      <c r="L132" s="4"/>
      <c r="M132" s="4"/>
      <c r="N132" s="4"/>
    </row>
    <row r="133" spans="1:14" ht="15">
      <c r="A133" s="13">
        <v>45536</v>
      </c>
      <c r="B133" s="63">
        <f>3.5221 * CHOOSE(CONTROL!$C$22, $C$13, 100%, $E$13)</f>
        <v>3.5221</v>
      </c>
      <c r="C133" s="63">
        <f>3.5221 * CHOOSE(CONTROL!$C$22, $C$13, 100%, $E$13)</f>
        <v>3.5221</v>
      </c>
      <c r="D133" s="63">
        <f>3.5351 * CHOOSE(CONTROL!$C$22, $C$13, 100%, $E$13)</f>
        <v>3.5350999999999999</v>
      </c>
      <c r="E133" s="64">
        <f>4.1627 * CHOOSE(CONTROL!$C$22, $C$13, 100%, $E$13)</f>
        <v>4.1627000000000001</v>
      </c>
      <c r="F133" s="64">
        <f>4.1627 * CHOOSE(CONTROL!$C$22, $C$13, 100%, $E$13)</f>
        <v>4.1627000000000001</v>
      </c>
      <c r="G133" s="64">
        <f>4.1784 * CHOOSE(CONTROL!$C$22, $C$13, 100%, $E$13)</f>
        <v>4.1783999999999999</v>
      </c>
      <c r="H133" s="64">
        <f>6.8148* CHOOSE(CONTROL!$C$22, $C$13, 100%, $E$13)</f>
        <v>6.8148</v>
      </c>
      <c r="I133" s="64">
        <f>6.8305 * CHOOSE(CONTROL!$C$22, $C$13, 100%, $E$13)</f>
        <v>6.8304999999999998</v>
      </c>
      <c r="J133" s="64">
        <f>4.1627 * CHOOSE(CONTROL!$C$22, $C$13, 100%, $E$13)</f>
        <v>4.1627000000000001</v>
      </c>
      <c r="K133" s="64">
        <f>4.1784 * CHOOSE(CONTROL!$C$22, $C$13, 100%, $E$13)</f>
        <v>4.1783999999999999</v>
      </c>
      <c r="L133" s="4"/>
      <c r="M133" s="4"/>
      <c r="N133" s="4"/>
    </row>
    <row r="134" spans="1:14" ht="15">
      <c r="A134" s="13">
        <v>45566</v>
      </c>
      <c r="B134" s="63">
        <f>3.5152 * CHOOSE(CONTROL!$C$22, $C$13, 100%, $E$13)</f>
        <v>3.5152000000000001</v>
      </c>
      <c r="C134" s="63">
        <f>3.5152 * CHOOSE(CONTROL!$C$22, $C$13, 100%, $E$13)</f>
        <v>3.5152000000000001</v>
      </c>
      <c r="D134" s="63">
        <f>3.5153 * CHOOSE(CONTROL!$C$22, $C$13, 100%, $E$13)</f>
        <v>3.5152999999999999</v>
      </c>
      <c r="E134" s="64">
        <f>4.1773 * CHOOSE(CONTROL!$C$22, $C$13, 100%, $E$13)</f>
        <v>4.1772999999999998</v>
      </c>
      <c r="F134" s="64">
        <f>4.1773 * CHOOSE(CONTROL!$C$22, $C$13, 100%, $E$13)</f>
        <v>4.1772999999999998</v>
      </c>
      <c r="G134" s="64">
        <f>4.1773 * CHOOSE(CONTROL!$C$22, $C$13, 100%, $E$13)</f>
        <v>4.1772999999999998</v>
      </c>
      <c r="H134" s="64">
        <f>6.829* CHOOSE(CONTROL!$C$22, $C$13, 100%, $E$13)</f>
        <v>6.8289999999999997</v>
      </c>
      <c r="I134" s="64">
        <f>6.8291 * CHOOSE(CONTROL!$C$22, $C$13, 100%, $E$13)</f>
        <v>6.8291000000000004</v>
      </c>
      <c r="J134" s="64">
        <f>4.1773 * CHOOSE(CONTROL!$C$22, $C$13, 100%, $E$13)</f>
        <v>4.1772999999999998</v>
      </c>
      <c r="K134" s="64">
        <f>4.1773 * CHOOSE(CONTROL!$C$22, $C$13, 100%, $E$13)</f>
        <v>4.1772999999999998</v>
      </c>
      <c r="L134" s="4"/>
      <c r="M134" s="4"/>
      <c r="N134" s="4"/>
    </row>
    <row r="135" spans="1:14" ht="15">
      <c r="A135" s="13">
        <v>45597</v>
      </c>
      <c r="B135" s="63">
        <f>3.5183 * CHOOSE(CONTROL!$C$22, $C$13, 100%, $E$13)</f>
        <v>3.5183</v>
      </c>
      <c r="C135" s="63">
        <f>3.5183 * CHOOSE(CONTROL!$C$22, $C$13, 100%, $E$13)</f>
        <v>3.5183</v>
      </c>
      <c r="D135" s="63">
        <f>3.5183 * CHOOSE(CONTROL!$C$22, $C$13, 100%, $E$13)</f>
        <v>3.5183</v>
      </c>
      <c r="E135" s="64">
        <f>4.1934 * CHOOSE(CONTROL!$C$22, $C$13, 100%, $E$13)</f>
        <v>4.1933999999999996</v>
      </c>
      <c r="F135" s="64">
        <f>4.1934 * CHOOSE(CONTROL!$C$22, $C$13, 100%, $E$13)</f>
        <v>4.1933999999999996</v>
      </c>
      <c r="G135" s="64">
        <f>4.1934 * CHOOSE(CONTROL!$C$22, $C$13, 100%, $E$13)</f>
        <v>4.1933999999999996</v>
      </c>
      <c r="H135" s="64">
        <f>6.8432* CHOOSE(CONTROL!$C$22, $C$13, 100%, $E$13)</f>
        <v>6.8432000000000004</v>
      </c>
      <c r="I135" s="64">
        <f>6.8433 * CHOOSE(CONTROL!$C$22, $C$13, 100%, $E$13)</f>
        <v>6.8433000000000002</v>
      </c>
      <c r="J135" s="64">
        <f>4.1934 * CHOOSE(CONTROL!$C$22, $C$13, 100%, $E$13)</f>
        <v>4.1933999999999996</v>
      </c>
      <c r="K135" s="64">
        <f>4.1934 * CHOOSE(CONTROL!$C$22, $C$13, 100%, $E$13)</f>
        <v>4.1933999999999996</v>
      </c>
      <c r="L135" s="4"/>
      <c r="M135" s="4"/>
      <c r="N135" s="4"/>
    </row>
    <row r="136" spans="1:14" ht="15">
      <c r="A136" s="13">
        <v>45627</v>
      </c>
      <c r="B136" s="63">
        <f>3.5183 * CHOOSE(CONTROL!$C$22, $C$13, 100%, $E$13)</f>
        <v>3.5183</v>
      </c>
      <c r="C136" s="63">
        <f>3.5183 * CHOOSE(CONTROL!$C$22, $C$13, 100%, $E$13)</f>
        <v>3.5183</v>
      </c>
      <c r="D136" s="63">
        <f>3.5183 * CHOOSE(CONTROL!$C$22, $C$13, 100%, $E$13)</f>
        <v>3.5183</v>
      </c>
      <c r="E136" s="64">
        <f>4.1584 * CHOOSE(CONTROL!$C$22, $C$13, 100%, $E$13)</f>
        <v>4.1584000000000003</v>
      </c>
      <c r="F136" s="64">
        <f>4.1584 * CHOOSE(CONTROL!$C$22, $C$13, 100%, $E$13)</f>
        <v>4.1584000000000003</v>
      </c>
      <c r="G136" s="64">
        <f>4.1585 * CHOOSE(CONTROL!$C$22, $C$13, 100%, $E$13)</f>
        <v>4.1585000000000001</v>
      </c>
      <c r="H136" s="64">
        <f>6.8575* CHOOSE(CONTROL!$C$22, $C$13, 100%, $E$13)</f>
        <v>6.8574999999999999</v>
      </c>
      <c r="I136" s="64">
        <f>6.8576 * CHOOSE(CONTROL!$C$22, $C$13, 100%, $E$13)</f>
        <v>6.8575999999999997</v>
      </c>
      <c r="J136" s="64">
        <f>4.1584 * CHOOSE(CONTROL!$C$22, $C$13, 100%, $E$13)</f>
        <v>4.1584000000000003</v>
      </c>
      <c r="K136" s="64">
        <f>4.1585 * CHOOSE(CONTROL!$C$22, $C$13, 100%, $E$13)</f>
        <v>4.1585000000000001</v>
      </c>
      <c r="L136" s="4"/>
      <c r="M136" s="4"/>
      <c r="N136" s="4"/>
    </row>
    <row r="137" spans="1:14" ht="15">
      <c r="A137" s="13">
        <v>45658</v>
      </c>
      <c r="B137" s="63">
        <f>3.5476 * CHOOSE(CONTROL!$C$22, $C$13, 100%, $E$13)</f>
        <v>3.5476000000000001</v>
      </c>
      <c r="C137" s="63">
        <f>3.5476 * CHOOSE(CONTROL!$C$22, $C$13, 100%, $E$13)</f>
        <v>3.5476000000000001</v>
      </c>
      <c r="D137" s="63">
        <f>3.5476 * CHOOSE(CONTROL!$C$22, $C$13, 100%, $E$13)</f>
        <v>3.5476000000000001</v>
      </c>
      <c r="E137" s="64">
        <f>4.2052 * CHOOSE(CONTROL!$C$22, $C$13, 100%, $E$13)</f>
        <v>4.2051999999999996</v>
      </c>
      <c r="F137" s="64">
        <f>4.2052 * CHOOSE(CONTROL!$C$22, $C$13, 100%, $E$13)</f>
        <v>4.2051999999999996</v>
      </c>
      <c r="G137" s="64">
        <f>4.2053 * CHOOSE(CONTROL!$C$22, $C$13, 100%, $E$13)</f>
        <v>4.2053000000000003</v>
      </c>
      <c r="H137" s="64">
        <f>6.8718* CHOOSE(CONTROL!$C$22, $C$13, 100%, $E$13)</f>
        <v>6.8718000000000004</v>
      </c>
      <c r="I137" s="64">
        <f>6.8718 * CHOOSE(CONTROL!$C$22, $C$13, 100%, $E$13)</f>
        <v>6.8718000000000004</v>
      </c>
      <c r="J137" s="64">
        <f>4.2052 * CHOOSE(CONTROL!$C$22, $C$13, 100%, $E$13)</f>
        <v>4.2051999999999996</v>
      </c>
      <c r="K137" s="64">
        <f>4.2053 * CHOOSE(CONTROL!$C$22, $C$13, 100%, $E$13)</f>
        <v>4.2053000000000003</v>
      </c>
      <c r="L137" s="4"/>
      <c r="M137" s="4"/>
      <c r="N137" s="4"/>
    </row>
    <row r="138" spans="1:14" ht="15">
      <c r="A138" s="13">
        <v>45689</v>
      </c>
      <c r="B138" s="63">
        <f>3.5445 * CHOOSE(CONTROL!$C$22, $C$13, 100%, $E$13)</f>
        <v>3.5445000000000002</v>
      </c>
      <c r="C138" s="63">
        <f>3.5445 * CHOOSE(CONTROL!$C$22, $C$13, 100%, $E$13)</f>
        <v>3.5445000000000002</v>
      </c>
      <c r="D138" s="63">
        <f>3.5445 * CHOOSE(CONTROL!$C$22, $C$13, 100%, $E$13)</f>
        <v>3.5445000000000002</v>
      </c>
      <c r="E138" s="64">
        <f>4.1366 * CHOOSE(CONTROL!$C$22, $C$13, 100%, $E$13)</f>
        <v>4.1365999999999996</v>
      </c>
      <c r="F138" s="64">
        <f>4.1366 * CHOOSE(CONTROL!$C$22, $C$13, 100%, $E$13)</f>
        <v>4.1365999999999996</v>
      </c>
      <c r="G138" s="64">
        <f>4.1366 * CHOOSE(CONTROL!$C$22, $C$13, 100%, $E$13)</f>
        <v>4.1365999999999996</v>
      </c>
      <c r="H138" s="64">
        <f>6.8861* CHOOSE(CONTROL!$C$22, $C$13, 100%, $E$13)</f>
        <v>6.8860999999999999</v>
      </c>
      <c r="I138" s="64">
        <f>6.8862 * CHOOSE(CONTROL!$C$22, $C$13, 100%, $E$13)</f>
        <v>6.8861999999999997</v>
      </c>
      <c r="J138" s="64">
        <f>4.1366 * CHOOSE(CONTROL!$C$22, $C$13, 100%, $E$13)</f>
        <v>4.1365999999999996</v>
      </c>
      <c r="K138" s="64">
        <f>4.1366 * CHOOSE(CONTROL!$C$22, $C$13, 100%, $E$13)</f>
        <v>4.1365999999999996</v>
      </c>
      <c r="L138" s="4"/>
      <c r="M138" s="4"/>
      <c r="N138" s="4"/>
    </row>
    <row r="139" spans="1:14" ht="15">
      <c r="A139" s="13">
        <v>45717</v>
      </c>
      <c r="B139" s="63">
        <f>3.5415 * CHOOSE(CONTROL!$C$22, $C$13, 100%, $E$13)</f>
        <v>3.5415000000000001</v>
      </c>
      <c r="C139" s="63">
        <f>3.5415 * CHOOSE(CONTROL!$C$22, $C$13, 100%, $E$13)</f>
        <v>3.5415000000000001</v>
      </c>
      <c r="D139" s="63">
        <f>3.5415 * CHOOSE(CONTROL!$C$22, $C$13, 100%, $E$13)</f>
        <v>3.5415000000000001</v>
      </c>
      <c r="E139" s="64">
        <f>4.1869 * CHOOSE(CONTROL!$C$22, $C$13, 100%, $E$13)</f>
        <v>4.1868999999999996</v>
      </c>
      <c r="F139" s="64">
        <f>4.1869 * CHOOSE(CONTROL!$C$22, $C$13, 100%, $E$13)</f>
        <v>4.1868999999999996</v>
      </c>
      <c r="G139" s="64">
        <f>4.187 * CHOOSE(CONTROL!$C$22, $C$13, 100%, $E$13)</f>
        <v>4.1870000000000003</v>
      </c>
      <c r="H139" s="64">
        <f>6.9004* CHOOSE(CONTROL!$C$22, $C$13, 100%, $E$13)</f>
        <v>6.9004000000000003</v>
      </c>
      <c r="I139" s="64">
        <f>6.9005 * CHOOSE(CONTROL!$C$22, $C$13, 100%, $E$13)</f>
        <v>6.9005000000000001</v>
      </c>
      <c r="J139" s="64">
        <f>4.1869 * CHOOSE(CONTROL!$C$22, $C$13, 100%, $E$13)</f>
        <v>4.1868999999999996</v>
      </c>
      <c r="K139" s="64">
        <f>4.187 * CHOOSE(CONTROL!$C$22, $C$13, 100%, $E$13)</f>
        <v>4.1870000000000003</v>
      </c>
      <c r="L139" s="4"/>
      <c r="M139" s="4"/>
      <c r="N139" s="4"/>
    </row>
    <row r="140" spans="1:14" ht="15">
      <c r="A140" s="13">
        <v>45748</v>
      </c>
      <c r="B140" s="63">
        <f>3.5386 * CHOOSE(CONTROL!$C$22, $C$13, 100%, $E$13)</f>
        <v>3.5386000000000002</v>
      </c>
      <c r="C140" s="63">
        <f>3.5386 * CHOOSE(CONTROL!$C$22, $C$13, 100%, $E$13)</f>
        <v>3.5386000000000002</v>
      </c>
      <c r="D140" s="63">
        <f>3.5387 * CHOOSE(CONTROL!$C$22, $C$13, 100%, $E$13)</f>
        <v>3.5387</v>
      </c>
      <c r="E140" s="64">
        <f>4.239 * CHOOSE(CONTROL!$C$22, $C$13, 100%, $E$13)</f>
        <v>4.2389999999999999</v>
      </c>
      <c r="F140" s="64">
        <f>4.239 * CHOOSE(CONTROL!$C$22, $C$13, 100%, $E$13)</f>
        <v>4.2389999999999999</v>
      </c>
      <c r="G140" s="64">
        <f>4.2391 * CHOOSE(CONTROL!$C$22, $C$13, 100%, $E$13)</f>
        <v>4.2390999999999996</v>
      </c>
      <c r="H140" s="64">
        <f>6.9148* CHOOSE(CONTROL!$C$22, $C$13, 100%, $E$13)</f>
        <v>6.9147999999999996</v>
      </c>
      <c r="I140" s="64">
        <f>6.9149 * CHOOSE(CONTROL!$C$22, $C$13, 100%, $E$13)</f>
        <v>6.9149000000000003</v>
      </c>
      <c r="J140" s="64">
        <f>4.239 * CHOOSE(CONTROL!$C$22, $C$13, 100%, $E$13)</f>
        <v>4.2389999999999999</v>
      </c>
      <c r="K140" s="64">
        <f>4.2391 * CHOOSE(CONTROL!$C$22, $C$13, 100%, $E$13)</f>
        <v>4.2390999999999996</v>
      </c>
      <c r="L140" s="4"/>
      <c r="M140" s="4"/>
      <c r="N140" s="4"/>
    </row>
    <row r="141" spans="1:14" ht="15">
      <c r="A141" s="13">
        <v>45778</v>
      </c>
      <c r="B141" s="63">
        <f>3.5386 * CHOOSE(CONTROL!$C$22, $C$13, 100%, $E$13)</f>
        <v>3.5386000000000002</v>
      </c>
      <c r="C141" s="63">
        <f>3.5386 * CHOOSE(CONTROL!$C$22, $C$13, 100%, $E$13)</f>
        <v>3.5386000000000002</v>
      </c>
      <c r="D141" s="63">
        <f>3.5516 * CHOOSE(CONTROL!$C$22, $C$13, 100%, $E$13)</f>
        <v>3.5516000000000001</v>
      </c>
      <c r="E141" s="64">
        <f>4.2602 * CHOOSE(CONTROL!$C$22, $C$13, 100%, $E$13)</f>
        <v>4.2602000000000002</v>
      </c>
      <c r="F141" s="64">
        <f>4.2602 * CHOOSE(CONTROL!$C$22, $C$13, 100%, $E$13)</f>
        <v>4.2602000000000002</v>
      </c>
      <c r="G141" s="64">
        <f>4.2759 * CHOOSE(CONTROL!$C$22, $C$13, 100%, $E$13)</f>
        <v>4.2759</v>
      </c>
      <c r="H141" s="64">
        <f>6.9292* CHOOSE(CONTROL!$C$22, $C$13, 100%, $E$13)</f>
        <v>6.9291999999999998</v>
      </c>
      <c r="I141" s="64">
        <f>6.9449 * CHOOSE(CONTROL!$C$22, $C$13, 100%, $E$13)</f>
        <v>6.9448999999999996</v>
      </c>
      <c r="J141" s="64">
        <f>4.2602 * CHOOSE(CONTROL!$C$22, $C$13, 100%, $E$13)</f>
        <v>4.2602000000000002</v>
      </c>
      <c r="K141" s="64">
        <f>4.2759 * CHOOSE(CONTROL!$C$22, $C$13, 100%, $E$13)</f>
        <v>4.2759</v>
      </c>
      <c r="L141" s="4"/>
      <c r="M141" s="4"/>
      <c r="N141" s="4"/>
    </row>
    <row r="142" spans="1:14" ht="15">
      <c r="A142" s="13">
        <v>45809</v>
      </c>
      <c r="B142" s="63">
        <f>3.5447 * CHOOSE(CONTROL!$C$22, $C$13, 100%, $E$13)</f>
        <v>3.5447000000000002</v>
      </c>
      <c r="C142" s="63">
        <f>3.5447 * CHOOSE(CONTROL!$C$22, $C$13, 100%, $E$13)</f>
        <v>3.5447000000000002</v>
      </c>
      <c r="D142" s="63">
        <f>3.5577 * CHOOSE(CONTROL!$C$22, $C$13, 100%, $E$13)</f>
        <v>3.5577000000000001</v>
      </c>
      <c r="E142" s="64">
        <f>4.2433 * CHOOSE(CONTROL!$C$22, $C$13, 100%, $E$13)</f>
        <v>4.2432999999999996</v>
      </c>
      <c r="F142" s="64">
        <f>4.2433 * CHOOSE(CONTROL!$C$22, $C$13, 100%, $E$13)</f>
        <v>4.2432999999999996</v>
      </c>
      <c r="G142" s="64">
        <f>4.259 * CHOOSE(CONTROL!$C$22, $C$13, 100%, $E$13)</f>
        <v>4.2590000000000003</v>
      </c>
      <c r="H142" s="64">
        <f>6.9436* CHOOSE(CONTROL!$C$22, $C$13, 100%, $E$13)</f>
        <v>6.9436</v>
      </c>
      <c r="I142" s="64">
        <f>6.9593 * CHOOSE(CONTROL!$C$22, $C$13, 100%, $E$13)</f>
        <v>6.9592999999999998</v>
      </c>
      <c r="J142" s="64">
        <f>4.2433 * CHOOSE(CONTROL!$C$22, $C$13, 100%, $E$13)</f>
        <v>4.2432999999999996</v>
      </c>
      <c r="K142" s="64">
        <f>4.259 * CHOOSE(CONTROL!$C$22, $C$13, 100%, $E$13)</f>
        <v>4.2590000000000003</v>
      </c>
      <c r="L142" s="4"/>
      <c r="M142" s="4"/>
      <c r="N142" s="4"/>
    </row>
    <row r="143" spans="1:14" ht="15">
      <c r="A143" s="13">
        <v>45839</v>
      </c>
      <c r="B143" s="63">
        <f>3.5989 * CHOOSE(CONTROL!$C$22, $C$13, 100%, $E$13)</f>
        <v>3.5989</v>
      </c>
      <c r="C143" s="63">
        <f>3.5989 * CHOOSE(CONTROL!$C$22, $C$13, 100%, $E$13)</f>
        <v>3.5989</v>
      </c>
      <c r="D143" s="63">
        <f>3.6118 * CHOOSE(CONTROL!$C$22, $C$13, 100%, $E$13)</f>
        <v>3.6118000000000001</v>
      </c>
      <c r="E143" s="64">
        <f>4.3194 * CHOOSE(CONTROL!$C$22, $C$13, 100%, $E$13)</f>
        <v>4.3193999999999999</v>
      </c>
      <c r="F143" s="64">
        <f>4.3194 * CHOOSE(CONTROL!$C$22, $C$13, 100%, $E$13)</f>
        <v>4.3193999999999999</v>
      </c>
      <c r="G143" s="64">
        <f>4.3351 * CHOOSE(CONTROL!$C$22, $C$13, 100%, $E$13)</f>
        <v>4.3350999999999997</v>
      </c>
      <c r="H143" s="64">
        <f>6.9581* CHOOSE(CONTROL!$C$22, $C$13, 100%, $E$13)</f>
        <v>6.9581</v>
      </c>
      <c r="I143" s="64">
        <f>6.9738 * CHOOSE(CONTROL!$C$22, $C$13, 100%, $E$13)</f>
        <v>6.9737999999999998</v>
      </c>
      <c r="J143" s="64">
        <f>4.3194 * CHOOSE(CONTROL!$C$22, $C$13, 100%, $E$13)</f>
        <v>4.3193999999999999</v>
      </c>
      <c r="K143" s="64">
        <f>4.3351 * CHOOSE(CONTROL!$C$22, $C$13, 100%, $E$13)</f>
        <v>4.3350999999999997</v>
      </c>
      <c r="L143" s="4"/>
      <c r="M143" s="4"/>
      <c r="N143" s="4"/>
    </row>
    <row r="144" spans="1:14" ht="15">
      <c r="A144" s="13">
        <v>45870</v>
      </c>
      <c r="B144" s="63">
        <f>3.6055 * CHOOSE(CONTROL!$C$22, $C$13, 100%, $E$13)</f>
        <v>3.6055000000000001</v>
      </c>
      <c r="C144" s="63">
        <f>3.6055 * CHOOSE(CONTROL!$C$22, $C$13, 100%, $E$13)</f>
        <v>3.6055000000000001</v>
      </c>
      <c r="D144" s="63">
        <f>3.6185 * CHOOSE(CONTROL!$C$22, $C$13, 100%, $E$13)</f>
        <v>3.6185</v>
      </c>
      <c r="E144" s="64">
        <f>4.2607 * CHOOSE(CONTROL!$C$22, $C$13, 100%, $E$13)</f>
        <v>4.2606999999999999</v>
      </c>
      <c r="F144" s="64">
        <f>4.2607 * CHOOSE(CONTROL!$C$22, $C$13, 100%, $E$13)</f>
        <v>4.2606999999999999</v>
      </c>
      <c r="G144" s="64">
        <f>4.2764 * CHOOSE(CONTROL!$C$22, $C$13, 100%, $E$13)</f>
        <v>4.2763999999999998</v>
      </c>
      <c r="H144" s="64">
        <f>6.9726* CHOOSE(CONTROL!$C$22, $C$13, 100%, $E$13)</f>
        <v>6.9725999999999999</v>
      </c>
      <c r="I144" s="64">
        <f>6.9883 * CHOOSE(CONTROL!$C$22, $C$13, 100%, $E$13)</f>
        <v>6.9882999999999997</v>
      </c>
      <c r="J144" s="64">
        <f>4.2607 * CHOOSE(CONTROL!$C$22, $C$13, 100%, $E$13)</f>
        <v>4.2606999999999999</v>
      </c>
      <c r="K144" s="64">
        <f>4.2764 * CHOOSE(CONTROL!$C$22, $C$13, 100%, $E$13)</f>
        <v>4.2763999999999998</v>
      </c>
      <c r="L144" s="4"/>
      <c r="M144" s="4"/>
      <c r="N144" s="4"/>
    </row>
    <row r="145" spans="1:14" ht="15">
      <c r="A145" s="13">
        <v>45901</v>
      </c>
      <c r="B145" s="63">
        <f>3.6025 * CHOOSE(CONTROL!$C$22, $C$13, 100%, $E$13)</f>
        <v>3.6025</v>
      </c>
      <c r="C145" s="63">
        <f>3.6025 * CHOOSE(CONTROL!$C$22, $C$13, 100%, $E$13)</f>
        <v>3.6025</v>
      </c>
      <c r="D145" s="63">
        <f>3.6155 * CHOOSE(CONTROL!$C$22, $C$13, 100%, $E$13)</f>
        <v>3.6154999999999999</v>
      </c>
      <c r="E145" s="64">
        <f>4.2515 * CHOOSE(CONTROL!$C$22, $C$13, 100%, $E$13)</f>
        <v>4.2515000000000001</v>
      </c>
      <c r="F145" s="64">
        <f>4.2515 * CHOOSE(CONTROL!$C$22, $C$13, 100%, $E$13)</f>
        <v>4.2515000000000001</v>
      </c>
      <c r="G145" s="64">
        <f>4.2672 * CHOOSE(CONTROL!$C$22, $C$13, 100%, $E$13)</f>
        <v>4.2671999999999999</v>
      </c>
      <c r="H145" s="64">
        <f>6.9871* CHOOSE(CONTROL!$C$22, $C$13, 100%, $E$13)</f>
        <v>6.9870999999999999</v>
      </c>
      <c r="I145" s="64">
        <f>7.0028 * CHOOSE(CONTROL!$C$22, $C$13, 100%, $E$13)</f>
        <v>7.0027999999999997</v>
      </c>
      <c r="J145" s="64">
        <f>4.2515 * CHOOSE(CONTROL!$C$22, $C$13, 100%, $E$13)</f>
        <v>4.2515000000000001</v>
      </c>
      <c r="K145" s="64">
        <f>4.2672 * CHOOSE(CONTROL!$C$22, $C$13, 100%, $E$13)</f>
        <v>4.2671999999999999</v>
      </c>
      <c r="L145" s="4"/>
      <c r="M145" s="4"/>
      <c r="N145" s="4"/>
    </row>
    <row r="146" spans="1:14" ht="15">
      <c r="A146" s="13">
        <v>45931</v>
      </c>
      <c r="B146" s="63">
        <f>3.596 * CHOOSE(CONTROL!$C$22, $C$13, 100%, $E$13)</f>
        <v>3.5960000000000001</v>
      </c>
      <c r="C146" s="63">
        <f>3.596 * CHOOSE(CONTROL!$C$22, $C$13, 100%, $E$13)</f>
        <v>3.5960000000000001</v>
      </c>
      <c r="D146" s="63">
        <f>3.596 * CHOOSE(CONTROL!$C$22, $C$13, 100%, $E$13)</f>
        <v>3.5960000000000001</v>
      </c>
      <c r="E146" s="64">
        <f>4.2663 * CHOOSE(CONTROL!$C$22, $C$13, 100%, $E$13)</f>
        <v>4.2663000000000002</v>
      </c>
      <c r="F146" s="64">
        <f>4.2663 * CHOOSE(CONTROL!$C$22, $C$13, 100%, $E$13)</f>
        <v>4.2663000000000002</v>
      </c>
      <c r="G146" s="64">
        <f>4.2664 * CHOOSE(CONTROL!$C$22, $C$13, 100%, $E$13)</f>
        <v>4.2664</v>
      </c>
      <c r="H146" s="64">
        <f>7.0017* CHOOSE(CONTROL!$C$22, $C$13, 100%, $E$13)</f>
        <v>7.0016999999999996</v>
      </c>
      <c r="I146" s="64">
        <f>7.0018 * CHOOSE(CONTROL!$C$22, $C$13, 100%, $E$13)</f>
        <v>7.0018000000000002</v>
      </c>
      <c r="J146" s="64">
        <f>4.2663 * CHOOSE(CONTROL!$C$22, $C$13, 100%, $E$13)</f>
        <v>4.2663000000000002</v>
      </c>
      <c r="K146" s="64">
        <f>4.2664 * CHOOSE(CONTROL!$C$22, $C$13, 100%, $E$13)</f>
        <v>4.2664</v>
      </c>
      <c r="L146" s="4"/>
      <c r="M146" s="4"/>
      <c r="N146" s="4"/>
    </row>
    <row r="147" spans="1:14" ht="15">
      <c r="A147" s="13">
        <v>45962</v>
      </c>
      <c r="B147" s="63">
        <f>3.599 * CHOOSE(CONTROL!$C$22, $C$13, 100%, $E$13)</f>
        <v>3.5990000000000002</v>
      </c>
      <c r="C147" s="63">
        <f>3.599 * CHOOSE(CONTROL!$C$22, $C$13, 100%, $E$13)</f>
        <v>3.5990000000000002</v>
      </c>
      <c r="D147" s="63">
        <f>3.599 * CHOOSE(CONTROL!$C$22, $C$13, 100%, $E$13)</f>
        <v>3.5990000000000002</v>
      </c>
      <c r="E147" s="64">
        <f>4.2825 * CHOOSE(CONTROL!$C$22, $C$13, 100%, $E$13)</f>
        <v>4.2824999999999998</v>
      </c>
      <c r="F147" s="64">
        <f>4.2825 * CHOOSE(CONTROL!$C$22, $C$13, 100%, $E$13)</f>
        <v>4.2824999999999998</v>
      </c>
      <c r="G147" s="64">
        <f>4.2826 * CHOOSE(CONTROL!$C$22, $C$13, 100%, $E$13)</f>
        <v>4.2826000000000004</v>
      </c>
      <c r="H147" s="64">
        <f>7.0163* CHOOSE(CONTROL!$C$22, $C$13, 100%, $E$13)</f>
        <v>7.0163000000000002</v>
      </c>
      <c r="I147" s="64">
        <f>7.0164 * CHOOSE(CONTROL!$C$22, $C$13, 100%, $E$13)</f>
        <v>7.0164</v>
      </c>
      <c r="J147" s="64">
        <f>4.2825 * CHOOSE(CONTROL!$C$22, $C$13, 100%, $E$13)</f>
        <v>4.2824999999999998</v>
      </c>
      <c r="K147" s="64">
        <f>4.2826 * CHOOSE(CONTROL!$C$22, $C$13, 100%, $E$13)</f>
        <v>4.2826000000000004</v>
      </c>
    </row>
    <row r="148" spans="1:14" ht="15">
      <c r="A148" s="13">
        <v>45992</v>
      </c>
      <c r="B148" s="63">
        <f>3.599 * CHOOSE(CONTROL!$C$22, $C$13, 100%, $E$13)</f>
        <v>3.5990000000000002</v>
      </c>
      <c r="C148" s="63">
        <f>3.599 * CHOOSE(CONTROL!$C$22, $C$13, 100%, $E$13)</f>
        <v>3.5990000000000002</v>
      </c>
      <c r="D148" s="63">
        <f>3.599 * CHOOSE(CONTROL!$C$22, $C$13, 100%, $E$13)</f>
        <v>3.5990000000000002</v>
      </c>
      <c r="E148" s="64">
        <f>4.2473 * CHOOSE(CONTROL!$C$22, $C$13, 100%, $E$13)</f>
        <v>4.2473000000000001</v>
      </c>
      <c r="F148" s="64">
        <f>4.2473 * CHOOSE(CONTROL!$C$22, $C$13, 100%, $E$13)</f>
        <v>4.2473000000000001</v>
      </c>
      <c r="G148" s="64">
        <f>4.2474 * CHOOSE(CONTROL!$C$22, $C$13, 100%, $E$13)</f>
        <v>4.2473999999999998</v>
      </c>
      <c r="H148" s="64">
        <f>7.0309* CHOOSE(CONTROL!$C$22, $C$13, 100%, $E$13)</f>
        <v>7.0308999999999999</v>
      </c>
      <c r="I148" s="64">
        <f>7.031 * CHOOSE(CONTROL!$C$22, $C$13, 100%, $E$13)</f>
        <v>7.0309999999999997</v>
      </c>
      <c r="J148" s="64">
        <f>4.2473 * CHOOSE(CONTROL!$C$22, $C$13, 100%, $E$13)</f>
        <v>4.2473000000000001</v>
      </c>
      <c r="K148" s="64">
        <f>4.2474 * CHOOSE(CONTROL!$C$22, $C$13, 100%, $E$13)</f>
        <v>4.2473999999999998</v>
      </c>
    </row>
    <row r="149" spans="1:14" ht="15">
      <c r="A149" s="13">
        <v>46023</v>
      </c>
      <c r="B149" s="63">
        <f>3.6288 * CHOOSE(CONTROL!$C$22, $C$13, 100%, $E$13)</f>
        <v>3.6288</v>
      </c>
      <c r="C149" s="63">
        <f>3.6288 * CHOOSE(CONTROL!$C$22, $C$13, 100%, $E$13)</f>
        <v>3.6288</v>
      </c>
      <c r="D149" s="63">
        <f>3.6288 * CHOOSE(CONTROL!$C$22, $C$13, 100%, $E$13)</f>
        <v>3.6288</v>
      </c>
      <c r="E149" s="64">
        <f>4.3063 * CHOOSE(CONTROL!$C$22, $C$13, 100%, $E$13)</f>
        <v>4.3063000000000002</v>
      </c>
      <c r="F149" s="64">
        <f>4.3063 * CHOOSE(CONTROL!$C$22, $C$13, 100%, $E$13)</f>
        <v>4.3063000000000002</v>
      </c>
      <c r="G149" s="64">
        <f>4.3064 * CHOOSE(CONTROL!$C$22, $C$13, 100%, $E$13)</f>
        <v>4.3064</v>
      </c>
      <c r="H149" s="64">
        <f>7.0455* CHOOSE(CONTROL!$C$22, $C$13, 100%, $E$13)</f>
        <v>7.0454999999999997</v>
      </c>
      <c r="I149" s="64">
        <f>7.0456 * CHOOSE(CONTROL!$C$22, $C$13, 100%, $E$13)</f>
        <v>7.0456000000000003</v>
      </c>
      <c r="J149" s="64">
        <f>4.3063 * CHOOSE(CONTROL!$C$22, $C$13, 100%, $E$13)</f>
        <v>4.3063000000000002</v>
      </c>
      <c r="K149" s="64">
        <f>4.3064 * CHOOSE(CONTROL!$C$22, $C$13, 100%, $E$13)</f>
        <v>4.3064</v>
      </c>
    </row>
    <row r="150" spans="1:14" ht="15">
      <c r="A150" s="13">
        <v>46054</v>
      </c>
      <c r="B150" s="63">
        <f>3.6257 * CHOOSE(CONTROL!$C$22, $C$13, 100%, $E$13)</f>
        <v>3.6257000000000001</v>
      </c>
      <c r="C150" s="63">
        <f>3.6257 * CHOOSE(CONTROL!$C$22, $C$13, 100%, $E$13)</f>
        <v>3.6257000000000001</v>
      </c>
      <c r="D150" s="63">
        <f>3.6258 * CHOOSE(CONTROL!$C$22, $C$13, 100%, $E$13)</f>
        <v>3.6257999999999999</v>
      </c>
      <c r="E150" s="64">
        <f>4.236 * CHOOSE(CONTROL!$C$22, $C$13, 100%, $E$13)</f>
        <v>4.2359999999999998</v>
      </c>
      <c r="F150" s="64">
        <f>4.236 * CHOOSE(CONTROL!$C$22, $C$13, 100%, $E$13)</f>
        <v>4.2359999999999998</v>
      </c>
      <c r="G150" s="64">
        <f>4.236 * CHOOSE(CONTROL!$C$22, $C$13, 100%, $E$13)</f>
        <v>4.2359999999999998</v>
      </c>
      <c r="H150" s="64">
        <f>7.0602* CHOOSE(CONTROL!$C$22, $C$13, 100%, $E$13)</f>
        <v>7.0602</v>
      </c>
      <c r="I150" s="64">
        <f>7.0603 * CHOOSE(CONTROL!$C$22, $C$13, 100%, $E$13)</f>
        <v>7.0602999999999998</v>
      </c>
      <c r="J150" s="64">
        <f>4.236 * CHOOSE(CONTROL!$C$22, $C$13, 100%, $E$13)</f>
        <v>4.2359999999999998</v>
      </c>
      <c r="K150" s="64">
        <f>4.236 * CHOOSE(CONTROL!$C$22, $C$13, 100%, $E$13)</f>
        <v>4.2359999999999998</v>
      </c>
    </row>
    <row r="151" spans="1:14" ht="15">
      <c r="A151" s="13">
        <v>46082</v>
      </c>
      <c r="B151" s="63">
        <f>3.6227 * CHOOSE(CONTROL!$C$22, $C$13, 100%, $E$13)</f>
        <v>3.6227</v>
      </c>
      <c r="C151" s="63">
        <f>3.6227 * CHOOSE(CONTROL!$C$22, $C$13, 100%, $E$13)</f>
        <v>3.6227</v>
      </c>
      <c r="D151" s="63">
        <f>3.6227 * CHOOSE(CONTROL!$C$22, $C$13, 100%, $E$13)</f>
        <v>3.6227</v>
      </c>
      <c r="E151" s="64">
        <f>4.2876 * CHOOSE(CONTROL!$C$22, $C$13, 100%, $E$13)</f>
        <v>4.2876000000000003</v>
      </c>
      <c r="F151" s="64">
        <f>4.2876 * CHOOSE(CONTROL!$C$22, $C$13, 100%, $E$13)</f>
        <v>4.2876000000000003</v>
      </c>
      <c r="G151" s="64">
        <f>4.2877 * CHOOSE(CONTROL!$C$22, $C$13, 100%, $E$13)</f>
        <v>4.2877000000000001</v>
      </c>
      <c r="H151" s="64">
        <f>7.0749* CHOOSE(CONTROL!$C$22, $C$13, 100%, $E$13)</f>
        <v>7.0749000000000004</v>
      </c>
      <c r="I151" s="64">
        <f>7.075 * CHOOSE(CONTROL!$C$22, $C$13, 100%, $E$13)</f>
        <v>7.0750000000000002</v>
      </c>
      <c r="J151" s="64">
        <f>4.2876 * CHOOSE(CONTROL!$C$22, $C$13, 100%, $E$13)</f>
        <v>4.2876000000000003</v>
      </c>
      <c r="K151" s="64">
        <f>4.2877 * CHOOSE(CONTROL!$C$22, $C$13, 100%, $E$13)</f>
        <v>4.2877000000000001</v>
      </c>
    </row>
    <row r="152" spans="1:14" ht="15">
      <c r="A152" s="13">
        <v>46113</v>
      </c>
      <c r="B152" s="63">
        <f>3.62 * CHOOSE(CONTROL!$C$22, $C$13, 100%, $E$13)</f>
        <v>3.62</v>
      </c>
      <c r="C152" s="63">
        <f>3.62 * CHOOSE(CONTROL!$C$22, $C$13, 100%, $E$13)</f>
        <v>3.62</v>
      </c>
      <c r="D152" s="63">
        <f>3.62 * CHOOSE(CONTROL!$C$22, $C$13, 100%, $E$13)</f>
        <v>3.62</v>
      </c>
      <c r="E152" s="64">
        <f>4.3412 * CHOOSE(CONTROL!$C$22, $C$13, 100%, $E$13)</f>
        <v>4.3411999999999997</v>
      </c>
      <c r="F152" s="64">
        <f>4.3412 * CHOOSE(CONTROL!$C$22, $C$13, 100%, $E$13)</f>
        <v>4.3411999999999997</v>
      </c>
      <c r="G152" s="64">
        <f>4.3412 * CHOOSE(CONTROL!$C$22, $C$13, 100%, $E$13)</f>
        <v>4.3411999999999997</v>
      </c>
      <c r="H152" s="64">
        <f>7.0897* CHOOSE(CONTROL!$C$22, $C$13, 100%, $E$13)</f>
        <v>7.0896999999999997</v>
      </c>
      <c r="I152" s="64">
        <f>7.0897 * CHOOSE(CONTROL!$C$22, $C$13, 100%, $E$13)</f>
        <v>7.0896999999999997</v>
      </c>
      <c r="J152" s="64">
        <f>4.3412 * CHOOSE(CONTROL!$C$22, $C$13, 100%, $E$13)</f>
        <v>4.3411999999999997</v>
      </c>
      <c r="K152" s="64">
        <f>4.3412 * CHOOSE(CONTROL!$C$22, $C$13, 100%, $E$13)</f>
        <v>4.3411999999999997</v>
      </c>
    </row>
    <row r="153" spans="1:14" ht="15">
      <c r="A153" s="13">
        <v>46143</v>
      </c>
      <c r="B153" s="63">
        <f>3.62 * CHOOSE(CONTROL!$C$22, $C$13, 100%, $E$13)</f>
        <v>3.62</v>
      </c>
      <c r="C153" s="63">
        <f>3.62 * CHOOSE(CONTROL!$C$22, $C$13, 100%, $E$13)</f>
        <v>3.62</v>
      </c>
      <c r="D153" s="63">
        <f>3.6329 * CHOOSE(CONTROL!$C$22, $C$13, 100%, $E$13)</f>
        <v>3.6328999999999998</v>
      </c>
      <c r="E153" s="64">
        <f>4.3628 * CHOOSE(CONTROL!$C$22, $C$13, 100%, $E$13)</f>
        <v>4.3628</v>
      </c>
      <c r="F153" s="64">
        <f>4.3628 * CHOOSE(CONTROL!$C$22, $C$13, 100%, $E$13)</f>
        <v>4.3628</v>
      </c>
      <c r="G153" s="64">
        <f>4.3785 * CHOOSE(CONTROL!$C$22, $C$13, 100%, $E$13)</f>
        <v>4.3784999999999998</v>
      </c>
      <c r="H153" s="64">
        <f>7.1044* CHOOSE(CONTROL!$C$22, $C$13, 100%, $E$13)</f>
        <v>7.1044</v>
      </c>
      <c r="I153" s="64">
        <f>7.1201 * CHOOSE(CONTROL!$C$22, $C$13, 100%, $E$13)</f>
        <v>7.1200999999999999</v>
      </c>
      <c r="J153" s="64">
        <f>4.3628 * CHOOSE(CONTROL!$C$22, $C$13, 100%, $E$13)</f>
        <v>4.3628</v>
      </c>
      <c r="K153" s="64">
        <f>4.3785 * CHOOSE(CONTROL!$C$22, $C$13, 100%, $E$13)</f>
        <v>4.3784999999999998</v>
      </c>
    </row>
    <row r="154" spans="1:14" ht="15">
      <c r="A154" s="13">
        <v>46174</v>
      </c>
      <c r="B154" s="63">
        <f>3.626 * CHOOSE(CONTROL!$C$22, $C$13, 100%, $E$13)</f>
        <v>3.6259999999999999</v>
      </c>
      <c r="C154" s="63">
        <f>3.626 * CHOOSE(CONTROL!$C$22, $C$13, 100%, $E$13)</f>
        <v>3.6259999999999999</v>
      </c>
      <c r="D154" s="63">
        <f>3.639 * CHOOSE(CONTROL!$C$22, $C$13, 100%, $E$13)</f>
        <v>3.6389999999999998</v>
      </c>
      <c r="E154" s="64">
        <f>4.3454 * CHOOSE(CONTROL!$C$22, $C$13, 100%, $E$13)</f>
        <v>4.3453999999999997</v>
      </c>
      <c r="F154" s="64">
        <f>4.3454 * CHOOSE(CONTROL!$C$22, $C$13, 100%, $E$13)</f>
        <v>4.3453999999999997</v>
      </c>
      <c r="G154" s="64">
        <f>4.3611 * CHOOSE(CONTROL!$C$22, $C$13, 100%, $E$13)</f>
        <v>4.3611000000000004</v>
      </c>
      <c r="H154" s="64">
        <f>7.1192* CHOOSE(CONTROL!$C$22, $C$13, 100%, $E$13)</f>
        <v>7.1192000000000002</v>
      </c>
      <c r="I154" s="64">
        <f>7.1349 * CHOOSE(CONTROL!$C$22, $C$13, 100%, $E$13)</f>
        <v>7.1349</v>
      </c>
      <c r="J154" s="64">
        <f>4.3454 * CHOOSE(CONTROL!$C$22, $C$13, 100%, $E$13)</f>
        <v>4.3453999999999997</v>
      </c>
      <c r="K154" s="64">
        <f>4.3611 * CHOOSE(CONTROL!$C$22, $C$13, 100%, $E$13)</f>
        <v>4.3611000000000004</v>
      </c>
    </row>
    <row r="155" spans="1:14" ht="15">
      <c r="A155" s="13">
        <v>46204</v>
      </c>
      <c r="B155" s="63">
        <f>3.6807 * CHOOSE(CONTROL!$C$22, $C$13, 100%, $E$13)</f>
        <v>3.6806999999999999</v>
      </c>
      <c r="C155" s="63">
        <f>3.6807 * CHOOSE(CONTROL!$C$22, $C$13, 100%, $E$13)</f>
        <v>3.6806999999999999</v>
      </c>
      <c r="D155" s="63">
        <f>3.6937 * CHOOSE(CONTROL!$C$22, $C$13, 100%, $E$13)</f>
        <v>3.6937000000000002</v>
      </c>
      <c r="E155" s="64">
        <f>4.4213 * CHOOSE(CONTROL!$C$22, $C$13, 100%, $E$13)</f>
        <v>4.4212999999999996</v>
      </c>
      <c r="F155" s="64">
        <f>4.4213 * CHOOSE(CONTROL!$C$22, $C$13, 100%, $E$13)</f>
        <v>4.4212999999999996</v>
      </c>
      <c r="G155" s="64">
        <f>4.437 * CHOOSE(CONTROL!$C$22, $C$13, 100%, $E$13)</f>
        <v>4.4370000000000003</v>
      </c>
      <c r="H155" s="64">
        <f>7.1341* CHOOSE(CONTROL!$C$22, $C$13, 100%, $E$13)</f>
        <v>7.1341000000000001</v>
      </c>
      <c r="I155" s="64">
        <f>7.1498 * CHOOSE(CONTROL!$C$22, $C$13, 100%, $E$13)</f>
        <v>7.1497999999999999</v>
      </c>
      <c r="J155" s="64">
        <f>4.4213 * CHOOSE(CONTROL!$C$22, $C$13, 100%, $E$13)</f>
        <v>4.4212999999999996</v>
      </c>
      <c r="K155" s="64">
        <f>4.437 * CHOOSE(CONTROL!$C$22, $C$13, 100%, $E$13)</f>
        <v>4.4370000000000003</v>
      </c>
    </row>
    <row r="156" spans="1:14" ht="15">
      <c r="A156" s="13">
        <v>46235</v>
      </c>
      <c r="B156" s="63">
        <f>3.6874 * CHOOSE(CONTROL!$C$22, $C$13, 100%, $E$13)</f>
        <v>3.6873999999999998</v>
      </c>
      <c r="C156" s="63">
        <f>3.6874 * CHOOSE(CONTROL!$C$22, $C$13, 100%, $E$13)</f>
        <v>3.6873999999999998</v>
      </c>
      <c r="D156" s="63">
        <f>3.7003 * CHOOSE(CONTROL!$C$22, $C$13, 100%, $E$13)</f>
        <v>3.7002999999999999</v>
      </c>
      <c r="E156" s="64">
        <f>4.3609 * CHOOSE(CONTROL!$C$22, $C$13, 100%, $E$13)</f>
        <v>4.3609</v>
      </c>
      <c r="F156" s="64">
        <f>4.3609 * CHOOSE(CONTROL!$C$22, $C$13, 100%, $E$13)</f>
        <v>4.3609</v>
      </c>
      <c r="G156" s="64">
        <f>4.3766 * CHOOSE(CONTROL!$C$22, $C$13, 100%, $E$13)</f>
        <v>4.3765999999999998</v>
      </c>
      <c r="H156" s="64">
        <f>7.1489* CHOOSE(CONTROL!$C$22, $C$13, 100%, $E$13)</f>
        <v>7.1489000000000003</v>
      </c>
      <c r="I156" s="64">
        <f>7.1646 * CHOOSE(CONTROL!$C$22, $C$13, 100%, $E$13)</f>
        <v>7.1646000000000001</v>
      </c>
      <c r="J156" s="64">
        <f>4.3609 * CHOOSE(CONTROL!$C$22, $C$13, 100%, $E$13)</f>
        <v>4.3609</v>
      </c>
      <c r="K156" s="64">
        <f>4.3766 * CHOOSE(CONTROL!$C$22, $C$13, 100%, $E$13)</f>
        <v>4.3765999999999998</v>
      </c>
    </row>
    <row r="157" spans="1:14" ht="15">
      <c r="A157" s="13">
        <v>46266</v>
      </c>
      <c r="B157" s="63">
        <f>3.6843 * CHOOSE(CONTROL!$C$22, $C$13, 100%, $E$13)</f>
        <v>3.6842999999999999</v>
      </c>
      <c r="C157" s="63">
        <f>3.6843 * CHOOSE(CONTROL!$C$22, $C$13, 100%, $E$13)</f>
        <v>3.6842999999999999</v>
      </c>
      <c r="D157" s="63">
        <f>3.6973 * CHOOSE(CONTROL!$C$22, $C$13, 100%, $E$13)</f>
        <v>3.6972999999999998</v>
      </c>
      <c r="E157" s="64">
        <f>4.3516 * CHOOSE(CONTROL!$C$22, $C$13, 100%, $E$13)</f>
        <v>4.3516000000000004</v>
      </c>
      <c r="F157" s="64">
        <f>4.3516 * CHOOSE(CONTROL!$C$22, $C$13, 100%, $E$13)</f>
        <v>4.3516000000000004</v>
      </c>
      <c r="G157" s="64">
        <f>4.3673 * CHOOSE(CONTROL!$C$22, $C$13, 100%, $E$13)</f>
        <v>4.3673000000000002</v>
      </c>
      <c r="H157" s="64">
        <f>7.1638* CHOOSE(CONTROL!$C$22, $C$13, 100%, $E$13)</f>
        <v>7.1638000000000002</v>
      </c>
      <c r="I157" s="64">
        <f>7.1795 * CHOOSE(CONTROL!$C$22, $C$13, 100%, $E$13)</f>
        <v>7.1795</v>
      </c>
      <c r="J157" s="64">
        <f>4.3516 * CHOOSE(CONTROL!$C$22, $C$13, 100%, $E$13)</f>
        <v>4.3516000000000004</v>
      </c>
      <c r="K157" s="64">
        <f>4.3673 * CHOOSE(CONTROL!$C$22, $C$13, 100%, $E$13)</f>
        <v>4.3673000000000002</v>
      </c>
    </row>
    <row r="158" spans="1:14" ht="15">
      <c r="A158" s="13">
        <v>46296</v>
      </c>
      <c r="B158" s="63">
        <f>3.6781 * CHOOSE(CONTROL!$C$22, $C$13, 100%, $E$13)</f>
        <v>3.6781000000000001</v>
      </c>
      <c r="C158" s="63">
        <f>3.6781 * CHOOSE(CONTROL!$C$22, $C$13, 100%, $E$13)</f>
        <v>3.6781000000000001</v>
      </c>
      <c r="D158" s="63">
        <f>3.6781 * CHOOSE(CONTROL!$C$22, $C$13, 100%, $E$13)</f>
        <v>3.6781000000000001</v>
      </c>
      <c r="E158" s="64">
        <f>4.3671 * CHOOSE(CONTROL!$C$22, $C$13, 100%, $E$13)</f>
        <v>4.3670999999999998</v>
      </c>
      <c r="F158" s="64">
        <f>4.3671 * CHOOSE(CONTROL!$C$22, $C$13, 100%, $E$13)</f>
        <v>4.3670999999999998</v>
      </c>
      <c r="G158" s="64">
        <f>4.3672 * CHOOSE(CONTROL!$C$22, $C$13, 100%, $E$13)</f>
        <v>4.3672000000000004</v>
      </c>
      <c r="H158" s="64">
        <f>7.1788* CHOOSE(CONTROL!$C$22, $C$13, 100%, $E$13)</f>
        <v>7.1787999999999998</v>
      </c>
      <c r="I158" s="64">
        <f>7.1788 * CHOOSE(CONTROL!$C$22, $C$13, 100%, $E$13)</f>
        <v>7.1787999999999998</v>
      </c>
      <c r="J158" s="64">
        <f>4.3671 * CHOOSE(CONTROL!$C$22, $C$13, 100%, $E$13)</f>
        <v>4.3670999999999998</v>
      </c>
      <c r="K158" s="64">
        <f>4.3672 * CHOOSE(CONTROL!$C$22, $C$13, 100%, $E$13)</f>
        <v>4.3672000000000004</v>
      </c>
    </row>
    <row r="159" spans="1:14" ht="15">
      <c r="A159" s="13">
        <v>46327</v>
      </c>
      <c r="B159" s="63">
        <f>3.6811 * CHOOSE(CONTROL!$C$22, $C$13, 100%, $E$13)</f>
        <v>3.6810999999999998</v>
      </c>
      <c r="C159" s="63">
        <f>3.6811 * CHOOSE(CONTROL!$C$22, $C$13, 100%, $E$13)</f>
        <v>3.6810999999999998</v>
      </c>
      <c r="D159" s="63">
        <f>3.6812 * CHOOSE(CONTROL!$C$22, $C$13, 100%, $E$13)</f>
        <v>3.6812</v>
      </c>
      <c r="E159" s="64">
        <f>4.3836 * CHOOSE(CONTROL!$C$22, $C$13, 100%, $E$13)</f>
        <v>4.3836000000000004</v>
      </c>
      <c r="F159" s="64">
        <f>4.3836 * CHOOSE(CONTROL!$C$22, $C$13, 100%, $E$13)</f>
        <v>4.3836000000000004</v>
      </c>
      <c r="G159" s="64">
        <f>4.3837 * CHOOSE(CONTROL!$C$22, $C$13, 100%, $E$13)</f>
        <v>4.3837000000000002</v>
      </c>
      <c r="H159" s="64">
        <f>7.1937* CHOOSE(CONTROL!$C$22, $C$13, 100%, $E$13)</f>
        <v>7.1936999999999998</v>
      </c>
      <c r="I159" s="64">
        <f>7.1938 * CHOOSE(CONTROL!$C$22, $C$13, 100%, $E$13)</f>
        <v>7.1938000000000004</v>
      </c>
      <c r="J159" s="64">
        <f>4.3836 * CHOOSE(CONTROL!$C$22, $C$13, 100%, $E$13)</f>
        <v>4.3836000000000004</v>
      </c>
      <c r="K159" s="64">
        <f>4.3837 * CHOOSE(CONTROL!$C$22, $C$13, 100%, $E$13)</f>
        <v>4.3837000000000002</v>
      </c>
    </row>
    <row r="160" spans="1:14" ht="15">
      <c r="A160" s="13">
        <v>46357</v>
      </c>
      <c r="B160" s="63">
        <f>3.6811 * CHOOSE(CONTROL!$C$22, $C$13, 100%, $E$13)</f>
        <v>3.6810999999999998</v>
      </c>
      <c r="C160" s="63">
        <f>3.6811 * CHOOSE(CONTROL!$C$22, $C$13, 100%, $E$13)</f>
        <v>3.6810999999999998</v>
      </c>
      <c r="D160" s="63">
        <f>3.6812 * CHOOSE(CONTROL!$C$22, $C$13, 100%, $E$13)</f>
        <v>3.6812</v>
      </c>
      <c r="E160" s="64">
        <f>4.3475 * CHOOSE(CONTROL!$C$22, $C$13, 100%, $E$13)</f>
        <v>4.3475000000000001</v>
      </c>
      <c r="F160" s="64">
        <f>4.3475 * CHOOSE(CONTROL!$C$22, $C$13, 100%, $E$13)</f>
        <v>4.3475000000000001</v>
      </c>
      <c r="G160" s="64">
        <f>4.3476 * CHOOSE(CONTROL!$C$22, $C$13, 100%, $E$13)</f>
        <v>4.3475999999999999</v>
      </c>
      <c r="H160" s="64">
        <f>7.2087* CHOOSE(CONTROL!$C$22, $C$13, 100%, $E$13)</f>
        <v>7.2087000000000003</v>
      </c>
      <c r="I160" s="64">
        <f>7.2088 * CHOOSE(CONTROL!$C$22, $C$13, 100%, $E$13)</f>
        <v>7.2088000000000001</v>
      </c>
      <c r="J160" s="64">
        <f>4.3475 * CHOOSE(CONTROL!$C$22, $C$13, 100%, $E$13)</f>
        <v>4.3475000000000001</v>
      </c>
      <c r="K160" s="64">
        <f>4.3476 * CHOOSE(CONTROL!$C$22, $C$13, 100%, $E$13)</f>
        <v>4.3475999999999999</v>
      </c>
    </row>
    <row r="161" spans="1:11" ht="15">
      <c r="A161" s="13">
        <v>46388</v>
      </c>
      <c r="B161" s="63">
        <f>3.7098 * CHOOSE(CONTROL!$C$22, $C$13, 100%, $E$13)</f>
        <v>3.7098</v>
      </c>
      <c r="C161" s="63">
        <f>3.7098 * CHOOSE(CONTROL!$C$22, $C$13, 100%, $E$13)</f>
        <v>3.7098</v>
      </c>
      <c r="D161" s="63">
        <f>3.7098 * CHOOSE(CONTROL!$C$22, $C$13, 100%, $E$13)</f>
        <v>3.7098</v>
      </c>
      <c r="E161" s="64">
        <f>4.4079 * CHOOSE(CONTROL!$C$22, $C$13, 100%, $E$13)</f>
        <v>4.4078999999999997</v>
      </c>
      <c r="F161" s="64">
        <f>4.4079 * CHOOSE(CONTROL!$C$22, $C$13, 100%, $E$13)</f>
        <v>4.4078999999999997</v>
      </c>
      <c r="G161" s="64">
        <f>4.408 * CHOOSE(CONTROL!$C$22, $C$13, 100%, $E$13)</f>
        <v>4.4080000000000004</v>
      </c>
      <c r="H161" s="64">
        <f>7.2237* CHOOSE(CONTROL!$C$22, $C$13, 100%, $E$13)</f>
        <v>7.2237</v>
      </c>
      <c r="I161" s="64">
        <f>7.2238 * CHOOSE(CONTROL!$C$22, $C$13, 100%, $E$13)</f>
        <v>7.2237999999999998</v>
      </c>
      <c r="J161" s="64">
        <f>4.4079 * CHOOSE(CONTROL!$C$22, $C$13, 100%, $E$13)</f>
        <v>4.4078999999999997</v>
      </c>
      <c r="K161" s="64">
        <f>4.408 * CHOOSE(CONTROL!$C$22, $C$13, 100%, $E$13)</f>
        <v>4.4080000000000004</v>
      </c>
    </row>
    <row r="162" spans="1:11" ht="15">
      <c r="A162" s="13">
        <v>46419</v>
      </c>
      <c r="B162" s="63">
        <f>3.7067 * CHOOSE(CONTROL!$C$22, $C$13, 100%, $E$13)</f>
        <v>3.7067000000000001</v>
      </c>
      <c r="C162" s="63">
        <f>3.7067 * CHOOSE(CONTROL!$C$22, $C$13, 100%, $E$13)</f>
        <v>3.7067000000000001</v>
      </c>
      <c r="D162" s="63">
        <f>3.7067 * CHOOSE(CONTROL!$C$22, $C$13, 100%, $E$13)</f>
        <v>3.7067000000000001</v>
      </c>
      <c r="E162" s="64">
        <f>4.3359 * CHOOSE(CONTROL!$C$22, $C$13, 100%, $E$13)</f>
        <v>4.3358999999999996</v>
      </c>
      <c r="F162" s="64">
        <f>4.3359 * CHOOSE(CONTROL!$C$22, $C$13, 100%, $E$13)</f>
        <v>4.3358999999999996</v>
      </c>
      <c r="G162" s="64">
        <f>4.3359 * CHOOSE(CONTROL!$C$22, $C$13, 100%, $E$13)</f>
        <v>4.3358999999999996</v>
      </c>
      <c r="H162" s="64">
        <f>7.2388* CHOOSE(CONTROL!$C$22, $C$13, 100%, $E$13)</f>
        <v>7.2388000000000003</v>
      </c>
      <c r="I162" s="64">
        <f>7.2388 * CHOOSE(CONTROL!$C$22, $C$13, 100%, $E$13)</f>
        <v>7.2388000000000003</v>
      </c>
      <c r="J162" s="64">
        <f>4.3359 * CHOOSE(CONTROL!$C$22, $C$13, 100%, $E$13)</f>
        <v>4.3358999999999996</v>
      </c>
      <c r="K162" s="64">
        <f>4.3359 * CHOOSE(CONTROL!$C$22, $C$13, 100%, $E$13)</f>
        <v>4.3358999999999996</v>
      </c>
    </row>
    <row r="163" spans="1:11" ht="15">
      <c r="A163" s="13">
        <v>46447</v>
      </c>
      <c r="B163" s="63">
        <f>3.7037 * CHOOSE(CONTROL!$C$22, $C$13, 100%, $E$13)</f>
        <v>3.7037</v>
      </c>
      <c r="C163" s="63">
        <f>3.7037 * CHOOSE(CONTROL!$C$22, $C$13, 100%, $E$13)</f>
        <v>3.7037</v>
      </c>
      <c r="D163" s="63">
        <f>3.7037 * CHOOSE(CONTROL!$C$22, $C$13, 100%, $E$13)</f>
        <v>3.7037</v>
      </c>
      <c r="E163" s="64">
        <f>4.3889 * CHOOSE(CONTROL!$C$22, $C$13, 100%, $E$13)</f>
        <v>4.3888999999999996</v>
      </c>
      <c r="F163" s="64">
        <f>4.3889 * CHOOSE(CONTROL!$C$22, $C$13, 100%, $E$13)</f>
        <v>4.3888999999999996</v>
      </c>
      <c r="G163" s="64">
        <f>4.389 * CHOOSE(CONTROL!$C$22, $C$13, 100%, $E$13)</f>
        <v>4.3890000000000002</v>
      </c>
      <c r="H163" s="64">
        <f>7.2538* CHOOSE(CONTROL!$C$22, $C$13, 100%, $E$13)</f>
        <v>7.2538</v>
      </c>
      <c r="I163" s="64">
        <f>7.2539 * CHOOSE(CONTROL!$C$22, $C$13, 100%, $E$13)</f>
        <v>7.2538999999999998</v>
      </c>
      <c r="J163" s="64">
        <f>4.3889 * CHOOSE(CONTROL!$C$22, $C$13, 100%, $E$13)</f>
        <v>4.3888999999999996</v>
      </c>
      <c r="K163" s="64">
        <f>4.389 * CHOOSE(CONTROL!$C$22, $C$13, 100%, $E$13)</f>
        <v>4.3890000000000002</v>
      </c>
    </row>
    <row r="164" spans="1:11" ht="15">
      <c r="A164" s="13">
        <v>46478</v>
      </c>
      <c r="B164" s="63">
        <f>3.701 * CHOOSE(CONTROL!$C$22, $C$13, 100%, $E$13)</f>
        <v>3.7010000000000001</v>
      </c>
      <c r="C164" s="63">
        <f>3.701 * CHOOSE(CONTROL!$C$22, $C$13, 100%, $E$13)</f>
        <v>3.7010000000000001</v>
      </c>
      <c r="D164" s="63">
        <f>3.701 * CHOOSE(CONTROL!$C$22, $C$13, 100%, $E$13)</f>
        <v>3.7010000000000001</v>
      </c>
      <c r="E164" s="64">
        <f>4.4439 * CHOOSE(CONTROL!$C$22, $C$13, 100%, $E$13)</f>
        <v>4.4439000000000002</v>
      </c>
      <c r="F164" s="64">
        <f>4.4439 * CHOOSE(CONTROL!$C$22, $C$13, 100%, $E$13)</f>
        <v>4.4439000000000002</v>
      </c>
      <c r="G164" s="64">
        <f>4.444 * CHOOSE(CONTROL!$C$22, $C$13, 100%, $E$13)</f>
        <v>4.444</v>
      </c>
      <c r="H164" s="64">
        <f>7.269* CHOOSE(CONTROL!$C$22, $C$13, 100%, $E$13)</f>
        <v>7.2690000000000001</v>
      </c>
      <c r="I164" s="64">
        <f>7.269 * CHOOSE(CONTROL!$C$22, $C$13, 100%, $E$13)</f>
        <v>7.2690000000000001</v>
      </c>
      <c r="J164" s="64">
        <f>4.4439 * CHOOSE(CONTROL!$C$22, $C$13, 100%, $E$13)</f>
        <v>4.4439000000000002</v>
      </c>
      <c r="K164" s="64">
        <f>4.444 * CHOOSE(CONTROL!$C$22, $C$13, 100%, $E$13)</f>
        <v>4.444</v>
      </c>
    </row>
    <row r="165" spans="1:11" ht="15">
      <c r="A165" s="13">
        <v>46508</v>
      </c>
      <c r="B165" s="63">
        <f>3.701 * CHOOSE(CONTROL!$C$22, $C$13, 100%, $E$13)</f>
        <v>3.7010000000000001</v>
      </c>
      <c r="C165" s="63">
        <f>3.701 * CHOOSE(CONTROL!$C$22, $C$13, 100%, $E$13)</f>
        <v>3.7010000000000001</v>
      </c>
      <c r="D165" s="63">
        <f>3.714 * CHOOSE(CONTROL!$C$22, $C$13, 100%, $E$13)</f>
        <v>3.714</v>
      </c>
      <c r="E165" s="64">
        <f>4.4661 * CHOOSE(CONTROL!$C$22, $C$13, 100%, $E$13)</f>
        <v>4.4661</v>
      </c>
      <c r="F165" s="64">
        <f>4.4661 * CHOOSE(CONTROL!$C$22, $C$13, 100%, $E$13)</f>
        <v>4.4661</v>
      </c>
      <c r="G165" s="64">
        <f>4.4818 * CHOOSE(CONTROL!$C$22, $C$13, 100%, $E$13)</f>
        <v>4.4817999999999998</v>
      </c>
      <c r="H165" s="64">
        <f>7.2841* CHOOSE(CONTROL!$C$22, $C$13, 100%, $E$13)</f>
        <v>7.2840999999999996</v>
      </c>
      <c r="I165" s="64">
        <f>7.2998 * CHOOSE(CONTROL!$C$22, $C$13, 100%, $E$13)</f>
        <v>7.2998000000000003</v>
      </c>
      <c r="J165" s="64">
        <f>4.4661 * CHOOSE(CONTROL!$C$22, $C$13, 100%, $E$13)</f>
        <v>4.4661</v>
      </c>
      <c r="K165" s="64">
        <f>4.4818 * CHOOSE(CONTROL!$C$22, $C$13, 100%, $E$13)</f>
        <v>4.4817999999999998</v>
      </c>
    </row>
    <row r="166" spans="1:11" ht="15">
      <c r="A166" s="13">
        <v>46539</v>
      </c>
      <c r="B166" s="63">
        <f>3.7071 * CHOOSE(CONTROL!$C$22, $C$13, 100%, $E$13)</f>
        <v>3.7071000000000001</v>
      </c>
      <c r="C166" s="63">
        <f>3.7071 * CHOOSE(CONTROL!$C$22, $C$13, 100%, $E$13)</f>
        <v>3.7071000000000001</v>
      </c>
      <c r="D166" s="63">
        <f>3.7201 * CHOOSE(CONTROL!$C$22, $C$13, 100%, $E$13)</f>
        <v>3.7201</v>
      </c>
      <c r="E166" s="64">
        <f>4.4481 * CHOOSE(CONTROL!$C$22, $C$13, 100%, $E$13)</f>
        <v>4.4481000000000002</v>
      </c>
      <c r="F166" s="64">
        <f>4.4481 * CHOOSE(CONTROL!$C$22, $C$13, 100%, $E$13)</f>
        <v>4.4481000000000002</v>
      </c>
      <c r="G166" s="64">
        <f>4.4638 * CHOOSE(CONTROL!$C$22, $C$13, 100%, $E$13)</f>
        <v>4.4638</v>
      </c>
      <c r="H166" s="64">
        <f>7.2993* CHOOSE(CONTROL!$C$22, $C$13, 100%, $E$13)</f>
        <v>7.2992999999999997</v>
      </c>
      <c r="I166" s="64">
        <f>7.315 * CHOOSE(CONTROL!$C$22, $C$13, 100%, $E$13)</f>
        <v>7.3150000000000004</v>
      </c>
      <c r="J166" s="64">
        <f>4.4481 * CHOOSE(CONTROL!$C$22, $C$13, 100%, $E$13)</f>
        <v>4.4481000000000002</v>
      </c>
      <c r="K166" s="64">
        <f>4.4638 * CHOOSE(CONTROL!$C$22, $C$13, 100%, $E$13)</f>
        <v>4.4638</v>
      </c>
    </row>
    <row r="167" spans="1:11" ht="15">
      <c r="A167" s="13">
        <v>46569</v>
      </c>
      <c r="B167" s="63">
        <f>3.7587 * CHOOSE(CONTROL!$C$22, $C$13, 100%, $E$13)</f>
        <v>3.7587000000000002</v>
      </c>
      <c r="C167" s="63">
        <f>3.7587 * CHOOSE(CONTROL!$C$22, $C$13, 100%, $E$13)</f>
        <v>3.7587000000000002</v>
      </c>
      <c r="D167" s="63">
        <f>3.7716 * CHOOSE(CONTROL!$C$22, $C$13, 100%, $E$13)</f>
        <v>3.7715999999999998</v>
      </c>
      <c r="E167" s="64">
        <f>4.5253 * CHOOSE(CONTROL!$C$22, $C$13, 100%, $E$13)</f>
        <v>4.5252999999999997</v>
      </c>
      <c r="F167" s="64">
        <f>4.5253 * CHOOSE(CONTROL!$C$22, $C$13, 100%, $E$13)</f>
        <v>4.5252999999999997</v>
      </c>
      <c r="G167" s="64">
        <f>4.541 * CHOOSE(CONTROL!$C$22, $C$13, 100%, $E$13)</f>
        <v>4.5410000000000004</v>
      </c>
      <c r="H167" s="64">
        <f>7.3145* CHOOSE(CONTROL!$C$22, $C$13, 100%, $E$13)</f>
        <v>7.3144999999999998</v>
      </c>
      <c r="I167" s="64">
        <f>7.3302 * CHOOSE(CONTROL!$C$22, $C$13, 100%, $E$13)</f>
        <v>7.3301999999999996</v>
      </c>
      <c r="J167" s="64">
        <f>4.5253 * CHOOSE(CONTROL!$C$22, $C$13, 100%, $E$13)</f>
        <v>4.5252999999999997</v>
      </c>
      <c r="K167" s="64">
        <f>4.541 * CHOOSE(CONTROL!$C$22, $C$13, 100%, $E$13)</f>
        <v>4.5410000000000004</v>
      </c>
    </row>
    <row r="168" spans="1:11" ht="15">
      <c r="A168" s="13">
        <v>46600</v>
      </c>
      <c r="B168" s="63">
        <f>3.7654 * CHOOSE(CONTROL!$C$22, $C$13, 100%, $E$13)</f>
        <v>3.7654000000000001</v>
      </c>
      <c r="C168" s="63">
        <f>3.7654 * CHOOSE(CONTROL!$C$22, $C$13, 100%, $E$13)</f>
        <v>3.7654000000000001</v>
      </c>
      <c r="D168" s="63">
        <f>3.7783 * CHOOSE(CONTROL!$C$22, $C$13, 100%, $E$13)</f>
        <v>3.7783000000000002</v>
      </c>
      <c r="E168" s="64">
        <f>4.4633 * CHOOSE(CONTROL!$C$22, $C$13, 100%, $E$13)</f>
        <v>4.4633000000000003</v>
      </c>
      <c r="F168" s="64">
        <f>4.4633 * CHOOSE(CONTROL!$C$22, $C$13, 100%, $E$13)</f>
        <v>4.4633000000000003</v>
      </c>
      <c r="G168" s="64">
        <f>4.479 * CHOOSE(CONTROL!$C$22, $C$13, 100%, $E$13)</f>
        <v>4.4790000000000001</v>
      </c>
      <c r="H168" s="64">
        <f>7.3297* CHOOSE(CONTROL!$C$22, $C$13, 100%, $E$13)</f>
        <v>7.3296999999999999</v>
      </c>
      <c r="I168" s="64">
        <f>7.3454 * CHOOSE(CONTROL!$C$22, $C$13, 100%, $E$13)</f>
        <v>7.3453999999999997</v>
      </c>
      <c r="J168" s="64">
        <f>4.4633 * CHOOSE(CONTROL!$C$22, $C$13, 100%, $E$13)</f>
        <v>4.4633000000000003</v>
      </c>
      <c r="K168" s="64">
        <f>4.479 * CHOOSE(CONTROL!$C$22, $C$13, 100%, $E$13)</f>
        <v>4.4790000000000001</v>
      </c>
    </row>
    <row r="169" spans="1:11" ht="15">
      <c r="A169" s="13">
        <v>46631</v>
      </c>
      <c r="B169" s="63">
        <f>3.7623 * CHOOSE(CONTROL!$C$22, $C$13, 100%, $E$13)</f>
        <v>3.7623000000000002</v>
      </c>
      <c r="C169" s="63">
        <f>3.7623 * CHOOSE(CONTROL!$C$22, $C$13, 100%, $E$13)</f>
        <v>3.7623000000000002</v>
      </c>
      <c r="D169" s="63">
        <f>3.7753 * CHOOSE(CONTROL!$C$22, $C$13, 100%, $E$13)</f>
        <v>3.7753000000000001</v>
      </c>
      <c r="E169" s="64">
        <f>4.4538 * CHOOSE(CONTROL!$C$22, $C$13, 100%, $E$13)</f>
        <v>4.4538000000000002</v>
      </c>
      <c r="F169" s="64">
        <f>4.4538 * CHOOSE(CONTROL!$C$22, $C$13, 100%, $E$13)</f>
        <v>4.4538000000000002</v>
      </c>
      <c r="G169" s="64">
        <f>4.4695 * CHOOSE(CONTROL!$C$22, $C$13, 100%, $E$13)</f>
        <v>4.4695</v>
      </c>
      <c r="H169" s="64">
        <f>7.345* CHOOSE(CONTROL!$C$22, $C$13, 100%, $E$13)</f>
        <v>7.3449999999999998</v>
      </c>
      <c r="I169" s="64">
        <f>7.3607 * CHOOSE(CONTROL!$C$22, $C$13, 100%, $E$13)</f>
        <v>7.3606999999999996</v>
      </c>
      <c r="J169" s="64">
        <f>4.4538 * CHOOSE(CONTROL!$C$22, $C$13, 100%, $E$13)</f>
        <v>4.4538000000000002</v>
      </c>
      <c r="K169" s="64">
        <f>4.4695 * CHOOSE(CONTROL!$C$22, $C$13, 100%, $E$13)</f>
        <v>4.4695</v>
      </c>
    </row>
    <row r="170" spans="1:11" ht="15">
      <c r="A170" s="13">
        <v>46661</v>
      </c>
      <c r="B170" s="63">
        <f>3.7564 * CHOOSE(CONTROL!$C$22, $C$13, 100%, $E$13)</f>
        <v>3.7564000000000002</v>
      </c>
      <c r="C170" s="63">
        <f>3.7564 * CHOOSE(CONTROL!$C$22, $C$13, 100%, $E$13)</f>
        <v>3.7564000000000002</v>
      </c>
      <c r="D170" s="63">
        <f>3.7564 * CHOOSE(CONTROL!$C$22, $C$13, 100%, $E$13)</f>
        <v>3.7564000000000002</v>
      </c>
      <c r="E170" s="64">
        <f>4.47 * CHOOSE(CONTROL!$C$22, $C$13, 100%, $E$13)</f>
        <v>4.47</v>
      </c>
      <c r="F170" s="64">
        <f>4.47 * CHOOSE(CONTROL!$C$22, $C$13, 100%, $E$13)</f>
        <v>4.47</v>
      </c>
      <c r="G170" s="64">
        <f>4.4701 * CHOOSE(CONTROL!$C$22, $C$13, 100%, $E$13)</f>
        <v>4.4701000000000004</v>
      </c>
      <c r="H170" s="64">
        <f>7.3603* CHOOSE(CONTROL!$C$22, $C$13, 100%, $E$13)</f>
        <v>7.3602999999999996</v>
      </c>
      <c r="I170" s="64">
        <f>7.3604 * CHOOSE(CONTROL!$C$22, $C$13, 100%, $E$13)</f>
        <v>7.3604000000000003</v>
      </c>
      <c r="J170" s="64">
        <f>4.47 * CHOOSE(CONTROL!$C$22, $C$13, 100%, $E$13)</f>
        <v>4.47</v>
      </c>
      <c r="K170" s="64">
        <f>4.4701 * CHOOSE(CONTROL!$C$22, $C$13, 100%, $E$13)</f>
        <v>4.4701000000000004</v>
      </c>
    </row>
    <row r="171" spans="1:11" ht="15">
      <c r="A171" s="13">
        <v>46692</v>
      </c>
      <c r="B171" s="63">
        <f>3.7595 * CHOOSE(CONTROL!$C$22, $C$13, 100%, $E$13)</f>
        <v>3.7595000000000001</v>
      </c>
      <c r="C171" s="63">
        <f>3.7595 * CHOOSE(CONTROL!$C$22, $C$13, 100%, $E$13)</f>
        <v>3.7595000000000001</v>
      </c>
      <c r="D171" s="63">
        <f>3.7595 * CHOOSE(CONTROL!$C$22, $C$13, 100%, $E$13)</f>
        <v>3.7595000000000001</v>
      </c>
      <c r="E171" s="64">
        <f>4.4869 * CHOOSE(CONTROL!$C$22, $C$13, 100%, $E$13)</f>
        <v>4.4869000000000003</v>
      </c>
      <c r="F171" s="64">
        <f>4.4869 * CHOOSE(CONTROL!$C$22, $C$13, 100%, $E$13)</f>
        <v>4.4869000000000003</v>
      </c>
      <c r="G171" s="64">
        <f>4.487 * CHOOSE(CONTROL!$C$22, $C$13, 100%, $E$13)</f>
        <v>4.4870000000000001</v>
      </c>
      <c r="H171" s="64">
        <f>7.3756* CHOOSE(CONTROL!$C$22, $C$13, 100%, $E$13)</f>
        <v>7.3756000000000004</v>
      </c>
      <c r="I171" s="64">
        <f>7.3757 * CHOOSE(CONTROL!$C$22, $C$13, 100%, $E$13)</f>
        <v>7.3757000000000001</v>
      </c>
      <c r="J171" s="64">
        <f>4.4869 * CHOOSE(CONTROL!$C$22, $C$13, 100%, $E$13)</f>
        <v>4.4869000000000003</v>
      </c>
      <c r="K171" s="64">
        <f>4.487 * CHOOSE(CONTROL!$C$22, $C$13, 100%, $E$13)</f>
        <v>4.4870000000000001</v>
      </c>
    </row>
    <row r="172" spans="1:11" ht="15">
      <c r="A172" s="13">
        <v>46722</v>
      </c>
      <c r="B172" s="63">
        <f>3.7595 * CHOOSE(CONTROL!$C$22, $C$13, 100%, $E$13)</f>
        <v>3.7595000000000001</v>
      </c>
      <c r="C172" s="63">
        <f>3.7595 * CHOOSE(CONTROL!$C$22, $C$13, 100%, $E$13)</f>
        <v>3.7595000000000001</v>
      </c>
      <c r="D172" s="63">
        <f>3.7595 * CHOOSE(CONTROL!$C$22, $C$13, 100%, $E$13)</f>
        <v>3.7595000000000001</v>
      </c>
      <c r="E172" s="64">
        <f>4.4499 * CHOOSE(CONTROL!$C$22, $C$13, 100%, $E$13)</f>
        <v>4.4499000000000004</v>
      </c>
      <c r="F172" s="64">
        <f>4.4499 * CHOOSE(CONTROL!$C$22, $C$13, 100%, $E$13)</f>
        <v>4.4499000000000004</v>
      </c>
      <c r="G172" s="64">
        <f>4.45 * CHOOSE(CONTROL!$C$22, $C$13, 100%, $E$13)</f>
        <v>4.45</v>
      </c>
      <c r="H172" s="64">
        <f>7.391* CHOOSE(CONTROL!$C$22, $C$13, 100%, $E$13)</f>
        <v>7.391</v>
      </c>
      <c r="I172" s="64">
        <f>7.3911 * CHOOSE(CONTROL!$C$22, $C$13, 100%, $E$13)</f>
        <v>7.3910999999999998</v>
      </c>
      <c r="J172" s="64">
        <f>4.4499 * CHOOSE(CONTROL!$C$22, $C$13, 100%, $E$13)</f>
        <v>4.4499000000000004</v>
      </c>
      <c r="K172" s="64">
        <f>4.45 * CHOOSE(CONTROL!$C$22, $C$13, 100%, $E$13)</f>
        <v>4.45</v>
      </c>
    </row>
    <row r="173" spans="1:11" ht="15">
      <c r="A173" s="13">
        <v>46753</v>
      </c>
      <c r="B173" s="63">
        <f>3.7926 * CHOOSE(CONTROL!$C$22, $C$13, 100%, $E$13)</f>
        <v>3.7926000000000002</v>
      </c>
      <c r="C173" s="63">
        <f>3.7926 * CHOOSE(CONTROL!$C$22, $C$13, 100%, $E$13)</f>
        <v>3.7926000000000002</v>
      </c>
      <c r="D173" s="63">
        <f>3.7926 * CHOOSE(CONTROL!$C$22, $C$13, 100%, $E$13)</f>
        <v>3.7926000000000002</v>
      </c>
      <c r="E173" s="64">
        <f>4.5119 * CHOOSE(CONTROL!$C$22, $C$13, 100%, $E$13)</f>
        <v>4.5118999999999998</v>
      </c>
      <c r="F173" s="64">
        <f>4.5119 * CHOOSE(CONTROL!$C$22, $C$13, 100%, $E$13)</f>
        <v>4.5118999999999998</v>
      </c>
      <c r="G173" s="64">
        <f>4.512 * CHOOSE(CONTROL!$C$22, $C$13, 100%, $E$13)</f>
        <v>4.5119999999999996</v>
      </c>
      <c r="H173" s="64">
        <f>7.4064* CHOOSE(CONTROL!$C$22, $C$13, 100%, $E$13)</f>
        <v>7.4063999999999997</v>
      </c>
      <c r="I173" s="64">
        <f>7.4065 * CHOOSE(CONTROL!$C$22, $C$13, 100%, $E$13)</f>
        <v>7.4065000000000003</v>
      </c>
      <c r="J173" s="64">
        <f>4.5119 * CHOOSE(CONTROL!$C$22, $C$13, 100%, $E$13)</f>
        <v>4.5118999999999998</v>
      </c>
      <c r="K173" s="64">
        <f>4.512 * CHOOSE(CONTROL!$C$22, $C$13, 100%, $E$13)</f>
        <v>4.5119999999999996</v>
      </c>
    </row>
    <row r="174" spans="1:11" ht="15">
      <c r="A174" s="13">
        <v>46784</v>
      </c>
      <c r="B174" s="63">
        <f>3.7896 * CHOOSE(CONTROL!$C$22, $C$13, 100%, $E$13)</f>
        <v>3.7896000000000001</v>
      </c>
      <c r="C174" s="63">
        <f>3.7896 * CHOOSE(CONTROL!$C$22, $C$13, 100%, $E$13)</f>
        <v>3.7896000000000001</v>
      </c>
      <c r="D174" s="63">
        <f>3.7896 * CHOOSE(CONTROL!$C$22, $C$13, 100%, $E$13)</f>
        <v>3.7896000000000001</v>
      </c>
      <c r="E174" s="64">
        <f>4.438 * CHOOSE(CONTROL!$C$22, $C$13, 100%, $E$13)</f>
        <v>4.4379999999999997</v>
      </c>
      <c r="F174" s="64">
        <f>4.438 * CHOOSE(CONTROL!$C$22, $C$13, 100%, $E$13)</f>
        <v>4.4379999999999997</v>
      </c>
      <c r="G174" s="64">
        <f>4.4381 * CHOOSE(CONTROL!$C$22, $C$13, 100%, $E$13)</f>
        <v>4.4381000000000004</v>
      </c>
      <c r="H174" s="64">
        <f>7.4218* CHOOSE(CONTROL!$C$22, $C$13, 100%, $E$13)</f>
        <v>7.4218000000000002</v>
      </c>
      <c r="I174" s="64">
        <f>7.4219 * CHOOSE(CONTROL!$C$22, $C$13, 100%, $E$13)</f>
        <v>7.4218999999999999</v>
      </c>
      <c r="J174" s="64">
        <f>4.438 * CHOOSE(CONTROL!$C$22, $C$13, 100%, $E$13)</f>
        <v>4.4379999999999997</v>
      </c>
      <c r="K174" s="64">
        <f>4.4381 * CHOOSE(CONTROL!$C$22, $C$13, 100%, $E$13)</f>
        <v>4.4381000000000004</v>
      </c>
    </row>
    <row r="175" spans="1:11" ht="15">
      <c r="A175" s="13">
        <v>46813</v>
      </c>
      <c r="B175" s="63">
        <f>3.7865 * CHOOSE(CONTROL!$C$22, $C$13, 100%, $E$13)</f>
        <v>3.7865000000000002</v>
      </c>
      <c r="C175" s="63">
        <f>3.7865 * CHOOSE(CONTROL!$C$22, $C$13, 100%, $E$13)</f>
        <v>3.7865000000000002</v>
      </c>
      <c r="D175" s="63">
        <f>3.7865 * CHOOSE(CONTROL!$C$22, $C$13, 100%, $E$13)</f>
        <v>3.7865000000000002</v>
      </c>
      <c r="E175" s="64">
        <f>4.4925 * CHOOSE(CONTROL!$C$22, $C$13, 100%, $E$13)</f>
        <v>4.4924999999999997</v>
      </c>
      <c r="F175" s="64">
        <f>4.4925 * CHOOSE(CONTROL!$C$22, $C$13, 100%, $E$13)</f>
        <v>4.4924999999999997</v>
      </c>
      <c r="G175" s="64">
        <f>4.4926 * CHOOSE(CONTROL!$C$22, $C$13, 100%, $E$13)</f>
        <v>4.4926000000000004</v>
      </c>
      <c r="H175" s="64">
        <f>7.4373* CHOOSE(CONTROL!$C$22, $C$13, 100%, $E$13)</f>
        <v>7.4372999999999996</v>
      </c>
      <c r="I175" s="64">
        <f>7.4374 * CHOOSE(CONTROL!$C$22, $C$13, 100%, $E$13)</f>
        <v>7.4374000000000002</v>
      </c>
      <c r="J175" s="64">
        <f>4.4925 * CHOOSE(CONTROL!$C$22, $C$13, 100%, $E$13)</f>
        <v>4.4924999999999997</v>
      </c>
      <c r="K175" s="64">
        <f>4.4926 * CHOOSE(CONTROL!$C$22, $C$13, 100%, $E$13)</f>
        <v>4.4926000000000004</v>
      </c>
    </row>
    <row r="176" spans="1:11" ht="15">
      <c r="A176" s="13">
        <v>46844</v>
      </c>
      <c r="B176" s="63">
        <f>3.7839 * CHOOSE(CONTROL!$C$22, $C$13, 100%, $E$13)</f>
        <v>3.7839</v>
      </c>
      <c r="C176" s="63">
        <f>3.7839 * CHOOSE(CONTROL!$C$22, $C$13, 100%, $E$13)</f>
        <v>3.7839</v>
      </c>
      <c r="D176" s="63">
        <f>3.7839 * CHOOSE(CONTROL!$C$22, $C$13, 100%, $E$13)</f>
        <v>3.7839</v>
      </c>
      <c r="E176" s="64">
        <f>4.549 * CHOOSE(CONTROL!$C$22, $C$13, 100%, $E$13)</f>
        <v>4.5490000000000004</v>
      </c>
      <c r="F176" s="64">
        <f>4.549 * CHOOSE(CONTROL!$C$22, $C$13, 100%, $E$13)</f>
        <v>4.5490000000000004</v>
      </c>
      <c r="G176" s="64">
        <f>4.5491 * CHOOSE(CONTROL!$C$22, $C$13, 100%, $E$13)</f>
        <v>4.5491000000000001</v>
      </c>
      <c r="H176" s="64">
        <f>7.4528* CHOOSE(CONTROL!$C$22, $C$13, 100%, $E$13)</f>
        <v>7.4527999999999999</v>
      </c>
      <c r="I176" s="64">
        <f>7.4529 * CHOOSE(CONTROL!$C$22, $C$13, 100%, $E$13)</f>
        <v>7.4528999999999996</v>
      </c>
      <c r="J176" s="64">
        <f>4.549 * CHOOSE(CONTROL!$C$22, $C$13, 100%, $E$13)</f>
        <v>4.5490000000000004</v>
      </c>
      <c r="K176" s="64">
        <f>4.5491 * CHOOSE(CONTROL!$C$22, $C$13, 100%, $E$13)</f>
        <v>4.5491000000000001</v>
      </c>
    </row>
    <row r="177" spans="1:11" ht="15">
      <c r="A177" s="13">
        <v>46874</v>
      </c>
      <c r="B177" s="63">
        <f>3.7839 * CHOOSE(CONTROL!$C$22, $C$13, 100%, $E$13)</f>
        <v>3.7839</v>
      </c>
      <c r="C177" s="63">
        <f>3.7839 * CHOOSE(CONTROL!$C$22, $C$13, 100%, $E$13)</f>
        <v>3.7839</v>
      </c>
      <c r="D177" s="63">
        <f>3.7969 * CHOOSE(CONTROL!$C$22, $C$13, 100%, $E$13)</f>
        <v>3.7968999999999999</v>
      </c>
      <c r="E177" s="64">
        <f>4.5718 * CHOOSE(CONTROL!$C$22, $C$13, 100%, $E$13)</f>
        <v>4.5717999999999996</v>
      </c>
      <c r="F177" s="64">
        <f>4.5718 * CHOOSE(CONTROL!$C$22, $C$13, 100%, $E$13)</f>
        <v>4.5717999999999996</v>
      </c>
      <c r="G177" s="64">
        <f>4.5875 * CHOOSE(CONTROL!$C$22, $C$13, 100%, $E$13)</f>
        <v>4.5875000000000004</v>
      </c>
      <c r="H177" s="64">
        <f>7.4683* CHOOSE(CONTROL!$C$22, $C$13, 100%, $E$13)</f>
        <v>7.4683000000000002</v>
      </c>
      <c r="I177" s="64">
        <f>7.484 * CHOOSE(CONTROL!$C$22, $C$13, 100%, $E$13)</f>
        <v>7.484</v>
      </c>
      <c r="J177" s="64">
        <f>4.5718 * CHOOSE(CONTROL!$C$22, $C$13, 100%, $E$13)</f>
        <v>4.5717999999999996</v>
      </c>
      <c r="K177" s="64">
        <f>4.5875 * CHOOSE(CONTROL!$C$22, $C$13, 100%, $E$13)</f>
        <v>4.5875000000000004</v>
      </c>
    </row>
    <row r="178" spans="1:11" ht="15">
      <c r="A178" s="13">
        <v>46905</v>
      </c>
      <c r="B178" s="63">
        <f>3.79 * CHOOSE(CONTROL!$C$22, $C$13, 100%, $E$13)</f>
        <v>3.79</v>
      </c>
      <c r="C178" s="63">
        <f>3.79 * CHOOSE(CONTROL!$C$22, $C$13, 100%, $E$13)</f>
        <v>3.79</v>
      </c>
      <c r="D178" s="63">
        <f>3.803 * CHOOSE(CONTROL!$C$22, $C$13, 100%, $E$13)</f>
        <v>3.8029999999999999</v>
      </c>
      <c r="E178" s="64">
        <f>4.5532 * CHOOSE(CONTROL!$C$22, $C$13, 100%, $E$13)</f>
        <v>4.5532000000000004</v>
      </c>
      <c r="F178" s="64">
        <f>4.5532 * CHOOSE(CONTROL!$C$22, $C$13, 100%, $E$13)</f>
        <v>4.5532000000000004</v>
      </c>
      <c r="G178" s="64">
        <f>4.5689 * CHOOSE(CONTROL!$C$22, $C$13, 100%, $E$13)</f>
        <v>4.5689000000000002</v>
      </c>
      <c r="H178" s="64">
        <f>7.4839* CHOOSE(CONTROL!$C$22, $C$13, 100%, $E$13)</f>
        <v>7.4839000000000002</v>
      </c>
      <c r="I178" s="64">
        <f>7.4995 * CHOOSE(CONTROL!$C$22, $C$13, 100%, $E$13)</f>
        <v>7.4995000000000003</v>
      </c>
      <c r="J178" s="64">
        <f>4.5532 * CHOOSE(CONTROL!$C$22, $C$13, 100%, $E$13)</f>
        <v>4.5532000000000004</v>
      </c>
      <c r="K178" s="64">
        <f>4.5689 * CHOOSE(CONTROL!$C$22, $C$13, 100%, $E$13)</f>
        <v>4.5689000000000002</v>
      </c>
    </row>
    <row r="179" spans="1:11" ht="15">
      <c r="A179" s="13">
        <v>46935</v>
      </c>
      <c r="B179" s="63">
        <f>3.8518 * CHOOSE(CONTROL!$C$22, $C$13, 100%, $E$13)</f>
        <v>3.8517999999999999</v>
      </c>
      <c r="C179" s="63">
        <f>3.8518 * CHOOSE(CONTROL!$C$22, $C$13, 100%, $E$13)</f>
        <v>3.8517999999999999</v>
      </c>
      <c r="D179" s="63">
        <f>3.8647 * CHOOSE(CONTROL!$C$22, $C$13, 100%, $E$13)</f>
        <v>3.8647</v>
      </c>
      <c r="E179" s="64">
        <f>4.6316 * CHOOSE(CONTROL!$C$22, $C$13, 100%, $E$13)</f>
        <v>4.6315999999999997</v>
      </c>
      <c r="F179" s="64">
        <f>4.6316 * CHOOSE(CONTROL!$C$22, $C$13, 100%, $E$13)</f>
        <v>4.6315999999999997</v>
      </c>
      <c r="G179" s="64">
        <f>4.6473 * CHOOSE(CONTROL!$C$22, $C$13, 100%, $E$13)</f>
        <v>4.6473000000000004</v>
      </c>
      <c r="H179" s="64">
        <f>7.4995* CHOOSE(CONTROL!$C$22, $C$13, 100%, $E$13)</f>
        <v>7.4995000000000003</v>
      </c>
      <c r="I179" s="64">
        <f>7.5151 * CHOOSE(CONTROL!$C$22, $C$13, 100%, $E$13)</f>
        <v>7.5151000000000003</v>
      </c>
      <c r="J179" s="64">
        <f>4.6316 * CHOOSE(CONTROL!$C$22, $C$13, 100%, $E$13)</f>
        <v>4.6315999999999997</v>
      </c>
      <c r="K179" s="64">
        <f>4.6473 * CHOOSE(CONTROL!$C$22, $C$13, 100%, $E$13)</f>
        <v>4.6473000000000004</v>
      </c>
    </row>
    <row r="180" spans="1:11" ht="15">
      <c r="A180" s="13">
        <v>46966</v>
      </c>
      <c r="B180" s="63">
        <f>3.8585 * CHOOSE(CONTROL!$C$22, $C$13, 100%, $E$13)</f>
        <v>3.8584999999999998</v>
      </c>
      <c r="C180" s="63">
        <f>3.8585 * CHOOSE(CONTROL!$C$22, $C$13, 100%, $E$13)</f>
        <v>3.8584999999999998</v>
      </c>
      <c r="D180" s="63">
        <f>3.8714 * CHOOSE(CONTROL!$C$22, $C$13, 100%, $E$13)</f>
        <v>3.8714</v>
      </c>
      <c r="E180" s="64">
        <f>4.5679 * CHOOSE(CONTROL!$C$22, $C$13, 100%, $E$13)</f>
        <v>4.5678999999999998</v>
      </c>
      <c r="F180" s="64">
        <f>4.5679 * CHOOSE(CONTROL!$C$22, $C$13, 100%, $E$13)</f>
        <v>4.5678999999999998</v>
      </c>
      <c r="G180" s="64">
        <f>4.5836 * CHOOSE(CONTROL!$C$22, $C$13, 100%, $E$13)</f>
        <v>4.5835999999999997</v>
      </c>
      <c r="H180" s="64">
        <f>7.5151* CHOOSE(CONTROL!$C$22, $C$13, 100%, $E$13)</f>
        <v>7.5151000000000003</v>
      </c>
      <c r="I180" s="64">
        <f>7.5308 * CHOOSE(CONTROL!$C$22, $C$13, 100%, $E$13)</f>
        <v>7.5308000000000002</v>
      </c>
      <c r="J180" s="64">
        <f>4.5679 * CHOOSE(CONTROL!$C$22, $C$13, 100%, $E$13)</f>
        <v>4.5678999999999998</v>
      </c>
      <c r="K180" s="64">
        <f>4.5836 * CHOOSE(CONTROL!$C$22, $C$13, 100%, $E$13)</f>
        <v>4.5835999999999997</v>
      </c>
    </row>
    <row r="181" spans="1:11" ht="15">
      <c r="A181" s="13">
        <v>46997</v>
      </c>
      <c r="B181" s="63">
        <f>3.8554 * CHOOSE(CONTROL!$C$22, $C$13, 100%, $E$13)</f>
        <v>3.8553999999999999</v>
      </c>
      <c r="C181" s="63">
        <f>3.8554 * CHOOSE(CONTROL!$C$22, $C$13, 100%, $E$13)</f>
        <v>3.8553999999999999</v>
      </c>
      <c r="D181" s="63">
        <f>3.8684 * CHOOSE(CONTROL!$C$22, $C$13, 100%, $E$13)</f>
        <v>3.8683999999999998</v>
      </c>
      <c r="E181" s="64">
        <f>4.5582 * CHOOSE(CONTROL!$C$22, $C$13, 100%, $E$13)</f>
        <v>4.5582000000000003</v>
      </c>
      <c r="F181" s="64">
        <f>4.5582 * CHOOSE(CONTROL!$C$22, $C$13, 100%, $E$13)</f>
        <v>4.5582000000000003</v>
      </c>
      <c r="G181" s="64">
        <f>4.5739 * CHOOSE(CONTROL!$C$22, $C$13, 100%, $E$13)</f>
        <v>4.5739000000000001</v>
      </c>
      <c r="H181" s="64">
        <f>7.5307* CHOOSE(CONTROL!$C$22, $C$13, 100%, $E$13)</f>
        <v>7.5307000000000004</v>
      </c>
      <c r="I181" s="64">
        <f>7.5464 * CHOOSE(CONTROL!$C$22, $C$13, 100%, $E$13)</f>
        <v>7.5464000000000002</v>
      </c>
      <c r="J181" s="64">
        <f>4.5582 * CHOOSE(CONTROL!$C$22, $C$13, 100%, $E$13)</f>
        <v>4.5582000000000003</v>
      </c>
      <c r="K181" s="64">
        <f>4.5739 * CHOOSE(CONTROL!$C$22, $C$13, 100%, $E$13)</f>
        <v>4.5739000000000001</v>
      </c>
    </row>
    <row r="182" spans="1:11" ht="15">
      <c r="A182" s="13">
        <v>47027</v>
      </c>
      <c r="B182" s="63">
        <f>3.8498 * CHOOSE(CONTROL!$C$22, $C$13, 100%, $E$13)</f>
        <v>3.8498000000000001</v>
      </c>
      <c r="C182" s="63">
        <f>3.8498 * CHOOSE(CONTROL!$C$22, $C$13, 100%, $E$13)</f>
        <v>3.8498000000000001</v>
      </c>
      <c r="D182" s="63">
        <f>3.8499 * CHOOSE(CONTROL!$C$22, $C$13, 100%, $E$13)</f>
        <v>3.8498999999999999</v>
      </c>
      <c r="E182" s="64">
        <f>4.5751 * CHOOSE(CONTROL!$C$22, $C$13, 100%, $E$13)</f>
        <v>4.5750999999999999</v>
      </c>
      <c r="F182" s="64">
        <f>4.5751 * CHOOSE(CONTROL!$C$22, $C$13, 100%, $E$13)</f>
        <v>4.5750999999999999</v>
      </c>
      <c r="G182" s="64">
        <f>4.5752 * CHOOSE(CONTROL!$C$22, $C$13, 100%, $E$13)</f>
        <v>4.5751999999999997</v>
      </c>
      <c r="H182" s="64">
        <f>7.5464* CHOOSE(CONTROL!$C$22, $C$13, 100%, $E$13)</f>
        <v>7.5464000000000002</v>
      </c>
      <c r="I182" s="64">
        <f>7.5465 * CHOOSE(CONTROL!$C$22, $C$13, 100%, $E$13)</f>
        <v>7.5465</v>
      </c>
      <c r="J182" s="64">
        <f>4.5751 * CHOOSE(CONTROL!$C$22, $C$13, 100%, $E$13)</f>
        <v>4.5750999999999999</v>
      </c>
      <c r="K182" s="64">
        <f>4.5752 * CHOOSE(CONTROL!$C$22, $C$13, 100%, $E$13)</f>
        <v>4.5751999999999997</v>
      </c>
    </row>
    <row r="183" spans="1:11" ht="15">
      <c r="A183" s="13">
        <v>47058</v>
      </c>
      <c r="B183" s="63">
        <f>3.8529 * CHOOSE(CONTROL!$C$22, $C$13, 100%, $E$13)</f>
        <v>3.8529</v>
      </c>
      <c r="C183" s="63">
        <f>3.8529 * CHOOSE(CONTROL!$C$22, $C$13, 100%, $E$13)</f>
        <v>3.8529</v>
      </c>
      <c r="D183" s="63">
        <f>3.8529 * CHOOSE(CONTROL!$C$22, $C$13, 100%, $E$13)</f>
        <v>3.8529</v>
      </c>
      <c r="E183" s="64">
        <f>4.5924 * CHOOSE(CONTROL!$C$22, $C$13, 100%, $E$13)</f>
        <v>4.5923999999999996</v>
      </c>
      <c r="F183" s="64">
        <f>4.5924 * CHOOSE(CONTROL!$C$22, $C$13, 100%, $E$13)</f>
        <v>4.5923999999999996</v>
      </c>
      <c r="G183" s="64">
        <f>4.5925 * CHOOSE(CONTROL!$C$22, $C$13, 100%, $E$13)</f>
        <v>4.5925000000000002</v>
      </c>
      <c r="H183" s="64">
        <f>7.5621* CHOOSE(CONTROL!$C$22, $C$13, 100%, $E$13)</f>
        <v>7.5621</v>
      </c>
      <c r="I183" s="64">
        <f>7.5622 * CHOOSE(CONTROL!$C$22, $C$13, 100%, $E$13)</f>
        <v>7.5621999999999998</v>
      </c>
      <c r="J183" s="64">
        <f>4.5924 * CHOOSE(CONTROL!$C$22, $C$13, 100%, $E$13)</f>
        <v>4.5923999999999996</v>
      </c>
      <c r="K183" s="64">
        <f>4.5925 * CHOOSE(CONTROL!$C$22, $C$13, 100%, $E$13)</f>
        <v>4.5925000000000002</v>
      </c>
    </row>
    <row r="184" spans="1:11" ht="15">
      <c r="A184" s="13">
        <v>47088</v>
      </c>
      <c r="B184" s="63">
        <f>3.8529 * CHOOSE(CONTROL!$C$22, $C$13, 100%, $E$13)</f>
        <v>3.8529</v>
      </c>
      <c r="C184" s="63">
        <f>3.8529 * CHOOSE(CONTROL!$C$22, $C$13, 100%, $E$13)</f>
        <v>3.8529</v>
      </c>
      <c r="D184" s="63">
        <f>3.8529 * CHOOSE(CONTROL!$C$22, $C$13, 100%, $E$13)</f>
        <v>3.8529</v>
      </c>
      <c r="E184" s="64">
        <f>4.5545 * CHOOSE(CONTROL!$C$22, $C$13, 100%, $E$13)</f>
        <v>4.5545</v>
      </c>
      <c r="F184" s="64">
        <f>4.5545 * CHOOSE(CONTROL!$C$22, $C$13, 100%, $E$13)</f>
        <v>4.5545</v>
      </c>
      <c r="G184" s="64">
        <f>4.5546 * CHOOSE(CONTROL!$C$22, $C$13, 100%, $E$13)</f>
        <v>4.5545999999999998</v>
      </c>
      <c r="H184" s="64">
        <f>7.5779* CHOOSE(CONTROL!$C$22, $C$13, 100%, $E$13)</f>
        <v>7.5778999999999996</v>
      </c>
      <c r="I184" s="64">
        <f>7.578 * CHOOSE(CONTROL!$C$22, $C$13, 100%, $E$13)</f>
        <v>7.5780000000000003</v>
      </c>
      <c r="J184" s="64">
        <f>4.5545 * CHOOSE(CONTROL!$C$22, $C$13, 100%, $E$13)</f>
        <v>4.5545</v>
      </c>
      <c r="K184" s="64">
        <f>4.5546 * CHOOSE(CONTROL!$C$22, $C$13, 100%, $E$13)</f>
        <v>4.5545999999999998</v>
      </c>
    </row>
    <row r="185" spans="1:11" ht="15">
      <c r="A185" s="13">
        <v>47119</v>
      </c>
      <c r="B185" s="63">
        <f>3.8828 * CHOOSE(CONTROL!$C$22, $C$13, 100%, $E$13)</f>
        <v>3.8828</v>
      </c>
      <c r="C185" s="63">
        <f>3.8828 * CHOOSE(CONTROL!$C$22, $C$13, 100%, $E$13)</f>
        <v>3.8828</v>
      </c>
      <c r="D185" s="63">
        <f>3.8828 * CHOOSE(CONTROL!$C$22, $C$13, 100%, $E$13)</f>
        <v>3.8828</v>
      </c>
      <c r="E185" s="64">
        <f>4.6181 * CHOOSE(CONTROL!$C$22, $C$13, 100%, $E$13)</f>
        <v>4.6181000000000001</v>
      </c>
      <c r="F185" s="64">
        <f>4.6181 * CHOOSE(CONTROL!$C$22, $C$13, 100%, $E$13)</f>
        <v>4.6181000000000001</v>
      </c>
      <c r="G185" s="64">
        <f>4.6182 * CHOOSE(CONTROL!$C$22, $C$13, 100%, $E$13)</f>
        <v>4.6181999999999999</v>
      </c>
      <c r="H185" s="64">
        <f>7.5937* CHOOSE(CONTROL!$C$22, $C$13, 100%, $E$13)</f>
        <v>7.5937000000000001</v>
      </c>
      <c r="I185" s="64">
        <f>7.5938 * CHOOSE(CONTROL!$C$22, $C$13, 100%, $E$13)</f>
        <v>7.5937999999999999</v>
      </c>
      <c r="J185" s="64">
        <f>4.6181 * CHOOSE(CONTROL!$C$22, $C$13, 100%, $E$13)</f>
        <v>4.6181000000000001</v>
      </c>
      <c r="K185" s="64">
        <f>4.6182 * CHOOSE(CONTROL!$C$22, $C$13, 100%, $E$13)</f>
        <v>4.6181999999999999</v>
      </c>
    </row>
    <row r="186" spans="1:11" ht="15">
      <c r="A186" s="13">
        <v>47150</v>
      </c>
      <c r="B186" s="63">
        <f>3.8798 * CHOOSE(CONTROL!$C$22, $C$13, 100%, $E$13)</f>
        <v>3.8797999999999999</v>
      </c>
      <c r="C186" s="63">
        <f>3.8798 * CHOOSE(CONTROL!$C$22, $C$13, 100%, $E$13)</f>
        <v>3.8797999999999999</v>
      </c>
      <c r="D186" s="63">
        <f>3.8798 * CHOOSE(CONTROL!$C$22, $C$13, 100%, $E$13)</f>
        <v>3.8797999999999999</v>
      </c>
      <c r="E186" s="64">
        <f>4.5424 * CHOOSE(CONTROL!$C$22, $C$13, 100%, $E$13)</f>
        <v>4.5423999999999998</v>
      </c>
      <c r="F186" s="64">
        <f>4.5424 * CHOOSE(CONTROL!$C$22, $C$13, 100%, $E$13)</f>
        <v>4.5423999999999998</v>
      </c>
      <c r="G186" s="64">
        <f>4.5425 * CHOOSE(CONTROL!$C$22, $C$13, 100%, $E$13)</f>
        <v>4.5425000000000004</v>
      </c>
      <c r="H186" s="64">
        <f>7.6095* CHOOSE(CONTROL!$C$22, $C$13, 100%, $E$13)</f>
        <v>7.6094999999999997</v>
      </c>
      <c r="I186" s="64">
        <f>7.6096 * CHOOSE(CONTROL!$C$22, $C$13, 100%, $E$13)</f>
        <v>7.6096000000000004</v>
      </c>
      <c r="J186" s="64">
        <f>4.5424 * CHOOSE(CONTROL!$C$22, $C$13, 100%, $E$13)</f>
        <v>4.5423999999999998</v>
      </c>
      <c r="K186" s="64">
        <f>4.5425 * CHOOSE(CONTROL!$C$22, $C$13, 100%, $E$13)</f>
        <v>4.5425000000000004</v>
      </c>
    </row>
    <row r="187" spans="1:11" ht="15">
      <c r="A187" s="13">
        <v>47178</v>
      </c>
      <c r="B187" s="63">
        <f>3.8767 * CHOOSE(CONTROL!$C$22, $C$13, 100%, $E$13)</f>
        <v>3.8767</v>
      </c>
      <c r="C187" s="63">
        <f>3.8767 * CHOOSE(CONTROL!$C$22, $C$13, 100%, $E$13)</f>
        <v>3.8767</v>
      </c>
      <c r="D187" s="63">
        <f>3.8768 * CHOOSE(CONTROL!$C$22, $C$13, 100%, $E$13)</f>
        <v>3.8767999999999998</v>
      </c>
      <c r="E187" s="64">
        <f>4.5983 * CHOOSE(CONTROL!$C$22, $C$13, 100%, $E$13)</f>
        <v>4.5983000000000001</v>
      </c>
      <c r="F187" s="64">
        <f>4.5983 * CHOOSE(CONTROL!$C$22, $C$13, 100%, $E$13)</f>
        <v>4.5983000000000001</v>
      </c>
      <c r="G187" s="64">
        <f>4.5984 * CHOOSE(CONTROL!$C$22, $C$13, 100%, $E$13)</f>
        <v>4.5983999999999998</v>
      </c>
      <c r="H187" s="64">
        <f>7.6254* CHOOSE(CONTROL!$C$22, $C$13, 100%, $E$13)</f>
        <v>7.6254</v>
      </c>
      <c r="I187" s="64">
        <f>7.6254 * CHOOSE(CONTROL!$C$22, $C$13, 100%, $E$13)</f>
        <v>7.6254</v>
      </c>
      <c r="J187" s="64">
        <f>4.5983 * CHOOSE(CONTROL!$C$22, $C$13, 100%, $E$13)</f>
        <v>4.5983000000000001</v>
      </c>
      <c r="K187" s="64">
        <f>4.5984 * CHOOSE(CONTROL!$C$22, $C$13, 100%, $E$13)</f>
        <v>4.5983999999999998</v>
      </c>
    </row>
    <row r="188" spans="1:11" ht="15">
      <c r="A188" s="13">
        <v>47209</v>
      </c>
      <c r="B188" s="63">
        <f>3.8743 * CHOOSE(CONTROL!$C$22, $C$13, 100%, $E$13)</f>
        <v>3.8742999999999999</v>
      </c>
      <c r="C188" s="63">
        <f>3.8743 * CHOOSE(CONTROL!$C$22, $C$13, 100%, $E$13)</f>
        <v>3.8742999999999999</v>
      </c>
      <c r="D188" s="63">
        <f>3.8743 * CHOOSE(CONTROL!$C$22, $C$13, 100%, $E$13)</f>
        <v>3.8742999999999999</v>
      </c>
      <c r="E188" s="64">
        <f>4.6563 * CHOOSE(CONTROL!$C$22, $C$13, 100%, $E$13)</f>
        <v>4.6562999999999999</v>
      </c>
      <c r="F188" s="64">
        <f>4.6563 * CHOOSE(CONTROL!$C$22, $C$13, 100%, $E$13)</f>
        <v>4.6562999999999999</v>
      </c>
      <c r="G188" s="64">
        <f>4.6564 * CHOOSE(CONTROL!$C$22, $C$13, 100%, $E$13)</f>
        <v>4.6563999999999997</v>
      </c>
      <c r="H188" s="64">
        <f>7.6412* CHOOSE(CONTROL!$C$22, $C$13, 100%, $E$13)</f>
        <v>7.6412000000000004</v>
      </c>
      <c r="I188" s="64">
        <f>7.6413 * CHOOSE(CONTROL!$C$22, $C$13, 100%, $E$13)</f>
        <v>7.6413000000000002</v>
      </c>
      <c r="J188" s="64">
        <f>4.6563 * CHOOSE(CONTROL!$C$22, $C$13, 100%, $E$13)</f>
        <v>4.6562999999999999</v>
      </c>
      <c r="K188" s="64">
        <f>4.6564 * CHOOSE(CONTROL!$C$22, $C$13, 100%, $E$13)</f>
        <v>4.6563999999999997</v>
      </c>
    </row>
    <row r="189" spans="1:11" ht="15">
      <c r="A189" s="13">
        <v>47239</v>
      </c>
      <c r="B189" s="63">
        <f>3.8743 * CHOOSE(CONTROL!$C$22, $C$13, 100%, $E$13)</f>
        <v>3.8742999999999999</v>
      </c>
      <c r="C189" s="63">
        <f>3.8743 * CHOOSE(CONTROL!$C$22, $C$13, 100%, $E$13)</f>
        <v>3.8742999999999999</v>
      </c>
      <c r="D189" s="63">
        <f>3.8872 * CHOOSE(CONTROL!$C$22, $C$13, 100%, $E$13)</f>
        <v>3.8872</v>
      </c>
      <c r="E189" s="64">
        <f>4.6797 * CHOOSE(CONTROL!$C$22, $C$13, 100%, $E$13)</f>
        <v>4.6797000000000004</v>
      </c>
      <c r="F189" s="64">
        <f>4.6797 * CHOOSE(CONTROL!$C$22, $C$13, 100%, $E$13)</f>
        <v>4.6797000000000004</v>
      </c>
      <c r="G189" s="64">
        <f>4.6954 * CHOOSE(CONTROL!$C$22, $C$13, 100%, $E$13)</f>
        <v>4.6954000000000002</v>
      </c>
      <c r="H189" s="64">
        <f>7.6572* CHOOSE(CONTROL!$C$22, $C$13, 100%, $E$13)</f>
        <v>7.6571999999999996</v>
      </c>
      <c r="I189" s="64">
        <f>7.6728 * CHOOSE(CONTROL!$C$22, $C$13, 100%, $E$13)</f>
        <v>7.6727999999999996</v>
      </c>
      <c r="J189" s="64">
        <f>4.6797 * CHOOSE(CONTROL!$C$22, $C$13, 100%, $E$13)</f>
        <v>4.6797000000000004</v>
      </c>
      <c r="K189" s="64">
        <f>4.6954 * CHOOSE(CONTROL!$C$22, $C$13, 100%, $E$13)</f>
        <v>4.6954000000000002</v>
      </c>
    </row>
    <row r="190" spans="1:11" ht="15">
      <c r="A190" s="13">
        <v>47270</v>
      </c>
      <c r="B190" s="63">
        <f>3.8803 * CHOOSE(CONTROL!$C$22, $C$13, 100%, $E$13)</f>
        <v>3.8803000000000001</v>
      </c>
      <c r="C190" s="63">
        <f>3.8803 * CHOOSE(CONTROL!$C$22, $C$13, 100%, $E$13)</f>
        <v>3.8803000000000001</v>
      </c>
      <c r="D190" s="63">
        <f>3.8933 * CHOOSE(CONTROL!$C$22, $C$13, 100%, $E$13)</f>
        <v>3.8933</v>
      </c>
      <c r="E190" s="64">
        <f>4.6606 * CHOOSE(CONTROL!$C$22, $C$13, 100%, $E$13)</f>
        <v>4.6605999999999996</v>
      </c>
      <c r="F190" s="64">
        <f>4.6606 * CHOOSE(CONTROL!$C$22, $C$13, 100%, $E$13)</f>
        <v>4.6605999999999996</v>
      </c>
      <c r="G190" s="64">
        <f>4.6763 * CHOOSE(CONTROL!$C$22, $C$13, 100%, $E$13)</f>
        <v>4.6763000000000003</v>
      </c>
      <c r="H190" s="64">
        <f>7.6731* CHOOSE(CONTROL!$C$22, $C$13, 100%, $E$13)</f>
        <v>7.6730999999999998</v>
      </c>
      <c r="I190" s="64">
        <f>7.6888 * CHOOSE(CONTROL!$C$22, $C$13, 100%, $E$13)</f>
        <v>7.6887999999999996</v>
      </c>
      <c r="J190" s="64">
        <f>4.6606 * CHOOSE(CONTROL!$C$22, $C$13, 100%, $E$13)</f>
        <v>4.6605999999999996</v>
      </c>
      <c r="K190" s="64">
        <f>4.6763 * CHOOSE(CONTROL!$C$22, $C$13, 100%, $E$13)</f>
        <v>4.6763000000000003</v>
      </c>
    </row>
    <row r="191" spans="1:11" ht="15">
      <c r="A191" s="13">
        <v>47300</v>
      </c>
      <c r="B191" s="63">
        <f>3.9341 * CHOOSE(CONTROL!$C$22, $C$13, 100%, $E$13)</f>
        <v>3.9340999999999999</v>
      </c>
      <c r="C191" s="63">
        <f>3.9341 * CHOOSE(CONTROL!$C$22, $C$13, 100%, $E$13)</f>
        <v>3.9340999999999999</v>
      </c>
      <c r="D191" s="63">
        <f>3.947 * CHOOSE(CONTROL!$C$22, $C$13, 100%, $E$13)</f>
        <v>3.9470000000000001</v>
      </c>
      <c r="E191" s="64">
        <f>4.7415 * CHOOSE(CONTROL!$C$22, $C$13, 100%, $E$13)</f>
        <v>4.7415000000000003</v>
      </c>
      <c r="F191" s="64">
        <f>4.7415 * CHOOSE(CONTROL!$C$22, $C$13, 100%, $E$13)</f>
        <v>4.7415000000000003</v>
      </c>
      <c r="G191" s="64">
        <f>4.7571 * CHOOSE(CONTROL!$C$22, $C$13, 100%, $E$13)</f>
        <v>4.7571000000000003</v>
      </c>
      <c r="H191" s="64">
        <f>7.6891* CHOOSE(CONTROL!$C$22, $C$13, 100%, $E$13)</f>
        <v>7.6890999999999998</v>
      </c>
      <c r="I191" s="64">
        <f>7.7048 * CHOOSE(CONTROL!$C$22, $C$13, 100%, $E$13)</f>
        <v>7.7047999999999996</v>
      </c>
      <c r="J191" s="64">
        <f>4.7415 * CHOOSE(CONTROL!$C$22, $C$13, 100%, $E$13)</f>
        <v>4.7415000000000003</v>
      </c>
      <c r="K191" s="64">
        <f>4.7571 * CHOOSE(CONTROL!$C$22, $C$13, 100%, $E$13)</f>
        <v>4.7571000000000003</v>
      </c>
    </row>
    <row r="192" spans="1:11" ht="15">
      <c r="A192" s="13">
        <v>47331</v>
      </c>
      <c r="B192" s="63">
        <f>3.9407 * CHOOSE(CONTROL!$C$22, $C$13, 100%, $E$13)</f>
        <v>3.9407000000000001</v>
      </c>
      <c r="C192" s="63">
        <f>3.9407 * CHOOSE(CONTROL!$C$22, $C$13, 100%, $E$13)</f>
        <v>3.9407000000000001</v>
      </c>
      <c r="D192" s="63">
        <f>3.9537 * CHOOSE(CONTROL!$C$22, $C$13, 100%, $E$13)</f>
        <v>3.9537</v>
      </c>
      <c r="E192" s="64">
        <f>4.676 * CHOOSE(CONTROL!$C$22, $C$13, 100%, $E$13)</f>
        <v>4.6760000000000002</v>
      </c>
      <c r="F192" s="64">
        <f>4.676 * CHOOSE(CONTROL!$C$22, $C$13, 100%, $E$13)</f>
        <v>4.6760000000000002</v>
      </c>
      <c r="G192" s="64">
        <f>4.6917 * CHOOSE(CONTROL!$C$22, $C$13, 100%, $E$13)</f>
        <v>4.6917</v>
      </c>
      <c r="H192" s="64">
        <f>7.7051* CHOOSE(CONTROL!$C$22, $C$13, 100%, $E$13)</f>
        <v>7.7050999999999998</v>
      </c>
      <c r="I192" s="64">
        <f>7.7208 * CHOOSE(CONTROL!$C$22, $C$13, 100%, $E$13)</f>
        <v>7.7207999999999997</v>
      </c>
      <c r="J192" s="64">
        <f>4.676 * CHOOSE(CONTROL!$C$22, $C$13, 100%, $E$13)</f>
        <v>4.6760000000000002</v>
      </c>
      <c r="K192" s="64">
        <f>4.6917 * CHOOSE(CONTROL!$C$22, $C$13, 100%, $E$13)</f>
        <v>4.6917</v>
      </c>
    </row>
    <row r="193" spans="1:11" ht="15">
      <c r="A193" s="13">
        <v>47362</v>
      </c>
      <c r="B193" s="63">
        <f>3.9377 * CHOOSE(CONTROL!$C$22, $C$13, 100%, $E$13)</f>
        <v>3.9377</v>
      </c>
      <c r="C193" s="63">
        <f>3.9377 * CHOOSE(CONTROL!$C$22, $C$13, 100%, $E$13)</f>
        <v>3.9377</v>
      </c>
      <c r="D193" s="63">
        <f>3.9507 * CHOOSE(CONTROL!$C$22, $C$13, 100%, $E$13)</f>
        <v>3.9506999999999999</v>
      </c>
      <c r="E193" s="64">
        <f>4.6661 * CHOOSE(CONTROL!$C$22, $C$13, 100%, $E$13)</f>
        <v>4.6661000000000001</v>
      </c>
      <c r="F193" s="64">
        <f>4.6661 * CHOOSE(CONTROL!$C$22, $C$13, 100%, $E$13)</f>
        <v>4.6661000000000001</v>
      </c>
      <c r="G193" s="64">
        <f>4.6818 * CHOOSE(CONTROL!$C$22, $C$13, 100%, $E$13)</f>
        <v>4.6818</v>
      </c>
      <c r="H193" s="64">
        <f>7.7212* CHOOSE(CONTROL!$C$22, $C$13, 100%, $E$13)</f>
        <v>7.7211999999999996</v>
      </c>
      <c r="I193" s="64">
        <f>7.7369 * CHOOSE(CONTROL!$C$22, $C$13, 100%, $E$13)</f>
        <v>7.7369000000000003</v>
      </c>
      <c r="J193" s="64">
        <f>4.6661 * CHOOSE(CONTROL!$C$22, $C$13, 100%, $E$13)</f>
        <v>4.6661000000000001</v>
      </c>
      <c r="K193" s="64">
        <f>4.6818 * CHOOSE(CONTROL!$C$22, $C$13, 100%, $E$13)</f>
        <v>4.6818</v>
      </c>
    </row>
    <row r="194" spans="1:11" ht="15">
      <c r="A194" s="13">
        <v>47392</v>
      </c>
      <c r="B194" s="63">
        <f>3.9325 * CHOOSE(CONTROL!$C$22, $C$13, 100%, $E$13)</f>
        <v>3.9325000000000001</v>
      </c>
      <c r="C194" s="63">
        <f>3.9325 * CHOOSE(CONTROL!$C$22, $C$13, 100%, $E$13)</f>
        <v>3.9325000000000001</v>
      </c>
      <c r="D194" s="63">
        <f>3.9325 * CHOOSE(CONTROL!$C$22, $C$13, 100%, $E$13)</f>
        <v>3.9325000000000001</v>
      </c>
      <c r="E194" s="64">
        <f>4.6838 * CHOOSE(CONTROL!$C$22, $C$13, 100%, $E$13)</f>
        <v>4.6837999999999997</v>
      </c>
      <c r="F194" s="64">
        <f>4.6838 * CHOOSE(CONTROL!$C$22, $C$13, 100%, $E$13)</f>
        <v>4.6837999999999997</v>
      </c>
      <c r="G194" s="64">
        <f>4.6839 * CHOOSE(CONTROL!$C$22, $C$13, 100%, $E$13)</f>
        <v>4.6839000000000004</v>
      </c>
      <c r="H194" s="64">
        <f>7.7373* CHOOSE(CONTROL!$C$22, $C$13, 100%, $E$13)</f>
        <v>7.7373000000000003</v>
      </c>
      <c r="I194" s="64">
        <f>7.7373 * CHOOSE(CONTROL!$C$22, $C$13, 100%, $E$13)</f>
        <v>7.7373000000000003</v>
      </c>
      <c r="J194" s="64">
        <f>4.6838 * CHOOSE(CONTROL!$C$22, $C$13, 100%, $E$13)</f>
        <v>4.6837999999999997</v>
      </c>
      <c r="K194" s="64">
        <f>4.6839 * CHOOSE(CONTROL!$C$22, $C$13, 100%, $E$13)</f>
        <v>4.6839000000000004</v>
      </c>
    </row>
    <row r="195" spans="1:11" ht="15">
      <c r="A195" s="13">
        <v>47423</v>
      </c>
      <c r="B195" s="63">
        <f>3.9355 * CHOOSE(CONTROL!$C$22, $C$13, 100%, $E$13)</f>
        <v>3.9355000000000002</v>
      </c>
      <c r="C195" s="63">
        <f>3.9355 * CHOOSE(CONTROL!$C$22, $C$13, 100%, $E$13)</f>
        <v>3.9355000000000002</v>
      </c>
      <c r="D195" s="63">
        <f>3.9355 * CHOOSE(CONTROL!$C$22, $C$13, 100%, $E$13)</f>
        <v>3.9355000000000002</v>
      </c>
      <c r="E195" s="64">
        <f>4.7015 * CHOOSE(CONTROL!$C$22, $C$13, 100%, $E$13)</f>
        <v>4.7015000000000002</v>
      </c>
      <c r="F195" s="64">
        <f>4.7015 * CHOOSE(CONTROL!$C$22, $C$13, 100%, $E$13)</f>
        <v>4.7015000000000002</v>
      </c>
      <c r="G195" s="64">
        <f>4.7016 * CHOOSE(CONTROL!$C$22, $C$13, 100%, $E$13)</f>
        <v>4.7016</v>
      </c>
      <c r="H195" s="64">
        <f>7.7534* CHOOSE(CONTROL!$C$22, $C$13, 100%, $E$13)</f>
        <v>7.7534000000000001</v>
      </c>
      <c r="I195" s="64">
        <f>7.7535 * CHOOSE(CONTROL!$C$22, $C$13, 100%, $E$13)</f>
        <v>7.7534999999999998</v>
      </c>
      <c r="J195" s="64">
        <f>4.7015 * CHOOSE(CONTROL!$C$22, $C$13, 100%, $E$13)</f>
        <v>4.7015000000000002</v>
      </c>
      <c r="K195" s="64">
        <f>4.7016 * CHOOSE(CONTROL!$C$22, $C$13, 100%, $E$13)</f>
        <v>4.7016</v>
      </c>
    </row>
    <row r="196" spans="1:11" ht="15">
      <c r="A196" s="13">
        <v>47453</v>
      </c>
      <c r="B196" s="63">
        <f>3.9355 * CHOOSE(CONTROL!$C$22, $C$13, 100%, $E$13)</f>
        <v>3.9355000000000002</v>
      </c>
      <c r="C196" s="63">
        <f>3.9355 * CHOOSE(CONTROL!$C$22, $C$13, 100%, $E$13)</f>
        <v>3.9355000000000002</v>
      </c>
      <c r="D196" s="63">
        <f>3.9355 * CHOOSE(CONTROL!$C$22, $C$13, 100%, $E$13)</f>
        <v>3.9355000000000002</v>
      </c>
      <c r="E196" s="64">
        <f>4.6626 * CHOOSE(CONTROL!$C$22, $C$13, 100%, $E$13)</f>
        <v>4.6626000000000003</v>
      </c>
      <c r="F196" s="64">
        <f>4.6626 * CHOOSE(CONTROL!$C$22, $C$13, 100%, $E$13)</f>
        <v>4.6626000000000003</v>
      </c>
      <c r="G196" s="64">
        <f>4.6627 * CHOOSE(CONTROL!$C$22, $C$13, 100%, $E$13)</f>
        <v>4.6627000000000001</v>
      </c>
      <c r="H196" s="64">
        <f>7.7695* CHOOSE(CONTROL!$C$22, $C$13, 100%, $E$13)</f>
        <v>7.7694999999999999</v>
      </c>
      <c r="I196" s="64">
        <f>7.7696 * CHOOSE(CONTROL!$C$22, $C$13, 100%, $E$13)</f>
        <v>7.7695999999999996</v>
      </c>
      <c r="J196" s="64">
        <f>4.6626 * CHOOSE(CONTROL!$C$22, $C$13, 100%, $E$13)</f>
        <v>4.6626000000000003</v>
      </c>
      <c r="K196" s="64">
        <f>4.6627 * CHOOSE(CONTROL!$C$22, $C$13, 100%, $E$13)</f>
        <v>4.6627000000000001</v>
      </c>
    </row>
    <row r="197" spans="1:11" ht="15">
      <c r="A197" s="13">
        <v>47484</v>
      </c>
      <c r="B197" s="63">
        <f>3.9695 * CHOOSE(CONTROL!$C$22, $C$13, 100%, $E$13)</f>
        <v>3.9695</v>
      </c>
      <c r="C197" s="63">
        <f>3.9695 * CHOOSE(CONTROL!$C$22, $C$13, 100%, $E$13)</f>
        <v>3.9695</v>
      </c>
      <c r="D197" s="63">
        <f>3.9695 * CHOOSE(CONTROL!$C$22, $C$13, 100%, $E$13)</f>
        <v>3.9695</v>
      </c>
      <c r="E197" s="64">
        <f>4.7284 * CHOOSE(CONTROL!$C$22, $C$13, 100%, $E$13)</f>
        <v>4.7283999999999997</v>
      </c>
      <c r="F197" s="64">
        <f>4.7284 * CHOOSE(CONTROL!$C$22, $C$13, 100%, $E$13)</f>
        <v>4.7283999999999997</v>
      </c>
      <c r="G197" s="64">
        <f>4.7285 * CHOOSE(CONTROL!$C$22, $C$13, 100%, $E$13)</f>
        <v>4.7285000000000004</v>
      </c>
      <c r="H197" s="64">
        <f>7.7857* CHOOSE(CONTROL!$C$22, $C$13, 100%, $E$13)</f>
        <v>7.7857000000000003</v>
      </c>
      <c r="I197" s="64">
        <f>7.7858 * CHOOSE(CONTROL!$C$22, $C$13, 100%, $E$13)</f>
        <v>7.7858000000000001</v>
      </c>
      <c r="J197" s="64">
        <f>4.7284 * CHOOSE(CONTROL!$C$22, $C$13, 100%, $E$13)</f>
        <v>4.7283999999999997</v>
      </c>
      <c r="K197" s="64">
        <f>4.7285 * CHOOSE(CONTROL!$C$22, $C$13, 100%, $E$13)</f>
        <v>4.7285000000000004</v>
      </c>
    </row>
    <row r="198" spans="1:11" ht="15">
      <c r="A198" s="13">
        <v>47515</v>
      </c>
      <c r="B198" s="63">
        <f>3.9664 * CHOOSE(CONTROL!$C$22, $C$13, 100%, $E$13)</f>
        <v>3.9664000000000001</v>
      </c>
      <c r="C198" s="63">
        <f>3.9664 * CHOOSE(CONTROL!$C$22, $C$13, 100%, $E$13)</f>
        <v>3.9664000000000001</v>
      </c>
      <c r="D198" s="63">
        <f>3.9665 * CHOOSE(CONTROL!$C$22, $C$13, 100%, $E$13)</f>
        <v>3.9664999999999999</v>
      </c>
      <c r="E198" s="64">
        <f>4.6508 * CHOOSE(CONTROL!$C$22, $C$13, 100%, $E$13)</f>
        <v>4.6508000000000003</v>
      </c>
      <c r="F198" s="64">
        <f>4.6508 * CHOOSE(CONTROL!$C$22, $C$13, 100%, $E$13)</f>
        <v>4.6508000000000003</v>
      </c>
      <c r="G198" s="64">
        <f>4.6509 * CHOOSE(CONTROL!$C$22, $C$13, 100%, $E$13)</f>
        <v>4.6509</v>
      </c>
      <c r="H198" s="64">
        <f>7.8019* CHOOSE(CONTROL!$C$22, $C$13, 100%, $E$13)</f>
        <v>7.8018999999999998</v>
      </c>
      <c r="I198" s="64">
        <f>7.802 * CHOOSE(CONTROL!$C$22, $C$13, 100%, $E$13)</f>
        <v>7.8019999999999996</v>
      </c>
      <c r="J198" s="64">
        <f>4.6508 * CHOOSE(CONTROL!$C$22, $C$13, 100%, $E$13)</f>
        <v>4.6508000000000003</v>
      </c>
      <c r="K198" s="64">
        <f>4.6509 * CHOOSE(CONTROL!$C$22, $C$13, 100%, $E$13)</f>
        <v>4.6509</v>
      </c>
    </row>
    <row r="199" spans="1:11" ht="15">
      <c r="A199" s="13">
        <v>47543</v>
      </c>
      <c r="B199" s="63">
        <f>3.9634 * CHOOSE(CONTROL!$C$22, $C$13, 100%, $E$13)</f>
        <v>3.9634</v>
      </c>
      <c r="C199" s="63">
        <f>3.9634 * CHOOSE(CONTROL!$C$22, $C$13, 100%, $E$13)</f>
        <v>3.9634</v>
      </c>
      <c r="D199" s="63">
        <f>3.9634 * CHOOSE(CONTROL!$C$22, $C$13, 100%, $E$13)</f>
        <v>3.9634</v>
      </c>
      <c r="E199" s="64">
        <f>4.7082 * CHOOSE(CONTROL!$C$22, $C$13, 100%, $E$13)</f>
        <v>4.7081999999999997</v>
      </c>
      <c r="F199" s="64">
        <f>4.7082 * CHOOSE(CONTROL!$C$22, $C$13, 100%, $E$13)</f>
        <v>4.7081999999999997</v>
      </c>
      <c r="G199" s="64">
        <f>4.7083 * CHOOSE(CONTROL!$C$22, $C$13, 100%, $E$13)</f>
        <v>4.7083000000000004</v>
      </c>
      <c r="H199" s="64">
        <f>7.8182* CHOOSE(CONTROL!$C$22, $C$13, 100%, $E$13)</f>
        <v>7.8182</v>
      </c>
      <c r="I199" s="64">
        <f>7.8183 * CHOOSE(CONTROL!$C$22, $C$13, 100%, $E$13)</f>
        <v>7.8182999999999998</v>
      </c>
      <c r="J199" s="64">
        <f>4.7082 * CHOOSE(CONTROL!$C$22, $C$13, 100%, $E$13)</f>
        <v>4.7081999999999997</v>
      </c>
      <c r="K199" s="64">
        <f>4.7083 * CHOOSE(CONTROL!$C$22, $C$13, 100%, $E$13)</f>
        <v>4.7083000000000004</v>
      </c>
    </row>
    <row r="200" spans="1:11" ht="15">
      <c r="A200" s="13">
        <v>47574</v>
      </c>
      <c r="B200" s="63">
        <f>3.961 * CHOOSE(CONTROL!$C$22, $C$13, 100%, $E$13)</f>
        <v>3.9609999999999999</v>
      </c>
      <c r="C200" s="63">
        <f>3.961 * CHOOSE(CONTROL!$C$22, $C$13, 100%, $E$13)</f>
        <v>3.9609999999999999</v>
      </c>
      <c r="D200" s="63">
        <f>3.961 * CHOOSE(CONTROL!$C$22, $C$13, 100%, $E$13)</f>
        <v>3.9609999999999999</v>
      </c>
      <c r="E200" s="64">
        <f>4.7679 * CHOOSE(CONTROL!$C$22, $C$13, 100%, $E$13)</f>
        <v>4.7679</v>
      </c>
      <c r="F200" s="64">
        <f>4.7679 * CHOOSE(CONTROL!$C$22, $C$13, 100%, $E$13)</f>
        <v>4.7679</v>
      </c>
      <c r="G200" s="64">
        <f>4.768 * CHOOSE(CONTROL!$C$22, $C$13, 100%, $E$13)</f>
        <v>4.7679999999999998</v>
      </c>
      <c r="H200" s="64">
        <f>7.8345* CHOOSE(CONTROL!$C$22, $C$13, 100%, $E$13)</f>
        <v>7.8345000000000002</v>
      </c>
      <c r="I200" s="64">
        <f>7.8346 * CHOOSE(CONTROL!$C$22, $C$13, 100%, $E$13)</f>
        <v>7.8346</v>
      </c>
      <c r="J200" s="64">
        <f>4.7679 * CHOOSE(CONTROL!$C$22, $C$13, 100%, $E$13)</f>
        <v>4.7679</v>
      </c>
      <c r="K200" s="64">
        <f>4.768 * CHOOSE(CONTROL!$C$22, $C$13, 100%, $E$13)</f>
        <v>4.7679999999999998</v>
      </c>
    </row>
    <row r="201" spans="1:11" ht="15">
      <c r="A201" s="13">
        <v>47604</v>
      </c>
      <c r="B201" s="63">
        <f>3.961 * CHOOSE(CONTROL!$C$22, $C$13, 100%, $E$13)</f>
        <v>3.9609999999999999</v>
      </c>
      <c r="C201" s="63">
        <f>3.961 * CHOOSE(CONTROL!$C$22, $C$13, 100%, $E$13)</f>
        <v>3.9609999999999999</v>
      </c>
      <c r="D201" s="63">
        <f>3.974 * CHOOSE(CONTROL!$C$22, $C$13, 100%, $E$13)</f>
        <v>3.9740000000000002</v>
      </c>
      <c r="E201" s="64">
        <f>4.7918 * CHOOSE(CONTROL!$C$22, $C$13, 100%, $E$13)</f>
        <v>4.7918000000000003</v>
      </c>
      <c r="F201" s="64">
        <f>4.7918 * CHOOSE(CONTROL!$C$22, $C$13, 100%, $E$13)</f>
        <v>4.7918000000000003</v>
      </c>
      <c r="G201" s="64">
        <f>4.8075 * CHOOSE(CONTROL!$C$22, $C$13, 100%, $E$13)</f>
        <v>4.8075000000000001</v>
      </c>
      <c r="H201" s="64">
        <f>7.8508* CHOOSE(CONTROL!$C$22, $C$13, 100%, $E$13)</f>
        <v>7.8507999999999996</v>
      </c>
      <c r="I201" s="64">
        <f>7.8665 * CHOOSE(CONTROL!$C$22, $C$13, 100%, $E$13)</f>
        <v>7.8665000000000003</v>
      </c>
      <c r="J201" s="64">
        <f>4.7918 * CHOOSE(CONTROL!$C$22, $C$13, 100%, $E$13)</f>
        <v>4.7918000000000003</v>
      </c>
      <c r="K201" s="64">
        <f>4.8075 * CHOOSE(CONTROL!$C$22, $C$13, 100%, $E$13)</f>
        <v>4.8075000000000001</v>
      </c>
    </row>
    <row r="202" spans="1:11" ht="15">
      <c r="A202" s="13">
        <v>47635</v>
      </c>
      <c r="B202" s="63">
        <f>3.9671 * CHOOSE(CONTROL!$C$22, $C$13, 100%, $E$13)</f>
        <v>3.9670999999999998</v>
      </c>
      <c r="C202" s="63">
        <f>3.9671 * CHOOSE(CONTROL!$C$22, $C$13, 100%, $E$13)</f>
        <v>3.9670999999999998</v>
      </c>
      <c r="D202" s="63">
        <f>3.9801 * CHOOSE(CONTROL!$C$22, $C$13, 100%, $E$13)</f>
        <v>3.9801000000000002</v>
      </c>
      <c r="E202" s="64">
        <f>4.7721 * CHOOSE(CONTROL!$C$22, $C$13, 100%, $E$13)</f>
        <v>4.7721</v>
      </c>
      <c r="F202" s="64">
        <f>4.7721 * CHOOSE(CONTROL!$C$22, $C$13, 100%, $E$13)</f>
        <v>4.7721</v>
      </c>
      <c r="G202" s="64">
        <f>4.7878 * CHOOSE(CONTROL!$C$22, $C$13, 100%, $E$13)</f>
        <v>4.7877999999999998</v>
      </c>
      <c r="H202" s="64">
        <f>7.8672* CHOOSE(CONTROL!$C$22, $C$13, 100%, $E$13)</f>
        <v>7.8672000000000004</v>
      </c>
      <c r="I202" s="64">
        <f>7.8828 * CHOOSE(CONTROL!$C$22, $C$13, 100%, $E$13)</f>
        <v>7.8827999999999996</v>
      </c>
      <c r="J202" s="64">
        <f>4.7721 * CHOOSE(CONTROL!$C$22, $C$13, 100%, $E$13)</f>
        <v>4.7721</v>
      </c>
      <c r="K202" s="64">
        <f>4.7878 * CHOOSE(CONTROL!$C$22, $C$13, 100%, $E$13)</f>
        <v>4.7877999999999998</v>
      </c>
    </row>
    <row r="203" spans="1:11" ht="15">
      <c r="A203" s="13">
        <v>47665</v>
      </c>
      <c r="B203" s="63">
        <f>4.0298 * CHOOSE(CONTROL!$C$22, $C$13, 100%, $E$13)</f>
        <v>4.0297999999999998</v>
      </c>
      <c r="C203" s="63">
        <f>4.0298 * CHOOSE(CONTROL!$C$22, $C$13, 100%, $E$13)</f>
        <v>4.0297999999999998</v>
      </c>
      <c r="D203" s="63">
        <f>4.0428 * CHOOSE(CONTROL!$C$22, $C$13, 100%, $E$13)</f>
        <v>4.0427999999999997</v>
      </c>
      <c r="E203" s="64">
        <f>4.8562 * CHOOSE(CONTROL!$C$22, $C$13, 100%, $E$13)</f>
        <v>4.8562000000000003</v>
      </c>
      <c r="F203" s="64">
        <f>4.8562 * CHOOSE(CONTROL!$C$22, $C$13, 100%, $E$13)</f>
        <v>4.8562000000000003</v>
      </c>
      <c r="G203" s="64">
        <f>4.8719 * CHOOSE(CONTROL!$C$22, $C$13, 100%, $E$13)</f>
        <v>4.8719000000000001</v>
      </c>
      <c r="H203" s="64">
        <f>7.8835* CHOOSE(CONTROL!$C$22, $C$13, 100%, $E$13)</f>
        <v>7.8834999999999997</v>
      </c>
      <c r="I203" s="64">
        <f>7.8992 * CHOOSE(CONTROL!$C$22, $C$13, 100%, $E$13)</f>
        <v>7.8992000000000004</v>
      </c>
      <c r="J203" s="64">
        <f>4.8562 * CHOOSE(CONTROL!$C$22, $C$13, 100%, $E$13)</f>
        <v>4.8562000000000003</v>
      </c>
      <c r="K203" s="64">
        <f>4.8719 * CHOOSE(CONTROL!$C$22, $C$13, 100%, $E$13)</f>
        <v>4.8719000000000001</v>
      </c>
    </row>
    <row r="204" spans="1:11" ht="15">
      <c r="A204" s="13">
        <v>47696</v>
      </c>
      <c r="B204" s="63">
        <f>4.0365 * CHOOSE(CONTROL!$C$22, $C$13, 100%, $E$13)</f>
        <v>4.0365000000000002</v>
      </c>
      <c r="C204" s="63">
        <f>4.0365 * CHOOSE(CONTROL!$C$22, $C$13, 100%, $E$13)</f>
        <v>4.0365000000000002</v>
      </c>
      <c r="D204" s="63">
        <f>4.0494 * CHOOSE(CONTROL!$C$22, $C$13, 100%, $E$13)</f>
        <v>4.0494000000000003</v>
      </c>
      <c r="E204" s="64">
        <f>4.7889 * CHOOSE(CONTROL!$C$22, $C$13, 100%, $E$13)</f>
        <v>4.7888999999999999</v>
      </c>
      <c r="F204" s="64">
        <f>4.7889 * CHOOSE(CONTROL!$C$22, $C$13, 100%, $E$13)</f>
        <v>4.7888999999999999</v>
      </c>
      <c r="G204" s="64">
        <f>4.8046 * CHOOSE(CONTROL!$C$22, $C$13, 100%, $E$13)</f>
        <v>4.8045999999999998</v>
      </c>
      <c r="H204" s="64">
        <f>7.9* CHOOSE(CONTROL!$C$22, $C$13, 100%, $E$13)</f>
        <v>7.9</v>
      </c>
      <c r="I204" s="64">
        <f>7.9157 * CHOOSE(CONTROL!$C$22, $C$13, 100%, $E$13)</f>
        <v>7.9157000000000002</v>
      </c>
      <c r="J204" s="64">
        <f>4.7889 * CHOOSE(CONTROL!$C$22, $C$13, 100%, $E$13)</f>
        <v>4.7888999999999999</v>
      </c>
      <c r="K204" s="64">
        <f>4.8046 * CHOOSE(CONTROL!$C$22, $C$13, 100%, $E$13)</f>
        <v>4.8045999999999998</v>
      </c>
    </row>
    <row r="205" spans="1:11" ht="15">
      <c r="A205" s="13">
        <v>47727</v>
      </c>
      <c r="B205" s="63">
        <f>4.0334 * CHOOSE(CONTROL!$C$22, $C$13, 100%, $E$13)</f>
        <v>4.0334000000000003</v>
      </c>
      <c r="C205" s="63">
        <f>4.0334 * CHOOSE(CONTROL!$C$22, $C$13, 100%, $E$13)</f>
        <v>4.0334000000000003</v>
      </c>
      <c r="D205" s="63">
        <f>4.0464 * CHOOSE(CONTROL!$C$22, $C$13, 100%, $E$13)</f>
        <v>4.0464000000000002</v>
      </c>
      <c r="E205" s="64">
        <f>4.7788 * CHOOSE(CONTROL!$C$22, $C$13, 100%, $E$13)</f>
        <v>4.7788000000000004</v>
      </c>
      <c r="F205" s="64">
        <f>4.7788 * CHOOSE(CONTROL!$C$22, $C$13, 100%, $E$13)</f>
        <v>4.7788000000000004</v>
      </c>
      <c r="G205" s="64">
        <f>4.7945 * CHOOSE(CONTROL!$C$22, $C$13, 100%, $E$13)</f>
        <v>4.7945000000000002</v>
      </c>
      <c r="H205" s="64">
        <f>7.9164* CHOOSE(CONTROL!$C$22, $C$13, 100%, $E$13)</f>
        <v>7.9164000000000003</v>
      </c>
      <c r="I205" s="64">
        <f>7.9321 * CHOOSE(CONTROL!$C$22, $C$13, 100%, $E$13)</f>
        <v>7.9321000000000002</v>
      </c>
      <c r="J205" s="64">
        <f>4.7788 * CHOOSE(CONTROL!$C$22, $C$13, 100%, $E$13)</f>
        <v>4.7788000000000004</v>
      </c>
      <c r="K205" s="64">
        <f>4.7945 * CHOOSE(CONTROL!$C$22, $C$13, 100%, $E$13)</f>
        <v>4.7945000000000002</v>
      </c>
    </row>
    <row r="206" spans="1:11" ht="15">
      <c r="A206" s="13">
        <v>47757</v>
      </c>
      <c r="B206" s="63">
        <f>4.0286 * CHOOSE(CONTROL!$C$22, $C$13, 100%, $E$13)</f>
        <v>4.0286</v>
      </c>
      <c r="C206" s="63">
        <f>4.0286 * CHOOSE(CONTROL!$C$22, $C$13, 100%, $E$13)</f>
        <v>4.0286</v>
      </c>
      <c r="D206" s="63">
        <f>4.0286 * CHOOSE(CONTROL!$C$22, $C$13, 100%, $E$13)</f>
        <v>4.0286</v>
      </c>
      <c r="E206" s="64">
        <f>4.7974 * CHOOSE(CONTROL!$C$22, $C$13, 100%, $E$13)</f>
        <v>4.7973999999999997</v>
      </c>
      <c r="F206" s="64">
        <f>4.7974 * CHOOSE(CONTROL!$C$22, $C$13, 100%, $E$13)</f>
        <v>4.7973999999999997</v>
      </c>
      <c r="G206" s="64">
        <f>4.7974 * CHOOSE(CONTROL!$C$22, $C$13, 100%, $E$13)</f>
        <v>4.7973999999999997</v>
      </c>
      <c r="H206" s="64">
        <f>7.9329* CHOOSE(CONTROL!$C$22, $C$13, 100%, $E$13)</f>
        <v>7.9329000000000001</v>
      </c>
      <c r="I206" s="64">
        <f>7.933 * CHOOSE(CONTROL!$C$22, $C$13, 100%, $E$13)</f>
        <v>7.9329999999999998</v>
      </c>
      <c r="J206" s="64">
        <f>4.7974 * CHOOSE(CONTROL!$C$22, $C$13, 100%, $E$13)</f>
        <v>4.7973999999999997</v>
      </c>
      <c r="K206" s="64">
        <f>4.7974 * CHOOSE(CONTROL!$C$22, $C$13, 100%, $E$13)</f>
        <v>4.7973999999999997</v>
      </c>
    </row>
    <row r="207" spans="1:11" ht="15">
      <c r="A207" s="13">
        <v>47788</v>
      </c>
      <c r="B207" s="63">
        <f>4.0316 * CHOOSE(CONTROL!$C$22, $C$13, 100%, $E$13)</f>
        <v>4.0316000000000001</v>
      </c>
      <c r="C207" s="63">
        <f>4.0316 * CHOOSE(CONTROL!$C$22, $C$13, 100%, $E$13)</f>
        <v>4.0316000000000001</v>
      </c>
      <c r="D207" s="63">
        <f>4.0316 * CHOOSE(CONTROL!$C$22, $C$13, 100%, $E$13)</f>
        <v>4.0316000000000001</v>
      </c>
      <c r="E207" s="64">
        <f>4.8155 * CHOOSE(CONTROL!$C$22, $C$13, 100%, $E$13)</f>
        <v>4.8155000000000001</v>
      </c>
      <c r="F207" s="64">
        <f>4.8155 * CHOOSE(CONTROL!$C$22, $C$13, 100%, $E$13)</f>
        <v>4.8155000000000001</v>
      </c>
      <c r="G207" s="64">
        <f>4.8155 * CHOOSE(CONTROL!$C$22, $C$13, 100%, $E$13)</f>
        <v>4.8155000000000001</v>
      </c>
      <c r="H207" s="64">
        <f>7.9495* CHOOSE(CONTROL!$C$22, $C$13, 100%, $E$13)</f>
        <v>7.9494999999999996</v>
      </c>
      <c r="I207" s="64">
        <f>7.9495 * CHOOSE(CONTROL!$C$22, $C$13, 100%, $E$13)</f>
        <v>7.9494999999999996</v>
      </c>
      <c r="J207" s="64">
        <f>4.8155 * CHOOSE(CONTROL!$C$22, $C$13, 100%, $E$13)</f>
        <v>4.8155000000000001</v>
      </c>
      <c r="K207" s="64">
        <f>4.8155 * CHOOSE(CONTROL!$C$22, $C$13, 100%, $E$13)</f>
        <v>4.8155000000000001</v>
      </c>
    </row>
    <row r="208" spans="1:11" ht="15">
      <c r="A208" s="13">
        <v>47818</v>
      </c>
      <c r="B208" s="63">
        <f>4.0316 * CHOOSE(CONTROL!$C$22, $C$13, 100%, $E$13)</f>
        <v>4.0316000000000001</v>
      </c>
      <c r="C208" s="63">
        <f>4.0316 * CHOOSE(CONTROL!$C$22, $C$13, 100%, $E$13)</f>
        <v>4.0316000000000001</v>
      </c>
      <c r="D208" s="63">
        <f>4.0316 * CHOOSE(CONTROL!$C$22, $C$13, 100%, $E$13)</f>
        <v>4.0316000000000001</v>
      </c>
      <c r="E208" s="64">
        <f>4.7755 * CHOOSE(CONTROL!$C$22, $C$13, 100%, $E$13)</f>
        <v>4.7755000000000001</v>
      </c>
      <c r="F208" s="64">
        <f>4.7755 * CHOOSE(CONTROL!$C$22, $C$13, 100%, $E$13)</f>
        <v>4.7755000000000001</v>
      </c>
      <c r="G208" s="64">
        <f>4.7756 * CHOOSE(CONTROL!$C$22, $C$13, 100%, $E$13)</f>
        <v>4.7755999999999998</v>
      </c>
      <c r="H208" s="64">
        <f>7.966* CHOOSE(CONTROL!$C$22, $C$13, 100%, $E$13)</f>
        <v>7.9660000000000002</v>
      </c>
      <c r="I208" s="64">
        <f>7.9661 * CHOOSE(CONTROL!$C$22, $C$13, 100%, $E$13)</f>
        <v>7.9661</v>
      </c>
      <c r="J208" s="64">
        <f>4.7755 * CHOOSE(CONTROL!$C$22, $C$13, 100%, $E$13)</f>
        <v>4.7755000000000001</v>
      </c>
      <c r="K208" s="64">
        <f>4.7756 * CHOOSE(CONTROL!$C$22, $C$13, 100%, $E$13)</f>
        <v>4.7755999999999998</v>
      </c>
    </row>
    <row r="209" spans="1:11" ht="15">
      <c r="A209" s="13">
        <v>47849</v>
      </c>
      <c r="B209" s="63">
        <f>4.065 * CHOOSE(CONTROL!$C$22, $C$13, 100%, $E$13)</f>
        <v>4.0650000000000004</v>
      </c>
      <c r="C209" s="63">
        <f>4.065 * CHOOSE(CONTROL!$C$22, $C$13, 100%, $E$13)</f>
        <v>4.0650000000000004</v>
      </c>
      <c r="D209" s="63">
        <f>4.065 * CHOOSE(CONTROL!$C$22, $C$13, 100%, $E$13)</f>
        <v>4.0650000000000004</v>
      </c>
      <c r="E209" s="64">
        <f>4.8568 * CHOOSE(CONTROL!$C$22, $C$13, 100%, $E$13)</f>
        <v>4.8567999999999998</v>
      </c>
      <c r="F209" s="64">
        <f>4.8568 * CHOOSE(CONTROL!$C$22, $C$13, 100%, $E$13)</f>
        <v>4.8567999999999998</v>
      </c>
      <c r="G209" s="64">
        <f>4.8569 * CHOOSE(CONTROL!$C$22, $C$13, 100%, $E$13)</f>
        <v>4.8569000000000004</v>
      </c>
      <c r="H209" s="64">
        <f>7.9826* CHOOSE(CONTROL!$C$22, $C$13, 100%, $E$13)</f>
        <v>7.9825999999999997</v>
      </c>
      <c r="I209" s="64">
        <f>7.9827 * CHOOSE(CONTROL!$C$22, $C$13, 100%, $E$13)</f>
        <v>7.9827000000000004</v>
      </c>
      <c r="J209" s="64">
        <f>4.8568 * CHOOSE(CONTROL!$C$22, $C$13, 100%, $E$13)</f>
        <v>4.8567999999999998</v>
      </c>
      <c r="K209" s="64">
        <f>4.8569 * CHOOSE(CONTROL!$C$22, $C$13, 100%, $E$13)</f>
        <v>4.8569000000000004</v>
      </c>
    </row>
    <row r="210" spans="1:11" ht="15">
      <c r="A210" s="13">
        <v>47880</v>
      </c>
      <c r="B210" s="63">
        <f>4.062 * CHOOSE(CONTROL!$C$22, $C$13, 100%, $E$13)</f>
        <v>4.0620000000000003</v>
      </c>
      <c r="C210" s="63">
        <f>4.062 * CHOOSE(CONTROL!$C$22, $C$13, 100%, $E$13)</f>
        <v>4.0620000000000003</v>
      </c>
      <c r="D210" s="63">
        <f>4.062 * CHOOSE(CONTROL!$C$22, $C$13, 100%, $E$13)</f>
        <v>4.0620000000000003</v>
      </c>
      <c r="E210" s="64">
        <f>4.7772 * CHOOSE(CONTROL!$C$22, $C$13, 100%, $E$13)</f>
        <v>4.7771999999999997</v>
      </c>
      <c r="F210" s="64">
        <f>4.7772 * CHOOSE(CONTROL!$C$22, $C$13, 100%, $E$13)</f>
        <v>4.7771999999999997</v>
      </c>
      <c r="G210" s="64">
        <f>4.7773 * CHOOSE(CONTROL!$C$22, $C$13, 100%, $E$13)</f>
        <v>4.7773000000000003</v>
      </c>
      <c r="H210" s="64">
        <f>7.9992* CHOOSE(CONTROL!$C$22, $C$13, 100%, $E$13)</f>
        <v>7.9992000000000001</v>
      </c>
      <c r="I210" s="64">
        <f>7.9993 * CHOOSE(CONTROL!$C$22, $C$13, 100%, $E$13)</f>
        <v>7.9992999999999999</v>
      </c>
      <c r="J210" s="64">
        <f>4.7772 * CHOOSE(CONTROL!$C$22, $C$13, 100%, $E$13)</f>
        <v>4.7771999999999997</v>
      </c>
      <c r="K210" s="64">
        <f>4.7773 * CHOOSE(CONTROL!$C$22, $C$13, 100%, $E$13)</f>
        <v>4.7773000000000003</v>
      </c>
    </row>
    <row r="211" spans="1:11" ht="15">
      <c r="A211" s="13">
        <v>47908</v>
      </c>
      <c r="B211" s="63">
        <f>4.059 * CHOOSE(CONTROL!$C$22, $C$13, 100%, $E$13)</f>
        <v>4.0590000000000002</v>
      </c>
      <c r="C211" s="63">
        <f>4.059 * CHOOSE(CONTROL!$C$22, $C$13, 100%, $E$13)</f>
        <v>4.0590000000000002</v>
      </c>
      <c r="D211" s="63">
        <f>4.059 * CHOOSE(CONTROL!$C$22, $C$13, 100%, $E$13)</f>
        <v>4.0590000000000002</v>
      </c>
      <c r="E211" s="64">
        <f>4.8362 * CHOOSE(CONTROL!$C$22, $C$13, 100%, $E$13)</f>
        <v>4.8361999999999998</v>
      </c>
      <c r="F211" s="64">
        <f>4.8362 * CHOOSE(CONTROL!$C$22, $C$13, 100%, $E$13)</f>
        <v>4.8361999999999998</v>
      </c>
      <c r="G211" s="64">
        <f>4.8362 * CHOOSE(CONTROL!$C$22, $C$13, 100%, $E$13)</f>
        <v>4.8361999999999998</v>
      </c>
      <c r="H211" s="64">
        <f>8.0159* CHOOSE(CONTROL!$C$22, $C$13, 100%, $E$13)</f>
        <v>8.0159000000000002</v>
      </c>
      <c r="I211" s="64">
        <f>8.016 * CHOOSE(CONTROL!$C$22, $C$13, 100%, $E$13)</f>
        <v>8.016</v>
      </c>
      <c r="J211" s="64">
        <f>4.8362 * CHOOSE(CONTROL!$C$22, $C$13, 100%, $E$13)</f>
        <v>4.8361999999999998</v>
      </c>
      <c r="K211" s="64">
        <f>4.8362 * CHOOSE(CONTROL!$C$22, $C$13, 100%, $E$13)</f>
        <v>4.8361999999999998</v>
      </c>
    </row>
    <row r="212" spans="1:11" ht="15">
      <c r="A212" s="13">
        <v>47939</v>
      </c>
      <c r="B212" s="63">
        <f>4.0567 * CHOOSE(CONTROL!$C$22, $C$13, 100%, $E$13)</f>
        <v>4.0567000000000002</v>
      </c>
      <c r="C212" s="63">
        <f>4.0567 * CHOOSE(CONTROL!$C$22, $C$13, 100%, $E$13)</f>
        <v>4.0567000000000002</v>
      </c>
      <c r="D212" s="63">
        <f>4.0567 * CHOOSE(CONTROL!$C$22, $C$13, 100%, $E$13)</f>
        <v>4.0567000000000002</v>
      </c>
      <c r="E212" s="64">
        <f>4.8975 * CHOOSE(CONTROL!$C$22, $C$13, 100%, $E$13)</f>
        <v>4.8975</v>
      </c>
      <c r="F212" s="64">
        <f>4.8975 * CHOOSE(CONTROL!$C$22, $C$13, 100%, $E$13)</f>
        <v>4.8975</v>
      </c>
      <c r="G212" s="64">
        <f>4.8976 * CHOOSE(CONTROL!$C$22, $C$13, 100%, $E$13)</f>
        <v>4.8975999999999997</v>
      </c>
      <c r="H212" s="64">
        <f>8.0326* CHOOSE(CONTROL!$C$22, $C$13, 100%, $E$13)</f>
        <v>8.0326000000000004</v>
      </c>
      <c r="I212" s="64">
        <f>8.0327 * CHOOSE(CONTROL!$C$22, $C$13, 100%, $E$13)</f>
        <v>8.0327000000000002</v>
      </c>
      <c r="J212" s="64">
        <f>4.8975 * CHOOSE(CONTROL!$C$22, $C$13, 100%, $E$13)</f>
        <v>4.8975</v>
      </c>
      <c r="K212" s="64">
        <f>4.8976 * CHOOSE(CONTROL!$C$22, $C$13, 100%, $E$13)</f>
        <v>4.8975999999999997</v>
      </c>
    </row>
    <row r="213" spans="1:11" ht="15">
      <c r="A213" s="13">
        <v>47969</v>
      </c>
      <c r="B213" s="63">
        <f>4.0567 * CHOOSE(CONTROL!$C$22, $C$13, 100%, $E$13)</f>
        <v>4.0567000000000002</v>
      </c>
      <c r="C213" s="63">
        <f>4.0567 * CHOOSE(CONTROL!$C$22, $C$13, 100%, $E$13)</f>
        <v>4.0567000000000002</v>
      </c>
      <c r="D213" s="63">
        <f>4.0696 * CHOOSE(CONTROL!$C$22, $C$13, 100%, $E$13)</f>
        <v>4.0696000000000003</v>
      </c>
      <c r="E213" s="64">
        <f>4.9221 * CHOOSE(CONTROL!$C$22, $C$13, 100%, $E$13)</f>
        <v>4.9221000000000004</v>
      </c>
      <c r="F213" s="64">
        <f>4.9221 * CHOOSE(CONTROL!$C$22, $C$13, 100%, $E$13)</f>
        <v>4.9221000000000004</v>
      </c>
      <c r="G213" s="64">
        <f>4.9377 * CHOOSE(CONTROL!$C$22, $C$13, 100%, $E$13)</f>
        <v>4.9377000000000004</v>
      </c>
      <c r="H213" s="64">
        <f>8.0493* CHOOSE(CONTROL!$C$22, $C$13, 100%, $E$13)</f>
        <v>8.0493000000000006</v>
      </c>
      <c r="I213" s="64">
        <f>8.065 * CHOOSE(CONTROL!$C$22, $C$13, 100%, $E$13)</f>
        <v>8.0649999999999995</v>
      </c>
      <c r="J213" s="64">
        <f>4.9221 * CHOOSE(CONTROL!$C$22, $C$13, 100%, $E$13)</f>
        <v>4.9221000000000004</v>
      </c>
      <c r="K213" s="64">
        <f>4.9377 * CHOOSE(CONTROL!$C$22, $C$13, 100%, $E$13)</f>
        <v>4.9377000000000004</v>
      </c>
    </row>
    <row r="214" spans="1:11" ht="15">
      <c r="A214" s="13">
        <v>48000</v>
      </c>
      <c r="B214" s="63">
        <f>4.0627 * CHOOSE(CONTROL!$C$22, $C$13, 100%, $E$13)</f>
        <v>4.0627000000000004</v>
      </c>
      <c r="C214" s="63">
        <f>4.0627 * CHOOSE(CONTROL!$C$22, $C$13, 100%, $E$13)</f>
        <v>4.0627000000000004</v>
      </c>
      <c r="D214" s="63">
        <f>4.0757 * CHOOSE(CONTROL!$C$22, $C$13, 100%, $E$13)</f>
        <v>4.0757000000000003</v>
      </c>
      <c r="E214" s="64">
        <f>4.9017 * CHOOSE(CONTROL!$C$22, $C$13, 100%, $E$13)</f>
        <v>4.9016999999999999</v>
      </c>
      <c r="F214" s="64">
        <f>4.9017 * CHOOSE(CONTROL!$C$22, $C$13, 100%, $E$13)</f>
        <v>4.9016999999999999</v>
      </c>
      <c r="G214" s="64">
        <f>4.9174 * CHOOSE(CONTROL!$C$22, $C$13, 100%, $E$13)</f>
        <v>4.9173999999999998</v>
      </c>
      <c r="H214" s="64">
        <f>8.0661* CHOOSE(CONTROL!$C$22, $C$13, 100%, $E$13)</f>
        <v>8.0661000000000005</v>
      </c>
      <c r="I214" s="64">
        <f>8.0818 * CHOOSE(CONTROL!$C$22, $C$13, 100%, $E$13)</f>
        <v>8.0817999999999994</v>
      </c>
      <c r="J214" s="64">
        <f>4.9017 * CHOOSE(CONTROL!$C$22, $C$13, 100%, $E$13)</f>
        <v>4.9016999999999999</v>
      </c>
      <c r="K214" s="64">
        <f>4.9174 * CHOOSE(CONTROL!$C$22, $C$13, 100%, $E$13)</f>
        <v>4.9173999999999998</v>
      </c>
    </row>
    <row r="215" spans="1:11" ht="15">
      <c r="A215" s="13">
        <v>48030</v>
      </c>
      <c r="B215" s="63">
        <f>4.1241 * CHOOSE(CONTROL!$C$22, $C$13, 100%, $E$13)</f>
        <v>4.1241000000000003</v>
      </c>
      <c r="C215" s="63">
        <f>4.1241 * CHOOSE(CONTROL!$C$22, $C$13, 100%, $E$13)</f>
        <v>4.1241000000000003</v>
      </c>
      <c r="D215" s="63">
        <f>4.1371 * CHOOSE(CONTROL!$C$22, $C$13, 100%, $E$13)</f>
        <v>4.1371000000000002</v>
      </c>
      <c r="E215" s="64">
        <f>5.0209 * CHOOSE(CONTROL!$C$22, $C$13, 100%, $E$13)</f>
        <v>5.0209000000000001</v>
      </c>
      <c r="F215" s="64">
        <f>5.0209 * CHOOSE(CONTROL!$C$22, $C$13, 100%, $E$13)</f>
        <v>5.0209000000000001</v>
      </c>
      <c r="G215" s="64">
        <f>5.0366 * CHOOSE(CONTROL!$C$22, $C$13, 100%, $E$13)</f>
        <v>5.0366</v>
      </c>
      <c r="H215" s="64">
        <f>8.0829* CHOOSE(CONTROL!$C$22, $C$13, 100%, $E$13)</f>
        <v>8.0829000000000004</v>
      </c>
      <c r="I215" s="64">
        <f>8.0986 * CHOOSE(CONTROL!$C$22, $C$13, 100%, $E$13)</f>
        <v>8.0985999999999994</v>
      </c>
      <c r="J215" s="64">
        <f>5.0209 * CHOOSE(CONTROL!$C$22, $C$13, 100%, $E$13)</f>
        <v>5.0209000000000001</v>
      </c>
      <c r="K215" s="64">
        <f>5.0366 * CHOOSE(CONTROL!$C$22, $C$13, 100%, $E$13)</f>
        <v>5.0366</v>
      </c>
    </row>
    <row r="216" spans="1:11" ht="15">
      <c r="A216" s="13">
        <v>48061</v>
      </c>
      <c r="B216" s="63">
        <f>4.1308 * CHOOSE(CONTROL!$C$22, $C$13, 100%, $E$13)</f>
        <v>4.1307999999999998</v>
      </c>
      <c r="C216" s="63">
        <f>4.1308 * CHOOSE(CONTROL!$C$22, $C$13, 100%, $E$13)</f>
        <v>4.1307999999999998</v>
      </c>
      <c r="D216" s="63">
        <f>4.1438 * CHOOSE(CONTROL!$C$22, $C$13, 100%, $E$13)</f>
        <v>4.1437999999999997</v>
      </c>
      <c r="E216" s="64">
        <f>4.9519 * CHOOSE(CONTROL!$C$22, $C$13, 100%, $E$13)</f>
        <v>4.9519000000000002</v>
      </c>
      <c r="F216" s="64">
        <f>4.9519 * CHOOSE(CONTROL!$C$22, $C$13, 100%, $E$13)</f>
        <v>4.9519000000000002</v>
      </c>
      <c r="G216" s="64">
        <f>4.9675 * CHOOSE(CONTROL!$C$22, $C$13, 100%, $E$13)</f>
        <v>4.9675000000000002</v>
      </c>
      <c r="H216" s="64">
        <f>8.0998* CHOOSE(CONTROL!$C$22, $C$13, 100%, $E$13)</f>
        <v>8.0998000000000001</v>
      </c>
      <c r="I216" s="64">
        <f>8.1154 * CHOOSE(CONTROL!$C$22, $C$13, 100%, $E$13)</f>
        <v>8.1153999999999993</v>
      </c>
      <c r="J216" s="64">
        <f>4.9519 * CHOOSE(CONTROL!$C$22, $C$13, 100%, $E$13)</f>
        <v>4.9519000000000002</v>
      </c>
      <c r="K216" s="64">
        <f>4.9675 * CHOOSE(CONTROL!$C$22, $C$13, 100%, $E$13)</f>
        <v>4.9675000000000002</v>
      </c>
    </row>
    <row r="217" spans="1:11" ht="15">
      <c r="A217" s="13">
        <v>48092</v>
      </c>
      <c r="B217" s="63">
        <f>4.1278 * CHOOSE(CONTROL!$C$22, $C$13, 100%, $E$13)</f>
        <v>4.1277999999999997</v>
      </c>
      <c r="C217" s="63">
        <f>4.1278 * CHOOSE(CONTROL!$C$22, $C$13, 100%, $E$13)</f>
        <v>4.1277999999999997</v>
      </c>
      <c r="D217" s="63">
        <f>4.1407 * CHOOSE(CONTROL!$C$22, $C$13, 100%, $E$13)</f>
        <v>4.1406999999999998</v>
      </c>
      <c r="E217" s="64">
        <f>4.9415 * CHOOSE(CONTROL!$C$22, $C$13, 100%, $E$13)</f>
        <v>4.9414999999999996</v>
      </c>
      <c r="F217" s="64">
        <f>4.9415 * CHOOSE(CONTROL!$C$22, $C$13, 100%, $E$13)</f>
        <v>4.9414999999999996</v>
      </c>
      <c r="G217" s="64">
        <f>4.9572 * CHOOSE(CONTROL!$C$22, $C$13, 100%, $E$13)</f>
        <v>4.9572000000000003</v>
      </c>
      <c r="H217" s="64">
        <f>8.1166* CHOOSE(CONTROL!$C$22, $C$13, 100%, $E$13)</f>
        <v>8.1166</v>
      </c>
      <c r="I217" s="64">
        <f>8.1323 * CHOOSE(CONTROL!$C$22, $C$13, 100%, $E$13)</f>
        <v>8.1323000000000008</v>
      </c>
      <c r="J217" s="64">
        <f>4.9415 * CHOOSE(CONTROL!$C$22, $C$13, 100%, $E$13)</f>
        <v>4.9414999999999996</v>
      </c>
      <c r="K217" s="64">
        <f>4.9572 * CHOOSE(CONTROL!$C$22, $C$13, 100%, $E$13)</f>
        <v>4.9572000000000003</v>
      </c>
    </row>
    <row r="218" spans="1:11" ht="15">
      <c r="A218" s="13">
        <v>48122</v>
      </c>
      <c r="B218" s="63">
        <f>4.1232 * CHOOSE(CONTROL!$C$22, $C$13, 100%, $E$13)</f>
        <v>4.1231999999999998</v>
      </c>
      <c r="C218" s="63">
        <f>4.1232 * CHOOSE(CONTROL!$C$22, $C$13, 100%, $E$13)</f>
        <v>4.1231999999999998</v>
      </c>
      <c r="D218" s="63">
        <f>4.1232 * CHOOSE(CONTROL!$C$22, $C$13, 100%, $E$13)</f>
        <v>4.1231999999999998</v>
      </c>
      <c r="E218" s="64">
        <f>4.9609 * CHOOSE(CONTROL!$C$22, $C$13, 100%, $E$13)</f>
        <v>4.9608999999999996</v>
      </c>
      <c r="F218" s="64">
        <f>4.9609 * CHOOSE(CONTROL!$C$22, $C$13, 100%, $E$13)</f>
        <v>4.9608999999999996</v>
      </c>
      <c r="G218" s="64">
        <f>4.961 * CHOOSE(CONTROL!$C$22, $C$13, 100%, $E$13)</f>
        <v>4.9610000000000003</v>
      </c>
      <c r="H218" s="64">
        <f>8.1335* CHOOSE(CONTROL!$C$22, $C$13, 100%, $E$13)</f>
        <v>8.1334999999999997</v>
      </c>
      <c r="I218" s="64">
        <f>8.1336 * CHOOSE(CONTROL!$C$22, $C$13, 100%, $E$13)</f>
        <v>8.1335999999999995</v>
      </c>
      <c r="J218" s="64">
        <f>4.9609 * CHOOSE(CONTROL!$C$22, $C$13, 100%, $E$13)</f>
        <v>4.9608999999999996</v>
      </c>
      <c r="K218" s="64">
        <f>4.961 * CHOOSE(CONTROL!$C$22, $C$13, 100%, $E$13)</f>
        <v>4.9610000000000003</v>
      </c>
    </row>
    <row r="219" spans="1:11" ht="15">
      <c r="A219" s="13">
        <v>48153</v>
      </c>
      <c r="B219" s="63">
        <f>4.1263 * CHOOSE(CONTROL!$C$22, $C$13, 100%, $E$13)</f>
        <v>4.1262999999999996</v>
      </c>
      <c r="C219" s="63">
        <f>4.1263 * CHOOSE(CONTROL!$C$22, $C$13, 100%, $E$13)</f>
        <v>4.1262999999999996</v>
      </c>
      <c r="D219" s="63">
        <f>4.1263 * CHOOSE(CONTROL!$C$22, $C$13, 100%, $E$13)</f>
        <v>4.1262999999999996</v>
      </c>
      <c r="E219" s="64">
        <f>4.9794 * CHOOSE(CONTROL!$C$22, $C$13, 100%, $E$13)</f>
        <v>4.9794</v>
      </c>
      <c r="F219" s="64">
        <f>4.9794 * CHOOSE(CONTROL!$C$22, $C$13, 100%, $E$13)</f>
        <v>4.9794</v>
      </c>
      <c r="G219" s="64">
        <f>4.9795 * CHOOSE(CONTROL!$C$22, $C$13, 100%, $E$13)</f>
        <v>4.9794999999999998</v>
      </c>
      <c r="H219" s="64">
        <f>8.1505* CHOOSE(CONTROL!$C$22, $C$13, 100%, $E$13)</f>
        <v>8.1504999999999992</v>
      </c>
      <c r="I219" s="64">
        <f>8.1506 * CHOOSE(CONTROL!$C$22, $C$13, 100%, $E$13)</f>
        <v>8.1506000000000007</v>
      </c>
      <c r="J219" s="64">
        <f>4.9794 * CHOOSE(CONTROL!$C$22, $C$13, 100%, $E$13)</f>
        <v>4.9794</v>
      </c>
      <c r="K219" s="64">
        <f>4.9795 * CHOOSE(CONTROL!$C$22, $C$13, 100%, $E$13)</f>
        <v>4.9794999999999998</v>
      </c>
    </row>
    <row r="220" spans="1:11" ht="15">
      <c r="A220" s="13">
        <v>48183</v>
      </c>
      <c r="B220" s="63">
        <f>4.1263 * CHOOSE(CONTROL!$C$22, $C$13, 100%, $E$13)</f>
        <v>4.1262999999999996</v>
      </c>
      <c r="C220" s="63">
        <f>4.1263 * CHOOSE(CONTROL!$C$22, $C$13, 100%, $E$13)</f>
        <v>4.1262999999999996</v>
      </c>
      <c r="D220" s="63">
        <f>4.1263 * CHOOSE(CONTROL!$C$22, $C$13, 100%, $E$13)</f>
        <v>4.1262999999999996</v>
      </c>
      <c r="E220" s="64">
        <f>4.9384 * CHOOSE(CONTROL!$C$22, $C$13, 100%, $E$13)</f>
        <v>4.9383999999999997</v>
      </c>
      <c r="F220" s="64">
        <f>4.9384 * CHOOSE(CONTROL!$C$22, $C$13, 100%, $E$13)</f>
        <v>4.9383999999999997</v>
      </c>
      <c r="G220" s="64">
        <f>4.9385 * CHOOSE(CONTROL!$C$22, $C$13, 100%, $E$13)</f>
        <v>4.9385000000000003</v>
      </c>
      <c r="H220" s="64">
        <f>8.1675* CHOOSE(CONTROL!$C$22, $C$13, 100%, $E$13)</f>
        <v>8.1675000000000004</v>
      </c>
      <c r="I220" s="64">
        <f>8.1675 * CHOOSE(CONTROL!$C$22, $C$13, 100%, $E$13)</f>
        <v>8.1675000000000004</v>
      </c>
      <c r="J220" s="64">
        <f>4.9384 * CHOOSE(CONTROL!$C$22, $C$13, 100%, $E$13)</f>
        <v>4.9383999999999997</v>
      </c>
      <c r="K220" s="64">
        <f>4.9385 * CHOOSE(CONTROL!$C$22, $C$13, 100%, $E$13)</f>
        <v>4.9385000000000003</v>
      </c>
    </row>
    <row r="221" spans="1:11" ht="15">
      <c r="A221" s="13">
        <v>48214</v>
      </c>
      <c r="B221" s="63">
        <f>4.1645 * CHOOSE(CONTROL!$C$22, $C$13, 100%, $E$13)</f>
        <v>4.1645000000000003</v>
      </c>
      <c r="C221" s="63">
        <f>4.1645 * CHOOSE(CONTROL!$C$22, $C$13, 100%, $E$13)</f>
        <v>4.1645000000000003</v>
      </c>
      <c r="D221" s="63">
        <f>4.1645 * CHOOSE(CONTROL!$C$22, $C$13, 100%, $E$13)</f>
        <v>4.1645000000000003</v>
      </c>
      <c r="E221" s="64">
        <f>5.0152 * CHOOSE(CONTROL!$C$22, $C$13, 100%, $E$13)</f>
        <v>5.0152000000000001</v>
      </c>
      <c r="F221" s="64">
        <f>5.0152 * CHOOSE(CONTROL!$C$22, $C$13, 100%, $E$13)</f>
        <v>5.0152000000000001</v>
      </c>
      <c r="G221" s="64">
        <f>5.0153 * CHOOSE(CONTROL!$C$22, $C$13, 100%, $E$13)</f>
        <v>5.0152999999999999</v>
      </c>
      <c r="H221" s="64">
        <f>8.1845* CHOOSE(CONTROL!$C$22, $C$13, 100%, $E$13)</f>
        <v>8.1844999999999999</v>
      </c>
      <c r="I221" s="64">
        <f>8.1846 * CHOOSE(CONTROL!$C$22, $C$13, 100%, $E$13)</f>
        <v>8.1845999999999997</v>
      </c>
      <c r="J221" s="64">
        <f>5.0152 * CHOOSE(CONTROL!$C$22, $C$13, 100%, $E$13)</f>
        <v>5.0152000000000001</v>
      </c>
      <c r="K221" s="64">
        <f>5.0153 * CHOOSE(CONTROL!$C$22, $C$13, 100%, $E$13)</f>
        <v>5.0152999999999999</v>
      </c>
    </row>
    <row r="222" spans="1:11" ht="15">
      <c r="A222" s="13">
        <v>48245</v>
      </c>
      <c r="B222" s="63">
        <f>4.1614 * CHOOSE(CONTROL!$C$22, $C$13, 100%, $E$13)</f>
        <v>4.1614000000000004</v>
      </c>
      <c r="C222" s="63">
        <f>4.1614 * CHOOSE(CONTROL!$C$22, $C$13, 100%, $E$13)</f>
        <v>4.1614000000000004</v>
      </c>
      <c r="D222" s="63">
        <f>4.1614 * CHOOSE(CONTROL!$C$22, $C$13, 100%, $E$13)</f>
        <v>4.1614000000000004</v>
      </c>
      <c r="E222" s="64">
        <f>4.9336 * CHOOSE(CONTROL!$C$22, $C$13, 100%, $E$13)</f>
        <v>4.9336000000000002</v>
      </c>
      <c r="F222" s="64">
        <f>4.9336 * CHOOSE(CONTROL!$C$22, $C$13, 100%, $E$13)</f>
        <v>4.9336000000000002</v>
      </c>
      <c r="G222" s="64">
        <f>4.9337 * CHOOSE(CONTROL!$C$22, $C$13, 100%, $E$13)</f>
        <v>4.9337</v>
      </c>
      <c r="H222" s="64">
        <f>8.2015* CHOOSE(CONTROL!$C$22, $C$13, 100%, $E$13)</f>
        <v>8.2014999999999993</v>
      </c>
      <c r="I222" s="64">
        <f>8.2016 * CHOOSE(CONTROL!$C$22, $C$13, 100%, $E$13)</f>
        <v>8.2015999999999991</v>
      </c>
      <c r="J222" s="64">
        <f>4.9336 * CHOOSE(CONTROL!$C$22, $C$13, 100%, $E$13)</f>
        <v>4.9336000000000002</v>
      </c>
      <c r="K222" s="64">
        <f>4.9337 * CHOOSE(CONTROL!$C$22, $C$13, 100%, $E$13)</f>
        <v>4.9337</v>
      </c>
    </row>
    <row r="223" spans="1:11" ht="15">
      <c r="A223" s="13">
        <v>48274</v>
      </c>
      <c r="B223" s="63">
        <f>4.1584 * CHOOSE(CONTROL!$C$22, $C$13, 100%, $E$13)</f>
        <v>4.1584000000000003</v>
      </c>
      <c r="C223" s="63">
        <f>4.1584 * CHOOSE(CONTROL!$C$22, $C$13, 100%, $E$13)</f>
        <v>4.1584000000000003</v>
      </c>
      <c r="D223" s="63">
        <f>4.1584 * CHOOSE(CONTROL!$C$22, $C$13, 100%, $E$13)</f>
        <v>4.1584000000000003</v>
      </c>
      <c r="E223" s="64">
        <f>4.9942 * CHOOSE(CONTROL!$C$22, $C$13, 100%, $E$13)</f>
        <v>4.9942000000000002</v>
      </c>
      <c r="F223" s="64">
        <f>4.9942 * CHOOSE(CONTROL!$C$22, $C$13, 100%, $E$13)</f>
        <v>4.9942000000000002</v>
      </c>
      <c r="G223" s="64">
        <f>4.9942 * CHOOSE(CONTROL!$C$22, $C$13, 100%, $E$13)</f>
        <v>4.9942000000000002</v>
      </c>
      <c r="H223" s="64">
        <f>8.2186* CHOOSE(CONTROL!$C$22, $C$13, 100%, $E$13)</f>
        <v>8.2186000000000003</v>
      </c>
      <c r="I223" s="64">
        <f>8.2187 * CHOOSE(CONTROL!$C$22, $C$13, 100%, $E$13)</f>
        <v>8.2187000000000001</v>
      </c>
      <c r="J223" s="64">
        <f>4.9942 * CHOOSE(CONTROL!$C$22, $C$13, 100%, $E$13)</f>
        <v>4.9942000000000002</v>
      </c>
      <c r="K223" s="64">
        <f>4.9942 * CHOOSE(CONTROL!$C$22, $C$13, 100%, $E$13)</f>
        <v>4.9942000000000002</v>
      </c>
    </row>
    <row r="224" spans="1:11" ht="15">
      <c r="A224" s="13">
        <v>48305</v>
      </c>
      <c r="B224" s="63">
        <f>4.1562 * CHOOSE(CONTROL!$C$22, $C$13, 100%, $E$13)</f>
        <v>4.1562000000000001</v>
      </c>
      <c r="C224" s="63">
        <f>4.1562 * CHOOSE(CONTROL!$C$22, $C$13, 100%, $E$13)</f>
        <v>4.1562000000000001</v>
      </c>
      <c r="D224" s="63">
        <f>4.1562 * CHOOSE(CONTROL!$C$22, $C$13, 100%, $E$13)</f>
        <v>4.1562000000000001</v>
      </c>
      <c r="E224" s="64">
        <f>5.0572 * CHOOSE(CONTROL!$C$22, $C$13, 100%, $E$13)</f>
        <v>5.0571999999999999</v>
      </c>
      <c r="F224" s="64">
        <f>5.0572 * CHOOSE(CONTROL!$C$22, $C$13, 100%, $E$13)</f>
        <v>5.0571999999999999</v>
      </c>
      <c r="G224" s="64">
        <f>5.0573 * CHOOSE(CONTROL!$C$22, $C$13, 100%, $E$13)</f>
        <v>5.0572999999999997</v>
      </c>
      <c r="H224" s="64">
        <f>8.2357* CHOOSE(CONTROL!$C$22, $C$13, 100%, $E$13)</f>
        <v>8.2356999999999996</v>
      </c>
      <c r="I224" s="64">
        <f>8.2358 * CHOOSE(CONTROL!$C$22, $C$13, 100%, $E$13)</f>
        <v>8.2357999999999993</v>
      </c>
      <c r="J224" s="64">
        <f>5.0572 * CHOOSE(CONTROL!$C$22, $C$13, 100%, $E$13)</f>
        <v>5.0571999999999999</v>
      </c>
      <c r="K224" s="64">
        <f>5.0573 * CHOOSE(CONTROL!$C$22, $C$13, 100%, $E$13)</f>
        <v>5.0572999999999997</v>
      </c>
    </row>
    <row r="225" spans="1:11" ht="15">
      <c r="A225" s="13">
        <v>48335</v>
      </c>
      <c r="B225" s="63">
        <f>4.1562 * CHOOSE(CONTROL!$C$22, $C$13, 100%, $E$13)</f>
        <v>4.1562000000000001</v>
      </c>
      <c r="C225" s="63">
        <f>4.1562 * CHOOSE(CONTROL!$C$22, $C$13, 100%, $E$13)</f>
        <v>4.1562000000000001</v>
      </c>
      <c r="D225" s="63">
        <f>4.1692 * CHOOSE(CONTROL!$C$22, $C$13, 100%, $E$13)</f>
        <v>4.1692</v>
      </c>
      <c r="E225" s="64">
        <f>5.0825 * CHOOSE(CONTROL!$C$22, $C$13, 100%, $E$13)</f>
        <v>5.0824999999999996</v>
      </c>
      <c r="F225" s="64">
        <f>5.0825 * CHOOSE(CONTROL!$C$22, $C$13, 100%, $E$13)</f>
        <v>5.0824999999999996</v>
      </c>
      <c r="G225" s="64">
        <f>5.0982 * CHOOSE(CONTROL!$C$22, $C$13, 100%, $E$13)</f>
        <v>5.0982000000000003</v>
      </c>
      <c r="H225" s="64">
        <f>8.2529* CHOOSE(CONTROL!$C$22, $C$13, 100%, $E$13)</f>
        <v>8.2529000000000003</v>
      </c>
      <c r="I225" s="64">
        <f>8.2686 * CHOOSE(CONTROL!$C$22, $C$13, 100%, $E$13)</f>
        <v>8.2685999999999993</v>
      </c>
      <c r="J225" s="64">
        <f>5.0825 * CHOOSE(CONTROL!$C$22, $C$13, 100%, $E$13)</f>
        <v>5.0824999999999996</v>
      </c>
      <c r="K225" s="64">
        <f>5.0982 * CHOOSE(CONTROL!$C$22, $C$13, 100%, $E$13)</f>
        <v>5.0982000000000003</v>
      </c>
    </row>
    <row r="226" spans="1:11" ht="15">
      <c r="A226" s="13">
        <v>48366</v>
      </c>
      <c r="B226" s="63">
        <f>4.1623 * CHOOSE(CONTROL!$C$22, $C$13, 100%, $E$13)</f>
        <v>4.1623000000000001</v>
      </c>
      <c r="C226" s="63">
        <f>4.1623 * CHOOSE(CONTROL!$C$22, $C$13, 100%, $E$13)</f>
        <v>4.1623000000000001</v>
      </c>
      <c r="D226" s="63">
        <f>4.1752 * CHOOSE(CONTROL!$C$22, $C$13, 100%, $E$13)</f>
        <v>4.1752000000000002</v>
      </c>
      <c r="E226" s="64">
        <f>5.0615 * CHOOSE(CONTROL!$C$22, $C$13, 100%, $E$13)</f>
        <v>5.0614999999999997</v>
      </c>
      <c r="F226" s="64">
        <f>5.0615 * CHOOSE(CONTROL!$C$22, $C$13, 100%, $E$13)</f>
        <v>5.0614999999999997</v>
      </c>
      <c r="G226" s="64">
        <f>5.0771 * CHOOSE(CONTROL!$C$22, $C$13, 100%, $E$13)</f>
        <v>5.0770999999999997</v>
      </c>
      <c r="H226" s="64">
        <f>8.2701* CHOOSE(CONTROL!$C$22, $C$13, 100%, $E$13)</f>
        <v>8.2700999999999993</v>
      </c>
      <c r="I226" s="64">
        <f>8.2858 * CHOOSE(CONTROL!$C$22, $C$13, 100%, $E$13)</f>
        <v>8.2858000000000001</v>
      </c>
      <c r="J226" s="64">
        <f>5.0615 * CHOOSE(CONTROL!$C$22, $C$13, 100%, $E$13)</f>
        <v>5.0614999999999997</v>
      </c>
      <c r="K226" s="64">
        <f>5.0771 * CHOOSE(CONTROL!$C$22, $C$13, 100%, $E$13)</f>
        <v>5.0770999999999997</v>
      </c>
    </row>
    <row r="227" spans="1:11" ht="15">
      <c r="A227" s="13">
        <v>48396</v>
      </c>
      <c r="B227" s="63">
        <f>4.2341 * CHOOSE(CONTROL!$C$22, $C$13, 100%, $E$13)</f>
        <v>4.2340999999999998</v>
      </c>
      <c r="C227" s="63">
        <f>4.2341 * CHOOSE(CONTROL!$C$22, $C$13, 100%, $E$13)</f>
        <v>4.2340999999999998</v>
      </c>
      <c r="D227" s="63">
        <f>4.2471 * CHOOSE(CONTROL!$C$22, $C$13, 100%, $E$13)</f>
        <v>4.2470999999999997</v>
      </c>
      <c r="E227" s="64">
        <f>5.166 * CHOOSE(CONTROL!$C$22, $C$13, 100%, $E$13)</f>
        <v>5.1660000000000004</v>
      </c>
      <c r="F227" s="64">
        <f>5.166 * CHOOSE(CONTROL!$C$22, $C$13, 100%, $E$13)</f>
        <v>5.1660000000000004</v>
      </c>
      <c r="G227" s="64">
        <f>5.1817 * CHOOSE(CONTROL!$C$22, $C$13, 100%, $E$13)</f>
        <v>5.1817000000000002</v>
      </c>
      <c r="H227" s="64">
        <f>8.2873* CHOOSE(CONTROL!$C$22, $C$13, 100%, $E$13)</f>
        <v>8.2873000000000001</v>
      </c>
      <c r="I227" s="64">
        <f>8.303 * CHOOSE(CONTROL!$C$22, $C$13, 100%, $E$13)</f>
        <v>8.3030000000000008</v>
      </c>
      <c r="J227" s="64">
        <f>5.166 * CHOOSE(CONTROL!$C$22, $C$13, 100%, $E$13)</f>
        <v>5.1660000000000004</v>
      </c>
      <c r="K227" s="64">
        <f>5.1817 * CHOOSE(CONTROL!$C$22, $C$13, 100%, $E$13)</f>
        <v>5.1817000000000002</v>
      </c>
    </row>
    <row r="228" spans="1:11" ht="15">
      <c r="A228" s="13">
        <v>48427</v>
      </c>
      <c r="B228" s="63">
        <f>4.2408 * CHOOSE(CONTROL!$C$22, $C$13, 100%, $E$13)</f>
        <v>4.2408000000000001</v>
      </c>
      <c r="C228" s="63">
        <f>4.2408 * CHOOSE(CONTROL!$C$22, $C$13, 100%, $E$13)</f>
        <v>4.2408000000000001</v>
      </c>
      <c r="D228" s="63">
        <f>4.2538 * CHOOSE(CONTROL!$C$22, $C$13, 100%, $E$13)</f>
        <v>4.2538</v>
      </c>
      <c r="E228" s="64">
        <f>5.095 * CHOOSE(CONTROL!$C$22, $C$13, 100%, $E$13)</f>
        <v>5.0949999999999998</v>
      </c>
      <c r="F228" s="64">
        <f>5.095 * CHOOSE(CONTROL!$C$22, $C$13, 100%, $E$13)</f>
        <v>5.0949999999999998</v>
      </c>
      <c r="G228" s="64">
        <f>5.1106 * CHOOSE(CONTROL!$C$22, $C$13, 100%, $E$13)</f>
        <v>5.1105999999999998</v>
      </c>
      <c r="H228" s="64">
        <f>8.3046* CHOOSE(CONTROL!$C$22, $C$13, 100%, $E$13)</f>
        <v>8.3046000000000006</v>
      </c>
      <c r="I228" s="64">
        <f>8.3203 * CHOOSE(CONTROL!$C$22, $C$13, 100%, $E$13)</f>
        <v>8.3202999999999996</v>
      </c>
      <c r="J228" s="64">
        <f>5.095 * CHOOSE(CONTROL!$C$22, $C$13, 100%, $E$13)</f>
        <v>5.0949999999999998</v>
      </c>
      <c r="K228" s="64">
        <f>5.1106 * CHOOSE(CONTROL!$C$22, $C$13, 100%, $E$13)</f>
        <v>5.1105999999999998</v>
      </c>
    </row>
    <row r="229" spans="1:11" ht="15">
      <c r="A229" s="13">
        <v>48458</v>
      </c>
      <c r="B229" s="63">
        <f>4.2378 * CHOOSE(CONTROL!$C$22, $C$13, 100%, $E$13)</f>
        <v>4.2378</v>
      </c>
      <c r="C229" s="63">
        <f>4.2378 * CHOOSE(CONTROL!$C$22, $C$13, 100%, $E$13)</f>
        <v>4.2378</v>
      </c>
      <c r="D229" s="63">
        <f>4.2507 * CHOOSE(CONTROL!$C$22, $C$13, 100%, $E$13)</f>
        <v>4.2507000000000001</v>
      </c>
      <c r="E229" s="64">
        <f>5.0844 * CHOOSE(CONTROL!$C$22, $C$13, 100%, $E$13)</f>
        <v>5.0843999999999996</v>
      </c>
      <c r="F229" s="64">
        <f>5.0844 * CHOOSE(CONTROL!$C$22, $C$13, 100%, $E$13)</f>
        <v>5.0843999999999996</v>
      </c>
      <c r="G229" s="64">
        <f>5.1001 * CHOOSE(CONTROL!$C$22, $C$13, 100%, $E$13)</f>
        <v>5.1001000000000003</v>
      </c>
      <c r="H229" s="64">
        <f>8.3219* CHOOSE(CONTROL!$C$22, $C$13, 100%, $E$13)</f>
        <v>8.3218999999999994</v>
      </c>
      <c r="I229" s="64">
        <f>8.3376 * CHOOSE(CONTROL!$C$22, $C$13, 100%, $E$13)</f>
        <v>8.3376000000000001</v>
      </c>
      <c r="J229" s="64">
        <f>5.0844 * CHOOSE(CONTROL!$C$22, $C$13, 100%, $E$13)</f>
        <v>5.0843999999999996</v>
      </c>
      <c r="K229" s="64">
        <f>5.1001 * CHOOSE(CONTROL!$C$22, $C$13, 100%, $E$13)</f>
        <v>5.1001000000000003</v>
      </c>
    </row>
    <row r="230" spans="1:11" ht="15">
      <c r="A230" s="13">
        <v>48488</v>
      </c>
      <c r="B230" s="63">
        <f>4.2336 * CHOOSE(CONTROL!$C$22, $C$13, 100%, $E$13)</f>
        <v>4.2336</v>
      </c>
      <c r="C230" s="63">
        <f>4.2336 * CHOOSE(CONTROL!$C$22, $C$13, 100%, $E$13)</f>
        <v>4.2336</v>
      </c>
      <c r="D230" s="63">
        <f>4.2336 * CHOOSE(CONTROL!$C$22, $C$13, 100%, $E$13)</f>
        <v>4.2336</v>
      </c>
      <c r="E230" s="64">
        <f>5.1047 * CHOOSE(CONTROL!$C$22, $C$13, 100%, $E$13)</f>
        <v>5.1047000000000002</v>
      </c>
      <c r="F230" s="64">
        <f>5.1047 * CHOOSE(CONTROL!$C$22, $C$13, 100%, $E$13)</f>
        <v>5.1047000000000002</v>
      </c>
      <c r="G230" s="64">
        <f>5.1047 * CHOOSE(CONTROL!$C$22, $C$13, 100%, $E$13)</f>
        <v>5.1047000000000002</v>
      </c>
      <c r="H230" s="64">
        <f>8.3392* CHOOSE(CONTROL!$C$22, $C$13, 100%, $E$13)</f>
        <v>8.3391999999999999</v>
      </c>
      <c r="I230" s="64">
        <f>8.3393 * CHOOSE(CONTROL!$C$22, $C$13, 100%, $E$13)</f>
        <v>8.3392999999999997</v>
      </c>
      <c r="J230" s="64">
        <f>5.1047 * CHOOSE(CONTROL!$C$22, $C$13, 100%, $E$13)</f>
        <v>5.1047000000000002</v>
      </c>
      <c r="K230" s="64">
        <f>5.1047 * CHOOSE(CONTROL!$C$22, $C$13, 100%, $E$13)</f>
        <v>5.1047000000000002</v>
      </c>
    </row>
    <row r="231" spans="1:11" ht="15">
      <c r="A231" s="13">
        <v>48519</v>
      </c>
      <c r="B231" s="63">
        <f>4.2367 * CHOOSE(CONTROL!$C$22, $C$13, 100%, $E$13)</f>
        <v>4.2366999999999999</v>
      </c>
      <c r="C231" s="63">
        <f>4.2367 * CHOOSE(CONTROL!$C$22, $C$13, 100%, $E$13)</f>
        <v>4.2366999999999999</v>
      </c>
      <c r="D231" s="63">
        <f>4.2367 * CHOOSE(CONTROL!$C$22, $C$13, 100%, $E$13)</f>
        <v>4.2366999999999999</v>
      </c>
      <c r="E231" s="64">
        <f>5.1236 * CHOOSE(CONTROL!$C$22, $C$13, 100%, $E$13)</f>
        <v>5.1235999999999997</v>
      </c>
      <c r="F231" s="64">
        <f>5.1236 * CHOOSE(CONTROL!$C$22, $C$13, 100%, $E$13)</f>
        <v>5.1235999999999997</v>
      </c>
      <c r="G231" s="64">
        <f>5.1237 * CHOOSE(CONTROL!$C$22, $C$13, 100%, $E$13)</f>
        <v>5.1237000000000004</v>
      </c>
      <c r="H231" s="64">
        <f>8.3566* CHOOSE(CONTROL!$C$22, $C$13, 100%, $E$13)</f>
        <v>8.3566000000000003</v>
      </c>
      <c r="I231" s="64">
        <f>8.3567 * CHOOSE(CONTROL!$C$22, $C$13, 100%, $E$13)</f>
        <v>8.3567</v>
      </c>
      <c r="J231" s="64">
        <f>5.1236 * CHOOSE(CONTROL!$C$22, $C$13, 100%, $E$13)</f>
        <v>5.1235999999999997</v>
      </c>
      <c r="K231" s="64">
        <f>5.1237 * CHOOSE(CONTROL!$C$22, $C$13, 100%, $E$13)</f>
        <v>5.1237000000000004</v>
      </c>
    </row>
    <row r="232" spans="1:11" ht="15">
      <c r="A232" s="13">
        <v>48549</v>
      </c>
      <c r="B232" s="63">
        <f>4.2367 * CHOOSE(CONTROL!$C$22, $C$13, 100%, $E$13)</f>
        <v>4.2366999999999999</v>
      </c>
      <c r="C232" s="63">
        <f>4.2367 * CHOOSE(CONTROL!$C$22, $C$13, 100%, $E$13)</f>
        <v>4.2366999999999999</v>
      </c>
      <c r="D232" s="63">
        <f>4.2367 * CHOOSE(CONTROL!$C$22, $C$13, 100%, $E$13)</f>
        <v>4.2366999999999999</v>
      </c>
      <c r="E232" s="64">
        <f>5.0815 * CHOOSE(CONTROL!$C$22, $C$13, 100%, $E$13)</f>
        <v>5.0815000000000001</v>
      </c>
      <c r="F232" s="64">
        <f>5.0815 * CHOOSE(CONTROL!$C$22, $C$13, 100%, $E$13)</f>
        <v>5.0815000000000001</v>
      </c>
      <c r="G232" s="64">
        <f>5.0816 * CHOOSE(CONTROL!$C$22, $C$13, 100%, $E$13)</f>
        <v>5.0815999999999999</v>
      </c>
      <c r="H232" s="64">
        <f>8.374* CHOOSE(CONTROL!$C$22, $C$13, 100%, $E$13)</f>
        <v>8.3740000000000006</v>
      </c>
      <c r="I232" s="64">
        <f>8.3741 * CHOOSE(CONTROL!$C$22, $C$13, 100%, $E$13)</f>
        <v>8.3741000000000003</v>
      </c>
      <c r="J232" s="64">
        <f>5.0815 * CHOOSE(CONTROL!$C$22, $C$13, 100%, $E$13)</f>
        <v>5.0815000000000001</v>
      </c>
      <c r="K232" s="64">
        <f>5.0816 * CHOOSE(CONTROL!$C$22, $C$13, 100%, $E$13)</f>
        <v>5.0815999999999999</v>
      </c>
    </row>
    <row r="233" spans="1:11" ht="15">
      <c r="A233" s="13">
        <v>48580</v>
      </c>
      <c r="B233" s="63">
        <f>4.2764 * CHOOSE(CONTROL!$C$22, $C$13, 100%, $E$13)</f>
        <v>4.2763999999999998</v>
      </c>
      <c r="C233" s="63">
        <f>4.2764 * CHOOSE(CONTROL!$C$22, $C$13, 100%, $E$13)</f>
        <v>4.2763999999999998</v>
      </c>
      <c r="D233" s="63">
        <f>4.2764 * CHOOSE(CONTROL!$C$22, $C$13, 100%, $E$13)</f>
        <v>4.2763999999999998</v>
      </c>
      <c r="E233" s="64">
        <f>5.1642 * CHOOSE(CONTROL!$C$22, $C$13, 100%, $E$13)</f>
        <v>5.1642000000000001</v>
      </c>
      <c r="F233" s="64">
        <f>5.1642 * CHOOSE(CONTROL!$C$22, $C$13, 100%, $E$13)</f>
        <v>5.1642000000000001</v>
      </c>
      <c r="G233" s="64">
        <f>5.1643 * CHOOSE(CONTROL!$C$22, $C$13, 100%, $E$13)</f>
        <v>5.1642999999999999</v>
      </c>
      <c r="H233" s="64">
        <f>8.3914* CHOOSE(CONTROL!$C$22, $C$13, 100%, $E$13)</f>
        <v>8.3914000000000009</v>
      </c>
      <c r="I233" s="64">
        <f>8.3915 * CHOOSE(CONTROL!$C$22, $C$13, 100%, $E$13)</f>
        <v>8.3915000000000006</v>
      </c>
      <c r="J233" s="64">
        <f>5.1642 * CHOOSE(CONTROL!$C$22, $C$13, 100%, $E$13)</f>
        <v>5.1642000000000001</v>
      </c>
      <c r="K233" s="64">
        <f>5.1643 * CHOOSE(CONTROL!$C$22, $C$13, 100%, $E$13)</f>
        <v>5.1642999999999999</v>
      </c>
    </row>
    <row r="234" spans="1:11" ht="15">
      <c r="A234" s="13">
        <v>48611</v>
      </c>
      <c r="B234" s="63">
        <f>4.2734 * CHOOSE(CONTROL!$C$22, $C$13, 100%, $E$13)</f>
        <v>4.2733999999999996</v>
      </c>
      <c r="C234" s="63">
        <f>4.2734 * CHOOSE(CONTROL!$C$22, $C$13, 100%, $E$13)</f>
        <v>4.2733999999999996</v>
      </c>
      <c r="D234" s="63">
        <f>4.2734 * CHOOSE(CONTROL!$C$22, $C$13, 100%, $E$13)</f>
        <v>4.2733999999999996</v>
      </c>
      <c r="E234" s="64">
        <f>5.0805 * CHOOSE(CONTROL!$C$22, $C$13, 100%, $E$13)</f>
        <v>5.0804999999999998</v>
      </c>
      <c r="F234" s="64">
        <f>5.0805 * CHOOSE(CONTROL!$C$22, $C$13, 100%, $E$13)</f>
        <v>5.0804999999999998</v>
      </c>
      <c r="G234" s="64">
        <f>5.0806 * CHOOSE(CONTROL!$C$22, $C$13, 100%, $E$13)</f>
        <v>5.0805999999999996</v>
      </c>
      <c r="H234" s="64">
        <f>8.4089* CHOOSE(CONTROL!$C$22, $C$13, 100%, $E$13)</f>
        <v>8.4088999999999992</v>
      </c>
      <c r="I234" s="64">
        <f>8.409 * CHOOSE(CONTROL!$C$22, $C$13, 100%, $E$13)</f>
        <v>8.4090000000000007</v>
      </c>
      <c r="J234" s="64">
        <f>5.0805 * CHOOSE(CONTROL!$C$22, $C$13, 100%, $E$13)</f>
        <v>5.0804999999999998</v>
      </c>
      <c r="K234" s="64">
        <f>5.0806 * CHOOSE(CONTROL!$C$22, $C$13, 100%, $E$13)</f>
        <v>5.0805999999999996</v>
      </c>
    </row>
    <row r="235" spans="1:11" ht="15">
      <c r="A235" s="13">
        <v>48639</v>
      </c>
      <c r="B235" s="63">
        <f>4.2703 * CHOOSE(CONTROL!$C$22, $C$13, 100%, $E$13)</f>
        <v>4.2702999999999998</v>
      </c>
      <c r="C235" s="63">
        <f>4.2703 * CHOOSE(CONTROL!$C$22, $C$13, 100%, $E$13)</f>
        <v>4.2702999999999998</v>
      </c>
      <c r="D235" s="63">
        <f>4.2703 * CHOOSE(CONTROL!$C$22, $C$13, 100%, $E$13)</f>
        <v>4.2702999999999998</v>
      </c>
      <c r="E235" s="64">
        <f>5.1427 * CHOOSE(CONTROL!$C$22, $C$13, 100%, $E$13)</f>
        <v>5.1426999999999996</v>
      </c>
      <c r="F235" s="64">
        <f>5.1427 * CHOOSE(CONTROL!$C$22, $C$13, 100%, $E$13)</f>
        <v>5.1426999999999996</v>
      </c>
      <c r="G235" s="64">
        <f>5.1428 * CHOOSE(CONTROL!$C$22, $C$13, 100%, $E$13)</f>
        <v>5.1428000000000003</v>
      </c>
      <c r="H235" s="64">
        <f>8.4264* CHOOSE(CONTROL!$C$22, $C$13, 100%, $E$13)</f>
        <v>8.4263999999999992</v>
      </c>
      <c r="I235" s="64">
        <f>8.4265 * CHOOSE(CONTROL!$C$22, $C$13, 100%, $E$13)</f>
        <v>8.4265000000000008</v>
      </c>
      <c r="J235" s="64">
        <f>5.1427 * CHOOSE(CONTROL!$C$22, $C$13, 100%, $E$13)</f>
        <v>5.1426999999999996</v>
      </c>
      <c r="K235" s="64">
        <f>5.1428 * CHOOSE(CONTROL!$C$22, $C$13, 100%, $E$13)</f>
        <v>5.1428000000000003</v>
      </c>
    </row>
    <row r="236" spans="1:11" ht="15">
      <c r="A236" s="13">
        <v>48670</v>
      </c>
      <c r="B236" s="63">
        <f>4.2682 * CHOOSE(CONTROL!$C$22, $C$13, 100%, $E$13)</f>
        <v>4.2682000000000002</v>
      </c>
      <c r="C236" s="63">
        <f>4.2682 * CHOOSE(CONTROL!$C$22, $C$13, 100%, $E$13)</f>
        <v>4.2682000000000002</v>
      </c>
      <c r="D236" s="63">
        <f>4.2682 * CHOOSE(CONTROL!$C$22, $C$13, 100%, $E$13)</f>
        <v>4.2682000000000002</v>
      </c>
      <c r="E236" s="64">
        <f>5.2076 * CHOOSE(CONTROL!$C$22, $C$13, 100%, $E$13)</f>
        <v>5.2076000000000002</v>
      </c>
      <c r="F236" s="64">
        <f>5.2076 * CHOOSE(CONTROL!$C$22, $C$13, 100%, $E$13)</f>
        <v>5.2076000000000002</v>
      </c>
      <c r="G236" s="64">
        <f>5.2076 * CHOOSE(CONTROL!$C$22, $C$13, 100%, $E$13)</f>
        <v>5.2076000000000002</v>
      </c>
      <c r="H236" s="64">
        <f>8.444* CHOOSE(CONTROL!$C$22, $C$13, 100%, $E$13)</f>
        <v>8.4440000000000008</v>
      </c>
      <c r="I236" s="64">
        <f>8.4441 * CHOOSE(CONTROL!$C$22, $C$13, 100%, $E$13)</f>
        <v>8.4441000000000006</v>
      </c>
      <c r="J236" s="64">
        <f>5.2076 * CHOOSE(CONTROL!$C$22, $C$13, 100%, $E$13)</f>
        <v>5.2076000000000002</v>
      </c>
      <c r="K236" s="64">
        <f>5.2076 * CHOOSE(CONTROL!$C$22, $C$13, 100%, $E$13)</f>
        <v>5.2076000000000002</v>
      </c>
    </row>
    <row r="237" spans="1:11" ht="15">
      <c r="A237" s="13">
        <v>48700</v>
      </c>
      <c r="B237" s="63">
        <f>4.2682 * CHOOSE(CONTROL!$C$22, $C$13, 100%, $E$13)</f>
        <v>4.2682000000000002</v>
      </c>
      <c r="C237" s="63">
        <f>4.2682 * CHOOSE(CONTROL!$C$22, $C$13, 100%, $E$13)</f>
        <v>4.2682000000000002</v>
      </c>
      <c r="D237" s="63">
        <f>4.2812 * CHOOSE(CONTROL!$C$22, $C$13, 100%, $E$13)</f>
        <v>4.2812000000000001</v>
      </c>
      <c r="E237" s="64">
        <f>5.2335 * CHOOSE(CONTROL!$C$22, $C$13, 100%, $E$13)</f>
        <v>5.2335000000000003</v>
      </c>
      <c r="F237" s="64">
        <f>5.2335 * CHOOSE(CONTROL!$C$22, $C$13, 100%, $E$13)</f>
        <v>5.2335000000000003</v>
      </c>
      <c r="G237" s="64">
        <f>5.2491 * CHOOSE(CONTROL!$C$22, $C$13, 100%, $E$13)</f>
        <v>5.2491000000000003</v>
      </c>
      <c r="H237" s="64">
        <f>8.4616* CHOOSE(CONTROL!$C$22, $C$13, 100%, $E$13)</f>
        <v>8.4616000000000007</v>
      </c>
      <c r="I237" s="64">
        <f>8.4773 * CHOOSE(CONTROL!$C$22, $C$13, 100%, $E$13)</f>
        <v>8.4772999999999996</v>
      </c>
      <c r="J237" s="64">
        <f>5.2335 * CHOOSE(CONTROL!$C$22, $C$13, 100%, $E$13)</f>
        <v>5.2335000000000003</v>
      </c>
      <c r="K237" s="64">
        <f>5.2491 * CHOOSE(CONTROL!$C$22, $C$13, 100%, $E$13)</f>
        <v>5.2491000000000003</v>
      </c>
    </row>
    <row r="238" spans="1:11" ht="15">
      <c r="A238" s="13">
        <v>48731</v>
      </c>
      <c r="B238" s="63">
        <f>4.2743 * CHOOSE(CONTROL!$C$22, $C$13, 100%, $E$13)</f>
        <v>4.2743000000000002</v>
      </c>
      <c r="C238" s="63">
        <f>4.2743 * CHOOSE(CONTROL!$C$22, $C$13, 100%, $E$13)</f>
        <v>4.2743000000000002</v>
      </c>
      <c r="D238" s="63">
        <f>4.2873 * CHOOSE(CONTROL!$C$22, $C$13, 100%, $E$13)</f>
        <v>4.2873000000000001</v>
      </c>
      <c r="E238" s="64">
        <f>5.2118 * CHOOSE(CONTROL!$C$22, $C$13, 100%, $E$13)</f>
        <v>5.2118000000000002</v>
      </c>
      <c r="F238" s="64">
        <f>5.2118 * CHOOSE(CONTROL!$C$22, $C$13, 100%, $E$13)</f>
        <v>5.2118000000000002</v>
      </c>
      <c r="G238" s="64">
        <f>5.2275 * CHOOSE(CONTROL!$C$22, $C$13, 100%, $E$13)</f>
        <v>5.2275</v>
      </c>
      <c r="H238" s="64">
        <f>8.4792* CHOOSE(CONTROL!$C$22, $C$13, 100%, $E$13)</f>
        <v>8.4792000000000005</v>
      </c>
      <c r="I238" s="64">
        <f>8.4949 * CHOOSE(CONTROL!$C$22, $C$13, 100%, $E$13)</f>
        <v>8.4948999999999995</v>
      </c>
      <c r="J238" s="64">
        <f>5.2118 * CHOOSE(CONTROL!$C$22, $C$13, 100%, $E$13)</f>
        <v>5.2118000000000002</v>
      </c>
      <c r="K238" s="64">
        <f>5.2275 * CHOOSE(CONTROL!$C$22, $C$13, 100%, $E$13)</f>
        <v>5.2275</v>
      </c>
    </row>
    <row r="239" spans="1:11" ht="15">
      <c r="A239" s="13">
        <v>48761</v>
      </c>
      <c r="B239" s="63">
        <f>4.3499 * CHOOSE(CONTROL!$C$22, $C$13, 100%, $E$13)</f>
        <v>4.3498999999999999</v>
      </c>
      <c r="C239" s="63">
        <f>4.3499 * CHOOSE(CONTROL!$C$22, $C$13, 100%, $E$13)</f>
        <v>4.3498999999999999</v>
      </c>
      <c r="D239" s="63">
        <f>4.3628 * CHOOSE(CONTROL!$C$22, $C$13, 100%, $E$13)</f>
        <v>4.3628</v>
      </c>
      <c r="E239" s="64">
        <f>5.3292 * CHOOSE(CONTROL!$C$22, $C$13, 100%, $E$13)</f>
        <v>5.3292000000000002</v>
      </c>
      <c r="F239" s="64">
        <f>5.3292 * CHOOSE(CONTROL!$C$22, $C$13, 100%, $E$13)</f>
        <v>5.3292000000000002</v>
      </c>
      <c r="G239" s="64">
        <f>5.3449 * CHOOSE(CONTROL!$C$22, $C$13, 100%, $E$13)</f>
        <v>5.3449</v>
      </c>
      <c r="H239" s="64">
        <f>8.4969* CHOOSE(CONTROL!$C$22, $C$13, 100%, $E$13)</f>
        <v>8.4969000000000001</v>
      </c>
      <c r="I239" s="64">
        <f>8.5126 * CHOOSE(CONTROL!$C$22, $C$13, 100%, $E$13)</f>
        <v>8.5126000000000008</v>
      </c>
      <c r="J239" s="64">
        <f>5.3292 * CHOOSE(CONTROL!$C$22, $C$13, 100%, $E$13)</f>
        <v>5.3292000000000002</v>
      </c>
      <c r="K239" s="64">
        <f>5.3449 * CHOOSE(CONTROL!$C$22, $C$13, 100%, $E$13)</f>
        <v>5.3449</v>
      </c>
    </row>
    <row r="240" spans="1:11" ht="15">
      <c r="A240" s="13">
        <v>48792</v>
      </c>
      <c r="B240" s="63">
        <f>4.3566 * CHOOSE(CONTROL!$C$22, $C$13, 100%, $E$13)</f>
        <v>4.3566000000000003</v>
      </c>
      <c r="C240" s="63">
        <f>4.3566 * CHOOSE(CONTROL!$C$22, $C$13, 100%, $E$13)</f>
        <v>4.3566000000000003</v>
      </c>
      <c r="D240" s="63">
        <f>4.3695 * CHOOSE(CONTROL!$C$22, $C$13, 100%, $E$13)</f>
        <v>4.3695000000000004</v>
      </c>
      <c r="E240" s="64">
        <f>5.2562 * CHOOSE(CONTROL!$C$22, $C$13, 100%, $E$13)</f>
        <v>5.2561999999999998</v>
      </c>
      <c r="F240" s="64">
        <f>5.2562 * CHOOSE(CONTROL!$C$22, $C$13, 100%, $E$13)</f>
        <v>5.2561999999999998</v>
      </c>
      <c r="G240" s="64">
        <f>5.2718 * CHOOSE(CONTROL!$C$22, $C$13, 100%, $E$13)</f>
        <v>5.2717999999999998</v>
      </c>
      <c r="H240" s="64">
        <f>8.5146* CHOOSE(CONTROL!$C$22, $C$13, 100%, $E$13)</f>
        <v>8.5145999999999997</v>
      </c>
      <c r="I240" s="64">
        <f>8.5303 * CHOOSE(CONTROL!$C$22, $C$13, 100%, $E$13)</f>
        <v>8.5303000000000004</v>
      </c>
      <c r="J240" s="64">
        <f>5.2562 * CHOOSE(CONTROL!$C$22, $C$13, 100%, $E$13)</f>
        <v>5.2561999999999998</v>
      </c>
      <c r="K240" s="64">
        <f>5.2718 * CHOOSE(CONTROL!$C$22, $C$13, 100%, $E$13)</f>
        <v>5.2717999999999998</v>
      </c>
    </row>
    <row r="241" spans="1:11" ht="15">
      <c r="A241" s="13">
        <v>48823</v>
      </c>
      <c r="B241" s="63">
        <f>4.3535 * CHOOSE(CONTROL!$C$22, $C$13, 100%, $E$13)</f>
        <v>4.3535000000000004</v>
      </c>
      <c r="C241" s="63">
        <f>4.3535 * CHOOSE(CONTROL!$C$22, $C$13, 100%, $E$13)</f>
        <v>4.3535000000000004</v>
      </c>
      <c r="D241" s="63">
        <f>4.3665 * CHOOSE(CONTROL!$C$22, $C$13, 100%, $E$13)</f>
        <v>4.3665000000000003</v>
      </c>
      <c r="E241" s="64">
        <f>5.2454 * CHOOSE(CONTROL!$C$22, $C$13, 100%, $E$13)</f>
        <v>5.2454000000000001</v>
      </c>
      <c r="F241" s="64">
        <f>5.2454 * CHOOSE(CONTROL!$C$22, $C$13, 100%, $E$13)</f>
        <v>5.2454000000000001</v>
      </c>
      <c r="G241" s="64">
        <f>5.2611 * CHOOSE(CONTROL!$C$22, $C$13, 100%, $E$13)</f>
        <v>5.2610999999999999</v>
      </c>
      <c r="H241" s="64">
        <f>8.5323* CHOOSE(CONTROL!$C$22, $C$13, 100%, $E$13)</f>
        <v>8.5322999999999993</v>
      </c>
      <c r="I241" s="64">
        <f>8.548 * CHOOSE(CONTROL!$C$22, $C$13, 100%, $E$13)</f>
        <v>8.548</v>
      </c>
      <c r="J241" s="64">
        <f>5.2454 * CHOOSE(CONTROL!$C$22, $C$13, 100%, $E$13)</f>
        <v>5.2454000000000001</v>
      </c>
      <c r="K241" s="64">
        <f>5.2611 * CHOOSE(CONTROL!$C$22, $C$13, 100%, $E$13)</f>
        <v>5.2610999999999999</v>
      </c>
    </row>
    <row r="242" spans="1:11" ht="15">
      <c r="A242" s="13">
        <v>48853</v>
      </c>
      <c r="B242" s="63">
        <f>4.3497 * CHOOSE(CONTROL!$C$22, $C$13, 100%, $E$13)</f>
        <v>4.3497000000000003</v>
      </c>
      <c r="C242" s="63">
        <f>4.3497 * CHOOSE(CONTROL!$C$22, $C$13, 100%, $E$13)</f>
        <v>4.3497000000000003</v>
      </c>
      <c r="D242" s="63">
        <f>4.3498 * CHOOSE(CONTROL!$C$22, $C$13, 100%, $E$13)</f>
        <v>4.3498000000000001</v>
      </c>
      <c r="E242" s="64">
        <f>5.2665 * CHOOSE(CONTROL!$C$22, $C$13, 100%, $E$13)</f>
        <v>5.2664999999999997</v>
      </c>
      <c r="F242" s="64">
        <f>5.2665 * CHOOSE(CONTROL!$C$22, $C$13, 100%, $E$13)</f>
        <v>5.2664999999999997</v>
      </c>
      <c r="G242" s="64">
        <f>5.2666 * CHOOSE(CONTROL!$C$22, $C$13, 100%, $E$13)</f>
        <v>5.2666000000000004</v>
      </c>
      <c r="H242" s="64">
        <f>8.5501* CHOOSE(CONTROL!$C$22, $C$13, 100%, $E$13)</f>
        <v>8.5501000000000005</v>
      </c>
      <c r="I242" s="64">
        <f>8.5502 * CHOOSE(CONTROL!$C$22, $C$13, 100%, $E$13)</f>
        <v>8.5502000000000002</v>
      </c>
      <c r="J242" s="64">
        <f>5.2665 * CHOOSE(CONTROL!$C$22, $C$13, 100%, $E$13)</f>
        <v>5.2664999999999997</v>
      </c>
      <c r="K242" s="64">
        <f>5.2666 * CHOOSE(CONTROL!$C$22, $C$13, 100%, $E$13)</f>
        <v>5.2666000000000004</v>
      </c>
    </row>
    <row r="243" spans="1:11" ht="15">
      <c r="A243" s="13">
        <v>48884</v>
      </c>
      <c r="B243" s="63">
        <f>4.3528 * CHOOSE(CONTROL!$C$22, $C$13, 100%, $E$13)</f>
        <v>4.3528000000000002</v>
      </c>
      <c r="C243" s="63">
        <f>4.3528 * CHOOSE(CONTROL!$C$22, $C$13, 100%, $E$13)</f>
        <v>4.3528000000000002</v>
      </c>
      <c r="D243" s="63">
        <f>4.3528 * CHOOSE(CONTROL!$C$22, $C$13, 100%, $E$13)</f>
        <v>4.3528000000000002</v>
      </c>
      <c r="E243" s="64">
        <f>5.2859 * CHOOSE(CONTROL!$C$22, $C$13, 100%, $E$13)</f>
        <v>5.2858999999999998</v>
      </c>
      <c r="F243" s="64">
        <f>5.2859 * CHOOSE(CONTROL!$C$22, $C$13, 100%, $E$13)</f>
        <v>5.2858999999999998</v>
      </c>
      <c r="G243" s="64">
        <f>5.286 * CHOOSE(CONTROL!$C$22, $C$13, 100%, $E$13)</f>
        <v>5.2859999999999996</v>
      </c>
      <c r="H243" s="64">
        <f>8.5679* CHOOSE(CONTROL!$C$22, $C$13, 100%, $E$13)</f>
        <v>8.5678999999999998</v>
      </c>
      <c r="I243" s="64">
        <f>8.568 * CHOOSE(CONTROL!$C$22, $C$13, 100%, $E$13)</f>
        <v>8.5679999999999996</v>
      </c>
      <c r="J243" s="64">
        <f>5.2859 * CHOOSE(CONTROL!$C$22, $C$13, 100%, $E$13)</f>
        <v>5.2858999999999998</v>
      </c>
      <c r="K243" s="64">
        <f>5.286 * CHOOSE(CONTROL!$C$22, $C$13, 100%, $E$13)</f>
        <v>5.2859999999999996</v>
      </c>
    </row>
    <row r="244" spans="1:11" ht="15">
      <c r="A244" s="13">
        <v>48914</v>
      </c>
      <c r="B244" s="63">
        <f>4.3528 * CHOOSE(CONTROL!$C$22, $C$13, 100%, $E$13)</f>
        <v>4.3528000000000002</v>
      </c>
      <c r="C244" s="63">
        <f>4.3528 * CHOOSE(CONTROL!$C$22, $C$13, 100%, $E$13)</f>
        <v>4.3528000000000002</v>
      </c>
      <c r="D244" s="63">
        <f>4.3528 * CHOOSE(CONTROL!$C$22, $C$13, 100%, $E$13)</f>
        <v>4.3528000000000002</v>
      </c>
      <c r="E244" s="64">
        <f>5.2427 * CHOOSE(CONTROL!$C$22, $C$13, 100%, $E$13)</f>
        <v>5.2427000000000001</v>
      </c>
      <c r="F244" s="64">
        <f>5.2427 * CHOOSE(CONTROL!$C$22, $C$13, 100%, $E$13)</f>
        <v>5.2427000000000001</v>
      </c>
      <c r="G244" s="64">
        <f>5.2428 * CHOOSE(CONTROL!$C$22, $C$13, 100%, $E$13)</f>
        <v>5.2427999999999999</v>
      </c>
      <c r="H244" s="64">
        <f>8.5858* CHOOSE(CONTROL!$C$22, $C$13, 100%, $E$13)</f>
        <v>8.5858000000000008</v>
      </c>
      <c r="I244" s="64">
        <f>8.5858 * CHOOSE(CONTROL!$C$22, $C$13, 100%, $E$13)</f>
        <v>8.5858000000000008</v>
      </c>
      <c r="J244" s="64">
        <f>5.2427 * CHOOSE(CONTROL!$C$22, $C$13, 100%, $E$13)</f>
        <v>5.2427000000000001</v>
      </c>
      <c r="K244" s="64">
        <f>5.2428 * CHOOSE(CONTROL!$C$22, $C$13, 100%, $E$13)</f>
        <v>5.2427999999999999</v>
      </c>
    </row>
    <row r="245" spans="1:11" ht="15">
      <c r="A245" s="13">
        <v>48945</v>
      </c>
      <c r="B245" s="63">
        <f>4.3942 * CHOOSE(CONTROL!$C$22, $C$13, 100%, $E$13)</f>
        <v>4.3941999999999997</v>
      </c>
      <c r="C245" s="63">
        <f>4.3942 * CHOOSE(CONTROL!$C$22, $C$13, 100%, $E$13)</f>
        <v>4.3941999999999997</v>
      </c>
      <c r="D245" s="63">
        <f>4.3942 * CHOOSE(CONTROL!$C$22, $C$13, 100%, $E$13)</f>
        <v>4.3941999999999997</v>
      </c>
      <c r="E245" s="64">
        <f>5.3259 * CHOOSE(CONTROL!$C$22, $C$13, 100%, $E$13)</f>
        <v>5.3258999999999999</v>
      </c>
      <c r="F245" s="64">
        <f>5.3259 * CHOOSE(CONTROL!$C$22, $C$13, 100%, $E$13)</f>
        <v>5.3258999999999999</v>
      </c>
      <c r="G245" s="64">
        <f>5.326 * CHOOSE(CONTROL!$C$22, $C$13, 100%, $E$13)</f>
        <v>5.3259999999999996</v>
      </c>
      <c r="H245" s="64">
        <f>8.6037* CHOOSE(CONTROL!$C$22, $C$13, 100%, $E$13)</f>
        <v>8.6036999999999999</v>
      </c>
      <c r="I245" s="64">
        <f>8.6037 * CHOOSE(CONTROL!$C$22, $C$13, 100%, $E$13)</f>
        <v>8.6036999999999999</v>
      </c>
      <c r="J245" s="64">
        <f>5.3259 * CHOOSE(CONTROL!$C$22, $C$13, 100%, $E$13)</f>
        <v>5.3258999999999999</v>
      </c>
      <c r="K245" s="64">
        <f>5.326 * CHOOSE(CONTROL!$C$22, $C$13, 100%, $E$13)</f>
        <v>5.3259999999999996</v>
      </c>
    </row>
    <row r="246" spans="1:11" ht="15">
      <c r="A246" s="13">
        <v>48976</v>
      </c>
      <c r="B246" s="63">
        <f>4.3911 * CHOOSE(CONTROL!$C$22, $C$13, 100%, $E$13)</f>
        <v>4.3910999999999998</v>
      </c>
      <c r="C246" s="63">
        <f>4.3911 * CHOOSE(CONTROL!$C$22, $C$13, 100%, $E$13)</f>
        <v>4.3910999999999998</v>
      </c>
      <c r="D246" s="63">
        <f>4.3911 * CHOOSE(CONTROL!$C$22, $C$13, 100%, $E$13)</f>
        <v>4.3910999999999998</v>
      </c>
      <c r="E246" s="64">
        <f>5.24 * CHOOSE(CONTROL!$C$22, $C$13, 100%, $E$13)</f>
        <v>5.24</v>
      </c>
      <c r="F246" s="64">
        <f>5.24 * CHOOSE(CONTROL!$C$22, $C$13, 100%, $E$13)</f>
        <v>5.24</v>
      </c>
      <c r="G246" s="64">
        <f>5.2401 * CHOOSE(CONTROL!$C$22, $C$13, 100%, $E$13)</f>
        <v>5.2401</v>
      </c>
      <c r="H246" s="64">
        <f>8.6216* CHOOSE(CONTROL!$C$22, $C$13, 100%, $E$13)</f>
        <v>8.6216000000000008</v>
      </c>
      <c r="I246" s="64">
        <f>8.6217 * CHOOSE(CONTROL!$C$22, $C$13, 100%, $E$13)</f>
        <v>8.6217000000000006</v>
      </c>
      <c r="J246" s="64">
        <f>5.24 * CHOOSE(CONTROL!$C$22, $C$13, 100%, $E$13)</f>
        <v>5.24</v>
      </c>
      <c r="K246" s="64">
        <f>5.2401 * CHOOSE(CONTROL!$C$22, $C$13, 100%, $E$13)</f>
        <v>5.2401</v>
      </c>
    </row>
    <row r="247" spans="1:11" ht="15">
      <c r="A247" s="13">
        <v>49004</v>
      </c>
      <c r="B247" s="63">
        <f>4.3881 * CHOOSE(CONTROL!$C$22, $C$13, 100%, $E$13)</f>
        <v>4.3880999999999997</v>
      </c>
      <c r="C247" s="63">
        <f>4.3881 * CHOOSE(CONTROL!$C$22, $C$13, 100%, $E$13)</f>
        <v>4.3880999999999997</v>
      </c>
      <c r="D247" s="63">
        <f>4.3881 * CHOOSE(CONTROL!$C$22, $C$13, 100%, $E$13)</f>
        <v>4.3880999999999997</v>
      </c>
      <c r="E247" s="64">
        <f>5.304 * CHOOSE(CONTROL!$C$22, $C$13, 100%, $E$13)</f>
        <v>5.3040000000000003</v>
      </c>
      <c r="F247" s="64">
        <f>5.304 * CHOOSE(CONTROL!$C$22, $C$13, 100%, $E$13)</f>
        <v>5.3040000000000003</v>
      </c>
      <c r="G247" s="64">
        <f>5.304 * CHOOSE(CONTROL!$C$22, $C$13, 100%, $E$13)</f>
        <v>5.3040000000000003</v>
      </c>
      <c r="H247" s="64">
        <f>8.6395* CHOOSE(CONTROL!$C$22, $C$13, 100%, $E$13)</f>
        <v>8.6395</v>
      </c>
      <c r="I247" s="64">
        <f>8.6396 * CHOOSE(CONTROL!$C$22, $C$13, 100%, $E$13)</f>
        <v>8.6395999999999997</v>
      </c>
      <c r="J247" s="64">
        <f>5.304 * CHOOSE(CONTROL!$C$22, $C$13, 100%, $E$13)</f>
        <v>5.3040000000000003</v>
      </c>
      <c r="K247" s="64">
        <f>5.304 * CHOOSE(CONTROL!$C$22, $C$13, 100%, $E$13)</f>
        <v>5.3040000000000003</v>
      </c>
    </row>
    <row r="248" spans="1:11" ht="15">
      <c r="A248" s="13">
        <v>49035</v>
      </c>
      <c r="B248" s="63">
        <f>4.3861 * CHOOSE(CONTROL!$C$22, $C$13, 100%, $E$13)</f>
        <v>4.3860999999999999</v>
      </c>
      <c r="C248" s="63">
        <f>4.3861 * CHOOSE(CONTROL!$C$22, $C$13, 100%, $E$13)</f>
        <v>4.3860999999999999</v>
      </c>
      <c r="D248" s="63">
        <f>4.3861 * CHOOSE(CONTROL!$C$22, $C$13, 100%, $E$13)</f>
        <v>4.3860999999999999</v>
      </c>
      <c r="E248" s="64">
        <f>5.3707 * CHOOSE(CONTROL!$C$22, $C$13, 100%, $E$13)</f>
        <v>5.3707000000000003</v>
      </c>
      <c r="F248" s="64">
        <f>5.3707 * CHOOSE(CONTROL!$C$22, $C$13, 100%, $E$13)</f>
        <v>5.3707000000000003</v>
      </c>
      <c r="G248" s="64">
        <f>5.3707 * CHOOSE(CONTROL!$C$22, $C$13, 100%, $E$13)</f>
        <v>5.3707000000000003</v>
      </c>
      <c r="H248" s="64">
        <f>8.6575* CHOOSE(CONTROL!$C$22, $C$13, 100%, $E$13)</f>
        <v>8.6575000000000006</v>
      </c>
      <c r="I248" s="64">
        <f>8.6576 * CHOOSE(CONTROL!$C$22, $C$13, 100%, $E$13)</f>
        <v>8.6576000000000004</v>
      </c>
      <c r="J248" s="64">
        <f>5.3707 * CHOOSE(CONTROL!$C$22, $C$13, 100%, $E$13)</f>
        <v>5.3707000000000003</v>
      </c>
      <c r="K248" s="64">
        <f>5.3707 * CHOOSE(CONTROL!$C$22, $C$13, 100%, $E$13)</f>
        <v>5.3707000000000003</v>
      </c>
    </row>
    <row r="249" spans="1:11" ht="15">
      <c r="A249" s="13">
        <v>49065</v>
      </c>
      <c r="B249" s="63">
        <f>4.3861 * CHOOSE(CONTROL!$C$22, $C$13, 100%, $E$13)</f>
        <v>4.3860999999999999</v>
      </c>
      <c r="C249" s="63">
        <f>4.3861 * CHOOSE(CONTROL!$C$22, $C$13, 100%, $E$13)</f>
        <v>4.3860999999999999</v>
      </c>
      <c r="D249" s="63">
        <f>4.399 * CHOOSE(CONTROL!$C$22, $C$13, 100%, $E$13)</f>
        <v>4.399</v>
      </c>
      <c r="E249" s="64">
        <f>5.3973 * CHOOSE(CONTROL!$C$22, $C$13, 100%, $E$13)</f>
        <v>5.3973000000000004</v>
      </c>
      <c r="F249" s="64">
        <f>5.3973 * CHOOSE(CONTROL!$C$22, $C$13, 100%, $E$13)</f>
        <v>5.3973000000000004</v>
      </c>
      <c r="G249" s="64">
        <f>5.4129 * CHOOSE(CONTROL!$C$22, $C$13, 100%, $E$13)</f>
        <v>5.4128999999999996</v>
      </c>
      <c r="H249" s="64">
        <f>8.6756* CHOOSE(CONTROL!$C$22, $C$13, 100%, $E$13)</f>
        <v>8.6755999999999993</v>
      </c>
      <c r="I249" s="64">
        <f>8.6913 * CHOOSE(CONTROL!$C$22, $C$13, 100%, $E$13)</f>
        <v>8.6913</v>
      </c>
      <c r="J249" s="64">
        <f>5.3973 * CHOOSE(CONTROL!$C$22, $C$13, 100%, $E$13)</f>
        <v>5.3973000000000004</v>
      </c>
      <c r="K249" s="64">
        <f>5.4129 * CHOOSE(CONTROL!$C$22, $C$13, 100%, $E$13)</f>
        <v>5.4128999999999996</v>
      </c>
    </row>
    <row r="250" spans="1:11" ht="15">
      <c r="A250" s="13">
        <v>49096</v>
      </c>
      <c r="B250" s="63">
        <f>4.3921 * CHOOSE(CONTROL!$C$22, $C$13, 100%, $E$13)</f>
        <v>4.3921000000000001</v>
      </c>
      <c r="C250" s="63">
        <f>4.3921 * CHOOSE(CONTROL!$C$22, $C$13, 100%, $E$13)</f>
        <v>4.3921000000000001</v>
      </c>
      <c r="D250" s="63">
        <f>4.4051 * CHOOSE(CONTROL!$C$22, $C$13, 100%, $E$13)</f>
        <v>4.4051</v>
      </c>
      <c r="E250" s="64">
        <f>5.3749 * CHOOSE(CONTROL!$C$22, $C$13, 100%, $E$13)</f>
        <v>5.3749000000000002</v>
      </c>
      <c r="F250" s="64">
        <f>5.3749 * CHOOSE(CONTROL!$C$22, $C$13, 100%, $E$13)</f>
        <v>5.3749000000000002</v>
      </c>
      <c r="G250" s="64">
        <f>5.3906 * CHOOSE(CONTROL!$C$22, $C$13, 100%, $E$13)</f>
        <v>5.3906000000000001</v>
      </c>
      <c r="H250" s="64">
        <f>8.6937* CHOOSE(CONTROL!$C$22, $C$13, 100%, $E$13)</f>
        <v>8.6936999999999998</v>
      </c>
      <c r="I250" s="64">
        <f>8.7093 * CHOOSE(CONTROL!$C$22, $C$13, 100%, $E$13)</f>
        <v>8.7093000000000007</v>
      </c>
      <c r="J250" s="64">
        <f>5.3749 * CHOOSE(CONTROL!$C$22, $C$13, 100%, $E$13)</f>
        <v>5.3749000000000002</v>
      </c>
      <c r="K250" s="64">
        <f>5.3906 * CHOOSE(CONTROL!$C$22, $C$13, 100%, $E$13)</f>
        <v>5.3906000000000001</v>
      </c>
    </row>
    <row r="251" spans="1:11" ht="15">
      <c r="A251" s="13">
        <v>49126</v>
      </c>
      <c r="B251" s="63">
        <f>4.4705 * CHOOSE(CONTROL!$C$22, $C$13, 100%, $E$13)</f>
        <v>4.4705000000000004</v>
      </c>
      <c r="C251" s="63">
        <f>4.4705 * CHOOSE(CONTROL!$C$22, $C$13, 100%, $E$13)</f>
        <v>4.4705000000000004</v>
      </c>
      <c r="D251" s="63">
        <f>4.4834 * CHOOSE(CONTROL!$C$22, $C$13, 100%, $E$13)</f>
        <v>4.4833999999999996</v>
      </c>
      <c r="E251" s="64">
        <f>5.4902 * CHOOSE(CONTROL!$C$22, $C$13, 100%, $E$13)</f>
        <v>5.4901999999999997</v>
      </c>
      <c r="F251" s="64">
        <f>5.4902 * CHOOSE(CONTROL!$C$22, $C$13, 100%, $E$13)</f>
        <v>5.4901999999999997</v>
      </c>
      <c r="G251" s="64">
        <f>5.5059 * CHOOSE(CONTROL!$C$22, $C$13, 100%, $E$13)</f>
        <v>5.5058999999999996</v>
      </c>
      <c r="H251" s="64">
        <f>8.7118* CHOOSE(CONTROL!$C$22, $C$13, 100%, $E$13)</f>
        <v>8.7118000000000002</v>
      </c>
      <c r="I251" s="64">
        <f>8.7274 * CHOOSE(CONTROL!$C$22, $C$13, 100%, $E$13)</f>
        <v>8.7273999999999994</v>
      </c>
      <c r="J251" s="64">
        <f>5.4902 * CHOOSE(CONTROL!$C$22, $C$13, 100%, $E$13)</f>
        <v>5.4901999999999997</v>
      </c>
      <c r="K251" s="64">
        <f>5.5059 * CHOOSE(CONTROL!$C$22, $C$13, 100%, $E$13)</f>
        <v>5.5058999999999996</v>
      </c>
    </row>
    <row r="252" spans="1:11" ht="15">
      <c r="A252" s="13">
        <v>49157</v>
      </c>
      <c r="B252" s="63">
        <f>4.4771 * CHOOSE(CONTROL!$C$22, $C$13, 100%, $E$13)</f>
        <v>4.4771000000000001</v>
      </c>
      <c r="C252" s="63">
        <f>4.4771 * CHOOSE(CONTROL!$C$22, $C$13, 100%, $E$13)</f>
        <v>4.4771000000000001</v>
      </c>
      <c r="D252" s="63">
        <f>4.4901 * CHOOSE(CONTROL!$C$22, $C$13, 100%, $E$13)</f>
        <v>4.4901</v>
      </c>
      <c r="E252" s="64">
        <f>5.4151 * CHOOSE(CONTROL!$C$22, $C$13, 100%, $E$13)</f>
        <v>5.4150999999999998</v>
      </c>
      <c r="F252" s="64">
        <f>5.4151 * CHOOSE(CONTROL!$C$22, $C$13, 100%, $E$13)</f>
        <v>5.4150999999999998</v>
      </c>
      <c r="G252" s="64">
        <f>5.4307 * CHOOSE(CONTROL!$C$22, $C$13, 100%, $E$13)</f>
        <v>5.4306999999999999</v>
      </c>
      <c r="H252" s="64">
        <f>8.7299* CHOOSE(CONTROL!$C$22, $C$13, 100%, $E$13)</f>
        <v>8.7299000000000007</v>
      </c>
      <c r="I252" s="64">
        <f>8.7456 * CHOOSE(CONTROL!$C$22, $C$13, 100%, $E$13)</f>
        <v>8.7455999999999996</v>
      </c>
      <c r="J252" s="64">
        <f>5.4151 * CHOOSE(CONTROL!$C$22, $C$13, 100%, $E$13)</f>
        <v>5.4150999999999998</v>
      </c>
      <c r="K252" s="64">
        <f>5.4307 * CHOOSE(CONTROL!$C$22, $C$13, 100%, $E$13)</f>
        <v>5.4306999999999999</v>
      </c>
    </row>
    <row r="253" spans="1:11" ht="15">
      <c r="A253" s="13">
        <v>49188</v>
      </c>
      <c r="B253" s="63">
        <f>4.4741 * CHOOSE(CONTROL!$C$22, $C$13, 100%, $E$13)</f>
        <v>4.4741</v>
      </c>
      <c r="C253" s="63">
        <f>4.4741 * CHOOSE(CONTROL!$C$22, $C$13, 100%, $E$13)</f>
        <v>4.4741</v>
      </c>
      <c r="D253" s="63">
        <f>4.4871 * CHOOSE(CONTROL!$C$22, $C$13, 100%, $E$13)</f>
        <v>4.4870999999999999</v>
      </c>
      <c r="E253" s="64">
        <f>5.4041 * CHOOSE(CONTROL!$C$22, $C$13, 100%, $E$13)</f>
        <v>5.4040999999999997</v>
      </c>
      <c r="F253" s="64">
        <f>5.4041 * CHOOSE(CONTROL!$C$22, $C$13, 100%, $E$13)</f>
        <v>5.4040999999999997</v>
      </c>
      <c r="G253" s="64">
        <f>5.4198 * CHOOSE(CONTROL!$C$22, $C$13, 100%, $E$13)</f>
        <v>5.4198000000000004</v>
      </c>
      <c r="H253" s="64">
        <f>8.7481* CHOOSE(CONTROL!$C$22, $C$13, 100%, $E$13)</f>
        <v>8.7481000000000009</v>
      </c>
      <c r="I253" s="64">
        <f>8.7638 * CHOOSE(CONTROL!$C$22, $C$13, 100%, $E$13)</f>
        <v>8.7637999999999998</v>
      </c>
      <c r="J253" s="64">
        <f>5.4041 * CHOOSE(CONTROL!$C$22, $C$13, 100%, $E$13)</f>
        <v>5.4040999999999997</v>
      </c>
      <c r="K253" s="64">
        <f>5.4198 * CHOOSE(CONTROL!$C$22, $C$13, 100%, $E$13)</f>
        <v>5.4198000000000004</v>
      </c>
    </row>
    <row r="254" spans="1:11" ht="15">
      <c r="A254" s="13">
        <v>49218</v>
      </c>
      <c r="B254" s="63">
        <f>4.4707 * CHOOSE(CONTROL!$C$22, $C$13, 100%, $E$13)</f>
        <v>4.4706999999999999</v>
      </c>
      <c r="C254" s="63">
        <f>4.4707 * CHOOSE(CONTROL!$C$22, $C$13, 100%, $E$13)</f>
        <v>4.4706999999999999</v>
      </c>
      <c r="D254" s="63">
        <f>4.4707 * CHOOSE(CONTROL!$C$22, $C$13, 100%, $E$13)</f>
        <v>4.4706999999999999</v>
      </c>
      <c r="E254" s="64">
        <f>5.4261 * CHOOSE(CONTROL!$C$22, $C$13, 100%, $E$13)</f>
        <v>5.4260999999999999</v>
      </c>
      <c r="F254" s="64">
        <f>5.4261 * CHOOSE(CONTROL!$C$22, $C$13, 100%, $E$13)</f>
        <v>5.4260999999999999</v>
      </c>
      <c r="G254" s="64">
        <f>5.4262 * CHOOSE(CONTROL!$C$22, $C$13, 100%, $E$13)</f>
        <v>5.4261999999999997</v>
      </c>
      <c r="H254" s="64">
        <f>8.7663* CHOOSE(CONTROL!$C$22, $C$13, 100%, $E$13)</f>
        <v>8.7662999999999993</v>
      </c>
      <c r="I254" s="64">
        <f>8.7664 * CHOOSE(CONTROL!$C$22, $C$13, 100%, $E$13)</f>
        <v>8.7664000000000009</v>
      </c>
      <c r="J254" s="64">
        <f>5.4261 * CHOOSE(CONTROL!$C$22, $C$13, 100%, $E$13)</f>
        <v>5.4260999999999999</v>
      </c>
      <c r="K254" s="64">
        <f>5.4262 * CHOOSE(CONTROL!$C$22, $C$13, 100%, $E$13)</f>
        <v>5.4261999999999997</v>
      </c>
    </row>
    <row r="255" spans="1:11" ht="15">
      <c r="A255" s="13">
        <v>49249</v>
      </c>
      <c r="B255" s="63">
        <f>4.4738 * CHOOSE(CONTROL!$C$22, $C$13, 100%, $E$13)</f>
        <v>4.4737999999999998</v>
      </c>
      <c r="C255" s="63">
        <f>4.4738 * CHOOSE(CONTROL!$C$22, $C$13, 100%, $E$13)</f>
        <v>4.4737999999999998</v>
      </c>
      <c r="D255" s="63">
        <f>4.4738 * CHOOSE(CONTROL!$C$22, $C$13, 100%, $E$13)</f>
        <v>4.4737999999999998</v>
      </c>
      <c r="E255" s="64">
        <f>5.446 * CHOOSE(CONTROL!$C$22, $C$13, 100%, $E$13)</f>
        <v>5.4459999999999997</v>
      </c>
      <c r="F255" s="64">
        <f>5.446 * CHOOSE(CONTROL!$C$22, $C$13, 100%, $E$13)</f>
        <v>5.4459999999999997</v>
      </c>
      <c r="G255" s="64">
        <f>5.4461 * CHOOSE(CONTROL!$C$22, $C$13, 100%, $E$13)</f>
        <v>5.4461000000000004</v>
      </c>
      <c r="H255" s="64">
        <f>8.7846* CHOOSE(CONTROL!$C$22, $C$13, 100%, $E$13)</f>
        <v>8.7845999999999993</v>
      </c>
      <c r="I255" s="64">
        <f>8.7847 * CHOOSE(CONTROL!$C$22, $C$13, 100%, $E$13)</f>
        <v>8.7847000000000008</v>
      </c>
      <c r="J255" s="64">
        <f>5.446 * CHOOSE(CONTROL!$C$22, $C$13, 100%, $E$13)</f>
        <v>5.4459999999999997</v>
      </c>
      <c r="K255" s="64">
        <f>5.4461 * CHOOSE(CONTROL!$C$22, $C$13, 100%, $E$13)</f>
        <v>5.4461000000000004</v>
      </c>
    </row>
    <row r="256" spans="1:11" ht="15">
      <c r="A256" s="13">
        <v>49279</v>
      </c>
      <c r="B256" s="63">
        <f>4.4738 * CHOOSE(CONTROL!$C$22, $C$13, 100%, $E$13)</f>
        <v>4.4737999999999998</v>
      </c>
      <c r="C256" s="63">
        <f>4.4738 * CHOOSE(CONTROL!$C$22, $C$13, 100%, $E$13)</f>
        <v>4.4737999999999998</v>
      </c>
      <c r="D256" s="63">
        <f>4.4738 * CHOOSE(CONTROL!$C$22, $C$13, 100%, $E$13)</f>
        <v>4.4737999999999998</v>
      </c>
      <c r="E256" s="64">
        <f>5.4016 * CHOOSE(CONTROL!$C$22, $C$13, 100%, $E$13)</f>
        <v>5.4016000000000002</v>
      </c>
      <c r="F256" s="64">
        <f>5.4016 * CHOOSE(CONTROL!$C$22, $C$13, 100%, $E$13)</f>
        <v>5.4016000000000002</v>
      </c>
      <c r="G256" s="64">
        <f>5.4017 * CHOOSE(CONTROL!$C$22, $C$13, 100%, $E$13)</f>
        <v>5.4016999999999999</v>
      </c>
      <c r="H256" s="64">
        <f>8.8029* CHOOSE(CONTROL!$C$22, $C$13, 100%, $E$13)</f>
        <v>8.8028999999999993</v>
      </c>
      <c r="I256" s="64">
        <f>8.803 * CHOOSE(CONTROL!$C$22, $C$13, 100%, $E$13)</f>
        <v>8.8030000000000008</v>
      </c>
      <c r="J256" s="64">
        <f>5.4016 * CHOOSE(CONTROL!$C$22, $C$13, 100%, $E$13)</f>
        <v>5.4016000000000002</v>
      </c>
      <c r="K256" s="64">
        <f>5.4017 * CHOOSE(CONTROL!$C$22, $C$13, 100%, $E$13)</f>
        <v>5.4016999999999999</v>
      </c>
    </row>
    <row r="257" spans="1:11" ht="15">
      <c r="A257" s="13">
        <v>49310</v>
      </c>
      <c r="B257" s="63">
        <f>4.515 * CHOOSE(CONTROL!$C$22, $C$13, 100%, $E$13)</f>
        <v>4.5149999999999997</v>
      </c>
      <c r="C257" s="63">
        <f>4.515 * CHOOSE(CONTROL!$C$22, $C$13, 100%, $E$13)</f>
        <v>4.5149999999999997</v>
      </c>
      <c r="D257" s="63">
        <f>4.515 * CHOOSE(CONTROL!$C$22, $C$13, 100%, $E$13)</f>
        <v>4.5149999999999997</v>
      </c>
      <c r="E257" s="64">
        <f>5.4889 * CHOOSE(CONTROL!$C$22, $C$13, 100%, $E$13)</f>
        <v>5.4889000000000001</v>
      </c>
      <c r="F257" s="64">
        <f>5.4889 * CHOOSE(CONTROL!$C$22, $C$13, 100%, $E$13)</f>
        <v>5.4889000000000001</v>
      </c>
      <c r="G257" s="64">
        <f>5.4889 * CHOOSE(CONTROL!$C$22, $C$13, 100%, $E$13)</f>
        <v>5.4889000000000001</v>
      </c>
      <c r="H257" s="64">
        <f>8.8212* CHOOSE(CONTROL!$C$22, $C$13, 100%, $E$13)</f>
        <v>8.8211999999999993</v>
      </c>
      <c r="I257" s="64">
        <f>8.8213 * CHOOSE(CONTROL!$C$22, $C$13, 100%, $E$13)</f>
        <v>8.8213000000000008</v>
      </c>
      <c r="J257" s="64">
        <f>5.4889 * CHOOSE(CONTROL!$C$22, $C$13, 100%, $E$13)</f>
        <v>5.4889000000000001</v>
      </c>
      <c r="K257" s="64">
        <f>5.4889 * CHOOSE(CONTROL!$C$22, $C$13, 100%, $E$13)</f>
        <v>5.4889000000000001</v>
      </c>
    </row>
    <row r="258" spans="1:11" ht="15">
      <c r="A258" s="13">
        <v>49341</v>
      </c>
      <c r="B258" s="63">
        <f>4.5119 * CHOOSE(CONTROL!$C$22, $C$13, 100%, $E$13)</f>
        <v>4.5118999999999998</v>
      </c>
      <c r="C258" s="63">
        <f>4.5119 * CHOOSE(CONTROL!$C$22, $C$13, 100%, $E$13)</f>
        <v>4.5118999999999998</v>
      </c>
      <c r="D258" s="63">
        <f>4.5119 * CHOOSE(CONTROL!$C$22, $C$13, 100%, $E$13)</f>
        <v>4.5118999999999998</v>
      </c>
      <c r="E258" s="64">
        <f>5.4007 * CHOOSE(CONTROL!$C$22, $C$13, 100%, $E$13)</f>
        <v>5.4006999999999996</v>
      </c>
      <c r="F258" s="64">
        <f>5.4007 * CHOOSE(CONTROL!$C$22, $C$13, 100%, $E$13)</f>
        <v>5.4006999999999996</v>
      </c>
      <c r="G258" s="64">
        <f>5.4008 * CHOOSE(CONTROL!$C$22, $C$13, 100%, $E$13)</f>
        <v>5.4008000000000003</v>
      </c>
      <c r="H258" s="64">
        <f>8.8396* CHOOSE(CONTROL!$C$22, $C$13, 100%, $E$13)</f>
        <v>8.8396000000000008</v>
      </c>
      <c r="I258" s="64">
        <f>8.8397 * CHOOSE(CONTROL!$C$22, $C$13, 100%, $E$13)</f>
        <v>8.8397000000000006</v>
      </c>
      <c r="J258" s="64">
        <f>5.4007 * CHOOSE(CONTROL!$C$22, $C$13, 100%, $E$13)</f>
        <v>5.4006999999999996</v>
      </c>
      <c r="K258" s="64">
        <f>5.4008 * CHOOSE(CONTROL!$C$22, $C$13, 100%, $E$13)</f>
        <v>5.4008000000000003</v>
      </c>
    </row>
    <row r="259" spans="1:11" ht="15">
      <c r="A259" s="13">
        <v>49369</v>
      </c>
      <c r="B259" s="63">
        <f>4.5089 * CHOOSE(CONTROL!$C$22, $C$13, 100%, $E$13)</f>
        <v>4.5088999999999997</v>
      </c>
      <c r="C259" s="63">
        <f>4.5089 * CHOOSE(CONTROL!$C$22, $C$13, 100%, $E$13)</f>
        <v>4.5088999999999997</v>
      </c>
      <c r="D259" s="63">
        <f>4.5089 * CHOOSE(CONTROL!$C$22, $C$13, 100%, $E$13)</f>
        <v>4.5088999999999997</v>
      </c>
      <c r="E259" s="64">
        <f>5.4664 * CHOOSE(CONTROL!$C$22, $C$13, 100%, $E$13)</f>
        <v>5.4664000000000001</v>
      </c>
      <c r="F259" s="64">
        <f>5.4664 * CHOOSE(CONTROL!$C$22, $C$13, 100%, $E$13)</f>
        <v>5.4664000000000001</v>
      </c>
      <c r="G259" s="64">
        <f>5.4665 * CHOOSE(CONTROL!$C$22, $C$13, 100%, $E$13)</f>
        <v>5.4664999999999999</v>
      </c>
      <c r="H259" s="64">
        <f>8.858* CHOOSE(CONTROL!$C$22, $C$13, 100%, $E$13)</f>
        <v>8.8580000000000005</v>
      </c>
      <c r="I259" s="64">
        <f>8.8581 * CHOOSE(CONTROL!$C$22, $C$13, 100%, $E$13)</f>
        <v>8.8581000000000003</v>
      </c>
      <c r="J259" s="64">
        <f>5.4664 * CHOOSE(CONTROL!$C$22, $C$13, 100%, $E$13)</f>
        <v>5.4664000000000001</v>
      </c>
      <c r="K259" s="64">
        <f>5.4665 * CHOOSE(CONTROL!$C$22, $C$13, 100%, $E$13)</f>
        <v>5.4664999999999999</v>
      </c>
    </row>
    <row r="260" spans="1:11" ht="15">
      <c r="A260" s="13">
        <v>49400</v>
      </c>
      <c r="B260" s="63">
        <f>4.507 * CHOOSE(CONTROL!$C$22, $C$13, 100%, $E$13)</f>
        <v>4.5069999999999997</v>
      </c>
      <c r="C260" s="63">
        <f>4.507 * CHOOSE(CONTROL!$C$22, $C$13, 100%, $E$13)</f>
        <v>4.5069999999999997</v>
      </c>
      <c r="D260" s="63">
        <f>4.507 * CHOOSE(CONTROL!$C$22, $C$13, 100%, $E$13)</f>
        <v>4.5069999999999997</v>
      </c>
      <c r="E260" s="64">
        <f>5.535 * CHOOSE(CONTROL!$C$22, $C$13, 100%, $E$13)</f>
        <v>5.5350000000000001</v>
      </c>
      <c r="F260" s="64">
        <f>5.535 * CHOOSE(CONTROL!$C$22, $C$13, 100%, $E$13)</f>
        <v>5.5350000000000001</v>
      </c>
      <c r="G260" s="64">
        <f>5.5351 * CHOOSE(CONTROL!$C$22, $C$13, 100%, $E$13)</f>
        <v>5.5350999999999999</v>
      </c>
      <c r="H260" s="64">
        <f>8.8765* CHOOSE(CONTROL!$C$22, $C$13, 100%, $E$13)</f>
        <v>8.8765000000000001</v>
      </c>
      <c r="I260" s="64">
        <f>8.8766 * CHOOSE(CONTROL!$C$22, $C$13, 100%, $E$13)</f>
        <v>8.8765999999999998</v>
      </c>
      <c r="J260" s="64">
        <f>5.535 * CHOOSE(CONTROL!$C$22, $C$13, 100%, $E$13)</f>
        <v>5.5350000000000001</v>
      </c>
      <c r="K260" s="64">
        <f>5.5351 * CHOOSE(CONTROL!$C$22, $C$13, 100%, $E$13)</f>
        <v>5.5350999999999999</v>
      </c>
    </row>
    <row r="261" spans="1:11" ht="15">
      <c r="A261" s="13">
        <v>49430</v>
      </c>
      <c r="B261" s="63">
        <f>4.507 * CHOOSE(CONTROL!$C$22, $C$13, 100%, $E$13)</f>
        <v>4.5069999999999997</v>
      </c>
      <c r="C261" s="63">
        <f>4.507 * CHOOSE(CONTROL!$C$22, $C$13, 100%, $E$13)</f>
        <v>4.5069999999999997</v>
      </c>
      <c r="D261" s="63">
        <f>4.52 * CHOOSE(CONTROL!$C$22, $C$13, 100%, $E$13)</f>
        <v>4.5199999999999996</v>
      </c>
      <c r="E261" s="64">
        <f>5.5623 * CHOOSE(CONTROL!$C$22, $C$13, 100%, $E$13)</f>
        <v>5.5622999999999996</v>
      </c>
      <c r="F261" s="64">
        <f>5.5623 * CHOOSE(CONTROL!$C$22, $C$13, 100%, $E$13)</f>
        <v>5.5622999999999996</v>
      </c>
      <c r="G261" s="64">
        <f>5.578 * CHOOSE(CONTROL!$C$22, $C$13, 100%, $E$13)</f>
        <v>5.5780000000000003</v>
      </c>
      <c r="H261" s="64">
        <f>8.895* CHOOSE(CONTROL!$C$22, $C$13, 100%, $E$13)</f>
        <v>8.8949999999999996</v>
      </c>
      <c r="I261" s="64">
        <f>8.9106 * CHOOSE(CONTROL!$C$22, $C$13, 100%, $E$13)</f>
        <v>8.9106000000000005</v>
      </c>
      <c r="J261" s="64">
        <f>5.5623 * CHOOSE(CONTROL!$C$22, $C$13, 100%, $E$13)</f>
        <v>5.5622999999999996</v>
      </c>
      <c r="K261" s="64">
        <f>5.578 * CHOOSE(CONTROL!$C$22, $C$13, 100%, $E$13)</f>
        <v>5.5780000000000003</v>
      </c>
    </row>
    <row r="262" spans="1:11" ht="15">
      <c r="A262" s="13">
        <v>49461</v>
      </c>
      <c r="B262" s="63">
        <f>4.5131 * CHOOSE(CONTROL!$C$22, $C$13, 100%, $E$13)</f>
        <v>4.5130999999999997</v>
      </c>
      <c r="C262" s="63">
        <f>4.5131 * CHOOSE(CONTROL!$C$22, $C$13, 100%, $E$13)</f>
        <v>4.5130999999999997</v>
      </c>
      <c r="D262" s="63">
        <f>4.526 * CHOOSE(CONTROL!$C$22, $C$13, 100%, $E$13)</f>
        <v>4.5259999999999998</v>
      </c>
      <c r="E262" s="64">
        <f>5.5393 * CHOOSE(CONTROL!$C$22, $C$13, 100%, $E$13)</f>
        <v>5.5392999999999999</v>
      </c>
      <c r="F262" s="64">
        <f>5.5393 * CHOOSE(CONTROL!$C$22, $C$13, 100%, $E$13)</f>
        <v>5.5392999999999999</v>
      </c>
      <c r="G262" s="64">
        <f>5.5549 * CHOOSE(CONTROL!$C$22, $C$13, 100%, $E$13)</f>
        <v>5.5548999999999999</v>
      </c>
      <c r="H262" s="64">
        <f>8.9135* CHOOSE(CONTROL!$C$22, $C$13, 100%, $E$13)</f>
        <v>8.9135000000000009</v>
      </c>
      <c r="I262" s="64">
        <f>8.9292 * CHOOSE(CONTROL!$C$22, $C$13, 100%, $E$13)</f>
        <v>8.9291999999999998</v>
      </c>
      <c r="J262" s="64">
        <f>5.5393 * CHOOSE(CONTROL!$C$22, $C$13, 100%, $E$13)</f>
        <v>5.5392999999999999</v>
      </c>
      <c r="K262" s="64">
        <f>5.5549 * CHOOSE(CONTROL!$C$22, $C$13, 100%, $E$13)</f>
        <v>5.5548999999999999</v>
      </c>
    </row>
    <row r="263" spans="1:11" ht="15">
      <c r="A263" s="13">
        <v>49491</v>
      </c>
      <c r="B263" s="63">
        <f>4.5909 * CHOOSE(CONTROL!$C$22, $C$13, 100%, $E$13)</f>
        <v>4.5909000000000004</v>
      </c>
      <c r="C263" s="63">
        <f>4.5909 * CHOOSE(CONTROL!$C$22, $C$13, 100%, $E$13)</f>
        <v>4.5909000000000004</v>
      </c>
      <c r="D263" s="63">
        <f>4.6038 * CHOOSE(CONTROL!$C$22, $C$13, 100%, $E$13)</f>
        <v>4.6037999999999997</v>
      </c>
      <c r="E263" s="64">
        <f>5.6624 * CHOOSE(CONTROL!$C$22, $C$13, 100%, $E$13)</f>
        <v>5.6623999999999999</v>
      </c>
      <c r="F263" s="64">
        <f>5.6624 * CHOOSE(CONTROL!$C$22, $C$13, 100%, $E$13)</f>
        <v>5.6623999999999999</v>
      </c>
      <c r="G263" s="64">
        <f>5.6781 * CHOOSE(CONTROL!$C$22, $C$13, 100%, $E$13)</f>
        <v>5.6780999999999997</v>
      </c>
      <c r="H263" s="64">
        <f>8.9321* CHOOSE(CONTROL!$C$22, $C$13, 100%, $E$13)</f>
        <v>8.9321000000000002</v>
      </c>
      <c r="I263" s="64">
        <f>8.9477 * CHOOSE(CONTROL!$C$22, $C$13, 100%, $E$13)</f>
        <v>8.9476999999999993</v>
      </c>
      <c r="J263" s="64">
        <f>5.6624 * CHOOSE(CONTROL!$C$22, $C$13, 100%, $E$13)</f>
        <v>5.6623999999999999</v>
      </c>
      <c r="K263" s="64">
        <f>5.6781 * CHOOSE(CONTROL!$C$22, $C$13, 100%, $E$13)</f>
        <v>5.6780999999999997</v>
      </c>
    </row>
    <row r="264" spans="1:11" ht="15">
      <c r="A264" s="13">
        <v>49522</v>
      </c>
      <c r="B264" s="63">
        <f>4.5975 * CHOOSE(CONTROL!$C$22, $C$13, 100%, $E$13)</f>
        <v>4.5975000000000001</v>
      </c>
      <c r="C264" s="63">
        <f>4.5975 * CHOOSE(CONTROL!$C$22, $C$13, 100%, $E$13)</f>
        <v>4.5975000000000001</v>
      </c>
      <c r="D264" s="63">
        <f>4.6105 * CHOOSE(CONTROL!$C$22, $C$13, 100%, $E$13)</f>
        <v>4.6105</v>
      </c>
      <c r="E264" s="64">
        <f>5.5851 * CHOOSE(CONTROL!$C$22, $C$13, 100%, $E$13)</f>
        <v>5.5850999999999997</v>
      </c>
      <c r="F264" s="64">
        <f>5.5851 * CHOOSE(CONTROL!$C$22, $C$13, 100%, $E$13)</f>
        <v>5.5850999999999997</v>
      </c>
      <c r="G264" s="64">
        <f>5.6008 * CHOOSE(CONTROL!$C$22, $C$13, 100%, $E$13)</f>
        <v>5.6007999999999996</v>
      </c>
      <c r="H264" s="64">
        <f>8.9507* CHOOSE(CONTROL!$C$22, $C$13, 100%, $E$13)</f>
        <v>8.9506999999999994</v>
      </c>
      <c r="I264" s="64">
        <f>8.9664 * CHOOSE(CONTROL!$C$22, $C$13, 100%, $E$13)</f>
        <v>8.9664000000000001</v>
      </c>
      <c r="J264" s="64">
        <f>5.5851 * CHOOSE(CONTROL!$C$22, $C$13, 100%, $E$13)</f>
        <v>5.5850999999999997</v>
      </c>
      <c r="K264" s="64">
        <f>5.6008 * CHOOSE(CONTROL!$C$22, $C$13, 100%, $E$13)</f>
        <v>5.6007999999999996</v>
      </c>
    </row>
    <row r="265" spans="1:11" ht="15">
      <c r="A265" s="13">
        <v>49553</v>
      </c>
      <c r="B265" s="63">
        <f>4.5945 * CHOOSE(CONTROL!$C$22, $C$13, 100%, $E$13)</f>
        <v>4.5945</v>
      </c>
      <c r="C265" s="63">
        <f>4.5945 * CHOOSE(CONTROL!$C$22, $C$13, 100%, $E$13)</f>
        <v>4.5945</v>
      </c>
      <c r="D265" s="63">
        <f>4.6075 * CHOOSE(CONTROL!$C$22, $C$13, 100%, $E$13)</f>
        <v>4.6074999999999999</v>
      </c>
      <c r="E265" s="64">
        <f>5.5739 * CHOOSE(CONTROL!$C$22, $C$13, 100%, $E$13)</f>
        <v>5.5739000000000001</v>
      </c>
      <c r="F265" s="64">
        <f>5.5739 * CHOOSE(CONTROL!$C$22, $C$13, 100%, $E$13)</f>
        <v>5.5739000000000001</v>
      </c>
      <c r="G265" s="64">
        <f>5.5895 * CHOOSE(CONTROL!$C$22, $C$13, 100%, $E$13)</f>
        <v>5.5895000000000001</v>
      </c>
      <c r="H265" s="64">
        <f>8.9693* CHOOSE(CONTROL!$C$22, $C$13, 100%, $E$13)</f>
        <v>8.9693000000000005</v>
      </c>
      <c r="I265" s="64">
        <f>8.985 * CHOOSE(CONTROL!$C$22, $C$13, 100%, $E$13)</f>
        <v>8.9849999999999994</v>
      </c>
      <c r="J265" s="64">
        <f>5.5739 * CHOOSE(CONTROL!$C$22, $C$13, 100%, $E$13)</f>
        <v>5.5739000000000001</v>
      </c>
      <c r="K265" s="64">
        <f>5.5895 * CHOOSE(CONTROL!$C$22, $C$13, 100%, $E$13)</f>
        <v>5.5895000000000001</v>
      </c>
    </row>
    <row r="266" spans="1:11" ht="15">
      <c r="A266" s="13">
        <v>49583</v>
      </c>
      <c r="B266" s="63">
        <f>4.5915 * CHOOSE(CONTROL!$C$22, $C$13, 100%, $E$13)</f>
        <v>4.5914999999999999</v>
      </c>
      <c r="C266" s="63">
        <f>4.5915 * CHOOSE(CONTROL!$C$22, $C$13, 100%, $E$13)</f>
        <v>4.5914999999999999</v>
      </c>
      <c r="D266" s="63">
        <f>4.5915 * CHOOSE(CONTROL!$C$22, $C$13, 100%, $E$13)</f>
        <v>4.5914999999999999</v>
      </c>
      <c r="E266" s="64">
        <f>5.5969 * CHOOSE(CONTROL!$C$22, $C$13, 100%, $E$13)</f>
        <v>5.5968999999999998</v>
      </c>
      <c r="F266" s="64">
        <f>5.5969 * CHOOSE(CONTROL!$C$22, $C$13, 100%, $E$13)</f>
        <v>5.5968999999999998</v>
      </c>
      <c r="G266" s="64">
        <f>5.5969 * CHOOSE(CONTROL!$C$22, $C$13, 100%, $E$13)</f>
        <v>5.5968999999999998</v>
      </c>
      <c r="H266" s="64">
        <f>8.988* CHOOSE(CONTROL!$C$22, $C$13, 100%, $E$13)</f>
        <v>8.9879999999999995</v>
      </c>
      <c r="I266" s="64">
        <f>8.9881 * CHOOSE(CONTROL!$C$22, $C$13, 100%, $E$13)</f>
        <v>8.9880999999999993</v>
      </c>
      <c r="J266" s="64">
        <f>5.5969 * CHOOSE(CONTROL!$C$22, $C$13, 100%, $E$13)</f>
        <v>5.5968999999999998</v>
      </c>
      <c r="K266" s="64">
        <f>5.5969 * CHOOSE(CONTROL!$C$22, $C$13, 100%, $E$13)</f>
        <v>5.5968999999999998</v>
      </c>
    </row>
    <row r="267" spans="1:11" ht="15">
      <c r="A267" s="13">
        <v>49614</v>
      </c>
      <c r="B267" s="63">
        <f>4.5946 * CHOOSE(CONTROL!$C$22, $C$13, 100%, $E$13)</f>
        <v>4.5945999999999998</v>
      </c>
      <c r="C267" s="63">
        <f>4.5946 * CHOOSE(CONTROL!$C$22, $C$13, 100%, $E$13)</f>
        <v>4.5945999999999998</v>
      </c>
      <c r="D267" s="63">
        <f>4.5946 * CHOOSE(CONTROL!$C$22, $C$13, 100%, $E$13)</f>
        <v>4.5945999999999998</v>
      </c>
      <c r="E267" s="64">
        <f>5.6172 * CHOOSE(CONTROL!$C$22, $C$13, 100%, $E$13)</f>
        <v>5.6172000000000004</v>
      </c>
      <c r="F267" s="64">
        <f>5.6172 * CHOOSE(CONTROL!$C$22, $C$13, 100%, $E$13)</f>
        <v>5.6172000000000004</v>
      </c>
      <c r="G267" s="64">
        <f>5.6173 * CHOOSE(CONTROL!$C$22, $C$13, 100%, $E$13)</f>
        <v>5.6173000000000002</v>
      </c>
      <c r="H267" s="64">
        <f>9.0067* CHOOSE(CONTROL!$C$22, $C$13, 100%, $E$13)</f>
        <v>9.0067000000000004</v>
      </c>
      <c r="I267" s="64">
        <f>9.0068 * CHOOSE(CONTROL!$C$22, $C$13, 100%, $E$13)</f>
        <v>9.0068000000000001</v>
      </c>
      <c r="J267" s="64">
        <f>5.6172 * CHOOSE(CONTROL!$C$22, $C$13, 100%, $E$13)</f>
        <v>5.6172000000000004</v>
      </c>
      <c r="K267" s="64">
        <f>5.6173 * CHOOSE(CONTROL!$C$22, $C$13, 100%, $E$13)</f>
        <v>5.6173000000000002</v>
      </c>
    </row>
    <row r="268" spans="1:11" ht="15">
      <c r="A268" s="13">
        <v>49644</v>
      </c>
      <c r="B268" s="63">
        <f>4.5946 * CHOOSE(CONTROL!$C$22, $C$13, 100%, $E$13)</f>
        <v>4.5945999999999998</v>
      </c>
      <c r="C268" s="63">
        <f>4.5946 * CHOOSE(CONTROL!$C$22, $C$13, 100%, $E$13)</f>
        <v>4.5945999999999998</v>
      </c>
      <c r="D268" s="63">
        <f>4.5946 * CHOOSE(CONTROL!$C$22, $C$13, 100%, $E$13)</f>
        <v>4.5945999999999998</v>
      </c>
      <c r="E268" s="64">
        <f>5.5717 * CHOOSE(CONTROL!$C$22, $C$13, 100%, $E$13)</f>
        <v>5.5716999999999999</v>
      </c>
      <c r="F268" s="64">
        <f>5.5717 * CHOOSE(CONTROL!$C$22, $C$13, 100%, $E$13)</f>
        <v>5.5716999999999999</v>
      </c>
      <c r="G268" s="64">
        <f>5.5717 * CHOOSE(CONTROL!$C$22, $C$13, 100%, $E$13)</f>
        <v>5.5716999999999999</v>
      </c>
      <c r="H268" s="64">
        <f>9.0255* CHOOSE(CONTROL!$C$22, $C$13, 100%, $E$13)</f>
        <v>9.0254999999999992</v>
      </c>
      <c r="I268" s="64">
        <f>9.0256 * CHOOSE(CONTROL!$C$22, $C$13, 100%, $E$13)</f>
        <v>9.0256000000000007</v>
      </c>
      <c r="J268" s="64">
        <f>5.5717 * CHOOSE(CONTROL!$C$22, $C$13, 100%, $E$13)</f>
        <v>5.5716999999999999</v>
      </c>
      <c r="K268" s="64">
        <f>5.5717 * CHOOSE(CONTROL!$C$22, $C$13, 100%, $E$13)</f>
        <v>5.5716999999999999</v>
      </c>
    </row>
    <row r="269" spans="1:11" ht="15">
      <c r="A269" s="13">
        <v>49675</v>
      </c>
      <c r="B269" s="63">
        <f>4.6362 * CHOOSE(CONTROL!$C$22, $C$13, 100%, $E$13)</f>
        <v>4.6361999999999997</v>
      </c>
      <c r="C269" s="63">
        <f>4.6362 * CHOOSE(CONTROL!$C$22, $C$13, 100%, $E$13)</f>
        <v>4.6361999999999997</v>
      </c>
      <c r="D269" s="63">
        <f>4.6362 * CHOOSE(CONTROL!$C$22, $C$13, 100%, $E$13)</f>
        <v>4.6361999999999997</v>
      </c>
      <c r="E269" s="64">
        <f>5.6558 * CHOOSE(CONTROL!$C$22, $C$13, 100%, $E$13)</f>
        <v>5.6558000000000002</v>
      </c>
      <c r="F269" s="64">
        <f>5.6558 * CHOOSE(CONTROL!$C$22, $C$13, 100%, $E$13)</f>
        <v>5.6558000000000002</v>
      </c>
      <c r="G269" s="64">
        <f>5.6559 * CHOOSE(CONTROL!$C$22, $C$13, 100%, $E$13)</f>
        <v>5.6558999999999999</v>
      </c>
      <c r="H269" s="64">
        <f>9.0443* CHOOSE(CONTROL!$C$22, $C$13, 100%, $E$13)</f>
        <v>9.0442999999999998</v>
      </c>
      <c r="I269" s="64">
        <f>9.0444 * CHOOSE(CONTROL!$C$22, $C$13, 100%, $E$13)</f>
        <v>9.0443999999999996</v>
      </c>
      <c r="J269" s="64">
        <f>5.6558 * CHOOSE(CONTROL!$C$22, $C$13, 100%, $E$13)</f>
        <v>5.6558000000000002</v>
      </c>
      <c r="K269" s="64">
        <f>5.6559 * CHOOSE(CONTROL!$C$22, $C$13, 100%, $E$13)</f>
        <v>5.6558999999999999</v>
      </c>
    </row>
    <row r="270" spans="1:11" ht="15">
      <c r="A270" s="13">
        <v>49706</v>
      </c>
      <c r="B270" s="63">
        <f>4.6332 * CHOOSE(CONTROL!$C$22, $C$13, 100%, $E$13)</f>
        <v>4.6332000000000004</v>
      </c>
      <c r="C270" s="63">
        <f>4.6332 * CHOOSE(CONTROL!$C$22, $C$13, 100%, $E$13)</f>
        <v>4.6332000000000004</v>
      </c>
      <c r="D270" s="63">
        <f>4.6332 * CHOOSE(CONTROL!$C$22, $C$13, 100%, $E$13)</f>
        <v>4.6332000000000004</v>
      </c>
      <c r="E270" s="64">
        <f>5.5653 * CHOOSE(CONTROL!$C$22, $C$13, 100%, $E$13)</f>
        <v>5.5652999999999997</v>
      </c>
      <c r="F270" s="64">
        <f>5.5653 * CHOOSE(CONTROL!$C$22, $C$13, 100%, $E$13)</f>
        <v>5.5652999999999997</v>
      </c>
      <c r="G270" s="64">
        <f>5.5654 * CHOOSE(CONTROL!$C$22, $C$13, 100%, $E$13)</f>
        <v>5.5654000000000003</v>
      </c>
      <c r="H270" s="64">
        <f>9.0631* CHOOSE(CONTROL!$C$22, $C$13, 100%, $E$13)</f>
        <v>9.0631000000000004</v>
      </c>
      <c r="I270" s="64">
        <f>9.0632 * CHOOSE(CONTROL!$C$22, $C$13, 100%, $E$13)</f>
        <v>9.0632000000000001</v>
      </c>
      <c r="J270" s="64">
        <f>5.5653 * CHOOSE(CONTROL!$C$22, $C$13, 100%, $E$13)</f>
        <v>5.5652999999999997</v>
      </c>
      <c r="K270" s="64">
        <f>5.5654 * CHOOSE(CONTROL!$C$22, $C$13, 100%, $E$13)</f>
        <v>5.5654000000000003</v>
      </c>
    </row>
    <row r="271" spans="1:11" ht="15">
      <c r="A271" s="13">
        <v>49735</v>
      </c>
      <c r="B271" s="63">
        <f>4.6301 * CHOOSE(CONTROL!$C$22, $C$13, 100%, $E$13)</f>
        <v>4.6300999999999997</v>
      </c>
      <c r="C271" s="63">
        <f>4.6301 * CHOOSE(CONTROL!$C$22, $C$13, 100%, $E$13)</f>
        <v>4.6300999999999997</v>
      </c>
      <c r="D271" s="63">
        <f>4.6301 * CHOOSE(CONTROL!$C$22, $C$13, 100%, $E$13)</f>
        <v>4.6300999999999997</v>
      </c>
      <c r="E271" s="64">
        <f>5.6329 * CHOOSE(CONTROL!$C$22, $C$13, 100%, $E$13)</f>
        <v>5.6329000000000002</v>
      </c>
      <c r="F271" s="64">
        <f>5.6329 * CHOOSE(CONTROL!$C$22, $C$13, 100%, $E$13)</f>
        <v>5.6329000000000002</v>
      </c>
      <c r="G271" s="64">
        <f>5.633 * CHOOSE(CONTROL!$C$22, $C$13, 100%, $E$13)</f>
        <v>5.633</v>
      </c>
      <c r="H271" s="64">
        <f>9.082* CHOOSE(CONTROL!$C$22, $C$13, 100%, $E$13)</f>
        <v>9.0820000000000007</v>
      </c>
      <c r="I271" s="64">
        <f>9.0821 * CHOOSE(CONTROL!$C$22, $C$13, 100%, $E$13)</f>
        <v>9.0821000000000005</v>
      </c>
      <c r="J271" s="64">
        <f>5.6329 * CHOOSE(CONTROL!$C$22, $C$13, 100%, $E$13)</f>
        <v>5.6329000000000002</v>
      </c>
      <c r="K271" s="64">
        <f>5.633 * CHOOSE(CONTROL!$C$22, $C$13, 100%, $E$13)</f>
        <v>5.633</v>
      </c>
    </row>
    <row r="272" spans="1:11" ht="15">
      <c r="A272" s="13">
        <v>49766</v>
      </c>
      <c r="B272" s="63">
        <f>4.6283 * CHOOSE(CONTROL!$C$22, $C$13, 100%, $E$13)</f>
        <v>4.6283000000000003</v>
      </c>
      <c r="C272" s="63">
        <f>4.6283 * CHOOSE(CONTROL!$C$22, $C$13, 100%, $E$13)</f>
        <v>4.6283000000000003</v>
      </c>
      <c r="D272" s="63">
        <f>4.6283 * CHOOSE(CONTROL!$C$22, $C$13, 100%, $E$13)</f>
        <v>4.6283000000000003</v>
      </c>
      <c r="E272" s="64">
        <f>5.7035 * CHOOSE(CONTROL!$C$22, $C$13, 100%, $E$13)</f>
        <v>5.7035</v>
      </c>
      <c r="F272" s="64">
        <f>5.7035 * CHOOSE(CONTROL!$C$22, $C$13, 100%, $E$13)</f>
        <v>5.7035</v>
      </c>
      <c r="G272" s="64">
        <f>5.7036 * CHOOSE(CONTROL!$C$22, $C$13, 100%, $E$13)</f>
        <v>5.7035999999999998</v>
      </c>
      <c r="H272" s="64">
        <f>9.1009* CHOOSE(CONTROL!$C$22, $C$13, 100%, $E$13)</f>
        <v>9.1008999999999993</v>
      </c>
      <c r="I272" s="64">
        <f>9.101 * CHOOSE(CONTROL!$C$22, $C$13, 100%, $E$13)</f>
        <v>9.1010000000000009</v>
      </c>
      <c r="J272" s="64">
        <f>5.7035 * CHOOSE(CONTROL!$C$22, $C$13, 100%, $E$13)</f>
        <v>5.7035</v>
      </c>
      <c r="K272" s="64">
        <f>5.7036 * CHOOSE(CONTROL!$C$22, $C$13, 100%, $E$13)</f>
        <v>5.7035999999999998</v>
      </c>
    </row>
    <row r="273" spans="1:11" ht="15">
      <c r="A273" s="13">
        <v>49796</v>
      </c>
      <c r="B273" s="63">
        <f>4.6283 * CHOOSE(CONTROL!$C$22, $C$13, 100%, $E$13)</f>
        <v>4.6283000000000003</v>
      </c>
      <c r="C273" s="63">
        <f>4.6283 * CHOOSE(CONTROL!$C$22, $C$13, 100%, $E$13)</f>
        <v>4.6283000000000003</v>
      </c>
      <c r="D273" s="63">
        <f>4.6413 * CHOOSE(CONTROL!$C$22, $C$13, 100%, $E$13)</f>
        <v>4.6413000000000002</v>
      </c>
      <c r="E273" s="64">
        <f>5.7315 * CHOOSE(CONTROL!$C$22, $C$13, 100%, $E$13)</f>
        <v>5.7314999999999996</v>
      </c>
      <c r="F273" s="64">
        <f>5.7315 * CHOOSE(CONTROL!$C$22, $C$13, 100%, $E$13)</f>
        <v>5.7314999999999996</v>
      </c>
      <c r="G273" s="64">
        <f>5.7472 * CHOOSE(CONTROL!$C$22, $C$13, 100%, $E$13)</f>
        <v>5.7472000000000003</v>
      </c>
      <c r="H273" s="64">
        <f>9.1199* CHOOSE(CONTROL!$C$22, $C$13, 100%, $E$13)</f>
        <v>9.1198999999999995</v>
      </c>
      <c r="I273" s="64">
        <f>9.1356 * CHOOSE(CONTROL!$C$22, $C$13, 100%, $E$13)</f>
        <v>9.1356000000000002</v>
      </c>
      <c r="J273" s="64">
        <f>5.7315 * CHOOSE(CONTROL!$C$22, $C$13, 100%, $E$13)</f>
        <v>5.7314999999999996</v>
      </c>
      <c r="K273" s="64">
        <f>5.7472 * CHOOSE(CONTROL!$C$22, $C$13, 100%, $E$13)</f>
        <v>5.7472000000000003</v>
      </c>
    </row>
    <row r="274" spans="1:11" ht="15">
      <c r="A274" s="13">
        <v>49827</v>
      </c>
      <c r="B274" s="63">
        <f>4.6344 * CHOOSE(CONTROL!$C$22, $C$13, 100%, $E$13)</f>
        <v>4.6344000000000003</v>
      </c>
      <c r="C274" s="63">
        <f>4.6344 * CHOOSE(CONTROL!$C$22, $C$13, 100%, $E$13)</f>
        <v>4.6344000000000003</v>
      </c>
      <c r="D274" s="63">
        <f>4.6474 * CHOOSE(CONTROL!$C$22, $C$13, 100%, $E$13)</f>
        <v>4.6474000000000002</v>
      </c>
      <c r="E274" s="64">
        <f>5.7077 * CHOOSE(CONTROL!$C$22, $C$13, 100%, $E$13)</f>
        <v>5.7077</v>
      </c>
      <c r="F274" s="64">
        <f>5.7077 * CHOOSE(CONTROL!$C$22, $C$13, 100%, $E$13)</f>
        <v>5.7077</v>
      </c>
      <c r="G274" s="64">
        <f>5.7234 * CHOOSE(CONTROL!$C$22, $C$13, 100%, $E$13)</f>
        <v>5.7233999999999998</v>
      </c>
      <c r="H274" s="64">
        <f>9.1389* CHOOSE(CONTROL!$C$22, $C$13, 100%, $E$13)</f>
        <v>9.1388999999999996</v>
      </c>
      <c r="I274" s="64">
        <f>9.1546 * CHOOSE(CONTROL!$C$22, $C$13, 100%, $E$13)</f>
        <v>9.1546000000000003</v>
      </c>
      <c r="J274" s="64">
        <f>5.7077 * CHOOSE(CONTROL!$C$22, $C$13, 100%, $E$13)</f>
        <v>5.7077</v>
      </c>
      <c r="K274" s="64">
        <f>5.7234 * CHOOSE(CONTROL!$C$22, $C$13, 100%, $E$13)</f>
        <v>5.7233999999999998</v>
      </c>
    </row>
    <row r="275" spans="1:11" ht="15">
      <c r="A275" s="13">
        <v>49857</v>
      </c>
      <c r="B275" s="63">
        <f>4.7122 * CHOOSE(CONTROL!$C$22, $C$13, 100%, $E$13)</f>
        <v>4.7122000000000002</v>
      </c>
      <c r="C275" s="63">
        <f>4.7122 * CHOOSE(CONTROL!$C$22, $C$13, 100%, $E$13)</f>
        <v>4.7122000000000002</v>
      </c>
      <c r="D275" s="63">
        <f>4.7251 * CHOOSE(CONTROL!$C$22, $C$13, 100%, $E$13)</f>
        <v>4.7251000000000003</v>
      </c>
      <c r="E275" s="64">
        <f>5.8199 * CHOOSE(CONTROL!$C$22, $C$13, 100%, $E$13)</f>
        <v>5.8198999999999996</v>
      </c>
      <c r="F275" s="64">
        <f>5.8199 * CHOOSE(CONTROL!$C$22, $C$13, 100%, $E$13)</f>
        <v>5.8198999999999996</v>
      </c>
      <c r="G275" s="64">
        <f>5.8356 * CHOOSE(CONTROL!$C$22, $C$13, 100%, $E$13)</f>
        <v>5.8356000000000003</v>
      </c>
      <c r="H275" s="64">
        <f>9.1579* CHOOSE(CONTROL!$C$22, $C$13, 100%, $E$13)</f>
        <v>9.1578999999999997</v>
      </c>
      <c r="I275" s="64">
        <f>9.1736 * CHOOSE(CONTROL!$C$22, $C$13, 100%, $E$13)</f>
        <v>9.1736000000000004</v>
      </c>
      <c r="J275" s="64">
        <f>5.8199 * CHOOSE(CONTROL!$C$22, $C$13, 100%, $E$13)</f>
        <v>5.8198999999999996</v>
      </c>
      <c r="K275" s="64">
        <f>5.8356 * CHOOSE(CONTROL!$C$22, $C$13, 100%, $E$13)</f>
        <v>5.8356000000000003</v>
      </c>
    </row>
    <row r="276" spans="1:11" ht="15">
      <c r="A276" s="13">
        <v>49888</v>
      </c>
      <c r="B276" s="63">
        <f>4.7188 * CHOOSE(CONTROL!$C$22, $C$13, 100%, $E$13)</f>
        <v>4.7187999999999999</v>
      </c>
      <c r="C276" s="63">
        <f>4.7188 * CHOOSE(CONTROL!$C$22, $C$13, 100%, $E$13)</f>
        <v>4.7187999999999999</v>
      </c>
      <c r="D276" s="63">
        <f>4.7318 * CHOOSE(CONTROL!$C$22, $C$13, 100%, $E$13)</f>
        <v>4.7317999999999998</v>
      </c>
      <c r="E276" s="64">
        <f>5.7404 * CHOOSE(CONTROL!$C$22, $C$13, 100%, $E$13)</f>
        <v>5.7404000000000002</v>
      </c>
      <c r="F276" s="64">
        <f>5.7404 * CHOOSE(CONTROL!$C$22, $C$13, 100%, $E$13)</f>
        <v>5.7404000000000002</v>
      </c>
      <c r="G276" s="64">
        <f>5.756 * CHOOSE(CONTROL!$C$22, $C$13, 100%, $E$13)</f>
        <v>5.7560000000000002</v>
      </c>
      <c r="H276" s="64">
        <f>9.177* CHOOSE(CONTROL!$C$22, $C$13, 100%, $E$13)</f>
        <v>9.1769999999999996</v>
      </c>
      <c r="I276" s="64">
        <f>9.1927 * CHOOSE(CONTROL!$C$22, $C$13, 100%, $E$13)</f>
        <v>9.1927000000000003</v>
      </c>
      <c r="J276" s="64">
        <f>5.7404 * CHOOSE(CONTROL!$C$22, $C$13, 100%, $E$13)</f>
        <v>5.7404000000000002</v>
      </c>
      <c r="K276" s="64">
        <f>5.756 * CHOOSE(CONTROL!$C$22, $C$13, 100%, $E$13)</f>
        <v>5.7560000000000002</v>
      </c>
    </row>
    <row r="277" spans="1:11" ht="15">
      <c r="A277" s="13">
        <v>49919</v>
      </c>
      <c r="B277" s="63">
        <f>4.7158 * CHOOSE(CONTROL!$C$22, $C$13, 100%, $E$13)</f>
        <v>4.7157999999999998</v>
      </c>
      <c r="C277" s="63">
        <f>4.7158 * CHOOSE(CONTROL!$C$22, $C$13, 100%, $E$13)</f>
        <v>4.7157999999999998</v>
      </c>
      <c r="D277" s="63">
        <f>4.7288 * CHOOSE(CONTROL!$C$22, $C$13, 100%, $E$13)</f>
        <v>4.7287999999999997</v>
      </c>
      <c r="E277" s="64">
        <f>5.7289 * CHOOSE(CONTROL!$C$22, $C$13, 100%, $E$13)</f>
        <v>5.7289000000000003</v>
      </c>
      <c r="F277" s="64">
        <f>5.7289 * CHOOSE(CONTROL!$C$22, $C$13, 100%, $E$13)</f>
        <v>5.7289000000000003</v>
      </c>
      <c r="G277" s="64">
        <f>5.7446 * CHOOSE(CONTROL!$C$22, $C$13, 100%, $E$13)</f>
        <v>5.7446000000000002</v>
      </c>
      <c r="H277" s="64">
        <f>9.1961* CHOOSE(CONTROL!$C$22, $C$13, 100%, $E$13)</f>
        <v>9.1960999999999995</v>
      </c>
      <c r="I277" s="64">
        <f>9.2118 * CHOOSE(CONTROL!$C$22, $C$13, 100%, $E$13)</f>
        <v>9.2118000000000002</v>
      </c>
      <c r="J277" s="64">
        <f>5.7289 * CHOOSE(CONTROL!$C$22, $C$13, 100%, $E$13)</f>
        <v>5.7289000000000003</v>
      </c>
      <c r="K277" s="64">
        <f>5.7446 * CHOOSE(CONTROL!$C$22, $C$13, 100%, $E$13)</f>
        <v>5.7446000000000002</v>
      </c>
    </row>
    <row r="278" spans="1:11" ht="15">
      <c r="A278" s="13">
        <v>49949</v>
      </c>
      <c r="B278" s="63">
        <f>4.7132 * CHOOSE(CONTROL!$C$22, $C$13, 100%, $E$13)</f>
        <v>4.7131999999999996</v>
      </c>
      <c r="C278" s="63">
        <f>4.7132 * CHOOSE(CONTROL!$C$22, $C$13, 100%, $E$13)</f>
        <v>4.7131999999999996</v>
      </c>
      <c r="D278" s="63">
        <f>4.7132 * CHOOSE(CONTROL!$C$22, $C$13, 100%, $E$13)</f>
        <v>4.7131999999999996</v>
      </c>
      <c r="E278" s="64">
        <f>5.7529 * CHOOSE(CONTROL!$C$22, $C$13, 100%, $E$13)</f>
        <v>5.7529000000000003</v>
      </c>
      <c r="F278" s="64">
        <f>5.7529 * CHOOSE(CONTROL!$C$22, $C$13, 100%, $E$13)</f>
        <v>5.7529000000000003</v>
      </c>
      <c r="G278" s="64">
        <f>5.753 * CHOOSE(CONTROL!$C$22, $C$13, 100%, $E$13)</f>
        <v>5.7530000000000001</v>
      </c>
      <c r="H278" s="64">
        <f>9.2153* CHOOSE(CONTROL!$C$22, $C$13, 100%, $E$13)</f>
        <v>9.2152999999999992</v>
      </c>
      <c r="I278" s="64">
        <f>9.2154 * CHOOSE(CONTROL!$C$22, $C$13, 100%, $E$13)</f>
        <v>9.2154000000000007</v>
      </c>
      <c r="J278" s="64">
        <f>5.7529 * CHOOSE(CONTROL!$C$22, $C$13, 100%, $E$13)</f>
        <v>5.7529000000000003</v>
      </c>
      <c r="K278" s="64">
        <f>5.753 * CHOOSE(CONTROL!$C$22, $C$13, 100%, $E$13)</f>
        <v>5.7530000000000001</v>
      </c>
    </row>
    <row r="279" spans="1:11" ht="15">
      <c r="A279" s="13">
        <v>49980</v>
      </c>
      <c r="B279" s="63">
        <f>4.7163 * CHOOSE(CONTROL!$C$22, $C$13, 100%, $E$13)</f>
        <v>4.7163000000000004</v>
      </c>
      <c r="C279" s="63">
        <f>4.7163 * CHOOSE(CONTROL!$C$22, $C$13, 100%, $E$13)</f>
        <v>4.7163000000000004</v>
      </c>
      <c r="D279" s="63">
        <f>4.7163 * CHOOSE(CONTROL!$C$22, $C$13, 100%, $E$13)</f>
        <v>4.7163000000000004</v>
      </c>
      <c r="E279" s="64">
        <f>5.7737 * CHOOSE(CONTROL!$C$22, $C$13, 100%, $E$13)</f>
        <v>5.7736999999999998</v>
      </c>
      <c r="F279" s="64">
        <f>5.7737 * CHOOSE(CONTROL!$C$22, $C$13, 100%, $E$13)</f>
        <v>5.7736999999999998</v>
      </c>
      <c r="G279" s="64">
        <f>5.7738 * CHOOSE(CONTROL!$C$22, $C$13, 100%, $E$13)</f>
        <v>5.7737999999999996</v>
      </c>
      <c r="H279" s="64">
        <f>9.2345* CHOOSE(CONTROL!$C$22, $C$13, 100%, $E$13)</f>
        <v>9.2345000000000006</v>
      </c>
      <c r="I279" s="64">
        <f>9.2346 * CHOOSE(CONTROL!$C$22, $C$13, 100%, $E$13)</f>
        <v>9.2346000000000004</v>
      </c>
      <c r="J279" s="64">
        <f>5.7737 * CHOOSE(CONTROL!$C$22, $C$13, 100%, $E$13)</f>
        <v>5.7736999999999998</v>
      </c>
      <c r="K279" s="64">
        <f>5.7738 * CHOOSE(CONTROL!$C$22, $C$13, 100%, $E$13)</f>
        <v>5.7737999999999996</v>
      </c>
    </row>
    <row r="280" spans="1:11" ht="15">
      <c r="A280" s="13">
        <v>50010</v>
      </c>
      <c r="B280" s="63">
        <f>4.7163 * CHOOSE(CONTROL!$C$22, $C$13, 100%, $E$13)</f>
        <v>4.7163000000000004</v>
      </c>
      <c r="C280" s="63">
        <f>4.7163 * CHOOSE(CONTROL!$C$22, $C$13, 100%, $E$13)</f>
        <v>4.7163000000000004</v>
      </c>
      <c r="D280" s="63">
        <f>4.7163 * CHOOSE(CONTROL!$C$22, $C$13, 100%, $E$13)</f>
        <v>4.7163000000000004</v>
      </c>
      <c r="E280" s="64">
        <f>5.7269 * CHOOSE(CONTROL!$C$22, $C$13, 100%, $E$13)</f>
        <v>5.7268999999999997</v>
      </c>
      <c r="F280" s="64">
        <f>5.7269 * CHOOSE(CONTROL!$C$22, $C$13, 100%, $E$13)</f>
        <v>5.7268999999999997</v>
      </c>
      <c r="G280" s="64">
        <f>5.727 * CHOOSE(CONTROL!$C$22, $C$13, 100%, $E$13)</f>
        <v>5.7270000000000003</v>
      </c>
      <c r="H280" s="64">
        <f>9.2537* CHOOSE(CONTROL!$C$22, $C$13, 100%, $E$13)</f>
        <v>9.2537000000000003</v>
      </c>
      <c r="I280" s="64">
        <f>9.2538 * CHOOSE(CONTROL!$C$22, $C$13, 100%, $E$13)</f>
        <v>9.2538</v>
      </c>
      <c r="J280" s="64">
        <f>5.7269 * CHOOSE(CONTROL!$C$22, $C$13, 100%, $E$13)</f>
        <v>5.7268999999999997</v>
      </c>
      <c r="K280" s="64">
        <f>5.727 * CHOOSE(CONTROL!$C$22, $C$13, 100%, $E$13)</f>
        <v>5.7270000000000003</v>
      </c>
    </row>
    <row r="281" spans="1:11" ht="15">
      <c r="A281" s="13">
        <v>50041</v>
      </c>
      <c r="B281" s="63">
        <f>4.7586 * CHOOSE(CONTROL!$C$22, $C$13, 100%, $E$13)</f>
        <v>4.7586000000000004</v>
      </c>
      <c r="C281" s="63">
        <f>4.7586 * CHOOSE(CONTROL!$C$22, $C$13, 100%, $E$13)</f>
        <v>4.7586000000000004</v>
      </c>
      <c r="D281" s="63">
        <f>4.7586 * CHOOSE(CONTROL!$C$22, $C$13, 100%, $E$13)</f>
        <v>4.7586000000000004</v>
      </c>
      <c r="E281" s="64">
        <f>5.8119 * CHOOSE(CONTROL!$C$22, $C$13, 100%, $E$13)</f>
        <v>5.8118999999999996</v>
      </c>
      <c r="F281" s="64">
        <f>5.8119 * CHOOSE(CONTROL!$C$22, $C$13, 100%, $E$13)</f>
        <v>5.8118999999999996</v>
      </c>
      <c r="G281" s="64">
        <f>5.812 * CHOOSE(CONTROL!$C$22, $C$13, 100%, $E$13)</f>
        <v>5.8120000000000003</v>
      </c>
      <c r="H281" s="64">
        <f>9.273* CHOOSE(CONTROL!$C$22, $C$13, 100%, $E$13)</f>
        <v>9.2729999999999997</v>
      </c>
      <c r="I281" s="64">
        <f>9.2731 * CHOOSE(CONTROL!$C$22, $C$13, 100%, $E$13)</f>
        <v>9.2730999999999995</v>
      </c>
      <c r="J281" s="64">
        <f>5.8119 * CHOOSE(CONTROL!$C$22, $C$13, 100%, $E$13)</f>
        <v>5.8118999999999996</v>
      </c>
      <c r="K281" s="64">
        <f>5.812 * CHOOSE(CONTROL!$C$22, $C$13, 100%, $E$13)</f>
        <v>5.8120000000000003</v>
      </c>
    </row>
    <row r="282" spans="1:11" ht="15">
      <c r="A282" s="13">
        <v>50072</v>
      </c>
      <c r="B282" s="63">
        <f>4.7555 * CHOOSE(CONTROL!$C$22, $C$13, 100%, $E$13)</f>
        <v>4.7554999999999996</v>
      </c>
      <c r="C282" s="63">
        <f>4.7555 * CHOOSE(CONTROL!$C$22, $C$13, 100%, $E$13)</f>
        <v>4.7554999999999996</v>
      </c>
      <c r="D282" s="63">
        <f>4.7555 * CHOOSE(CONTROL!$C$22, $C$13, 100%, $E$13)</f>
        <v>4.7554999999999996</v>
      </c>
      <c r="E282" s="64">
        <f>5.719 * CHOOSE(CONTROL!$C$22, $C$13, 100%, $E$13)</f>
        <v>5.7190000000000003</v>
      </c>
      <c r="F282" s="64">
        <f>5.719 * CHOOSE(CONTROL!$C$22, $C$13, 100%, $E$13)</f>
        <v>5.7190000000000003</v>
      </c>
      <c r="G282" s="64">
        <f>5.7191 * CHOOSE(CONTROL!$C$22, $C$13, 100%, $E$13)</f>
        <v>5.7191000000000001</v>
      </c>
      <c r="H282" s="64">
        <f>9.2923* CHOOSE(CONTROL!$C$22, $C$13, 100%, $E$13)</f>
        <v>9.2922999999999991</v>
      </c>
      <c r="I282" s="64">
        <f>9.2924 * CHOOSE(CONTROL!$C$22, $C$13, 100%, $E$13)</f>
        <v>9.2924000000000007</v>
      </c>
      <c r="J282" s="64">
        <f>5.719 * CHOOSE(CONTROL!$C$22, $C$13, 100%, $E$13)</f>
        <v>5.7190000000000003</v>
      </c>
      <c r="K282" s="64">
        <f>5.7191 * CHOOSE(CONTROL!$C$22, $C$13, 100%, $E$13)</f>
        <v>5.7191000000000001</v>
      </c>
    </row>
    <row r="283" spans="1:11" ht="15">
      <c r="A283" s="13">
        <v>50100</v>
      </c>
      <c r="B283" s="63">
        <f>4.7525 * CHOOSE(CONTROL!$C$22, $C$13, 100%, $E$13)</f>
        <v>4.7525000000000004</v>
      </c>
      <c r="C283" s="63">
        <f>4.7525 * CHOOSE(CONTROL!$C$22, $C$13, 100%, $E$13)</f>
        <v>4.7525000000000004</v>
      </c>
      <c r="D283" s="63">
        <f>4.7525 * CHOOSE(CONTROL!$C$22, $C$13, 100%, $E$13)</f>
        <v>4.7525000000000004</v>
      </c>
      <c r="E283" s="64">
        <f>5.7884 * CHOOSE(CONTROL!$C$22, $C$13, 100%, $E$13)</f>
        <v>5.7884000000000002</v>
      </c>
      <c r="F283" s="64">
        <f>5.7884 * CHOOSE(CONTROL!$C$22, $C$13, 100%, $E$13)</f>
        <v>5.7884000000000002</v>
      </c>
      <c r="G283" s="64">
        <f>5.7885 * CHOOSE(CONTROL!$C$22, $C$13, 100%, $E$13)</f>
        <v>5.7885</v>
      </c>
      <c r="H283" s="64">
        <f>9.3117* CHOOSE(CONTROL!$C$22, $C$13, 100%, $E$13)</f>
        <v>9.3117000000000001</v>
      </c>
      <c r="I283" s="64">
        <f>9.3118 * CHOOSE(CONTROL!$C$22, $C$13, 100%, $E$13)</f>
        <v>9.3117999999999999</v>
      </c>
      <c r="J283" s="64">
        <f>5.7884 * CHOOSE(CONTROL!$C$22, $C$13, 100%, $E$13)</f>
        <v>5.7884000000000002</v>
      </c>
      <c r="K283" s="64">
        <f>5.7885 * CHOOSE(CONTROL!$C$22, $C$13, 100%, $E$13)</f>
        <v>5.7885</v>
      </c>
    </row>
    <row r="284" spans="1:11" ht="15">
      <c r="A284" s="13">
        <v>50131</v>
      </c>
      <c r="B284" s="63">
        <f>4.7508 * CHOOSE(CONTROL!$C$22, $C$13, 100%, $E$13)</f>
        <v>4.7507999999999999</v>
      </c>
      <c r="C284" s="63">
        <f>4.7508 * CHOOSE(CONTROL!$C$22, $C$13, 100%, $E$13)</f>
        <v>4.7507999999999999</v>
      </c>
      <c r="D284" s="63">
        <f>4.7508 * CHOOSE(CONTROL!$C$22, $C$13, 100%, $E$13)</f>
        <v>4.7507999999999999</v>
      </c>
      <c r="E284" s="64">
        <f>5.861 * CHOOSE(CONTROL!$C$22, $C$13, 100%, $E$13)</f>
        <v>5.8609999999999998</v>
      </c>
      <c r="F284" s="64">
        <f>5.861 * CHOOSE(CONTROL!$C$22, $C$13, 100%, $E$13)</f>
        <v>5.8609999999999998</v>
      </c>
      <c r="G284" s="64">
        <f>5.8611 * CHOOSE(CONTROL!$C$22, $C$13, 100%, $E$13)</f>
        <v>5.8611000000000004</v>
      </c>
      <c r="H284" s="64">
        <f>9.3311* CHOOSE(CONTROL!$C$22, $C$13, 100%, $E$13)</f>
        <v>9.3310999999999993</v>
      </c>
      <c r="I284" s="64">
        <f>9.3312 * CHOOSE(CONTROL!$C$22, $C$13, 100%, $E$13)</f>
        <v>9.3312000000000008</v>
      </c>
      <c r="J284" s="64">
        <f>5.861 * CHOOSE(CONTROL!$C$22, $C$13, 100%, $E$13)</f>
        <v>5.8609999999999998</v>
      </c>
      <c r="K284" s="64">
        <f>5.8611 * CHOOSE(CONTROL!$C$22, $C$13, 100%, $E$13)</f>
        <v>5.8611000000000004</v>
      </c>
    </row>
    <row r="285" spans="1:11" ht="15">
      <c r="A285" s="13">
        <v>50161</v>
      </c>
      <c r="B285" s="63">
        <f>4.7508 * CHOOSE(CONTROL!$C$22, $C$13, 100%, $E$13)</f>
        <v>4.7507999999999999</v>
      </c>
      <c r="C285" s="63">
        <f>4.7508 * CHOOSE(CONTROL!$C$22, $C$13, 100%, $E$13)</f>
        <v>4.7507999999999999</v>
      </c>
      <c r="D285" s="63">
        <f>4.7637 * CHOOSE(CONTROL!$C$22, $C$13, 100%, $E$13)</f>
        <v>4.7637</v>
      </c>
      <c r="E285" s="64">
        <f>5.8898 * CHOOSE(CONTROL!$C$22, $C$13, 100%, $E$13)</f>
        <v>5.8898000000000001</v>
      </c>
      <c r="F285" s="64">
        <f>5.8898 * CHOOSE(CONTROL!$C$22, $C$13, 100%, $E$13)</f>
        <v>5.8898000000000001</v>
      </c>
      <c r="G285" s="64">
        <f>5.9055 * CHOOSE(CONTROL!$C$22, $C$13, 100%, $E$13)</f>
        <v>5.9055</v>
      </c>
      <c r="H285" s="64">
        <f>9.3505* CHOOSE(CONTROL!$C$22, $C$13, 100%, $E$13)</f>
        <v>9.3505000000000003</v>
      </c>
      <c r="I285" s="64">
        <f>9.3662 * CHOOSE(CONTROL!$C$22, $C$13, 100%, $E$13)</f>
        <v>9.3661999999999992</v>
      </c>
      <c r="J285" s="64">
        <f>5.8898 * CHOOSE(CONTROL!$C$22, $C$13, 100%, $E$13)</f>
        <v>5.8898000000000001</v>
      </c>
      <c r="K285" s="64">
        <f>5.9055 * CHOOSE(CONTROL!$C$22, $C$13, 100%, $E$13)</f>
        <v>5.9055</v>
      </c>
    </row>
    <row r="286" spans="1:11" ht="15">
      <c r="A286" s="13">
        <v>50192</v>
      </c>
      <c r="B286" s="63">
        <f>4.7569 * CHOOSE(CONTROL!$C$22, $C$13, 100%, $E$13)</f>
        <v>4.7568999999999999</v>
      </c>
      <c r="C286" s="63">
        <f>4.7569 * CHOOSE(CONTROL!$C$22, $C$13, 100%, $E$13)</f>
        <v>4.7568999999999999</v>
      </c>
      <c r="D286" s="63">
        <f>4.7698 * CHOOSE(CONTROL!$C$22, $C$13, 100%, $E$13)</f>
        <v>4.7698</v>
      </c>
      <c r="E286" s="64">
        <f>5.8653 * CHOOSE(CONTROL!$C$22, $C$13, 100%, $E$13)</f>
        <v>5.8653000000000004</v>
      </c>
      <c r="F286" s="64">
        <f>5.8653 * CHOOSE(CONTROL!$C$22, $C$13, 100%, $E$13)</f>
        <v>5.8653000000000004</v>
      </c>
      <c r="G286" s="64">
        <f>5.881 * CHOOSE(CONTROL!$C$22, $C$13, 100%, $E$13)</f>
        <v>5.8810000000000002</v>
      </c>
      <c r="H286" s="64">
        <f>9.37* CHOOSE(CONTROL!$C$22, $C$13, 100%, $E$13)</f>
        <v>9.3699999999999992</v>
      </c>
      <c r="I286" s="64">
        <f>9.3857 * CHOOSE(CONTROL!$C$22, $C$13, 100%, $E$13)</f>
        <v>9.3856999999999999</v>
      </c>
      <c r="J286" s="64">
        <f>5.8653 * CHOOSE(CONTROL!$C$22, $C$13, 100%, $E$13)</f>
        <v>5.8653000000000004</v>
      </c>
      <c r="K286" s="64">
        <f>5.881 * CHOOSE(CONTROL!$C$22, $C$13, 100%, $E$13)</f>
        <v>5.8810000000000002</v>
      </c>
    </row>
    <row r="287" spans="1:11" ht="15">
      <c r="A287" s="13">
        <v>50222</v>
      </c>
      <c r="B287" s="63">
        <f>4.836 * CHOOSE(CONTROL!$C$22, $C$13, 100%, $E$13)</f>
        <v>4.8360000000000003</v>
      </c>
      <c r="C287" s="63">
        <f>4.836 * CHOOSE(CONTROL!$C$22, $C$13, 100%, $E$13)</f>
        <v>4.8360000000000003</v>
      </c>
      <c r="D287" s="63">
        <f>4.849 * CHOOSE(CONTROL!$C$22, $C$13, 100%, $E$13)</f>
        <v>4.8490000000000002</v>
      </c>
      <c r="E287" s="64">
        <f>5.9773 * CHOOSE(CONTROL!$C$22, $C$13, 100%, $E$13)</f>
        <v>5.9772999999999996</v>
      </c>
      <c r="F287" s="64">
        <f>5.9773 * CHOOSE(CONTROL!$C$22, $C$13, 100%, $E$13)</f>
        <v>5.9772999999999996</v>
      </c>
      <c r="G287" s="64">
        <f>5.9929 * CHOOSE(CONTROL!$C$22, $C$13, 100%, $E$13)</f>
        <v>5.9928999999999997</v>
      </c>
      <c r="H287" s="64">
        <f>9.3895* CHOOSE(CONTROL!$C$22, $C$13, 100%, $E$13)</f>
        <v>9.3895</v>
      </c>
      <c r="I287" s="64">
        <f>9.4052 * CHOOSE(CONTROL!$C$22, $C$13, 100%, $E$13)</f>
        <v>9.4052000000000007</v>
      </c>
      <c r="J287" s="64">
        <f>5.9773 * CHOOSE(CONTROL!$C$22, $C$13, 100%, $E$13)</f>
        <v>5.9772999999999996</v>
      </c>
      <c r="K287" s="64">
        <f>5.9929 * CHOOSE(CONTROL!$C$22, $C$13, 100%, $E$13)</f>
        <v>5.9928999999999997</v>
      </c>
    </row>
    <row r="288" spans="1:11" ht="15">
      <c r="A288" s="13">
        <v>50253</v>
      </c>
      <c r="B288" s="63">
        <f>4.8427 * CHOOSE(CONTROL!$C$22, $C$13, 100%, $E$13)</f>
        <v>4.8426999999999998</v>
      </c>
      <c r="C288" s="63">
        <f>4.8427 * CHOOSE(CONTROL!$C$22, $C$13, 100%, $E$13)</f>
        <v>4.8426999999999998</v>
      </c>
      <c r="D288" s="63">
        <f>4.8556 * CHOOSE(CONTROL!$C$22, $C$13, 100%, $E$13)</f>
        <v>4.8555999999999999</v>
      </c>
      <c r="E288" s="64">
        <f>5.8955 * CHOOSE(CONTROL!$C$22, $C$13, 100%, $E$13)</f>
        <v>5.8955000000000002</v>
      </c>
      <c r="F288" s="64">
        <f>5.8955 * CHOOSE(CONTROL!$C$22, $C$13, 100%, $E$13)</f>
        <v>5.8955000000000002</v>
      </c>
      <c r="G288" s="64">
        <f>5.9112 * CHOOSE(CONTROL!$C$22, $C$13, 100%, $E$13)</f>
        <v>5.9112</v>
      </c>
      <c r="H288" s="64">
        <f>9.4091* CHOOSE(CONTROL!$C$22, $C$13, 100%, $E$13)</f>
        <v>9.4091000000000005</v>
      </c>
      <c r="I288" s="64">
        <f>9.4248 * CHOOSE(CONTROL!$C$22, $C$13, 100%, $E$13)</f>
        <v>9.4247999999999994</v>
      </c>
      <c r="J288" s="64">
        <f>5.8955 * CHOOSE(CONTROL!$C$22, $C$13, 100%, $E$13)</f>
        <v>5.8955000000000002</v>
      </c>
      <c r="K288" s="64">
        <f>5.9112 * CHOOSE(CONTROL!$C$22, $C$13, 100%, $E$13)</f>
        <v>5.9112</v>
      </c>
    </row>
    <row r="289" spans="1:11" ht="15">
      <c r="A289" s="13">
        <v>50284</v>
      </c>
      <c r="B289" s="63">
        <f>4.8396 * CHOOSE(CONTROL!$C$22, $C$13, 100%, $E$13)</f>
        <v>4.8395999999999999</v>
      </c>
      <c r="C289" s="63">
        <f>4.8396 * CHOOSE(CONTROL!$C$22, $C$13, 100%, $E$13)</f>
        <v>4.8395999999999999</v>
      </c>
      <c r="D289" s="63">
        <f>4.8526 * CHOOSE(CONTROL!$C$22, $C$13, 100%, $E$13)</f>
        <v>4.8525999999999998</v>
      </c>
      <c r="E289" s="64">
        <f>5.8837 * CHOOSE(CONTROL!$C$22, $C$13, 100%, $E$13)</f>
        <v>5.8837000000000002</v>
      </c>
      <c r="F289" s="64">
        <f>5.8837 * CHOOSE(CONTROL!$C$22, $C$13, 100%, $E$13)</f>
        <v>5.8837000000000002</v>
      </c>
      <c r="G289" s="64">
        <f>5.8994 * CHOOSE(CONTROL!$C$22, $C$13, 100%, $E$13)</f>
        <v>5.8994</v>
      </c>
      <c r="H289" s="64">
        <f>9.4287* CHOOSE(CONTROL!$C$22, $C$13, 100%, $E$13)</f>
        <v>9.4286999999999992</v>
      </c>
      <c r="I289" s="64">
        <f>9.4444 * CHOOSE(CONTROL!$C$22, $C$13, 100%, $E$13)</f>
        <v>9.4443999999999999</v>
      </c>
      <c r="J289" s="64">
        <f>5.8837 * CHOOSE(CONTROL!$C$22, $C$13, 100%, $E$13)</f>
        <v>5.8837000000000002</v>
      </c>
      <c r="K289" s="64">
        <f>5.8994 * CHOOSE(CONTROL!$C$22, $C$13, 100%, $E$13)</f>
        <v>5.8994</v>
      </c>
    </row>
    <row r="290" spans="1:11" ht="15">
      <c r="A290" s="13">
        <v>50314</v>
      </c>
      <c r="B290" s="63">
        <f>4.8375 * CHOOSE(CONTROL!$C$22, $C$13, 100%, $E$13)</f>
        <v>4.8375000000000004</v>
      </c>
      <c r="C290" s="63">
        <f>4.8375 * CHOOSE(CONTROL!$C$22, $C$13, 100%, $E$13)</f>
        <v>4.8375000000000004</v>
      </c>
      <c r="D290" s="63">
        <f>4.8375 * CHOOSE(CONTROL!$C$22, $C$13, 100%, $E$13)</f>
        <v>4.8375000000000004</v>
      </c>
      <c r="E290" s="64">
        <f>5.9087 * CHOOSE(CONTROL!$C$22, $C$13, 100%, $E$13)</f>
        <v>5.9086999999999996</v>
      </c>
      <c r="F290" s="64">
        <f>5.9087 * CHOOSE(CONTROL!$C$22, $C$13, 100%, $E$13)</f>
        <v>5.9086999999999996</v>
      </c>
      <c r="G290" s="64">
        <f>5.9088 * CHOOSE(CONTROL!$C$22, $C$13, 100%, $E$13)</f>
        <v>5.9088000000000003</v>
      </c>
      <c r="H290" s="64">
        <f>9.4483* CHOOSE(CONTROL!$C$22, $C$13, 100%, $E$13)</f>
        <v>9.4482999999999997</v>
      </c>
      <c r="I290" s="64">
        <f>9.4484 * CHOOSE(CONTROL!$C$22, $C$13, 100%, $E$13)</f>
        <v>9.4483999999999995</v>
      </c>
      <c r="J290" s="64">
        <f>5.9087 * CHOOSE(CONTROL!$C$22, $C$13, 100%, $E$13)</f>
        <v>5.9086999999999996</v>
      </c>
      <c r="K290" s="64">
        <f>5.9088 * CHOOSE(CONTROL!$C$22, $C$13, 100%, $E$13)</f>
        <v>5.9088000000000003</v>
      </c>
    </row>
    <row r="291" spans="1:11" ht="15">
      <c r="A291" s="13">
        <v>50345</v>
      </c>
      <c r="B291" s="63">
        <f>4.8405 * CHOOSE(CONTROL!$C$22, $C$13, 100%, $E$13)</f>
        <v>4.8404999999999996</v>
      </c>
      <c r="C291" s="63">
        <f>4.8405 * CHOOSE(CONTROL!$C$22, $C$13, 100%, $E$13)</f>
        <v>4.8404999999999996</v>
      </c>
      <c r="D291" s="63">
        <f>4.8405 * CHOOSE(CONTROL!$C$22, $C$13, 100%, $E$13)</f>
        <v>4.8404999999999996</v>
      </c>
      <c r="E291" s="64">
        <f>5.9301 * CHOOSE(CONTROL!$C$22, $C$13, 100%, $E$13)</f>
        <v>5.9301000000000004</v>
      </c>
      <c r="F291" s="64">
        <f>5.9301 * CHOOSE(CONTROL!$C$22, $C$13, 100%, $E$13)</f>
        <v>5.9301000000000004</v>
      </c>
      <c r="G291" s="64">
        <f>5.9302 * CHOOSE(CONTROL!$C$22, $C$13, 100%, $E$13)</f>
        <v>5.9302000000000001</v>
      </c>
      <c r="H291" s="64">
        <f>9.468* CHOOSE(CONTROL!$C$22, $C$13, 100%, $E$13)</f>
        <v>9.468</v>
      </c>
      <c r="I291" s="64">
        <f>9.4681 * CHOOSE(CONTROL!$C$22, $C$13, 100%, $E$13)</f>
        <v>9.4680999999999997</v>
      </c>
      <c r="J291" s="64">
        <f>5.9301 * CHOOSE(CONTROL!$C$22, $C$13, 100%, $E$13)</f>
        <v>5.9301000000000004</v>
      </c>
      <c r="K291" s="64">
        <f>5.9302 * CHOOSE(CONTROL!$C$22, $C$13, 100%, $E$13)</f>
        <v>5.9302000000000001</v>
      </c>
    </row>
    <row r="292" spans="1:11" ht="15">
      <c r="A292" s="13">
        <v>50375</v>
      </c>
      <c r="B292" s="63">
        <f>4.8405 * CHOOSE(CONTROL!$C$22, $C$13, 100%, $E$13)</f>
        <v>4.8404999999999996</v>
      </c>
      <c r="C292" s="63">
        <f>4.8405 * CHOOSE(CONTROL!$C$22, $C$13, 100%, $E$13)</f>
        <v>4.8404999999999996</v>
      </c>
      <c r="D292" s="63">
        <f>4.8405 * CHOOSE(CONTROL!$C$22, $C$13, 100%, $E$13)</f>
        <v>4.8404999999999996</v>
      </c>
      <c r="E292" s="64">
        <f>5.8821 * CHOOSE(CONTROL!$C$22, $C$13, 100%, $E$13)</f>
        <v>5.8821000000000003</v>
      </c>
      <c r="F292" s="64">
        <f>5.8821 * CHOOSE(CONTROL!$C$22, $C$13, 100%, $E$13)</f>
        <v>5.8821000000000003</v>
      </c>
      <c r="G292" s="64">
        <f>5.8821 * CHOOSE(CONTROL!$C$22, $C$13, 100%, $E$13)</f>
        <v>5.8821000000000003</v>
      </c>
      <c r="H292" s="64">
        <f>9.4878* CHOOSE(CONTROL!$C$22, $C$13, 100%, $E$13)</f>
        <v>9.4878</v>
      </c>
      <c r="I292" s="64">
        <f>9.4878 * CHOOSE(CONTROL!$C$22, $C$13, 100%, $E$13)</f>
        <v>9.4878</v>
      </c>
      <c r="J292" s="64">
        <f>5.8821 * CHOOSE(CONTROL!$C$22, $C$13, 100%, $E$13)</f>
        <v>5.8821000000000003</v>
      </c>
      <c r="K292" s="64">
        <f>5.8821 * CHOOSE(CONTROL!$C$22, $C$13, 100%, $E$13)</f>
        <v>5.8821000000000003</v>
      </c>
    </row>
    <row r="293" spans="1:11" ht="15">
      <c r="A293" s="13">
        <v>50406</v>
      </c>
      <c r="B293" s="63">
        <f>4.8843 * CHOOSE(CONTROL!$C$22, $C$13, 100%, $E$13)</f>
        <v>4.8842999999999996</v>
      </c>
      <c r="C293" s="63">
        <f>4.8843 * CHOOSE(CONTROL!$C$22, $C$13, 100%, $E$13)</f>
        <v>4.8842999999999996</v>
      </c>
      <c r="D293" s="63">
        <f>4.8843 * CHOOSE(CONTROL!$C$22, $C$13, 100%, $E$13)</f>
        <v>4.8842999999999996</v>
      </c>
      <c r="E293" s="64">
        <f>5.9668 * CHOOSE(CONTROL!$C$22, $C$13, 100%, $E$13)</f>
        <v>5.9668000000000001</v>
      </c>
      <c r="F293" s="64">
        <f>5.9668 * CHOOSE(CONTROL!$C$22, $C$13, 100%, $E$13)</f>
        <v>5.9668000000000001</v>
      </c>
      <c r="G293" s="64">
        <f>5.9669 * CHOOSE(CONTROL!$C$22, $C$13, 100%, $E$13)</f>
        <v>5.9668999999999999</v>
      </c>
      <c r="H293" s="64">
        <f>9.5075* CHOOSE(CONTROL!$C$22, $C$13, 100%, $E$13)</f>
        <v>9.5075000000000003</v>
      </c>
      <c r="I293" s="64">
        <f>9.5076 * CHOOSE(CONTROL!$C$22, $C$13, 100%, $E$13)</f>
        <v>9.5076000000000001</v>
      </c>
      <c r="J293" s="64">
        <f>5.9668 * CHOOSE(CONTROL!$C$22, $C$13, 100%, $E$13)</f>
        <v>5.9668000000000001</v>
      </c>
      <c r="K293" s="64">
        <f>5.9669 * CHOOSE(CONTROL!$C$22, $C$13, 100%, $E$13)</f>
        <v>5.9668999999999999</v>
      </c>
    </row>
    <row r="294" spans="1:11" ht="15">
      <c r="A294" s="13">
        <v>50437</v>
      </c>
      <c r="B294" s="63">
        <f>4.8813 * CHOOSE(CONTROL!$C$22, $C$13, 100%, $E$13)</f>
        <v>4.8813000000000004</v>
      </c>
      <c r="C294" s="63">
        <f>4.8813 * CHOOSE(CONTROL!$C$22, $C$13, 100%, $E$13)</f>
        <v>4.8813000000000004</v>
      </c>
      <c r="D294" s="63">
        <f>4.8813 * CHOOSE(CONTROL!$C$22, $C$13, 100%, $E$13)</f>
        <v>4.8813000000000004</v>
      </c>
      <c r="E294" s="64">
        <f>5.8715 * CHOOSE(CONTROL!$C$22, $C$13, 100%, $E$13)</f>
        <v>5.8715000000000002</v>
      </c>
      <c r="F294" s="64">
        <f>5.8715 * CHOOSE(CONTROL!$C$22, $C$13, 100%, $E$13)</f>
        <v>5.8715000000000002</v>
      </c>
      <c r="G294" s="64">
        <f>5.8716 * CHOOSE(CONTROL!$C$22, $C$13, 100%, $E$13)</f>
        <v>5.8715999999999999</v>
      </c>
      <c r="H294" s="64">
        <f>9.5273* CHOOSE(CONTROL!$C$22, $C$13, 100%, $E$13)</f>
        <v>9.5273000000000003</v>
      </c>
      <c r="I294" s="64">
        <f>9.5274 * CHOOSE(CONTROL!$C$22, $C$13, 100%, $E$13)</f>
        <v>9.5274000000000001</v>
      </c>
      <c r="J294" s="64">
        <f>5.8715 * CHOOSE(CONTROL!$C$22, $C$13, 100%, $E$13)</f>
        <v>5.8715000000000002</v>
      </c>
      <c r="K294" s="64">
        <f>5.8716 * CHOOSE(CONTROL!$C$22, $C$13, 100%, $E$13)</f>
        <v>5.8715999999999999</v>
      </c>
    </row>
    <row r="295" spans="1:11" ht="15">
      <c r="A295" s="13">
        <v>50465</v>
      </c>
      <c r="B295" s="63">
        <f>4.8783 * CHOOSE(CONTROL!$C$22, $C$13, 100%, $E$13)</f>
        <v>4.8783000000000003</v>
      </c>
      <c r="C295" s="63">
        <f>4.8783 * CHOOSE(CONTROL!$C$22, $C$13, 100%, $E$13)</f>
        <v>4.8783000000000003</v>
      </c>
      <c r="D295" s="63">
        <f>4.8783 * CHOOSE(CONTROL!$C$22, $C$13, 100%, $E$13)</f>
        <v>4.8783000000000003</v>
      </c>
      <c r="E295" s="64">
        <f>5.9428 * CHOOSE(CONTROL!$C$22, $C$13, 100%, $E$13)</f>
        <v>5.9428000000000001</v>
      </c>
      <c r="F295" s="64">
        <f>5.9428 * CHOOSE(CONTROL!$C$22, $C$13, 100%, $E$13)</f>
        <v>5.9428000000000001</v>
      </c>
      <c r="G295" s="64">
        <f>5.9429 * CHOOSE(CONTROL!$C$22, $C$13, 100%, $E$13)</f>
        <v>5.9428999999999998</v>
      </c>
      <c r="H295" s="64">
        <f>9.5472* CHOOSE(CONTROL!$C$22, $C$13, 100%, $E$13)</f>
        <v>9.5472000000000001</v>
      </c>
      <c r="I295" s="64">
        <f>9.5473 * CHOOSE(CONTROL!$C$22, $C$13, 100%, $E$13)</f>
        <v>9.5472999999999999</v>
      </c>
      <c r="J295" s="64">
        <f>5.9428 * CHOOSE(CONTROL!$C$22, $C$13, 100%, $E$13)</f>
        <v>5.9428000000000001</v>
      </c>
      <c r="K295" s="64">
        <f>5.9429 * CHOOSE(CONTROL!$C$22, $C$13, 100%, $E$13)</f>
        <v>5.9428999999999998</v>
      </c>
    </row>
    <row r="296" spans="1:11" ht="15">
      <c r="A296" s="13">
        <v>50496</v>
      </c>
      <c r="B296" s="63">
        <f>4.8767 * CHOOSE(CONTROL!$C$22, $C$13, 100%, $E$13)</f>
        <v>4.8766999999999996</v>
      </c>
      <c r="C296" s="63">
        <f>4.8767 * CHOOSE(CONTROL!$C$22, $C$13, 100%, $E$13)</f>
        <v>4.8766999999999996</v>
      </c>
      <c r="D296" s="63">
        <f>4.8767 * CHOOSE(CONTROL!$C$22, $C$13, 100%, $E$13)</f>
        <v>4.8766999999999996</v>
      </c>
      <c r="E296" s="64">
        <f>6.0175 * CHOOSE(CONTROL!$C$22, $C$13, 100%, $E$13)</f>
        <v>6.0175000000000001</v>
      </c>
      <c r="F296" s="64">
        <f>6.0175 * CHOOSE(CONTROL!$C$22, $C$13, 100%, $E$13)</f>
        <v>6.0175000000000001</v>
      </c>
      <c r="G296" s="64">
        <f>6.0175 * CHOOSE(CONTROL!$C$22, $C$13, 100%, $E$13)</f>
        <v>6.0175000000000001</v>
      </c>
      <c r="H296" s="64">
        <f>9.5671* CHOOSE(CONTROL!$C$22, $C$13, 100%, $E$13)</f>
        <v>9.5670999999999999</v>
      </c>
      <c r="I296" s="64">
        <f>9.5671 * CHOOSE(CONTROL!$C$22, $C$13, 100%, $E$13)</f>
        <v>9.5670999999999999</v>
      </c>
      <c r="J296" s="64">
        <f>6.0175 * CHOOSE(CONTROL!$C$22, $C$13, 100%, $E$13)</f>
        <v>6.0175000000000001</v>
      </c>
      <c r="K296" s="64">
        <f>6.0175 * CHOOSE(CONTROL!$C$22, $C$13, 100%, $E$13)</f>
        <v>6.0175000000000001</v>
      </c>
    </row>
    <row r="297" spans="1:11" ht="15">
      <c r="A297" s="13">
        <v>50526</v>
      </c>
      <c r="B297" s="63">
        <f>4.8767 * CHOOSE(CONTROL!$C$22, $C$13, 100%, $E$13)</f>
        <v>4.8766999999999996</v>
      </c>
      <c r="C297" s="63">
        <f>4.8767 * CHOOSE(CONTROL!$C$22, $C$13, 100%, $E$13)</f>
        <v>4.8766999999999996</v>
      </c>
      <c r="D297" s="63">
        <f>4.8896 * CHOOSE(CONTROL!$C$22, $C$13, 100%, $E$13)</f>
        <v>4.8895999999999997</v>
      </c>
      <c r="E297" s="64">
        <f>6.047 * CHOOSE(CONTROL!$C$22, $C$13, 100%, $E$13)</f>
        <v>6.0469999999999997</v>
      </c>
      <c r="F297" s="64">
        <f>6.047 * CHOOSE(CONTROL!$C$22, $C$13, 100%, $E$13)</f>
        <v>6.0469999999999997</v>
      </c>
      <c r="G297" s="64">
        <f>6.0627 * CHOOSE(CONTROL!$C$22, $C$13, 100%, $E$13)</f>
        <v>6.0627000000000004</v>
      </c>
      <c r="H297" s="64">
        <f>9.587* CHOOSE(CONTROL!$C$22, $C$13, 100%, $E$13)</f>
        <v>9.5869999999999997</v>
      </c>
      <c r="I297" s="64">
        <f>9.6027 * CHOOSE(CONTROL!$C$22, $C$13, 100%, $E$13)</f>
        <v>9.6027000000000005</v>
      </c>
      <c r="J297" s="64">
        <f>6.047 * CHOOSE(CONTROL!$C$22, $C$13, 100%, $E$13)</f>
        <v>6.0469999999999997</v>
      </c>
      <c r="K297" s="64">
        <f>6.0627 * CHOOSE(CONTROL!$C$22, $C$13, 100%, $E$13)</f>
        <v>6.0627000000000004</v>
      </c>
    </row>
    <row r="298" spans="1:11" ht="15">
      <c r="A298" s="13">
        <v>50557</v>
      </c>
      <c r="B298" s="63">
        <f>4.8827 * CHOOSE(CONTROL!$C$22, $C$13, 100%, $E$13)</f>
        <v>4.8826999999999998</v>
      </c>
      <c r="C298" s="63">
        <f>4.8827 * CHOOSE(CONTROL!$C$22, $C$13, 100%, $E$13)</f>
        <v>4.8826999999999998</v>
      </c>
      <c r="D298" s="63">
        <f>4.8957 * CHOOSE(CONTROL!$C$22, $C$13, 100%, $E$13)</f>
        <v>4.8956999999999997</v>
      </c>
      <c r="E298" s="64">
        <f>6.0217 * CHOOSE(CONTROL!$C$22, $C$13, 100%, $E$13)</f>
        <v>6.0217000000000001</v>
      </c>
      <c r="F298" s="64">
        <f>6.0217 * CHOOSE(CONTROL!$C$22, $C$13, 100%, $E$13)</f>
        <v>6.0217000000000001</v>
      </c>
      <c r="G298" s="64">
        <f>6.0374 * CHOOSE(CONTROL!$C$22, $C$13, 100%, $E$13)</f>
        <v>6.0373999999999999</v>
      </c>
      <c r="H298" s="64">
        <f>9.607* CHOOSE(CONTROL!$C$22, $C$13, 100%, $E$13)</f>
        <v>9.6069999999999993</v>
      </c>
      <c r="I298" s="64">
        <f>9.6227 * CHOOSE(CONTROL!$C$22, $C$13, 100%, $E$13)</f>
        <v>9.6227</v>
      </c>
      <c r="J298" s="64">
        <f>6.0217 * CHOOSE(CONTROL!$C$22, $C$13, 100%, $E$13)</f>
        <v>6.0217000000000001</v>
      </c>
      <c r="K298" s="64">
        <f>6.0374 * CHOOSE(CONTROL!$C$22, $C$13, 100%, $E$13)</f>
        <v>6.0373999999999999</v>
      </c>
    </row>
    <row r="299" spans="1:11" ht="15">
      <c r="A299" s="13">
        <v>50587</v>
      </c>
      <c r="B299" s="63">
        <f>4.9646 * CHOOSE(CONTROL!$C$22, $C$13, 100%, $E$13)</f>
        <v>4.9645999999999999</v>
      </c>
      <c r="C299" s="63">
        <f>4.9646 * CHOOSE(CONTROL!$C$22, $C$13, 100%, $E$13)</f>
        <v>4.9645999999999999</v>
      </c>
      <c r="D299" s="63">
        <f>4.9776 * CHOOSE(CONTROL!$C$22, $C$13, 100%, $E$13)</f>
        <v>4.9775999999999998</v>
      </c>
      <c r="E299" s="64">
        <f>6.1322 * CHOOSE(CONTROL!$C$22, $C$13, 100%, $E$13)</f>
        <v>6.1322000000000001</v>
      </c>
      <c r="F299" s="64">
        <f>6.1322 * CHOOSE(CONTROL!$C$22, $C$13, 100%, $E$13)</f>
        <v>6.1322000000000001</v>
      </c>
      <c r="G299" s="64">
        <f>6.1479 * CHOOSE(CONTROL!$C$22, $C$13, 100%, $E$13)</f>
        <v>6.1478999999999999</v>
      </c>
      <c r="H299" s="64">
        <f>9.627* CHOOSE(CONTROL!$C$22, $C$13, 100%, $E$13)</f>
        <v>9.6270000000000007</v>
      </c>
      <c r="I299" s="64">
        <f>9.6427 * CHOOSE(CONTROL!$C$22, $C$13, 100%, $E$13)</f>
        <v>9.6426999999999996</v>
      </c>
      <c r="J299" s="64">
        <f>6.1322 * CHOOSE(CONTROL!$C$22, $C$13, 100%, $E$13)</f>
        <v>6.1322000000000001</v>
      </c>
      <c r="K299" s="64">
        <f>6.1479 * CHOOSE(CONTROL!$C$22, $C$13, 100%, $E$13)</f>
        <v>6.1478999999999999</v>
      </c>
    </row>
    <row r="300" spans="1:11" ht="15">
      <c r="A300" s="13">
        <v>50618</v>
      </c>
      <c r="B300" s="63">
        <f>4.9713 * CHOOSE(CONTROL!$C$22, $C$13, 100%, $E$13)</f>
        <v>4.9713000000000003</v>
      </c>
      <c r="C300" s="63">
        <f>4.9713 * CHOOSE(CONTROL!$C$22, $C$13, 100%, $E$13)</f>
        <v>4.9713000000000003</v>
      </c>
      <c r="D300" s="63">
        <f>4.9843 * CHOOSE(CONTROL!$C$22, $C$13, 100%, $E$13)</f>
        <v>4.9843000000000002</v>
      </c>
      <c r="E300" s="64">
        <f>6.0481 * CHOOSE(CONTROL!$C$22, $C$13, 100%, $E$13)</f>
        <v>6.0480999999999998</v>
      </c>
      <c r="F300" s="64">
        <f>6.0481 * CHOOSE(CONTROL!$C$22, $C$13, 100%, $E$13)</f>
        <v>6.0480999999999998</v>
      </c>
      <c r="G300" s="64">
        <f>6.0638 * CHOOSE(CONTROL!$C$22, $C$13, 100%, $E$13)</f>
        <v>6.0637999999999996</v>
      </c>
      <c r="H300" s="64">
        <f>9.647* CHOOSE(CONTROL!$C$22, $C$13, 100%, $E$13)</f>
        <v>9.6470000000000002</v>
      </c>
      <c r="I300" s="64">
        <f>9.6627 * CHOOSE(CONTROL!$C$22, $C$13, 100%, $E$13)</f>
        <v>9.6626999999999992</v>
      </c>
      <c r="J300" s="64">
        <f>6.0481 * CHOOSE(CONTROL!$C$22, $C$13, 100%, $E$13)</f>
        <v>6.0480999999999998</v>
      </c>
      <c r="K300" s="64">
        <f>6.0638 * CHOOSE(CONTROL!$C$22, $C$13, 100%, $E$13)</f>
        <v>6.0637999999999996</v>
      </c>
    </row>
    <row r="301" spans="1:11" ht="15">
      <c r="A301" s="13">
        <v>50649</v>
      </c>
      <c r="B301" s="63">
        <f>4.9683 * CHOOSE(CONTROL!$C$22, $C$13, 100%, $E$13)</f>
        <v>4.9683000000000002</v>
      </c>
      <c r="C301" s="63">
        <f>4.9683 * CHOOSE(CONTROL!$C$22, $C$13, 100%, $E$13)</f>
        <v>4.9683000000000002</v>
      </c>
      <c r="D301" s="63">
        <f>4.9813 * CHOOSE(CONTROL!$C$22, $C$13, 100%, $E$13)</f>
        <v>4.9813000000000001</v>
      </c>
      <c r="E301" s="64">
        <f>6.0361 * CHOOSE(CONTROL!$C$22, $C$13, 100%, $E$13)</f>
        <v>6.0361000000000002</v>
      </c>
      <c r="F301" s="64">
        <f>6.0361 * CHOOSE(CONTROL!$C$22, $C$13, 100%, $E$13)</f>
        <v>6.0361000000000002</v>
      </c>
      <c r="G301" s="64">
        <f>6.0518 * CHOOSE(CONTROL!$C$22, $C$13, 100%, $E$13)</f>
        <v>6.0518000000000001</v>
      </c>
      <c r="H301" s="64">
        <f>9.6671* CHOOSE(CONTROL!$C$22, $C$13, 100%, $E$13)</f>
        <v>9.6670999999999996</v>
      </c>
      <c r="I301" s="64">
        <f>9.6828 * CHOOSE(CONTROL!$C$22, $C$13, 100%, $E$13)</f>
        <v>9.6828000000000003</v>
      </c>
      <c r="J301" s="64">
        <f>6.0361 * CHOOSE(CONTROL!$C$22, $C$13, 100%, $E$13)</f>
        <v>6.0361000000000002</v>
      </c>
      <c r="K301" s="64">
        <f>6.0518 * CHOOSE(CONTROL!$C$22, $C$13, 100%, $E$13)</f>
        <v>6.0518000000000001</v>
      </c>
    </row>
    <row r="302" spans="1:11" ht="15">
      <c r="A302" s="13">
        <v>50679</v>
      </c>
      <c r="B302" s="63">
        <f>4.9666 * CHOOSE(CONTROL!$C$22, $C$13, 100%, $E$13)</f>
        <v>4.9665999999999997</v>
      </c>
      <c r="C302" s="63">
        <f>4.9666 * CHOOSE(CONTROL!$C$22, $C$13, 100%, $E$13)</f>
        <v>4.9665999999999997</v>
      </c>
      <c r="D302" s="63">
        <f>4.9666 * CHOOSE(CONTROL!$C$22, $C$13, 100%, $E$13)</f>
        <v>4.9665999999999997</v>
      </c>
      <c r="E302" s="64">
        <f>6.0622 * CHOOSE(CONTROL!$C$22, $C$13, 100%, $E$13)</f>
        <v>6.0621999999999998</v>
      </c>
      <c r="F302" s="64">
        <f>6.0622 * CHOOSE(CONTROL!$C$22, $C$13, 100%, $E$13)</f>
        <v>6.0621999999999998</v>
      </c>
      <c r="G302" s="64">
        <f>6.0622 * CHOOSE(CONTROL!$C$22, $C$13, 100%, $E$13)</f>
        <v>6.0621999999999998</v>
      </c>
      <c r="H302" s="64">
        <f>9.6873* CHOOSE(CONTROL!$C$22, $C$13, 100%, $E$13)</f>
        <v>9.6873000000000005</v>
      </c>
      <c r="I302" s="64">
        <f>9.6874 * CHOOSE(CONTROL!$C$22, $C$13, 100%, $E$13)</f>
        <v>9.6874000000000002</v>
      </c>
      <c r="J302" s="64">
        <f>6.0622 * CHOOSE(CONTROL!$C$22, $C$13, 100%, $E$13)</f>
        <v>6.0621999999999998</v>
      </c>
      <c r="K302" s="64">
        <f>6.0622 * CHOOSE(CONTROL!$C$22, $C$13, 100%, $E$13)</f>
        <v>6.0621999999999998</v>
      </c>
    </row>
    <row r="303" spans="1:11" ht="15">
      <c r="A303" s="13">
        <v>50710</v>
      </c>
      <c r="B303" s="63">
        <f>4.9696 * CHOOSE(CONTROL!$C$22, $C$13, 100%, $E$13)</f>
        <v>4.9695999999999998</v>
      </c>
      <c r="C303" s="63">
        <f>4.9696 * CHOOSE(CONTROL!$C$22, $C$13, 100%, $E$13)</f>
        <v>4.9695999999999998</v>
      </c>
      <c r="D303" s="63">
        <f>4.9696 * CHOOSE(CONTROL!$C$22, $C$13, 100%, $E$13)</f>
        <v>4.9695999999999998</v>
      </c>
      <c r="E303" s="64">
        <f>6.084 * CHOOSE(CONTROL!$C$22, $C$13, 100%, $E$13)</f>
        <v>6.0839999999999996</v>
      </c>
      <c r="F303" s="64">
        <f>6.084 * CHOOSE(CONTROL!$C$22, $C$13, 100%, $E$13)</f>
        <v>6.0839999999999996</v>
      </c>
      <c r="G303" s="64">
        <f>6.0841 * CHOOSE(CONTROL!$C$22, $C$13, 100%, $E$13)</f>
        <v>6.0841000000000003</v>
      </c>
      <c r="H303" s="64">
        <f>9.7075* CHOOSE(CONTROL!$C$22, $C$13, 100%, $E$13)</f>
        <v>9.7074999999999996</v>
      </c>
      <c r="I303" s="64">
        <f>9.7075 * CHOOSE(CONTROL!$C$22, $C$13, 100%, $E$13)</f>
        <v>9.7074999999999996</v>
      </c>
      <c r="J303" s="64">
        <f>6.084 * CHOOSE(CONTROL!$C$22, $C$13, 100%, $E$13)</f>
        <v>6.0839999999999996</v>
      </c>
      <c r="K303" s="64">
        <f>6.0841 * CHOOSE(CONTROL!$C$22, $C$13, 100%, $E$13)</f>
        <v>6.0841000000000003</v>
      </c>
    </row>
    <row r="304" spans="1:11" ht="15">
      <c r="A304" s="13">
        <v>50740</v>
      </c>
      <c r="B304" s="63">
        <f>4.9696 * CHOOSE(CONTROL!$C$22, $C$13, 100%, $E$13)</f>
        <v>4.9695999999999998</v>
      </c>
      <c r="C304" s="63">
        <f>4.9696 * CHOOSE(CONTROL!$C$22, $C$13, 100%, $E$13)</f>
        <v>4.9695999999999998</v>
      </c>
      <c r="D304" s="63">
        <f>4.9696 * CHOOSE(CONTROL!$C$22, $C$13, 100%, $E$13)</f>
        <v>4.9695999999999998</v>
      </c>
      <c r="E304" s="64">
        <f>6.061 * CHOOSE(CONTROL!$C$22, $C$13, 100%, $E$13)</f>
        <v>6.0609999999999999</v>
      </c>
      <c r="F304" s="64">
        <f>6.061 * CHOOSE(CONTROL!$C$22, $C$13, 100%, $E$13)</f>
        <v>6.0609999999999999</v>
      </c>
      <c r="G304" s="64">
        <f>6.0611 * CHOOSE(CONTROL!$C$22, $C$13, 100%, $E$13)</f>
        <v>6.0610999999999997</v>
      </c>
      <c r="H304" s="64">
        <f>9.7277* CHOOSE(CONTROL!$C$22, $C$13, 100%, $E$13)</f>
        <v>9.7277000000000005</v>
      </c>
      <c r="I304" s="64">
        <f>9.7278 * CHOOSE(CONTROL!$C$22, $C$13, 100%, $E$13)</f>
        <v>9.7278000000000002</v>
      </c>
      <c r="J304" s="64">
        <f>6.061 * CHOOSE(CONTROL!$C$22, $C$13, 100%, $E$13)</f>
        <v>6.0609999999999999</v>
      </c>
      <c r="K304" s="64">
        <f>6.0611 * CHOOSE(CONTROL!$C$22, $C$13, 100%, $E$13)</f>
        <v>6.0610999999999997</v>
      </c>
    </row>
    <row r="305" spans="1:11" ht="15">
      <c r="A305" s="13">
        <v>50771</v>
      </c>
      <c r="B305" s="63">
        <f>5.014 * CHOOSE(CONTROL!$C$22, $C$13, 100%, $E$13)</f>
        <v>5.0140000000000002</v>
      </c>
      <c r="C305" s="63">
        <f>5.014 * CHOOSE(CONTROL!$C$22, $C$13, 100%, $E$13)</f>
        <v>5.0140000000000002</v>
      </c>
      <c r="D305" s="63">
        <f>5.014 * CHOOSE(CONTROL!$C$22, $C$13, 100%, $E$13)</f>
        <v>5.0140000000000002</v>
      </c>
      <c r="E305" s="64">
        <f>6.1195 * CHOOSE(CONTROL!$C$22, $C$13, 100%, $E$13)</f>
        <v>6.1195000000000004</v>
      </c>
      <c r="F305" s="64">
        <f>6.1195 * CHOOSE(CONTROL!$C$22, $C$13, 100%, $E$13)</f>
        <v>6.1195000000000004</v>
      </c>
      <c r="G305" s="64">
        <f>6.1195 * CHOOSE(CONTROL!$C$22, $C$13, 100%, $E$13)</f>
        <v>6.1195000000000004</v>
      </c>
      <c r="H305" s="64">
        <f>9.748* CHOOSE(CONTROL!$C$22, $C$13, 100%, $E$13)</f>
        <v>9.7479999999999993</v>
      </c>
      <c r="I305" s="64">
        <f>9.748 * CHOOSE(CONTROL!$C$22, $C$13, 100%, $E$13)</f>
        <v>9.7479999999999993</v>
      </c>
      <c r="J305" s="64">
        <f>6.1195 * CHOOSE(CONTROL!$C$22, $C$13, 100%, $E$13)</f>
        <v>6.1195000000000004</v>
      </c>
      <c r="K305" s="64">
        <f>6.1195 * CHOOSE(CONTROL!$C$22, $C$13, 100%, $E$13)</f>
        <v>6.1195000000000004</v>
      </c>
    </row>
    <row r="306" spans="1:11" ht="15">
      <c r="A306" s="13">
        <v>50802</v>
      </c>
      <c r="B306" s="63">
        <f>5.0109 * CHOOSE(CONTROL!$C$22, $C$13, 100%, $E$13)</f>
        <v>5.0109000000000004</v>
      </c>
      <c r="C306" s="63">
        <f>5.0109 * CHOOSE(CONTROL!$C$22, $C$13, 100%, $E$13)</f>
        <v>5.0109000000000004</v>
      </c>
      <c r="D306" s="63">
        <f>5.0109 * CHOOSE(CONTROL!$C$22, $C$13, 100%, $E$13)</f>
        <v>5.0109000000000004</v>
      </c>
      <c r="E306" s="64">
        <f>6.0216 * CHOOSE(CONTROL!$C$22, $C$13, 100%, $E$13)</f>
        <v>6.0216000000000003</v>
      </c>
      <c r="F306" s="64">
        <f>6.0216 * CHOOSE(CONTROL!$C$22, $C$13, 100%, $E$13)</f>
        <v>6.0216000000000003</v>
      </c>
      <c r="G306" s="64">
        <f>6.0217 * CHOOSE(CONTROL!$C$22, $C$13, 100%, $E$13)</f>
        <v>6.0217000000000001</v>
      </c>
      <c r="H306" s="64">
        <f>9.7683* CHOOSE(CONTROL!$C$22, $C$13, 100%, $E$13)</f>
        <v>9.7683</v>
      </c>
      <c r="I306" s="64">
        <f>9.7683 * CHOOSE(CONTROL!$C$22, $C$13, 100%, $E$13)</f>
        <v>9.7683</v>
      </c>
      <c r="J306" s="64">
        <f>6.0216 * CHOOSE(CONTROL!$C$22, $C$13, 100%, $E$13)</f>
        <v>6.0216000000000003</v>
      </c>
      <c r="K306" s="64">
        <f>6.0217 * CHOOSE(CONTROL!$C$22, $C$13, 100%, $E$13)</f>
        <v>6.0217000000000001</v>
      </c>
    </row>
    <row r="307" spans="1:11" ht="15">
      <c r="A307" s="13">
        <v>50830</v>
      </c>
      <c r="B307" s="63">
        <f>5.0079 * CHOOSE(CONTROL!$C$22, $C$13, 100%, $E$13)</f>
        <v>5.0079000000000002</v>
      </c>
      <c r="C307" s="63">
        <f>5.0079 * CHOOSE(CONTROL!$C$22, $C$13, 100%, $E$13)</f>
        <v>5.0079000000000002</v>
      </c>
      <c r="D307" s="63">
        <f>5.0079 * CHOOSE(CONTROL!$C$22, $C$13, 100%, $E$13)</f>
        <v>5.0079000000000002</v>
      </c>
      <c r="E307" s="64">
        <f>6.095 * CHOOSE(CONTROL!$C$22, $C$13, 100%, $E$13)</f>
        <v>6.0949999999999998</v>
      </c>
      <c r="F307" s="64">
        <f>6.095 * CHOOSE(CONTROL!$C$22, $C$13, 100%, $E$13)</f>
        <v>6.0949999999999998</v>
      </c>
      <c r="G307" s="64">
        <f>6.095 * CHOOSE(CONTROL!$C$22, $C$13, 100%, $E$13)</f>
        <v>6.0949999999999998</v>
      </c>
      <c r="H307" s="64">
        <f>9.7886* CHOOSE(CONTROL!$C$22, $C$13, 100%, $E$13)</f>
        <v>9.7886000000000006</v>
      </c>
      <c r="I307" s="64">
        <f>9.7887 * CHOOSE(CONTROL!$C$22, $C$13, 100%, $E$13)</f>
        <v>9.7887000000000004</v>
      </c>
      <c r="J307" s="64">
        <f>6.095 * CHOOSE(CONTROL!$C$22, $C$13, 100%, $E$13)</f>
        <v>6.0949999999999998</v>
      </c>
      <c r="K307" s="64">
        <f>6.095 * CHOOSE(CONTROL!$C$22, $C$13, 100%, $E$13)</f>
        <v>6.0949999999999998</v>
      </c>
    </row>
    <row r="308" spans="1:11" ht="15">
      <c r="A308" s="13">
        <v>50861</v>
      </c>
      <c r="B308" s="63">
        <f>5.0064 * CHOOSE(CONTROL!$C$22, $C$13, 100%, $E$13)</f>
        <v>5.0064000000000002</v>
      </c>
      <c r="C308" s="63">
        <f>5.0064 * CHOOSE(CONTROL!$C$22, $C$13, 100%, $E$13)</f>
        <v>5.0064000000000002</v>
      </c>
      <c r="D308" s="63">
        <f>5.0064 * CHOOSE(CONTROL!$C$22, $C$13, 100%, $E$13)</f>
        <v>5.0064000000000002</v>
      </c>
      <c r="E308" s="64">
        <f>6.1718 * CHOOSE(CONTROL!$C$22, $C$13, 100%, $E$13)</f>
        <v>6.1718000000000002</v>
      </c>
      <c r="F308" s="64">
        <f>6.1718 * CHOOSE(CONTROL!$C$22, $C$13, 100%, $E$13)</f>
        <v>6.1718000000000002</v>
      </c>
      <c r="G308" s="64">
        <f>6.1718 * CHOOSE(CONTROL!$C$22, $C$13, 100%, $E$13)</f>
        <v>6.1718000000000002</v>
      </c>
      <c r="H308" s="64">
        <f>9.809* CHOOSE(CONTROL!$C$22, $C$13, 100%, $E$13)</f>
        <v>9.8089999999999993</v>
      </c>
      <c r="I308" s="64">
        <f>9.8091 * CHOOSE(CONTROL!$C$22, $C$13, 100%, $E$13)</f>
        <v>9.8091000000000008</v>
      </c>
      <c r="J308" s="64">
        <f>6.1718 * CHOOSE(CONTROL!$C$22, $C$13, 100%, $E$13)</f>
        <v>6.1718000000000002</v>
      </c>
      <c r="K308" s="64">
        <f>6.1718 * CHOOSE(CONTROL!$C$22, $C$13, 100%, $E$13)</f>
        <v>6.1718000000000002</v>
      </c>
    </row>
    <row r="309" spans="1:11" ht="15">
      <c r="A309" s="13">
        <v>50891</v>
      </c>
      <c r="B309" s="63">
        <f>5.0064 * CHOOSE(CONTROL!$C$22, $C$13, 100%, $E$13)</f>
        <v>5.0064000000000002</v>
      </c>
      <c r="C309" s="63">
        <f>5.0064 * CHOOSE(CONTROL!$C$22, $C$13, 100%, $E$13)</f>
        <v>5.0064000000000002</v>
      </c>
      <c r="D309" s="63">
        <f>5.0194 * CHOOSE(CONTROL!$C$22, $C$13, 100%, $E$13)</f>
        <v>5.0194000000000001</v>
      </c>
      <c r="E309" s="64">
        <f>6.2021 * CHOOSE(CONTROL!$C$22, $C$13, 100%, $E$13)</f>
        <v>6.2020999999999997</v>
      </c>
      <c r="F309" s="64">
        <f>6.2021 * CHOOSE(CONTROL!$C$22, $C$13, 100%, $E$13)</f>
        <v>6.2020999999999997</v>
      </c>
      <c r="G309" s="64">
        <f>6.2178 * CHOOSE(CONTROL!$C$22, $C$13, 100%, $E$13)</f>
        <v>6.2178000000000004</v>
      </c>
      <c r="H309" s="64">
        <f>9.8294* CHOOSE(CONTROL!$C$22, $C$13, 100%, $E$13)</f>
        <v>9.8293999999999997</v>
      </c>
      <c r="I309" s="64">
        <f>9.8451 * CHOOSE(CONTROL!$C$22, $C$13, 100%, $E$13)</f>
        <v>9.8451000000000004</v>
      </c>
      <c r="J309" s="64">
        <f>6.2021 * CHOOSE(CONTROL!$C$22, $C$13, 100%, $E$13)</f>
        <v>6.2020999999999997</v>
      </c>
      <c r="K309" s="64">
        <f>6.2178 * CHOOSE(CONTROL!$C$22, $C$13, 100%, $E$13)</f>
        <v>6.2178000000000004</v>
      </c>
    </row>
    <row r="310" spans="1:11" ht="15">
      <c r="A310" s="13">
        <v>50922</v>
      </c>
      <c r="B310" s="63">
        <f>5.0125 * CHOOSE(CONTROL!$C$22, $C$13, 100%, $E$13)</f>
        <v>5.0125000000000002</v>
      </c>
      <c r="C310" s="63">
        <f>5.0125 * CHOOSE(CONTROL!$C$22, $C$13, 100%, $E$13)</f>
        <v>5.0125000000000002</v>
      </c>
      <c r="D310" s="63">
        <f>5.0255 * CHOOSE(CONTROL!$C$22, $C$13, 100%, $E$13)</f>
        <v>5.0255000000000001</v>
      </c>
      <c r="E310" s="64">
        <f>6.176 * CHOOSE(CONTROL!$C$22, $C$13, 100%, $E$13)</f>
        <v>6.1760000000000002</v>
      </c>
      <c r="F310" s="64">
        <f>6.176 * CHOOSE(CONTROL!$C$22, $C$13, 100%, $E$13)</f>
        <v>6.1760000000000002</v>
      </c>
      <c r="G310" s="64">
        <f>6.1917 * CHOOSE(CONTROL!$C$22, $C$13, 100%, $E$13)</f>
        <v>6.1917</v>
      </c>
      <c r="H310" s="64">
        <f>9.8499* CHOOSE(CONTROL!$C$22, $C$13, 100%, $E$13)</f>
        <v>9.8498999999999999</v>
      </c>
      <c r="I310" s="64">
        <f>9.8656 * CHOOSE(CONTROL!$C$22, $C$13, 100%, $E$13)</f>
        <v>9.8656000000000006</v>
      </c>
      <c r="J310" s="64">
        <f>6.176 * CHOOSE(CONTROL!$C$22, $C$13, 100%, $E$13)</f>
        <v>6.1760000000000002</v>
      </c>
      <c r="K310" s="64">
        <f>6.1917 * CHOOSE(CONTROL!$C$22, $C$13, 100%, $E$13)</f>
        <v>6.1917</v>
      </c>
    </row>
    <row r="311" spans="1:11" ht="15">
      <c r="A311" s="13">
        <v>50952</v>
      </c>
      <c r="B311" s="63">
        <f>5.0952 * CHOOSE(CONTROL!$C$22, $C$13, 100%, $E$13)</f>
        <v>5.0952000000000002</v>
      </c>
      <c r="C311" s="63">
        <f>5.0952 * CHOOSE(CONTROL!$C$22, $C$13, 100%, $E$13)</f>
        <v>5.0952000000000002</v>
      </c>
      <c r="D311" s="63">
        <f>5.1081 * CHOOSE(CONTROL!$C$22, $C$13, 100%, $E$13)</f>
        <v>5.1081000000000003</v>
      </c>
      <c r="E311" s="64">
        <f>6.2809 * CHOOSE(CONTROL!$C$22, $C$13, 100%, $E$13)</f>
        <v>6.2808999999999999</v>
      </c>
      <c r="F311" s="64">
        <f>6.2809 * CHOOSE(CONTROL!$C$22, $C$13, 100%, $E$13)</f>
        <v>6.2808999999999999</v>
      </c>
      <c r="G311" s="64">
        <f>6.2966 * CHOOSE(CONTROL!$C$22, $C$13, 100%, $E$13)</f>
        <v>6.2965999999999998</v>
      </c>
      <c r="H311" s="64">
        <f>9.8704* CHOOSE(CONTROL!$C$22, $C$13, 100%, $E$13)</f>
        <v>9.8704000000000001</v>
      </c>
      <c r="I311" s="64">
        <f>9.8861 * CHOOSE(CONTROL!$C$22, $C$13, 100%, $E$13)</f>
        <v>9.8861000000000008</v>
      </c>
      <c r="J311" s="64">
        <f>6.2809 * CHOOSE(CONTROL!$C$22, $C$13, 100%, $E$13)</f>
        <v>6.2808999999999999</v>
      </c>
      <c r="K311" s="64">
        <f>6.2966 * CHOOSE(CONTROL!$C$22, $C$13, 100%, $E$13)</f>
        <v>6.2965999999999998</v>
      </c>
    </row>
    <row r="312" spans="1:11" ht="15">
      <c r="A312" s="13">
        <v>50983</v>
      </c>
      <c r="B312" s="63">
        <f>5.1019 * CHOOSE(CONTROL!$C$22, $C$13, 100%, $E$13)</f>
        <v>5.1018999999999997</v>
      </c>
      <c r="C312" s="63">
        <f>5.1019 * CHOOSE(CONTROL!$C$22, $C$13, 100%, $E$13)</f>
        <v>5.1018999999999997</v>
      </c>
      <c r="D312" s="63">
        <f>5.1148 * CHOOSE(CONTROL!$C$22, $C$13, 100%, $E$13)</f>
        <v>5.1147999999999998</v>
      </c>
      <c r="E312" s="64">
        <f>6.1944 * CHOOSE(CONTROL!$C$22, $C$13, 100%, $E$13)</f>
        <v>6.1943999999999999</v>
      </c>
      <c r="F312" s="64">
        <f>6.1944 * CHOOSE(CONTROL!$C$22, $C$13, 100%, $E$13)</f>
        <v>6.1943999999999999</v>
      </c>
      <c r="G312" s="64">
        <f>6.2101 * CHOOSE(CONTROL!$C$22, $C$13, 100%, $E$13)</f>
        <v>6.2100999999999997</v>
      </c>
      <c r="H312" s="64">
        <f>9.891* CHOOSE(CONTROL!$C$22, $C$13, 100%, $E$13)</f>
        <v>9.891</v>
      </c>
      <c r="I312" s="64">
        <f>9.9067 * CHOOSE(CONTROL!$C$22, $C$13, 100%, $E$13)</f>
        <v>9.9067000000000007</v>
      </c>
      <c r="J312" s="64">
        <f>6.1944 * CHOOSE(CONTROL!$C$22, $C$13, 100%, $E$13)</f>
        <v>6.1943999999999999</v>
      </c>
      <c r="K312" s="64">
        <f>6.2101 * CHOOSE(CONTROL!$C$22, $C$13, 100%, $E$13)</f>
        <v>6.2100999999999997</v>
      </c>
    </row>
    <row r="313" spans="1:11" ht="15">
      <c r="A313" s="13">
        <v>51014</v>
      </c>
      <c r="B313" s="63">
        <f>5.0988 * CHOOSE(CONTROL!$C$22, $C$13, 100%, $E$13)</f>
        <v>5.0987999999999998</v>
      </c>
      <c r="C313" s="63">
        <f>5.0988 * CHOOSE(CONTROL!$C$22, $C$13, 100%, $E$13)</f>
        <v>5.0987999999999998</v>
      </c>
      <c r="D313" s="63">
        <f>5.1118 * CHOOSE(CONTROL!$C$22, $C$13, 100%, $E$13)</f>
        <v>5.1117999999999997</v>
      </c>
      <c r="E313" s="64">
        <f>6.1822 * CHOOSE(CONTROL!$C$22, $C$13, 100%, $E$13)</f>
        <v>6.1821999999999999</v>
      </c>
      <c r="F313" s="64">
        <f>6.1822 * CHOOSE(CONTROL!$C$22, $C$13, 100%, $E$13)</f>
        <v>6.1821999999999999</v>
      </c>
      <c r="G313" s="64">
        <f>6.1979 * CHOOSE(CONTROL!$C$22, $C$13, 100%, $E$13)</f>
        <v>6.1978999999999997</v>
      </c>
      <c r="H313" s="64">
        <f>9.9116* CHOOSE(CONTROL!$C$22, $C$13, 100%, $E$13)</f>
        <v>9.9116</v>
      </c>
      <c r="I313" s="64">
        <f>9.9273 * CHOOSE(CONTROL!$C$22, $C$13, 100%, $E$13)</f>
        <v>9.9273000000000007</v>
      </c>
      <c r="J313" s="64">
        <f>6.1822 * CHOOSE(CONTROL!$C$22, $C$13, 100%, $E$13)</f>
        <v>6.1821999999999999</v>
      </c>
      <c r="K313" s="64">
        <f>6.1979 * CHOOSE(CONTROL!$C$22, $C$13, 100%, $E$13)</f>
        <v>6.1978999999999997</v>
      </c>
    </row>
    <row r="314" spans="1:11" ht="15">
      <c r="A314" s="13">
        <v>51044</v>
      </c>
      <c r="B314" s="63">
        <f>5.0975 * CHOOSE(CONTROL!$C$22, $C$13, 100%, $E$13)</f>
        <v>5.0975000000000001</v>
      </c>
      <c r="C314" s="63">
        <f>5.0975 * CHOOSE(CONTROL!$C$22, $C$13, 100%, $E$13)</f>
        <v>5.0975000000000001</v>
      </c>
      <c r="D314" s="63">
        <f>5.0975 * CHOOSE(CONTROL!$C$22, $C$13, 100%, $E$13)</f>
        <v>5.0975000000000001</v>
      </c>
      <c r="E314" s="64">
        <f>6.2093 * CHOOSE(CONTROL!$C$22, $C$13, 100%, $E$13)</f>
        <v>6.2092999999999998</v>
      </c>
      <c r="F314" s="64">
        <f>6.2093 * CHOOSE(CONTROL!$C$22, $C$13, 100%, $E$13)</f>
        <v>6.2092999999999998</v>
      </c>
      <c r="G314" s="64">
        <f>6.2094 * CHOOSE(CONTROL!$C$22, $C$13, 100%, $E$13)</f>
        <v>6.2093999999999996</v>
      </c>
      <c r="H314" s="64">
        <f>9.9323* CHOOSE(CONTROL!$C$22, $C$13, 100%, $E$13)</f>
        <v>9.9322999999999997</v>
      </c>
      <c r="I314" s="64">
        <f>9.9323 * CHOOSE(CONTROL!$C$22, $C$13, 100%, $E$13)</f>
        <v>9.9322999999999997</v>
      </c>
      <c r="J314" s="64">
        <f>6.2093 * CHOOSE(CONTROL!$C$22, $C$13, 100%, $E$13)</f>
        <v>6.2092999999999998</v>
      </c>
      <c r="K314" s="64">
        <f>6.2094 * CHOOSE(CONTROL!$C$22, $C$13, 100%, $E$13)</f>
        <v>6.2093999999999996</v>
      </c>
    </row>
    <row r="315" spans="1:11" ht="15">
      <c r="A315" s="13">
        <v>51075</v>
      </c>
      <c r="B315" s="63">
        <f>5.1006 * CHOOSE(CONTROL!$C$22, $C$13, 100%, $E$13)</f>
        <v>5.1006</v>
      </c>
      <c r="C315" s="63">
        <f>5.1006 * CHOOSE(CONTROL!$C$22, $C$13, 100%, $E$13)</f>
        <v>5.1006</v>
      </c>
      <c r="D315" s="63">
        <f>5.1006 * CHOOSE(CONTROL!$C$22, $C$13, 100%, $E$13)</f>
        <v>5.1006</v>
      </c>
      <c r="E315" s="64">
        <f>6.2316 * CHOOSE(CONTROL!$C$22, $C$13, 100%, $E$13)</f>
        <v>6.2316000000000003</v>
      </c>
      <c r="F315" s="64">
        <f>6.2316 * CHOOSE(CONTROL!$C$22, $C$13, 100%, $E$13)</f>
        <v>6.2316000000000003</v>
      </c>
      <c r="G315" s="64">
        <f>6.2317 * CHOOSE(CONTROL!$C$22, $C$13, 100%, $E$13)</f>
        <v>6.2317</v>
      </c>
      <c r="H315" s="64">
        <f>9.9529* CHOOSE(CONTROL!$C$22, $C$13, 100%, $E$13)</f>
        <v>9.9528999999999996</v>
      </c>
      <c r="I315" s="64">
        <f>9.953 * CHOOSE(CONTROL!$C$22, $C$13, 100%, $E$13)</f>
        <v>9.9529999999999994</v>
      </c>
      <c r="J315" s="64">
        <f>6.2316 * CHOOSE(CONTROL!$C$22, $C$13, 100%, $E$13)</f>
        <v>6.2316000000000003</v>
      </c>
      <c r="K315" s="64">
        <f>6.2317 * CHOOSE(CONTROL!$C$22, $C$13, 100%, $E$13)</f>
        <v>6.2317</v>
      </c>
    </row>
    <row r="316" spans="1:11" ht="15">
      <c r="A316" s="13">
        <v>51105</v>
      </c>
      <c r="B316" s="63">
        <f>5.1006 * CHOOSE(CONTROL!$C$22, $C$13, 100%, $E$13)</f>
        <v>5.1006</v>
      </c>
      <c r="C316" s="63">
        <f>5.1006 * CHOOSE(CONTROL!$C$22, $C$13, 100%, $E$13)</f>
        <v>5.1006</v>
      </c>
      <c r="D316" s="63">
        <f>5.1006 * CHOOSE(CONTROL!$C$22, $C$13, 100%, $E$13)</f>
        <v>5.1006</v>
      </c>
      <c r="E316" s="64">
        <f>6.181 * CHOOSE(CONTROL!$C$22, $C$13, 100%, $E$13)</f>
        <v>6.181</v>
      </c>
      <c r="F316" s="64">
        <f>6.181 * CHOOSE(CONTROL!$C$22, $C$13, 100%, $E$13)</f>
        <v>6.181</v>
      </c>
      <c r="G316" s="64">
        <f>6.1811 * CHOOSE(CONTROL!$C$22, $C$13, 100%, $E$13)</f>
        <v>6.1810999999999998</v>
      </c>
      <c r="H316" s="64">
        <f>9.9737* CHOOSE(CONTROL!$C$22, $C$13, 100%, $E$13)</f>
        <v>9.9736999999999991</v>
      </c>
      <c r="I316" s="64">
        <f>9.9738 * CHOOSE(CONTROL!$C$22, $C$13, 100%, $E$13)</f>
        <v>9.9738000000000007</v>
      </c>
      <c r="J316" s="64">
        <f>6.181 * CHOOSE(CONTROL!$C$22, $C$13, 100%, $E$13)</f>
        <v>6.181</v>
      </c>
      <c r="K316" s="64">
        <f>6.1811 * CHOOSE(CONTROL!$C$22, $C$13, 100%, $E$13)</f>
        <v>6.1810999999999998</v>
      </c>
    </row>
    <row r="317" spans="1:11" ht="15">
      <c r="A317" s="13">
        <v>51136</v>
      </c>
      <c r="B317" s="63">
        <f>5.146 * CHOOSE(CONTROL!$C$22, $C$13, 100%, $E$13)</f>
        <v>5.1459999999999999</v>
      </c>
      <c r="C317" s="63">
        <f>5.146 * CHOOSE(CONTROL!$C$22, $C$13, 100%, $E$13)</f>
        <v>5.1459999999999999</v>
      </c>
      <c r="D317" s="63">
        <f>5.146 * CHOOSE(CONTROL!$C$22, $C$13, 100%, $E$13)</f>
        <v>5.1459999999999999</v>
      </c>
      <c r="E317" s="64">
        <f>6.2686 * CHOOSE(CONTROL!$C$22, $C$13, 100%, $E$13)</f>
        <v>6.2686000000000002</v>
      </c>
      <c r="F317" s="64">
        <f>6.2686 * CHOOSE(CONTROL!$C$22, $C$13, 100%, $E$13)</f>
        <v>6.2686000000000002</v>
      </c>
      <c r="G317" s="64">
        <f>6.2687 * CHOOSE(CONTROL!$C$22, $C$13, 100%, $E$13)</f>
        <v>6.2686999999999999</v>
      </c>
      <c r="H317" s="64">
        <f>9.9945* CHOOSE(CONTROL!$C$22, $C$13, 100%, $E$13)</f>
        <v>9.9945000000000004</v>
      </c>
      <c r="I317" s="64">
        <f>9.9945 * CHOOSE(CONTROL!$C$22, $C$13, 100%, $E$13)</f>
        <v>9.9945000000000004</v>
      </c>
      <c r="J317" s="64">
        <f>6.2686 * CHOOSE(CONTROL!$C$22, $C$13, 100%, $E$13)</f>
        <v>6.2686000000000002</v>
      </c>
      <c r="K317" s="64">
        <f>6.2687 * CHOOSE(CONTROL!$C$22, $C$13, 100%, $E$13)</f>
        <v>6.2686999999999999</v>
      </c>
    </row>
    <row r="318" spans="1:11" ht="15">
      <c r="A318" s="13">
        <v>51167</v>
      </c>
      <c r="B318" s="63">
        <f>5.1429 * CHOOSE(CONTROL!$C$22, $C$13, 100%, $E$13)</f>
        <v>5.1429</v>
      </c>
      <c r="C318" s="63">
        <f>5.1429 * CHOOSE(CONTROL!$C$22, $C$13, 100%, $E$13)</f>
        <v>5.1429</v>
      </c>
      <c r="D318" s="63">
        <f>5.1429 * CHOOSE(CONTROL!$C$22, $C$13, 100%, $E$13)</f>
        <v>5.1429</v>
      </c>
      <c r="E318" s="64">
        <f>6.1681 * CHOOSE(CONTROL!$C$22, $C$13, 100%, $E$13)</f>
        <v>6.1680999999999999</v>
      </c>
      <c r="F318" s="64">
        <f>6.1681 * CHOOSE(CONTROL!$C$22, $C$13, 100%, $E$13)</f>
        <v>6.1680999999999999</v>
      </c>
      <c r="G318" s="64">
        <f>6.1682 * CHOOSE(CONTROL!$C$22, $C$13, 100%, $E$13)</f>
        <v>6.1681999999999997</v>
      </c>
      <c r="H318" s="64">
        <f>10.0153* CHOOSE(CONTROL!$C$22, $C$13, 100%, $E$13)</f>
        <v>10.0153</v>
      </c>
      <c r="I318" s="64">
        <f>10.0154 * CHOOSE(CONTROL!$C$22, $C$13, 100%, $E$13)</f>
        <v>10.0154</v>
      </c>
      <c r="J318" s="64">
        <f>6.1681 * CHOOSE(CONTROL!$C$22, $C$13, 100%, $E$13)</f>
        <v>6.1680999999999999</v>
      </c>
      <c r="K318" s="64">
        <f>6.1682 * CHOOSE(CONTROL!$C$22, $C$13, 100%, $E$13)</f>
        <v>6.1681999999999997</v>
      </c>
    </row>
    <row r="319" spans="1:11" ht="15">
      <c r="A319" s="13">
        <v>51196</v>
      </c>
      <c r="B319" s="63">
        <f>5.1399 * CHOOSE(CONTROL!$C$22, $C$13, 100%, $E$13)</f>
        <v>5.1398999999999999</v>
      </c>
      <c r="C319" s="63">
        <f>5.1399 * CHOOSE(CONTROL!$C$22, $C$13, 100%, $E$13)</f>
        <v>5.1398999999999999</v>
      </c>
      <c r="D319" s="63">
        <f>5.1399 * CHOOSE(CONTROL!$C$22, $C$13, 100%, $E$13)</f>
        <v>5.1398999999999999</v>
      </c>
      <c r="E319" s="64">
        <f>6.2435 * CHOOSE(CONTROL!$C$22, $C$13, 100%, $E$13)</f>
        <v>6.2435</v>
      </c>
      <c r="F319" s="64">
        <f>6.2435 * CHOOSE(CONTROL!$C$22, $C$13, 100%, $E$13)</f>
        <v>6.2435</v>
      </c>
      <c r="G319" s="64">
        <f>6.2436 * CHOOSE(CONTROL!$C$22, $C$13, 100%, $E$13)</f>
        <v>6.2435999999999998</v>
      </c>
      <c r="H319" s="64">
        <f>10.0361* CHOOSE(CONTROL!$C$22, $C$13, 100%, $E$13)</f>
        <v>10.036099999999999</v>
      </c>
      <c r="I319" s="64">
        <f>10.0362 * CHOOSE(CONTROL!$C$22, $C$13, 100%, $E$13)</f>
        <v>10.036199999999999</v>
      </c>
      <c r="J319" s="64">
        <f>6.2435 * CHOOSE(CONTROL!$C$22, $C$13, 100%, $E$13)</f>
        <v>6.2435</v>
      </c>
      <c r="K319" s="64">
        <f>6.2436 * CHOOSE(CONTROL!$C$22, $C$13, 100%, $E$13)</f>
        <v>6.2435999999999998</v>
      </c>
    </row>
    <row r="320" spans="1:11" ht="15">
      <c r="A320" s="13">
        <v>51227</v>
      </c>
      <c r="B320" s="63">
        <f>5.1385 * CHOOSE(CONTROL!$C$22, $C$13, 100%, $E$13)</f>
        <v>5.1384999999999996</v>
      </c>
      <c r="C320" s="63">
        <f>5.1385 * CHOOSE(CONTROL!$C$22, $C$13, 100%, $E$13)</f>
        <v>5.1384999999999996</v>
      </c>
      <c r="D320" s="63">
        <f>5.1385 * CHOOSE(CONTROL!$C$22, $C$13, 100%, $E$13)</f>
        <v>5.1384999999999996</v>
      </c>
      <c r="E320" s="64">
        <f>6.3226 * CHOOSE(CONTROL!$C$22, $C$13, 100%, $E$13)</f>
        <v>6.3226000000000004</v>
      </c>
      <c r="F320" s="64">
        <f>6.3226 * CHOOSE(CONTROL!$C$22, $C$13, 100%, $E$13)</f>
        <v>6.3226000000000004</v>
      </c>
      <c r="G320" s="64">
        <f>6.3227 * CHOOSE(CONTROL!$C$22, $C$13, 100%, $E$13)</f>
        <v>6.3227000000000002</v>
      </c>
      <c r="H320" s="64">
        <f>10.0571* CHOOSE(CONTROL!$C$22, $C$13, 100%, $E$13)</f>
        <v>10.0571</v>
      </c>
      <c r="I320" s="64">
        <f>10.0571 * CHOOSE(CONTROL!$C$22, $C$13, 100%, $E$13)</f>
        <v>10.0571</v>
      </c>
      <c r="J320" s="64">
        <f>6.3226 * CHOOSE(CONTROL!$C$22, $C$13, 100%, $E$13)</f>
        <v>6.3226000000000004</v>
      </c>
      <c r="K320" s="64">
        <f>6.3227 * CHOOSE(CONTROL!$C$22, $C$13, 100%, $E$13)</f>
        <v>6.3227000000000002</v>
      </c>
    </row>
    <row r="321" spans="1:11" ht="15">
      <c r="A321" s="13">
        <v>51257</v>
      </c>
      <c r="B321" s="63">
        <f>5.1385 * CHOOSE(CONTROL!$C$22, $C$13, 100%, $E$13)</f>
        <v>5.1384999999999996</v>
      </c>
      <c r="C321" s="63">
        <f>5.1385 * CHOOSE(CONTROL!$C$22, $C$13, 100%, $E$13)</f>
        <v>5.1384999999999996</v>
      </c>
      <c r="D321" s="63">
        <f>5.1515 * CHOOSE(CONTROL!$C$22, $C$13, 100%, $E$13)</f>
        <v>5.1515000000000004</v>
      </c>
      <c r="E321" s="64">
        <f>6.3538 * CHOOSE(CONTROL!$C$22, $C$13, 100%, $E$13)</f>
        <v>6.3537999999999997</v>
      </c>
      <c r="F321" s="64">
        <f>6.3538 * CHOOSE(CONTROL!$C$22, $C$13, 100%, $E$13)</f>
        <v>6.3537999999999997</v>
      </c>
      <c r="G321" s="64">
        <f>6.3695 * CHOOSE(CONTROL!$C$22, $C$13, 100%, $E$13)</f>
        <v>6.3695000000000004</v>
      </c>
      <c r="H321" s="64">
        <f>10.078* CHOOSE(CONTROL!$C$22, $C$13, 100%, $E$13)</f>
        <v>10.077999999999999</v>
      </c>
      <c r="I321" s="64">
        <f>10.0937 * CHOOSE(CONTROL!$C$22, $C$13, 100%, $E$13)</f>
        <v>10.0937</v>
      </c>
      <c r="J321" s="64">
        <f>6.3538 * CHOOSE(CONTROL!$C$22, $C$13, 100%, $E$13)</f>
        <v>6.3537999999999997</v>
      </c>
      <c r="K321" s="64">
        <f>6.3695 * CHOOSE(CONTROL!$C$22, $C$13, 100%, $E$13)</f>
        <v>6.3695000000000004</v>
      </c>
    </row>
    <row r="322" spans="1:11" ht="15">
      <c r="A322" s="13">
        <v>51288</v>
      </c>
      <c r="B322" s="63">
        <f>5.1446 * CHOOSE(CONTROL!$C$22, $C$13, 100%, $E$13)</f>
        <v>5.1445999999999996</v>
      </c>
      <c r="C322" s="63">
        <f>5.1446 * CHOOSE(CONTROL!$C$22, $C$13, 100%, $E$13)</f>
        <v>5.1445999999999996</v>
      </c>
      <c r="D322" s="63">
        <f>5.1576 * CHOOSE(CONTROL!$C$22, $C$13, 100%, $E$13)</f>
        <v>5.1576000000000004</v>
      </c>
      <c r="E322" s="64">
        <f>6.3268 * CHOOSE(CONTROL!$C$22, $C$13, 100%, $E$13)</f>
        <v>6.3268000000000004</v>
      </c>
      <c r="F322" s="64">
        <f>6.3268 * CHOOSE(CONTROL!$C$22, $C$13, 100%, $E$13)</f>
        <v>6.3268000000000004</v>
      </c>
      <c r="G322" s="64">
        <f>6.3425 * CHOOSE(CONTROL!$C$22, $C$13, 100%, $E$13)</f>
        <v>6.3425000000000002</v>
      </c>
      <c r="H322" s="64">
        <f>10.099* CHOOSE(CONTROL!$C$22, $C$13, 100%, $E$13)</f>
        <v>10.099</v>
      </c>
      <c r="I322" s="64">
        <f>10.1147 * CHOOSE(CONTROL!$C$22, $C$13, 100%, $E$13)</f>
        <v>10.114699999999999</v>
      </c>
      <c r="J322" s="64">
        <f>6.3268 * CHOOSE(CONTROL!$C$22, $C$13, 100%, $E$13)</f>
        <v>6.3268000000000004</v>
      </c>
      <c r="K322" s="64">
        <f>6.3425 * CHOOSE(CONTROL!$C$22, $C$13, 100%, $E$13)</f>
        <v>6.3425000000000002</v>
      </c>
    </row>
    <row r="323" spans="1:11" ht="15">
      <c r="A323" s="13">
        <v>51318</v>
      </c>
      <c r="B323" s="63">
        <f>5.2293 * CHOOSE(CONTROL!$C$22, $C$13, 100%, $E$13)</f>
        <v>5.2293000000000003</v>
      </c>
      <c r="C323" s="63">
        <f>5.2293 * CHOOSE(CONTROL!$C$22, $C$13, 100%, $E$13)</f>
        <v>5.2293000000000003</v>
      </c>
      <c r="D323" s="63">
        <f>5.2423 * CHOOSE(CONTROL!$C$22, $C$13, 100%, $E$13)</f>
        <v>5.2423000000000002</v>
      </c>
      <c r="E323" s="64">
        <f>6.4346 * CHOOSE(CONTROL!$C$22, $C$13, 100%, $E$13)</f>
        <v>6.4345999999999997</v>
      </c>
      <c r="F323" s="64">
        <f>6.4346 * CHOOSE(CONTROL!$C$22, $C$13, 100%, $E$13)</f>
        <v>6.4345999999999997</v>
      </c>
      <c r="G323" s="64">
        <f>6.4503 * CHOOSE(CONTROL!$C$22, $C$13, 100%, $E$13)</f>
        <v>6.4503000000000004</v>
      </c>
      <c r="H323" s="64">
        <f>10.12* CHOOSE(CONTROL!$C$22, $C$13, 100%, $E$13)</f>
        <v>10.119999999999999</v>
      </c>
      <c r="I323" s="64">
        <f>10.1357 * CHOOSE(CONTROL!$C$22, $C$13, 100%, $E$13)</f>
        <v>10.1357</v>
      </c>
      <c r="J323" s="64">
        <f>6.4346 * CHOOSE(CONTROL!$C$22, $C$13, 100%, $E$13)</f>
        <v>6.4345999999999997</v>
      </c>
      <c r="K323" s="64">
        <f>6.4503 * CHOOSE(CONTROL!$C$22, $C$13, 100%, $E$13)</f>
        <v>6.4503000000000004</v>
      </c>
    </row>
    <row r="324" spans="1:11" ht="15">
      <c r="A324" s="13">
        <v>51349</v>
      </c>
      <c r="B324" s="63">
        <f>5.236 * CHOOSE(CONTROL!$C$22, $C$13, 100%, $E$13)</f>
        <v>5.2359999999999998</v>
      </c>
      <c r="C324" s="63">
        <f>5.236 * CHOOSE(CONTROL!$C$22, $C$13, 100%, $E$13)</f>
        <v>5.2359999999999998</v>
      </c>
      <c r="D324" s="63">
        <f>5.249 * CHOOSE(CONTROL!$C$22, $C$13, 100%, $E$13)</f>
        <v>5.2489999999999997</v>
      </c>
      <c r="E324" s="64">
        <f>6.3455 * CHOOSE(CONTROL!$C$22, $C$13, 100%, $E$13)</f>
        <v>6.3455000000000004</v>
      </c>
      <c r="F324" s="64">
        <f>6.3455 * CHOOSE(CONTROL!$C$22, $C$13, 100%, $E$13)</f>
        <v>6.3455000000000004</v>
      </c>
      <c r="G324" s="64">
        <f>6.3612 * CHOOSE(CONTROL!$C$22, $C$13, 100%, $E$13)</f>
        <v>6.3612000000000002</v>
      </c>
      <c r="H324" s="64">
        <f>10.1411* CHOOSE(CONTROL!$C$22, $C$13, 100%, $E$13)</f>
        <v>10.1411</v>
      </c>
      <c r="I324" s="64">
        <f>10.1568 * CHOOSE(CONTROL!$C$22, $C$13, 100%, $E$13)</f>
        <v>10.1568</v>
      </c>
      <c r="J324" s="64">
        <f>6.3455 * CHOOSE(CONTROL!$C$22, $C$13, 100%, $E$13)</f>
        <v>6.3455000000000004</v>
      </c>
      <c r="K324" s="64">
        <f>6.3612 * CHOOSE(CONTROL!$C$22, $C$13, 100%, $E$13)</f>
        <v>6.3612000000000002</v>
      </c>
    </row>
    <row r="325" spans="1:11" ht="15">
      <c r="A325" s="13">
        <v>51380</v>
      </c>
      <c r="B325" s="63">
        <f>5.233 * CHOOSE(CONTROL!$C$22, $C$13, 100%, $E$13)</f>
        <v>5.2329999999999997</v>
      </c>
      <c r="C325" s="63">
        <f>5.233 * CHOOSE(CONTROL!$C$22, $C$13, 100%, $E$13)</f>
        <v>5.2329999999999997</v>
      </c>
      <c r="D325" s="63">
        <f>5.2459 * CHOOSE(CONTROL!$C$22, $C$13, 100%, $E$13)</f>
        <v>5.2458999999999998</v>
      </c>
      <c r="E325" s="64">
        <f>6.333 * CHOOSE(CONTROL!$C$22, $C$13, 100%, $E$13)</f>
        <v>6.3330000000000002</v>
      </c>
      <c r="F325" s="64">
        <f>6.333 * CHOOSE(CONTROL!$C$22, $C$13, 100%, $E$13)</f>
        <v>6.3330000000000002</v>
      </c>
      <c r="G325" s="64">
        <f>6.3487 * CHOOSE(CONTROL!$C$22, $C$13, 100%, $E$13)</f>
        <v>6.3487</v>
      </c>
      <c r="H325" s="64">
        <f>10.1623* CHOOSE(CONTROL!$C$22, $C$13, 100%, $E$13)</f>
        <v>10.1623</v>
      </c>
      <c r="I325" s="64">
        <f>10.1779 * CHOOSE(CONTROL!$C$22, $C$13, 100%, $E$13)</f>
        <v>10.177899999999999</v>
      </c>
      <c r="J325" s="64">
        <f>6.333 * CHOOSE(CONTROL!$C$22, $C$13, 100%, $E$13)</f>
        <v>6.3330000000000002</v>
      </c>
      <c r="K325" s="64">
        <f>6.3487 * CHOOSE(CONTROL!$C$22, $C$13, 100%, $E$13)</f>
        <v>6.3487</v>
      </c>
    </row>
    <row r="326" spans="1:11" ht="15">
      <c r="A326" s="13">
        <v>51410</v>
      </c>
      <c r="B326" s="63">
        <f>5.2321 * CHOOSE(CONTROL!$C$22, $C$13, 100%, $E$13)</f>
        <v>5.2321</v>
      </c>
      <c r="C326" s="63">
        <f>5.2321 * CHOOSE(CONTROL!$C$22, $C$13, 100%, $E$13)</f>
        <v>5.2321</v>
      </c>
      <c r="D326" s="63">
        <f>5.2321 * CHOOSE(CONTROL!$C$22, $C$13, 100%, $E$13)</f>
        <v>5.2321</v>
      </c>
      <c r="E326" s="64">
        <f>6.3612 * CHOOSE(CONTROL!$C$22, $C$13, 100%, $E$13)</f>
        <v>6.3612000000000002</v>
      </c>
      <c r="F326" s="64">
        <f>6.3612 * CHOOSE(CONTROL!$C$22, $C$13, 100%, $E$13)</f>
        <v>6.3612000000000002</v>
      </c>
      <c r="G326" s="64">
        <f>6.3613 * CHOOSE(CONTROL!$C$22, $C$13, 100%, $E$13)</f>
        <v>6.3613</v>
      </c>
      <c r="H326" s="64">
        <f>10.1834* CHOOSE(CONTROL!$C$22, $C$13, 100%, $E$13)</f>
        <v>10.183400000000001</v>
      </c>
      <c r="I326" s="64">
        <f>10.1835 * CHOOSE(CONTROL!$C$22, $C$13, 100%, $E$13)</f>
        <v>10.1835</v>
      </c>
      <c r="J326" s="64">
        <f>6.3612 * CHOOSE(CONTROL!$C$22, $C$13, 100%, $E$13)</f>
        <v>6.3612000000000002</v>
      </c>
      <c r="K326" s="64">
        <f>6.3613 * CHOOSE(CONTROL!$C$22, $C$13, 100%, $E$13)</f>
        <v>6.3613</v>
      </c>
    </row>
    <row r="327" spans="1:11" ht="15">
      <c r="A327" s="13">
        <v>51441</v>
      </c>
      <c r="B327" s="63">
        <f>5.2352 * CHOOSE(CONTROL!$C$22, $C$13, 100%, $E$13)</f>
        <v>5.2351999999999999</v>
      </c>
      <c r="C327" s="63">
        <f>5.2352 * CHOOSE(CONTROL!$C$22, $C$13, 100%, $E$13)</f>
        <v>5.2351999999999999</v>
      </c>
      <c r="D327" s="63">
        <f>5.2352 * CHOOSE(CONTROL!$C$22, $C$13, 100%, $E$13)</f>
        <v>5.2351999999999999</v>
      </c>
      <c r="E327" s="64">
        <f>6.3842 * CHOOSE(CONTROL!$C$22, $C$13, 100%, $E$13)</f>
        <v>6.3841999999999999</v>
      </c>
      <c r="F327" s="64">
        <f>6.3842 * CHOOSE(CONTROL!$C$22, $C$13, 100%, $E$13)</f>
        <v>6.3841999999999999</v>
      </c>
      <c r="G327" s="64">
        <f>6.3842 * CHOOSE(CONTROL!$C$22, $C$13, 100%, $E$13)</f>
        <v>6.3841999999999999</v>
      </c>
      <c r="H327" s="64">
        <f>10.2046* CHOOSE(CONTROL!$C$22, $C$13, 100%, $E$13)</f>
        <v>10.204599999999999</v>
      </c>
      <c r="I327" s="64">
        <f>10.2047 * CHOOSE(CONTROL!$C$22, $C$13, 100%, $E$13)</f>
        <v>10.204700000000001</v>
      </c>
      <c r="J327" s="64">
        <f>6.3842 * CHOOSE(CONTROL!$C$22, $C$13, 100%, $E$13)</f>
        <v>6.3841999999999999</v>
      </c>
      <c r="K327" s="64">
        <f>6.3842 * CHOOSE(CONTROL!$C$22, $C$13, 100%, $E$13)</f>
        <v>6.3841999999999999</v>
      </c>
    </row>
    <row r="328" spans="1:11" ht="15">
      <c r="A328" s="13">
        <v>51471</v>
      </c>
      <c r="B328" s="63">
        <f>5.2352 * CHOOSE(CONTROL!$C$22, $C$13, 100%, $E$13)</f>
        <v>5.2351999999999999</v>
      </c>
      <c r="C328" s="63">
        <f>5.2352 * CHOOSE(CONTROL!$C$22, $C$13, 100%, $E$13)</f>
        <v>5.2351999999999999</v>
      </c>
      <c r="D328" s="63">
        <f>5.2352 * CHOOSE(CONTROL!$C$22, $C$13, 100%, $E$13)</f>
        <v>5.2351999999999999</v>
      </c>
      <c r="E328" s="64">
        <f>6.3321 * CHOOSE(CONTROL!$C$22, $C$13, 100%, $E$13)</f>
        <v>6.3320999999999996</v>
      </c>
      <c r="F328" s="64">
        <f>6.3321 * CHOOSE(CONTROL!$C$22, $C$13, 100%, $E$13)</f>
        <v>6.3320999999999996</v>
      </c>
      <c r="G328" s="64">
        <f>6.3322 * CHOOSE(CONTROL!$C$22, $C$13, 100%, $E$13)</f>
        <v>6.3322000000000003</v>
      </c>
      <c r="H328" s="64">
        <f>10.2259* CHOOSE(CONTROL!$C$22, $C$13, 100%, $E$13)</f>
        <v>10.225899999999999</v>
      </c>
      <c r="I328" s="64">
        <f>10.226 * CHOOSE(CONTROL!$C$22, $C$13, 100%, $E$13)</f>
        <v>10.226000000000001</v>
      </c>
      <c r="J328" s="64">
        <f>6.3321 * CHOOSE(CONTROL!$C$22, $C$13, 100%, $E$13)</f>
        <v>6.3320999999999996</v>
      </c>
      <c r="K328" s="64">
        <f>6.3322 * CHOOSE(CONTROL!$C$22, $C$13, 100%, $E$13)</f>
        <v>6.3322000000000003</v>
      </c>
    </row>
    <row r="329" spans="1:11" ht="15">
      <c r="A329" s="13">
        <v>51502</v>
      </c>
      <c r="B329" s="63">
        <f>5.2816 * CHOOSE(CONTROL!$C$22, $C$13, 100%, $E$13)</f>
        <v>5.2816000000000001</v>
      </c>
      <c r="C329" s="63">
        <f>5.2816 * CHOOSE(CONTROL!$C$22, $C$13, 100%, $E$13)</f>
        <v>5.2816000000000001</v>
      </c>
      <c r="D329" s="63">
        <f>5.2816 * CHOOSE(CONTROL!$C$22, $C$13, 100%, $E$13)</f>
        <v>5.2816000000000001</v>
      </c>
      <c r="E329" s="64">
        <f>6.4218 * CHOOSE(CONTROL!$C$22, $C$13, 100%, $E$13)</f>
        <v>6.4218000000000002</v>
      </c>
      <c r="F329" s="64">
        <f>6.4218 * CHOOSE(CONTROL!$C$22, $C$13, 100%, $E$13)</f>
        <v>6.4218000000000002</v>
      </c>
      <c r="G329" s="64">
        <f>6.4219 * CHOOSE(CONTROL!$C$22, $C$13, 100%, $E$13)</f>
        <v>6.4218999999999999</v>
      </c>
      <c r="H329" s="64">
        <f>10.2472* CHOOSE(CONTROL!$C$22, $C$13, 100%, $E$13)</f>
        <v>10.247199999999999</v>
      </c>
      <c r="I329" s="64">
        <f>10.2473 * CHOOSE(CONTROL!$C$22, $C$13, 100%, $E$13)</f>
        <v>10.247299999999999</v>
      </c>
      <c r="J329" s="64">
        <f>6.4218 * CHOOSE(CONTROL!$C$22, $C$13, 100%, $E$13)</f>
        <v>6.4218000000000002</v>
      </c>
      <c r="K329" s="64">
        <f>6.4219 * CHOOSE(CONTROL!$C$22, $C$13, 100%, $E$13)</f>
        <v>6.4218999999999999</v>
      </c>
    </row>
    <row r="330" spans="1:11" ht="15">
      <c r="A330" s="13">
        <v>51533</v>
      </c>
      <c r="B330" s="63">
        <f>5.2786 * CHOOSE(CONTROL!$C$22, $C$13, 100%, $E$13)</f>
        <v>5.2786</v>
      </c>
      <c r="C330" s="63">
        <f>5.2786 * CHOOSE(CONTROL!$C$22, $C$13, 100%, $E$13)</f>
        <v>5.2786</v>
      </c>
      <c r="D330" s="63">
        <f>5.2786 * CHOOSE(CONTROL!$C$22, $C$13, 100%, $E$13)</f>
        <v>5.2786</v>
      </c>
      <c r="E330" s="64">
        <f>6.3185 * CHOOSE(CONTROL!$C$22, $C$13, 100%, $E$13)</f>
        <v>6.3185000000000002</v>
      </c>
      <c r="F330" s="64">
        <f>6.3185 * CHOOSE(CONTROL!$C$22, $C$13, 100%, $E$13)</f>
        <v>6.3185000000000002</v>
      </c>
      <c r="G330" s="64">
        <f>6.3186 * CHOOSE(CONTROL!$C$22, $C$13, 100%, $E$13)</f>
        <v>6.3186</v>
      </c>
      <c r="H330" s="64">
        <f>10.2686* CHOOSE(CONTROL!$C$22, $C$13, 100%, $E$13)</f>
        <v>10.268599999999999</v>
      </c>
      <c r="I330" s="64">
        <f>10.2686 * CHOOSE(CONTROL!$C$22, $C$13, 100%, $E$13)</f>
        <v>10.268599999999999</v>
      </c>
      <c r="J330" s="64">
        <f>6.3185 * CHOOSE(CONTROL!$C$22, $C$13, 100%, $E$13)</f>
        <v>6.3185000000000002</v>
      </c>
      <c r="K330" s="64">
        <f>6.3186 * CHOOSE(CONTROL!$C$22, $C$13, 100%, $E$13)</f>
        <v>6.3186</v>
      </c>
    </row>
    <row r="331" spans="1:11" ht="15">
      <c r="A331" s="13">
        <v>51561</v>
      </c>
      <c r="B331" s="63">
        <f>5.2755 * CHOOSE(CONTROL!$C$22, $C$13, 100%, $E$13)</f>
        <v>5.2755000000000001</v>
      </c>
      <c r="C331" s="63">
        <f>5.2755 * CHOOSE(CONTROL!$C$22, $C$13, 100%, $E$13)</f>
        <v>5.2755000000000001</v>
      </c>
      <c r="D331" s="63">
        <f>5.2755 * CHOOSE(CONTROL!$C$22, $C$13, 100%, $E$13)</f>
        <v>5.2755000000000001</v>
      </c>
      <c r="E331" s="64">
        <f>6.3961 * CHOOSE(CONTROL!$C$22, $C$13, 100%, $E$13)</f>
        <v>6.3960999999999997</v>
      </c>
      <c r="F331" s="64">
        <f>6.3961 * CHOOSE(CONTROL!$C$22, $C$13, 100%, $E$13)</f>
        <v>6.3960999999999997</v>
      </c>
      <c r="G331" s="64">
        <f>6.3962 * CHOOSE(CONTROL!$C$22, $C$13, 100%, $E$13)</f>
        <v>6.3962000000000003</v>
      </c>
      <c r="H331" s="64">
        <f>10.2899* CHOOSE(CONTROL!$C$22, $C$13, 100%, $E$13)</f>
        <v>10.289899999999999</v>
      </c>
      <c r="I331" s="64">
        <f>10.29 * CHOOSE(CONTROL!$C$22, $C$13, 100%, $E$13)</f>
        <v>10.29</v>
      </c>
      <c r="J331" s="64">
        <f>6.3961 * CHOOSE(CONTROL!$C$22, $C$13, 100%, $E$13)</f>
        <v>6.3960999999999997</v>
      </c>
      <c r="K331" s="64">
        <f>6.3962 * CHOOSE(CONTROL!$C$22, $C$13, 100%, $E$13)</f>
        <v>6.3962000000000003</v>
      </c>
    </row>
    <row r="332" spans="1:11" ht="15">
      <c r="A332" s="13">
        <v>51592</v>
      </c>
      <c r="B332" s="63">
        <f>5.2743 * CHOOSE(CONTROL!$C$22, $C$13, 100%, $E$13)</f>
        <v>5.2743000000000002</v>
      </c>
      <c r="C332" s="63">
        <f>5.2743 * CHOOSE(CONTROL!$C$22, $C$13, 100%, $E$13)</f>
        <v>5.2743000000000002</v>
      </c>
      <c r="D332" s="63">
        <f>5.2743 * CHOOSE(CONTROL!$C$22, $C$13, 100%, $E$13)</f>
        <v>5.2743000000000002</v>
      </c>
      <c r="E332" s="64">
        <f>6.4775 * CHOOSE(CONTROL!$C$22, $C$13, 100%, $E$13)</f>
        <v>6.4775</v>
      </c>
      <c r="F332" s="64">
        <f>6.4775 * CHOOSE(CONTROL!$C$22, $C$13, 100%, $E$13)</f>
        <v>6.4775</v>
      </c>
      <c r="G332" s="64">
        <f>6.4776 * CHOOSE(CONTROL!$C$22, $C$13, 100%, $E$13)</f>
        <v>6.4775999999999998</v>
      </c>
      <c r="H332" s="64">
        <f>10.3114* CHOOSE(CONTROL!$C$22, $C$13, 100%, $E$13)</f>
        <v>10.311400000000001</v>
      </c>
      <c r="I332" s="64">
        <f>10.3115 * CHOOSE(CONTROL!$C$22, $C$13, 100%, $E$13)</f>
        <v>10.311500000000001</v>
      </c>
      <c r="J332" s="64">
        <f>6.4775 * CHOOSE(CONTROL!$C$22, $C$13, 100%, $E$13)</f>
        <v>6.4775</v>
      </c>
      <c r="K332" s="64">
        <f>6.4776 * CHOOSE(CONTROL!$C$22, $C$13, 100%, $E$13)</f>
        <v>6.4775999999999998</v>
      </c>
    </row>
    <row r="333" spans="1:11" ht="15">
      <c r="A333" s="13">
        <v>51622</v>
      </c>
      <c r="B333" s="63">
        <f>5.2743 * CHOOSE(CONTROL!$C$22, $C$13, 100%, $E$13)</f>
        <v>5.2743000000000002</v>
      </c>
      <c r="C333" s="63">
        <f>5.2743 * CHOOSE(CONTROL!$C$22, $C$13, 100%, $E$13)</f>
        <v>5.2743000000000002</v>
      </c>
      <c r="D333" s="63">
        <f>5.2873 * CHOOSE(CONTROL!$C$22, $C$13, 100%, $E$13)</f>
        <v>5.2873000000000001</v>
      </c>
      <c r="E333" s="64">
        <f>6.5097 * CHOOSE(CONTROL!$C$22, $C$13, 100%, $E$13)</f>
        <v>6.5096999999999996</v>
      </c>
      <c r="F333" s="64">
        <f>6.5097 * CHOOSE(CONTROL!$C$22, $C$13, 100%, $E$13)</f>
        <v>6.5096999999999996</v>
      </c>
      <c r="G333" s="64">
        <f>6.5253 * CHOOSE(CONTROL!$C$22, $C$13, 100%, $E$13)</f>
        <v>6.5252999999999997</v>
      </c>
      <c r="H333" s="64">
        <f>10.3329* CHOOSE(CONTROL!$C$22, $C$13, 100%, $E$13)</f>
        <v>10.3329</v>
      </c>
      <c r="I333" s="64">
        <f>10.3485 * CHOOSE(CONTROL!$C$22, $C$13, 100%, $E$13)</f>
        <v>10.3485</v>
      </c>
      <c r="J333" s="64">
        <f>6.5097 * CHOOSE(CONTROL!$C$22, $C$13, 100%, $E$13)</f>
        <v>6.5096999999999996</v>
      </c>
      <c r="K333" s="64">
        <f>6.5253 * CHOOSE(CONTROL!$C$22, $C$13, 100%, $E$13)</f>
        <v>6.5252999999999997</v>
      </c>
    </row>
    <row r="334" spans="1:11" ht="15">
      <c r="A334" s="13">
        <v>51653</v>
      </c>
      <c r="B334" s="63">
        <f>5.2804 * CHOOSE(CONTROL!$C$22, $C$13, 100%, $E$13)</f>
        <v>5.2804000000000002</v>
      </c>
      <c r="C334" s="63">
        <f>5.2804 * CHOOSE(CONTROL!$C$22, $C$13, 100%, $E$13)</f>
        <v>5.2804000000000002</v>
      </c>
      <c r="D334" s="63">
        <f>5.2933 * CHOOSE(CONTROL!$C$22, $C$13, 100%, $E$13)</f>
        <v>5.2933000000000003</v>
      </c>
      <c r="E334" s="64">
        <f>6.4818 * CHOOSE(CONTROL!$C$22, $C$13, 100%, $E$13)</f>
        <v>6.4817999999999998</v>
      </c>
      <c r="F334" s="64">
        <f>6.4818 * CHOOSE(CONTROL!$C$22, $C$13, 100%, $E$13)</f>
        <v>6.4817999999999998</v>
      </c>
      <c r="G334" s="64">
        <f>6.4975 * CHOOSE(CONTROL!$C$22, $C$13, 100%, $E$13)</f>
        <v>6.4974999999999996</v>
      </c>
      <c r="H334" s="64">
        <f>10.3544* CHOOSE(CONTROL!$C$22, $C$13, 100%, $E$13)</f>
        <v>10.3544</v>
      </c>
      <c r="I334" s="64">
        <f>10.3701 * CHOOSE(CONTROL!$C$22, $C$13, 100%, $E$13)</f>
        <v>10.370100000000001</v>
      </c>
      <c r="J334" s="64">
        <f>6.4818 * CHOOSE(CONTROL!$C$22, $C$13, 100%, $E$13)</f>
        <v>6.4817999999999998</v>
      </c>
      <c r="K334" s="64">
        <f>6.4975 * CHOOSE(CONTROL!$C$22, $C$13, 100%, $E$13)</f>
        <v>6.4974999999999996</v>
      </c>
    </row>
    <row r="335" spans="1:11" ht="15">
      <c r="A335" s="13">
        <v>51683</v>
      </c>
      <c r="B335" s="63">
        <f>5.3669 * CHOOSE(CONTROL!$C$22, $C$13, 100%, $E$13)</f>
        <v>5.3669000000000002</v>
      </c>
      <c r="C335" s="63">
        <f>5.3669 * CHOOSE(CONTROL!$C$22, $C$13, 100%, $E$13)</f>
        <v>5.3669000000000002</v>
      </c>
      <c r="D335" s="63">
        <f>5.3798 * CHOOSE(CONTROL!$C$22, $C$13, 100%, $E$13)</f>
        <v>5.3798000000000004</v>
      </c>
      <c r="E335" s="64">
        <f>6.5916 * CHOOSE(CONTROL!$C$22, $C$13, 100%, $E$13)</f>
        <v>6.5915999999999997</v>
      </c>
      <c r="F335" s="64">
        <f>6.5916 * CHOOSE(CONTROL!$C$22, $C$13, 100%, $E$13)</f>
        <v>6.5915999999999997</v>
      </c>
      <c r="G335" s="64">
        <f>6.6073 * CHOOSE(CONTROL!$C$22, $C$13, 100%, $E$13)</f>
        <v>6.6073000000000004</v>
      </c>
      <c r="H335" s="64">
        <f>10.376* CHOOSE(CONTROL!$C$22, $C$13, 100%, $E$13)</f>
        <v>10.375999999999999</v>
      </c>
      <c r="I335" s="64">
        <f>10.3916 * CHOOSE(CONTROL!$C$22, $C$13, 100%, $E$13)</f>
        <v>10.3916</v>
      </c>
      <c r="J335" s="64">
        <f>6.5916 * CHOOSE(CONTROL!$C$22, $C$13, 100%, $E$13)</f>
        <v>6.5915999999999997</v>
      </c>
      <c r="K335" s="64">
        <f>6.6073 * CHOOSE(CONTROL!$C$22, $C$13, 100%, $E$13)</f>
        <v>6.6073000000000004</v>
      </c>
    </row>
    <row r="336" spans="1:11" ht="15">
      <c r="A336" s="13">
        <v>51714</v>
      </c>
      <c r="B336" s="63">
        <f>5.3736 * CHOOSE(CONTROL!$C$22, $C$13, 100%, $E$13)</f>
        <v>5.3735999999999997</v>
      </c>
      <c r="C336" s="63">
        <f>5.3736 * CHOOSE(CONTROL!$C$22, $C$13, 100%, $E$13)</f>
        <v>5.3735999999999997</v>
      </c>
      <c r="D336" s="63">
        <f>5.3865 * CHOOSE(CONTROL!$C$22, $C$13, 100%, $E$13)</f>
        <v>5.3864999999999998</v>
      </c>
      <c r="E336" s="64">
        <f>6.4999 * CHOOSE(CONTROL!$C$22, $C$13, 100%, $E$13)</f>
        <v>6.4999000000000002</v>
      </c>
      <c r="F336" s="64">
        <f>6.4999 * CHOOSE(CONTROL!$C$22, $C$13, 100%, $E$13)</f>
        <v>6.4999000000000002</v>
      </c>
      <c r="G336" s="64">
        <f>6.5156 * CHOOSE(CONTROL!$C$22, $C$13, 100%, $E$13)</f>
        <v>6.5156000000000001</v>
      </c>
      <c r="H336" s="64">
        <f>10.3976* CHOOSE(CONTROL!$C$22, $C$13, 100%, $E$13)</f>
        <v>10.397600000000001</v>
      </c>
      <c r="I336" s="64">
        <f>10.4133 * CHOOSE(CONTROL!$C$22, $C$13, 100%, $E$13)</f>
        <v>10.4133</v>
      </c>
      <c r="J336" s="64">
        <f>6.4999 * CHOOSE(CONTROL!$C$22, $C$13, 100%, $E$13)</f>
        <v>6.4999000000000002</v>
      </c>
      <c r="K336" s="64">
        <f>6.5156 * CHOOSE(CONTROL!$C$22, $C$13, 100%, $E$13)</f>
        <v>6.5156000000000001</v>
      </c>
    </row>
    <row r="337" spans="1:11" ht="15">
      <c r="A337" s="13">
        <v>51745</v>
      </c>
      <c r="B337" s="63">
        <f>5.3705 * CHOOSE(CONTROL!$C$22, $C$13, 100%, $E$13)</f>
        <v>5.3704999999999998</v>
      </c>
      <c r="C337" s="63">
        <f>5.3705 * CHOOSE(CONTROL!$C$22, $C$13, 100%, $E$13)</f>
        <v>5.3704999999999998</v>
      </c>
      <c r="D337" s="63">
        <f>5.3835 * CHOOSE(CONTROL!$C$22, $C$13, 100%, $E$13)</f>
        <v>5.3834999999999997</v>
      </c>
      <c r="E337" s="64">
        <f>6.4871 * CHOOSE(CONTROL!$C$22, $C$13, 100%, $E$13)</f>
        <v>6.4870999999999999</v>
      </c>
      <c r="F337" s="64">
        <f>6.4871 * CHOOSE(CONTROL!$C$22, $C$13, 100%, $E$13)</f>
        <v>6.4870999999999999</v>
      </c>
      <c r="G337" s="64">
        <f>6.5028 * CHOOSE(CONTROL!$C$22, $C$13, 100%, $E$13)</f>
        <v>6.5027999999999997</v>
      </c>
      <c r="H337" s="64">
        <f>10.4192* CHOOSE(CONTROL!$C$22, $C$13, 100%, $E$13)</f>
        <v>10.4192</v>
      </c>
      <c r="I337" s="64">
        <f>10.4349 * CHOOSE(CONTROL!$C$22, $C$13, 100%, $E$13)</f>
        <v>10.434900000000001</v>
      </c>
      <c r="J337" s="64">
        <f>6.4871 * CHOOSE(CONTROL!$C$22, $C$13, 100%, $E$13)</f>
        <v>6.4870999999999999</v>
      </c>
      <c r="K337" s="64">
        <f>6.5028 * CHOOSE(CONTROL!$C$22, $C$13, 100%, $E$13)</f>
        <v>6.5027999999999997</v>
      </c>
    </row>
    <row r="338" spans="1:11" ht="15">
      <c r="A338" s="13">
        <v>51775</v>
      </c>
      <c r="B338" s="63">
        <f>5.3701 * CHOOSE(CONTROL!$C$22, $C$13, 100%, $E$13)</f>
        <v>5.3700999999999999</v>
      </c>
      <c r="C338" s="63">
        <f>5.3701 * CHOOSE(CONTROL!$C$22, $C$13, 100%, $E$13)</f>
        <v>5.3700999999999999</v>
      </c>
      <c r="D338" s="63">
        <f>5.3701 * CHOOSE(CONTROL!$C$22, $C$13, 100%, $E$13)</f>
        <v>5.3700999999999999</v>
      </c>
      <c r="E338" s="64">
        <f>6.5165 * CHOOSE(CONTROL!$C$22, $C$13, 100%, $E$13)</f>
        <v>6.5164999999999997</v>
      </c>
      <c r="F338" s="64">
        <f>6.5165 * CHOOSE(CONTROL!$C$22, $C$13, 100%, $E$13)</f>
        <v>6.5164999999999997</v>
      </c>
      <c r="G338" s="64">
        <f>6.5166 * CHOOSE(CONTROL!$C$22, $C$13, 100%, $E$13)</f>
        <v>6.5166000000000004</v>
      </c>
      <c r="H338" s="64">
        <f>10.441* CHOOSE(CONTROL!$C$22, $C$13, 100%, $E$13)</f>
        <v>10.441000000000001</v>
      </c>
      <c r="I338" s="64">
        <f>10.441 * CHOOSE(CONTROL!$C$22, $C$13, 100%, $E$13)</f>
        <v>10.441000000000001</v>
      </c>
      <c r="J338" s="64">
        <f>6.5165 * CHOOSE(CONTROL!$C$22, $C$13, 100%, $E$13)</f>
        <v>6.5164999999999997</v>
      </c>
      <c r="K338" s="64">
        <f>6.5166 * CHOOSE(CONTROL!$C$22, $C$13, 100%, $E$13)</f>
        <v>6.5166000000000004</v>
      </c>
    </row>
    <row r="339" spans="1:11" ht="15">
      <c r="A339" s="13">
        <v>51806</v>
      </c>
      <c r="B339" s="63">
        <f>5.3732 * CHOOSE(CONTROL!$C$22, $C$13, 100%, $E$13)</f>
        <v>5.3731999999999998</v>
      </c>
      <c r="C339" s="63">
        <f>5.3732 * CHOOSE(CONTROL!$C$22, $C$13, 100%, $E$13)</f>
        <v>5.3731999999999998</v>
      </c>
      <c r="D339" s="63">
        <f>5.3732 * CHOOSE(CONTROL!$C$22, $C$13, 100%, $E$13)</f>
        <v>5.3731999999999998</v>
      </c>
      <c r="E339" s="64">
        <f>6.54 * CHOOSE(CONTROL!$C$22, $C$13, 100%, $E$13)</f>
        <v>6.54</v>
      </c>
      <c r="F339" s="64">
        <f>6.54 * CHOOSE(CONTROL!$C$22, $C$13, 100%, $E$13)</f>
        <v>6.54</v>
      </c>
      <c r="G339" s="64">
        <f>6.5401 * CHOOSE(CONTROL!$C$22, $C$13, 100%, $E$13)</f>
        <v>6.5400999999999998</v>
      </c>
      <c r="H339" s="64">
        <f>10.4627* CHOOSE(CONTROL!$C$22, $C$13, 100%, $E$13)</f>
        <v>10.4627</v>
      </c>
      <c r="I339" s="64">
        <f>10.4628 * CHOOSE(CONTROL!$C$22, $C$13, 100%, $E$13)</f>
        <v>10.4628</v>
      </c>
      <c r="J339" s="64">
        <f>6.54 * CHOOSE(CONTROL!$C$22, $C$13, 100%, $E$13)</f>
        <v>6.54</v>
      </c>
      <c r="K339" s="64">
        <f>6.5401 * CHOOSE(CONTROL!$C$22, $C$13, 100%, $E$13)</f>
        <v>6.5400999999999998</v>
      </c>
    </row>
    <row r="340" spans="1:11" ht="15">
      <c r="A340" s="13">
        <v>51836</v>
      </c>
      <c r="B340" s="63">
        <f>5.3732 * CHOOSE(CONTROL!$C$22, $C$13, 100%, $E$13)</f>
        <v>5.3731999999999998</v>
      </c>
      <c r="C340" s="63">
        <f>5.3732 * CHOOSE(CONTROL!$C$22, $C$13, 100%, $E$13)</f>
        <v>5.3731999999999998</v>
      </c>
      <c r="D340" s="63">
        <f>5.3732 * CHOOSE(CONTROL!$C$22, $C$13, 100%, $E$13)</f>
        <v>5.3731999999999998</v>
      </c>
      <c r="E340" s="64">
        <f>6.4865 * CHOOSE(CONTROL!$C$22, $C$13, 100%, $E$13)</f>
        <v>6.4865000000000004</v>
      </c>
      <c r="F340" s="64">
        <f>6.4865 * CHOOSE(CONTROL!$C$22, $C$13, 100%, $E$13)</f>
        <v>6.4865000000000004</v>
      </c>
      <c r="G340" s="64">
        <f>6.4866 * CHOOSE(CONTROL!$C$22, $C$13, 100%, $E$13)</f>
        <v>6.4866000000000001</v>
      </c>
      <c r="H340" s="64">
        <f>10.4845* CHOOSE(CONTROL!$C$22, $C$13, 100%, $E$13)</f>
        <v>10.484500000000001</v>
      </c>
      <c r="I340" s="64">
        <f>10.4846 * CHOOSE(CONTROL!$C$22, $C$13, 100%, $E$13)</f>
        <v>10.4846</v>
      </c>
      <c r="J340" s="64">
        <f>6.4865 * CHOOSE(CONTROL!$C$22, $C$13, 100%, $E$13)</f>
        <v>6.4865000000000004</v>
      </c>
      <c r="K340" s="64">
        <f>6.4866 * CHOOSE(CONTROL!$C$22, $C$13, 100%, $E$13)</f>
        <v>6.4866000000000001</v>
      </c>
    </row>
    <row r="341" spans="1:11" ht="15">
      <c r="A341" s="13">
        <v>51867</v>
      </c>
      <c r="B341" s="63">
        <f>5.4207 * CHOOSE(CONTROL!$C$22, $C$13, 100%, $E$13)</f>
        <v>5.4207000000000001</v>
      </c>
      <c r="C341" s="63">
        <f>5.4207 * CHOOSE(CONTROL!$C$22, $C$13, 100%, $E$13)</f>
        <v>5.4207000000000001</v>
      </c>
      <c r="D341" s="63">
        <f>5.4207 * CHOOSE(CONTROL!$C$22, $C$13, 100%, $E$13)</f>
        <v>5.4207000000000001</v>
      </c>
      <c r="E341" s="64">
        <f>6.5785 * CHOOSE(CONTROL!$C$22, $C$13, 100%, $E$13)</f>
        <v>6.5785</v>
      </c>
      <c r="F341" s="64">
        <f>6.5785 * CHOOSE(CONTROL!$C$22, $C$13, 100%, $E$13)</f>
        <v>6.5785</v>
      </c>
      <c r="G341" s="64">
        <f>6.5786 * CHOOSE(CONTROL!$C$22, $C$13, 100%, $E$13)</f>
        <v>6.5785999999999998</v>
      </c>
      <c r="H341" s="64">
        <f>10.5063* CHOOSE(CONTROL!$C$22, $C$13, 100%, $E$13)</f>
        <v>10.5063</v>
      </c>
      <c r="I341" s="64">
        <f>10.5064 * CHOOSE(CONTROL!$C$22, $C$13, 100%, $E$13)</f>
        <v>10.506399999999999</v>
      </c>
      <c r="J341" s="64">
        <f>6.5785 * CHOOSE(CONTROL!$C$22, $C$13, 100%, $E$13)</f>
        <v>6.5785</v>
      </c>
      <c r="K341" s="64">
        <f>6.5786 * CHOOSE(CONTROL!$C$22, $C$13, 100%, $E$13)</f>
        <v>6.5785999999999998</v>
      </c>
    </row>
    <row r="342" spans="1:11" ht="15">
      <c r="A342" s="13">
        <v>51898</v>
      </c>
      <c r="B342" s="63">
        <f>5.4177 * CHOOSE(CONTROL!$C$22, $C$13, 100%, $E$13)</f>
        <v>5.4177</v>
      </c>
      <c r="C342" s="63">
        <f>5.4177 * CHOOSE(CONTROL!$C$22, $C$13, 100%, $E$13)</f>
        <v>5.4177</v>
      </c>
      <c r="D342" s="63">
        <f>5.4177 * CHOOSE(CONTROL!$C$22, $C$13, 100%, $E$13)</f>
        <v>5.4177</v>
      </c>
      <c r="E342" s="64">
        <f>6.4724 * CHOOSE(CONTROL!$C$22, $C$13, 100%, $E$13)</f>
        <v>6.4724000000000004</v>
      </c>
      <c r="F342" s="64">
        <f>6.4724 * CHOOSE(CONTROL!$C$22, $C$13, 100%, $E$13)</f>
        <v>6.4724000000000004</v>
      </c>
      <c r="G342" s="64">
        <f>6.4725 * CHOOSE(CONTROL!$C$22, $C$13, 100%, $E$13)</f>
        <v>6.4725000000000001</v>
      </c>
      <c r="H342" s="64">
        <f>10.5282* CHOOSE(CONTROL!$C$22, $C$13, 100%, $E$13)</f>
        <v>10.5282</v>
      </c>
      <c r="I342" s="64">
        <f>10.5283 * CHOOSE(CONTROL!$C$22, $C$13, 100%, $E$13)</f>
        <v>10.5283</v>
      </c>
      <c r="J342" s="64">
        <f>6.4724 * CHOOSE(CONTROL!$C$22, $C$13, 100%, $E$13)</f>
        <v>6.4724000000000004</v>
      </c>
      <c r="K342" s="64">
        <f>6.4725 * CHOOSE(CONTROL!$C$22, $C$13, 100%, $E$13)</f>
        <v>6.4725000000000001</v>
      </c>
    </row>
    <row r="343" spans="1:11" ht="15">
      <c r="A343" s="13">
        <v>51926</v>
      </c>
      <c r="B343" s="63">
        <f>5.4147 * CHOOSE(CONTROL!$C$22, $C$13, 100%, $E$13)</f>
        <v>5.4146999999999998</v>
      </c>
      <c r="C343" s="63">
        <f>5.4147 * CHOOSE(CONTROL!$C$22, $C$13, 100%, $E$13)</f>
        <v>5.4146999999999998</v>
      </c>
      <c r="D343" s="63">
        <f>5.4147 * CHOOSE(CONTROL!$C$22, $C$13, 100%, $E$13)</f>
        <v>5.4146999999999998</v>
      </c>
      <c r="E343" s="64">
        <f>6.5523 * CHOOSE(CONTROL!$C$22, $C$13, 100%, $E$13)</f>
        <v>6.5522999999999998</v>
      </c>
      <c r="F343" s="64">
        <f>6.5523 * CHOOSE(CONTROL!$C$22, $C$13, 100%, $E$13)</f>
        <v>6.5522999999999998</v>
      </c>
      <c r="G343" s="64">
        <f>6.5523 * CHOOSE(CONTROL!$C$22, $C$13, 100%, $E$13)</f>
        <v>6.5522999999999998</v>
      </c>
      <c r="H343" s="64">
        <f>10.5502* CHOOSE(CONTROL!$C$22, $C$13, 100%, $E$13)</f>
        <v>10.5502</v>
      </c>
      <c r="I343" s="64">
        <f>10.5502 * CHOOSE(CONTROL!$C$22, $C$13, 100%, $E$13)</f>
        <v>10.5502</v>
      </c>
      <c r="J343" s="64">
        <f>6.5523 * CHOOSE(CONTROL!$C$22, $C$13, 100%, $E$13)</f>
        <v>6.5522999999999998</v>
      </c>
      <c r="K343" s="64">
        <f>6.5523 * CHOOSE(CONTROL!$C$22, $C$13, 100%, $E$13)</f>
        <v>6.5522999999999998</v>
      </c>
    </row>
    <row r="344" spans="1:11" ht="15">
      <c r="A344" s="13">
        <v>51957</v>
      </c>
      <c r="B344" s="63">
        <f>5.4135 * CHOOSE(CONTROL!$C$22, $C$13, 100%, $E$13)</f>
        <v>5.4135</v>
      </c>
      <c r="C344" s="63">
        <f>5.4135 * CHOOSE(CONTROL!$C$22, $C$13, 100%, $E$13)</f>
        <v>5.4135</v>
      </c>
      <c r="D344" s="63">
        <f>5.4135 * CHOOSE(CONTROL!$C$22, $C$13, 100%, $E$13)</f>
        <v>5.4135</v>
      </c>
      <c r="E344" s="64">
        <f>6.6361 * CHOOSE(CONTROL!$C$22, $C$13, 100%, $E$13)</f>
        <v>6.6360999999999999</v>
      </c>
      <c r="F344" s="64">
        <f>6.6361 * CHOOSE(CONTROL!$C$22, $C$13, 100%, $E$13)</f>
        <v>6.6360999999999999</v>
      </c>
      <c r="G344" s="64">
        <f>6.6362 * CHOOSE(CONTROL!$C$22, $C$13, 100%, $E$13)</f>
        <v>6.6361999999999997</v>
      </c>
      <c r="H344" s="64">
        <f>10.5721* CHOOSE(CONTROL!$C$22, $C$13, 100%, $E$13)</f>
        <v>10.572100000000001</v>
      </c>
      <c r="I344" s="64">
        <f>10.5722 * CHOOSE(CONTROL!$C$22, $C$13, 100%, $E$13)</f>
        <v>10.5722</v>
      </c>
      <c r="J344" s="64">
        <f>6.6361 * CHOOSE(CONTROL!$C$22, $C$13, 100%, $E$13)</f>
        <v>6.6360999999999999</v>
      </c>
      <c r="K344" s="64">
        <f>6.6362 * CHOOSE(CONTROL!$C$22, $C$13, 100%, $E$13)</f>
        <v>6.6361999999999997</v>
      </c>
    </row>
    <row r="345" spans="1:11" ht="15">
      <c r="A345" s="13">
        <v>51987</v>
      </c>
      <c r="B345" s="63">
        <f>5.4135 * CHOOSE(CONTROL!$C$22, $C$13, 100%, $E$13)</f>
        <v>5.4135</v>
      </c>
      <c r="C345" s="63">
        <f>5.4135 * CHOOSE(CONTROL!$C$22, $C$13, 100%, $E$13)</f>
        <v>5.4135</v>
      </c>
      <c r="D345" s="63">
        <f>5.4265 * CHOOSE(CONTROL!$C$22, $C$13, 100%, $E$13)</f>
        <v>5.4264999999999999</v>
      </c>
      <c r="E345" s="64">
        <f>6.6691 * CHOOSE(CONTROL!$C$22, $C$13, 100%, $E$13)</f>
        <v>6.6691000000000003</v>
      </c>
      <c r="F345" s="64">
        <f>6.6691 * CHOOSE(CONTROL!$C$22, $C$13, 100%, $E$13)</f>
        <v>6.6691000000000003</v>
      </c>
      <c r="G345" s="64">
        <f>6.6848 * CHOOSE(CONTROL!$C$22, $C$13, 100%, $E$13)</f>
        <v>6.6848000000000001</v>
      </c>
      <c r="H345" s="64">
        <f>10.5942* CHOOSE(CONTROL!$C$22, $C$13, 100%, $E$13)</f>
        <v>10.594200000000001</v>
      </c>
      <c r="I345" s="64">
        <f>10.6098 * CHOOSE(CONTROL!$C$22, $C$13, 100%, $E$13)</f>
        <v>10.6098</v>
      </c>
      <c r="J345" s="64">
        <f>6.6691 * CHOOSE(CONTROL!$C$22, $C$13, 100%, $E$13)</f>
        <v>6.6691000000000003</v>
      </c>
      <c r="K345" s="64">
        <f>6.6848 * CHOOSE(CONTROL!$C$22, $C$13, 100%, $E$13)</f>
        <v>6.6848000000000001</v>
      </c>
    </row>
    <row r="346" spans="1:11" ht="15">
      <c r="A346" s="13">
        <v>52018</v>
      </c>
      <c r="B346" s="63">
        <f>5.4196 * CHOOSE(CONTROL!$C$22, $C$13, 100%, $E$13)</f>
        <v>5.4196</v>
      </c>
      <c r="C346" s="63">
        <f>5.4196 * CHOOSE(CONTROL!$C$22, $C$13, 100%, $E$13)</f>
        <v>5.4196</v>
      </c>
      <c r="D346" s="63">
        <f>5.4326 * CHOOSE(CONTROL!$C$22, $C$13, 100%, $E$13)</f>
        <v>5.4325999999999999</v>
      </c>
      <c r="E346" s="64">
        <f>6.6403 * CHOOSE(CONTROL!$C$22, $C$13, 100%, $E$13)</f>
        <v>6.6402999999999999</v>
      </c>
      <c r="F346" s="64">
        <f>6.6403 * CHOOSE(CONTROL!$C$22, $C$13, 100%, $E$13)</f>
        <v>6.6402999999999999</v>
      </c>
      <c r="G346" s="64">
        <f>6.656 * CHOOSE(CONTROL!$C$22, $C$13, 100%, $E$13)</f>
        <v>6.6559999999999997</v>
      </c>
      <c r="H346" s="64">
        <f>10.6162* CHOOSE(CONTROL!$C$22, $C$13, 100%, $E$13)</f>
        <v>10.616199999999999</v>
      </c>
      <c r="I346" s="64">
        <f>10.6319 * CHOOSE(CONTROL!$C$22, $C$13, 100%, $E$13)</f>
        <v>10.6319</v>
      </c>
      <c r="J346" s="64">
        <f>6.6403 * CHOOSE(CONTROL!$C$22, $C$13, 100%, $E$13)</f>
        <v>6.6402999999999999</v>
      </c>
      <c r="K346" s="64">
        <f>6.656 * CHOOSE(CONTROL!$C$22, $C$13, 100%, $E$13)</f>
        <v>6.6559999999999997</v>
      </c>
    </row>
    <row r="347" spans="1:11" ht="15">
      <c r="A347" s="13">
        <v>52048</v>
      </c>
      <c r="B347" s="63">
        <f>5.5082 * CHOOSE(CONTROL!$C$22, $C$13, 100%, $E$13)</f>
        <v>5.5082000000000004</v>
      </c>
      <c r="C347" s="63">
        <f>5.5082 * CHOOSE(CONTROL!$C$22, $C$13, 100%, $E$13)</f>
        <v>5.5082000000000004</v>
      </c>
      <c r="D347" s="63">
        <f>5.5212 * CHOOSE(CONTROL!$C$22, $C$13, 100%, $E$13)</f>
        <v>5.5212000000000003</v>
      </c>
      <c r="E347" s="64">
        <f>6.7527 * CHOOSE(CONTROL!$C$22, $C$13, 100%, $E$13)</f>
        <v>6.7526999999999999</v>
      </c>
      <c r="F347" s="64">
        <f>6.7527 * CHOOSE(CONTROL!$C$22, $C$13, 100%, $E$13)</f>
        <v>6.7526999999999999</v>
      </c>
      <c r="G347" s="64">
        <f>6.7684 * CHOOSE(CONTROL!$C$22, $C$13, 100%, $E$13)</f>
        <v>6.7683999999999997</v>
      </c>
      <c r="H347" s="64">
        <f>10.6384* CHOOSE(CONTROL!$C$22, $C$13, 100%, $E$13)</f>
        <v>10.638400000000001</v>
      </c>
      <c r="I347" s="64">
        <f>10.654 * CHOOSE(CONTROL!$C$22, $C$13, 100%, $E$13)</f>
        <v>10.654</v>
      </c>
      <c r="J347" s="64">
        <f>6.7527 * CHOOSE(CONTROL!$C$22, $C$13, 100%, $E$13)</f>
        <v>6.7526999999999999</v>
      </c>
      <c r="K347" s="64">
        <f>6.7684 * CHOOSE(CONTROL!$C$22, $C$13, 100%, $E$13)</f>
        <v>6.7683999999999997</v>
      </c>
    </row>
    <row r="348" spans="1:11" ht="15">
      <c r="A348" s="13">
        <v>52079</v>
      </c>
      <c r="B348" s="63">
        <f>5.5149 * CHOOSE(CONTROL!$C$22, $C$13, 100%, $E$13)</f>
        <v>5.5148999999999999</v>
      </c>
      <c r="C348" s="63">
        <f>5.5149 * CHOOSE(CONTROL!$C$22, $C$13, 100%, $E$13)</f>
        <v>5.5148999999999999</v>
      </c>
      <c r="D348" s="63">
        <f>5.5279 * CHOOSE(CONTROL!$C$22, $C$13, 100%, $E$13)</f>
        <v>5.5278999999999998</v>
      </c>
      <c r="E348" s="64">
        <f>6.6583 * CHOOSE(CONTROL!$C$22, $C$13, 100%, $E$13)</f>
        <v>6.6582999999999997</v>
      </c>
      <c r="F348" s="64">
        <f>6.6583 * CHOOSE(CONTROL!$C$22, $C$13, 100%, $E$13)</f>
        <v>6.6582999999999997</v>
      </c>
      <c r="G348" s="64">
        <f>6.674 * CHOOSE(CONTROL!$C$22, $C$13, 100%, $E$13)</f>
        <v>6.6740000000000004</v>
      </c>
      <c r="H348" s="64">
        <f>10.6605* CHOOSE(CONTROL!$C$22, $C$13, 100%, $E$13)</f>
        <v>10.660500000000001</v>
      </c>
      <c r="I348" s="64">
        <f>10.6762 * CHOOSE(CONTROL!$C$22, $C$13, 100%, $E$13)</f>
        <v>10.6762</v>
      </c>
      <c r="J348" s="64">
        <f>6.6583 * CHOOSE(CONTROL!$C$22, $C$13, 100%, $E$13)</f>
        <v>6.6582999999999997</v>
      </c>
      <c r="K348" s="64">
        <f>6.674 * CHOOSE(CONTROL!$C$22, $C$13, 100%, $E$13)</f>
        <v>6.6740000000000004</v>
      </c>
    </row>
    <row r="349" spans="1:11" ht="15">
      <c r="A349" s="13">
        <v>52110</v>
      </c>
      <c r="B349" s="63">
        <f>5.5119 * CHOOSE(CONTROL!$C$22, $C$13, 100%, $E$13)</f>
        <v>5.5118999999999998</v>
      </c>
      <c r="C349" s="63">
        <f>5.5119 * CHOOSE(CONTROL!$C$22, $C$13, 100%, $E$13)</f>
        <v>5.5118999999999998</v>
      </c>
      <c r="D349" s="63">
        <f>5.5248 * CHOOSE(CONTROL!$C$22, $C$13, 100%, $E$13)</f>
        <v>5.5247999999999999</v>
      </c>
      <c r="E349" s="64">
        <f>6.6452 * CHOOSE(CONTROL!$C$22, $C$13, 100%, $E$13)</f>
        <v>6.6452</v>
      </c>
      <c r="F349" s="64">
        <f>6.6452 * CHOOSE(CONTROL!$C$22, $C$13, 100%, $E$13)</f>
        <v>6.6452</v>
      </c>
      <c r="G349" s="64">
        <f>6.6609 * CHOOSE(CONTROL!$C$22, $C$13, 100%, $E$13)</f>
        <v>6.6608999999999998</v>
      </c>
      <c r="H349" s="64">
        <f>10.6827* CHOOSE(CONTROL!$C$22, $C$13, 100%, $E$13)</f>
        <v>10.682700000000001</v>
      </c>
      <c r="I349" s="64">
        <f>10.6984 * CHOOSE(CONTROL!$C$22, $C$13, 100%, $E$13)</f>
        <v>10.698399999999999</v>
      </c>
      <c r="J349" s="64">
        <f>6.6452 * CHOOSE(CONTROL!$C$22, $C$13, 100%, $E$13)</f>
        <v>6.6452</v>
      </c>
      <c r="K349" s="64">
        <f>6.6609 * CHOOSE(CONTROL!$C$22, $C$13, 100%, $E$13)</f>
        <v>6.6608999999999998</v>
      </c>
    </row>
    <row r="350" spans="1:11" ht="15">
      <c r="A350" s="13">
        <v>52140</v>
      </c>
      <c r="B350" s="63">
        <f>5.5119 * CHOOSE(CONTROL!$C$22, $C$13, 100%, $E$13)</f>
        <v>5.5118999999999998</v>
      </c>
      <c r="C350" s="63">
        <f>5.5119 * CHOOSE(CONTROL!$C$22, $C$13, 100%, $E$13)</f>
        <v>5.5118999999999998</v>
      </c>
      <c r="D350" s="63">
        <f>5.5119 * CHOOSE(CONTROL!$C$22, $C$13, 100%, $E$13)</f>
        <v>5.5118999999999998</v>
      </c>
      <c r="E350" s="64">
        <f>6.6758 * CHOOSE(CONTROL!$C$22, $C$13, 100%, $E$13)</f>
        <v>6.6757999999999997</v>
      </c>
      <c r="F350" s="64">
        <f>6.6758 * CHOOSE(CONTROL!$C$22, $C$13, 100%, $E$13)</f>
        <v>6.6757999999999997</v>
      </c>
      <c r="G350" s="64">
        <f>6.6759 * CHOOSE(CONTROL!$C$22, $C$13, 100%, $E$13)</f>
        <v>6.6759000000000004</v>
      </c>
      <c r="H350" s="64">
        <f>10.705* CHOOSE(CONTROL!$C$22, $C$13, 100%, $E$13)</f>
        <v>10.705</v>
      </c>
      <c r="I350" s="64">
        <f>10.7051 * CHOOSE(CONTROL!$C$22, $C$13, 100%, $E$13)</f>
        <v>10.7051</v>
      </c>
      <c r="J350" s="64">
        <f>6.6758 * CHOOSE(CONTROL!$C$22, $C$13, 100%, $E$13)</f>
        <v>6.6757999999999997</v>
      </c>
      <c r="K350" s="64">
        <f>6.6759 * CHOOSE(CONTROL!$C$22, $C$13, 100%, $E$13)</f>
        <v>6.6759000000000004</v>
      </c>
    </row>
    <row r="351" spans="1:11" ht="15">
      <c r="A351" s="13">
        <v>52171</v>
      </c>
      <c r="B351" s="63">
        <f>5.515 * CHOOSE(CONTROL!$C$22, $C$13, 100%, $E$13)</f>
        <v>5.5149999999999997</v>
      </c>
      <c r="C351" s="63">
        <f>5.515 * CHOOSE(CONTROL!$C$22, $C$13, 100%, $E$13)</f>
        <v>5.5149999999999997</v>
      </c>
      <c r="D351" s="63">
        <f>5.515 * CHOOSE(CONTROL!$C$22, $C$13, 100%, $E$13)</f>
        <v>5.5149999999999997</v>
      </c>
      <c r="E351" s="64">
        <f>6.6999 * CHOOSE(CONTROL!$C$22, $C$13, 100%, $E$13)</f>
        <v>6.6999000000000004</v>
      </c>
      <c r="F351" s="64">
        <f>6.6999 * CHOOSE(CONTROL!$C$22, $C$13, 100%, $E$13)</f>
        <v>6.6999000000000004</v>
      </c>
      <c r="G351" s="64">
        <f>6.7 * CHOOSE(CONTROL!$C$22, $C$13, 100%, $E$13)</f>
        <v>6.7</v>
      </c>
      <c r="H351" s="64">
        <f>10.7273* CHOOSE(CONTROL!$C$22, $C$13, 100%, $E$13)</f>
        <v>10.7273</v>
      </c>
      <c r="I351" s="64">
        <f>10.7274 * CHOOSE(CONTROL!$C$22, $C$13, 100%, $E$13)</f>
        <v>10.727399999999999</v>
      </c>
      <c r="J351" s="64">
        <f>6.6999 * CHOOSE(CONTROL!$C$22, $C$13, 100%, $E$13)</f>
        <v>6.6999000000000004</v>
      </c>
      <c r="K351" s="64">
        <f>6.7 * CHOOSE(CONTROL!$C$22, $C$13, 100%, $E$13)</f>
        <v>6.7</v>
      </c>
    </row>
    <row r="352" spans="1:11" ht="15">
      <c r="A352" s="13">
        <v>52201</v>
      </c>
      <c r="B352" s="63">
        <f>5.515 * CHOOSE(CONTROL!$C$22, $C$13, 100%, $E$13)</f>
        <v>5.5149999999999997</v>
      </c>
      <c r="C352" s="63">
        <f>5.515 * CHOOSE(CONTROL!$C$22, $C$13, 100%, $E$13)</f>
        <v>5.5149999999999997</v>
      </c>
      <c r="D352" s="63">
        <f>5.515 * CHOOSE(CONTROL!$C$22, $C$13, 100%, $E$13)</f>
        <v>5.5149999999999997</v>
      </c>
      <c r="E352" s="64">
        <f>6.6449 * CHOOSE(CONTROL!$C$22, $C$13, 100%, $E$13)</f>
        <v>6.6448999999999998</v>
      </c>
      <c r="F352" s="64">
        <f>6.6449 * CHOOSE(CONTROL!$C$22, $C$13, 100%, $E$13)</f>
        <v>6.6448999999999998</v>
      </c>
      <c r="G352" s="64">
        <f>6.645 * CHOOSE(CONTROL!$C$22, $C$13, 100%, $E$13)</f>
        <v>6.6449999999999996</v>
      </c>
      <c r="H352" s="64">
        <f>10.7496* CHOOSE(CONTROL!$C$22, $C$13, 100%, $E$13)</f>
        <v>10.749599999999999</v>
      </c>
      <c r="I352" s="64">
        <f>10.7497 * CHOOSE(CONTROL!$C$22, $C$13, 100%, $E$13)</f>
        <v>10.749700000000001</v>
      </c>
      <c r="J352" s="64">
        <f>6.6449 * CHOOSE(CONTROL!$C$22, $C$13, 100%, $E$13)</f>
        <v>6.6448999999999998</v>
      </c>
      <c r="K352" s="64">
        <f>6.645 * CHOOSE(CONTROL!$C$22, $C$13, 100%, $E$13)</f>
        <v>6.6449999999999996</v>
      </c>
    </row>
    <row r="353" spans="1:11" ht="15">
      <c r="A353" s="13">
        <v>52232</v>
      </c>
      <c r="B353" s="63">
        <f>5.5637 * CHOOSE(CONTROL!$C$22, $C$13, 100%, $E$13)</f>
        <v>5.5636999999999999</v>
      </c>
      <c r="C353" s="63">
        <f>5.5637 * CHOOSE(CONTROL!$C$22, $C$13, 100%, $E$13)</f>
        <v>5.5636999999999999</v>
      </c>
      <c r="D353" s="63">
        <f>5.5637 * CHOOSE(CONTROL!$C$22, $C$13, 100%, $E$13)</f>
        <v>5.5636999999999999</v>
      </c>
      <c r="E353" s="64">
        <f>6.7392 * CHOOSE(CONTROL!$C$22, $C$13, 100%, $E$13)</f>
        <v>6.7392000000000003</v>
      </c>
      <c r="F353" s="64">
        <f>6.7392 * CHOOSE(CONTROL!$C$22, $C$13, 100%, $E$13)</f>
        <v>6.7392000000000003</v>
      </c>
      <c r="G353" s="64">
        <f>6.7393 * CHOOSE(CONTROL!$C$22, $C$13, 100%, $E$13)</f>
        <v>6.7393000000000001</v>
      </c>
      <c r="H353" s="64">
        <f>10.772* CHOOSE(CONTROL!$C$22, $C$13, 100%, $E$13)</f>
        <v>10.772</v>
      </c>
      <c r="I353" s="64">
        <f>10.7721 * CHOOSE(CONTROL!$C$22, $C$13, 100%, $E$13)</f>
        <v>10.7721</v>
      </c>
      <c r="J353" s="64">
        <f>6.7392 * CHOOSE(CONTROL!$C$22, $C$13, 100%, $E$13)</f>
        <v>6.7392000000000003</v>
      </c>
      <c r="K353" s="64">
        <f>6.7393 * CHOOSE(CONTROL!$C$22, $C$13, 100%, $E$13)</f>
        <v>6.7393000000000001</v>
      </c>
    </row>
    <row r="354" spans="1:11" ht="15">
      <c r="A354" s="13">
        <v>52263</v>
      </c>
      <c r="B354" s="63">
        <f>5.5606 * CHOOSE(CONTROL!$C$22, $C$13, 100%, $E$13)</f>
        <v>5.5606</v>
      </c>
      <c r="C354" s="63">
        <f>5.5606 * CHOOSE(CONTROL!$C$22, $C$13, 100%, $E$13)</f>
        <v>5.5606</v>
      </c>
      <c r="D354" s="63">
        <f>5.5606 * CHOOSE(CONTROL!$C$22, $C$13, 100%, $E$13)</f>
        <v>5.5606</v>
      </c>
      <c r="E354" s="64">
        <f>6.6302 * CHOOSE(CONTROL!$C$22, $C$13, 100%, $E$13)</f>
        <v>6.6302000000000003</v>
      </c>
      <c r="F354" s="64">
        <f>6.6302 * CHOOSE(CONTROL!$C$22, $C$13, 100%, $E$13)</f>
        <v>6.6302000000000003</v>
      </c>
      <c r="G354" s="64">
        <f>6.6303 * CHOOSE(CONTROL!$C$22, $C$13, 100%, $E$13)</f>
        <v>6.6303000000000001</v>
      </c>
      <c r="H354" s="64">
        <f>10.7945* CHOOSE(CONTROL!$C$22, $C$13, 100%, $E$13)</f>
        <v>10.794499999999999</v>
      </c>
      <c r="I354" s="64">
        <f>10.7946 * CHOOSE(CONTROL!$C$22, $C$13, 100%, $E$13)</f>
        <v>10.794600000000001</v>
      </c>
      <c r="J354" s="64">
        <f>6.6302 * CHOOSE(CONTROL!$C$22, $C$13, 100%, $E$13)</f>
        <v>6.6302000000000003</v>
      </c>
      <c r="K354" s="64">
        <f>6.6303 * CHOOSE(CONTROL!$C$22, $C$13, 100%, $E$13)</f>
        <v>6.6303000000000001</v>
      </c>
    </row>
    <row r="355" spans="1:11" ht="15">
      <c r="A355" s="13">
        <v>52291</v>
      </c>
      <c r="B355" s="63">
        <f>5.5576 * CHOOSE(CONTROL!$C$22, $C$13, 100%, $E$13)</f>
        <v>5.5575999999999999</v>
      </c>
      <c r="C355" s="63">
        <f>5.5576 * CHOOSE(CONTROL!$C$22, $C$13, 100%, $E$13)</f>
        <v>5.5575999999999999</v>
      </c>
      <c r="D355" s="63">
        <f>5.5576 * CHOOSE(CONTROL!$C$22, $C$13, 100%, $E$13)</f>
        <v>5.5575999999999999</v>
      </c>
      <c r="E355" s="64">
        <f>6.7123 * CHOOSE(CONTROL!$C$22, $C$13, 100%, $E$13)</f>
        <v>6.7122999999999999</v>
      </c>
      <c r="F355" s="64">
        <f>6.7123 * CHOOSE(CONTROL!$C$22, $C$13, 100%, $E$13)</f>
        <v>6.7122999999999999</v>
      </c>
      <c r="G355" s="64">
        <f>6.7124 * CHOOSE(CONTROL!$C$22, $C$13, 100%, $E$13)</f>
        <v>6.7123999999999997</v>
      </c>
      <c r="H355" s="64">
        <f>10.817* CHOOSE(CONTROL!$C$22, $C$13, 100%, $E$13)</f>
        <v>10.817</v>
      </c>
      <c r="I355" s="64">
        <f>10.817 * CHOOSE(CONTROL!$C$22, $C$13, 100%, $E$13)</f>
        <v>10.817</v>
      </c>
      <c r="J355" s="64">
        <f>6.7123 * CHOOSE(CONTROL!$C$22, $C$13, 100%, $E$13)</f>
        <v>6.7122999999999999</v>
      </c>
      <c r="K355" s="64">
        <f>6.7124 * CHOOSE(CONTROL!$C$22, $C$13, 100%, $E$13)</f>
        <v>6.7123999999999997</v>
      </c>
    </row>
    <row r="356" spans="1:11" ht="15">
      <c r="A356" s="13">
        <v>52322</v>
      </c>
      <c r="B356" s="63">
        <f>5.5566 * CHOOSE(CONTROL!$C$22, $C$13, 100%, $E$13)</f>
        <v>5.5566000000000004</v>
      </c>
      <c r="C356" s="63">
        <f>5.5566 * CHOOSE(CONTROL!$C$22, $C$13, 100%, $E$13)</f>
        <v>5.5566000000000004</v>
      </c>
      <c r="D356" s="63">
        <f>5.5566 * CHOOSE(CONTROL!$C$22, $C$13, 100%, $E$13)</f>
        <v>5.5566000000000004</v>
      </c>
      <c r="E356" s="64">
        <f>6.7986 * CHOOSE(CONTROL!$C$22, $C$13, 100%, $E$13)</f>
        <v>6.7986000000000004</v>
      </c>
      <c r="F356" s="64">
        <f>6.7986 * CHOOSE(CONTROL!$C$22, $C$13, 100%, $E$13)</f>
        <v>6.7986000000000004</v>
      </c>
      <c r="G356" s="64">
        <f>6.7987 * CHOOSE(CONTROL!$C$22, $C$13, 100%, $E$13)</f>
        <v>6.7987000000000002</v>
      </c>
      <c r="H356" s="64">
        <f>10.8395* CHOOSE(CONTROL!$C$22, $C$13, 100%, $E$13)</f>
        <v>10.839499999999999</v>
      </c>
      <c r="I356" s="64">
        <f>10.8396 * CHOOSE(CONTROL!$C$22, $C$13, 100%, $E$13)</f>
        <v>10.839600000000001</v>
      </c>
      <c r="J356" s="64">
        <f>6.7986 * CHOOSE(CONTROL!$C$22, $C$13, 100%, $E$13)</f>
        <v>6.7986000000000004</v>
      </c>
      <c r="K356" s="64">
        <f>6.7987 * CHOOSE(CONTROL!$C$22, $C$13, 100%, $E$13)</f>
        <v>6.7987000000000002</v>
      </c>
    </row>
    <row r="357" spans="1:11" ht="15">
      <c r="A357" s="13">
        <v>52352</v>
      </c>
      <c r="B357" s="63">
        <f>5.5566 * CHOOSE(CONTROL!$C$22, $C$13, 100%, $E$13)</f>
        <v>5.5566000000000004</v>
      </c>
      <c r="C357" s="63">
        <f>5.5566 * CHOOSE(CONTROL!$C$22, $C$13, 100%, $E$13)</f>
        <v>5.5566000000000004</v>
      </c>
      <c r="D357" s="63">
        <f>5.5696 * CHOOSE(CONTROL!$C$22, $C$13, 100%, $E$13)</f>
        <v>5.5696000000000003</v>
      </c>
      <c r="E357" s="64">
        <f>6.8326 * CHOOSE(CONTROL!$C$22, $C$13, 100%, $E$13)</f>
        <v>6.8326000000000002</v>
      </c>
      <c r="F357" s="64">
        <f>6.8326 * CHOOSE(CONTROL!$C$22, $C$13, 100%, $E$13)</f>
        <v>6.8326000000000002</v>
      </c>
      <c r="G357" s="64">
        <f>6.8482 * CHOOSE(CONTROL!$C$22, $C$13, 100%, $E$13)</f>
        <v>6.8482000000000003</v>
      </c>
      <c r="H357" s="64">
        <f>10.8621* CHOOSE(CONTROL!$C$22, $C$13, 100%, $E$13)</f>
        <v>10.8621</v>
      </c>
      <c r="I357" s="64">
        <f>10.8778 * CHOOSE(CONTROL!$C$22, $C$13, 100%, $E$13)</f>
        <v>10.877800000000001</v>
      </c>
      <c r="J357" s="64">
        <f>6.8326 * CHOOSE(CONTROL!$C$22, $C$13, 100%, $E$13)</f>
        <v>6.8326000000000002</v>
      </c>
      <c r="K357" s="64">
        <f>6.8482 * CHOOSE(CONTROL!$C$22, $C$13, 100%, $E$13)</f>
        <v>6.8482000000000003</v>
      </c>
    </row>
    <row r="358" spans="1:11" ht="15">
      <c r="A358" s="13">
        <v>52383</v>
      </c>
      <c r="B358" s="63">
        <f>5.5627 * CHOOSE(CONTROL!$C$22, $C$13, 100%, $E$13)</f>
        <v>5.5627000000000004</v>
      </c>
      <c r="C358" s="63">
        <f>5.5627 * CHOOSE(CONTROL!$C$22, $C$13, 100%, $E$13)</f>
        <v>5.5627000000000004</v>
      </c>
      <c r="D358" s="63">
        <f>5.5756 * CHOOSE(CONTROL!$C$22, $C$13, 100%, $E$13)</f>
        <v>5.5755999999999997</v>
      </c>
      <c r="E358" s="64">
        <f>6.8029 * CHOOSE(CONTROL!$C$22, $C$13, 100%, $E$13)</f>
        <v>6.8029000000000002</v>
      </c>
      <c r="F358" s="64">
        <f>6.8029 * CHOOSE(CONTROL!$C$22, $C$13, 100%, $E$13)</f>
        <v>6.8029000000000002</v>
      </c>
      <c r="G358" s="64">
        <f>6.8185 * CHOOSE(CONTROL!$C$22, $C$13, 100%, $E$13)</f>
        <v>6.8185000000000002</v>
      </c>
      <c r="H358" s="64">
        <f>10.8847* CHOOSE(CONTROL!$C$22, $C$13, 100%, $E$13)</f>
        <v>10.8847</v>
      </c>
      <c r="I358" s="64">
        <f>10.9004 * CHOOSE(CONTROL!$C$22, $C$13, 100%, $E$13)</f>
        <v>10.900399999999999</v>
      </c>
      <c r="J358" s="64">
        <f>6.8029 * CHOOSE(CONTROL!$C$22, $C$13, 100%, $E$13)</f>
        <v>6.8029000000000002</v>
      </c>
      <c r="K358" s="64">
        <f>6.8185 * CHOOSE(CONTROL!$C$22, $C$13, 100%, $E$13)</f>
        <v>6.8185000000000002</v>
      </c>
    </row>
    <row r="359" spans="1:11" ht="15">
      <c r="A359" s="13">
        <v>52413</v>
      </c>
      <c r="B359" s="63">
        <f>5.6532 * CHOOSE(CONTROL!$C$22, $C$13, 100%, $E$13)</f>
        <v>5.6532</v>
      </c>
      <c r="C359" s="63">
        <f>5.6532 * CHOOSE(CONTROL!$C$22, $C$13, 100%, $E$13)</f>
        <v>5.6532</v>
      </c>
      <c r="D359" s="63">
        <f>5.6662 * CHOOSE(CONTROL!$C$22, $C$13, 100%, $E$13)</f>
        <v>5.6661999999999999</v>
      </c>
      <c r="E359" s="64">
        <f>6.9177 * CHOOSE(CONTROL!$C$22, $C$13, 100%, $E$13)</f>
        <v>6.9177</v>
      </c>
      <c r="F359" s="64">
        <f>6.9177 * CHOOSE(CONTROL!$C$22, $C$13, 100%, $E$13)</f>
        <v>6.9177</v>
      </c>
      <c r="G359" s="64">
        <f>6.9333 * CHOOSE(CONTROL!$C$22, $C$13, 100%, $E$13)</f>
        <v>6.9333</v>
      </c>
      <c r="H359" s="64">
        <f>10.9074* CHOOSE(CONTROL!$C$22, $C$13, 100%, $E$13)</f>
        <v>10.907400000000001</v>
      </c>
      <c r="I359" s="64">
        <f>10.9231 * CHOOSE(CONTROL!$C$22, $C$13, 100%, $E$13)</f>
        <v>10.9231</v>
      </c>
      <c r="J359" s="64">
        <f>6.9177 * CHOOSE(CONTROL!$C$22, $C$13, 100%, $E$13)</f>
        <v>6.9177</v>
      </c>
      <c r="K359" s="64">
        <f>6.9333 * CHOOSE(CONTROL!$C$22, $C$13, 100%, $E$13)</f>
        <v>6.9333</v>
      </c>
    </row>
    <row r="360" spans="1:11" ht="15">
      <c r="A360" s="13">
        <v>52444</v>
      </c>
      <c r="B360" s="63">
        <f>5.6599 * CHOOSE(CONTROL!$C$22, $C$13, 100%, $E$13)</f>
        <v>5.6599000000000004</v>
      </c>
      <c r="C360" s="63">
        <f>5.6599 * CHOOSE(CONTROL!$C$22, $C$13, 100%, $E$13)</f>
        <v>5.6599000000000004</v>
      </c>
      <c r="D360" s="63">
        <f>5.6729 * CHOOSE(CONTROL!$C$22, $C$13, 100%, $E$13)</f>
        <v>5.6729000000000003</v>
      </c>
      <c r="E360" s="64">
        <f>6.8205 * CHOOSE(CONTROL!$C$22, $C$13, 100%, $E$13)</f>
        <v>6.8205</v>
      </c>
      <c r="F360" s="64">
        <f>6.8205 * CHOOSE(CONTROL!$C$22, $C$13, 100%, $E$13)</f>
        <v>6.8205</v>
      </c>
      <c r="G360" s="64">
        <f>6.8362 * CHOOSE(CONTROL!$C$22, $C$13, 100%, $E$13)</f>
        <v>6.8361999999999998</v>
      </c>
      <c r="H360" s="64">
        <f>10.9301* CHOOSE(CONTROL!$C$22, $C$13, 100%, $E$13)</f>
        <v>10.930099999999999</v>
      </c>
      <c r="I360" s="64">
        <f>10.9458 * CHOOSE(CONTROL!$C$22, $C$13, 100%, $E$13)</f>
        <v>10.9458</v>
      </c>
      <c r="J360" s="64">
        <f>6.8205 * CHOOSE(CONTROL!$C$22, $C$13, 100%, $E$13)</f>
        <v>6.8205</v>
      </c>
      <c r="K360" s="64">
        <f>6.8362 * CHOOSE(CONTROL!$C$22, $C$13, 100%, $E$13)</f>
        <v>6.8361999999999998</v>
      </c>
    </row>
    <row r="361" spans="1:11" ht="15">
      <c r="A361" s="13">
        <v>52475</v>
      </c>
      <c r="B361" s="63">
        <f>5.6569 * CHOOSE(CONTROL!$C$22, $C$13, 100%, $E$13)</f>
        <v>5.6569000000000003</v>
      </c>
      <c r="C361" s="63">
        <f>5.6569 * CHOOSE(CONTROL!$C$22, $C$13, 100%, $E$13)</f>
        <v>5.6569000000000003</v>
      </c>
      <c r="D361" s="63">
        <f>5.6698 * CHOOSE(CONTROL!$C$22, $C$13, 100%, $E$13)</f>
        <v>5.6698000000000004</v>
      </c>
      <c r="E361" s="64">
        <f>6.8071 * CHOOSE(CONTROL!$C$22, $C$13, 100%, $E$13)</f>
        <v>6.8071000000000002</v>
      </c>
      <c r="F361" s="64">
        <f>6.8071 * CHOOSE(CONTROL!$C$22, $C$13, 100%, $E$13)</f>
        <v>6.8071000000000002</v>
      </c>
      <c r="G361" s="64">
        <f>6.8227 * CHOOSE(CONTROL!$C$22, $C$13, 100%, $E$13)</f>
        <v>6.8227000000000002</v>
      </c>
      <c r="H361" s="64">
        <f>10.9529* CHOOSE(CONTROL!$C$22, $C$13, 100%, $E$13)</f>
        <v>10.9529</v>
      </c>
      <c r="I361" s="64">
        <f>10.9686 * CHOOSE(CONTROL!$C$22, $C$13, 100%, $E$13)</f>
        <v>10.9686</v>
      </c>
      <c r="J361" s="64">
        <f>6.8071 * CHOOSE(CONTROL!$C$22, $C$13, 100%, $E$13)</f>
        <v>6.8071000000000002</v>
      </c>
      <c r="K361" s="64">
        <f>6.8227 * CHOOSE(CONTROL!$C$22, $C$13, 100%, $E$13)</f>
        <v>6.8227000000000002</v>
      </c>
    </row>
    <row r="362" spans="1:11" ht="15">
      <c r="A362" s="13">
        <v>52505</v>
      </c>
      <c r="B362" s="63">
        <f>5.6574 * CHOOSE(CONTROL!$C$22, $C$13, 100%, $E$13)</f>
        <v>5.6574</v>
      </c>
      <c r="C362" s="63">
        <f>5.6574 * CHOOSE(CONTROL!$C$22, $C$13, 100%, $E$13)</f>
        <v>5.6574</v>
      </c>
      <c r="D362" s="63">
        <f>5.6574 * CHOOSE(CONTROL!$C$22, $C$13, 100%, $E$13)</f>
        <v>5.6574</v>
      </c>
      <c r="E362" s="64">
        <f>6.8389 * CHOOSE(CONTROL!$C$22, $C$13, 100%, $E$13)</f>
        <v>6.8388999999999998</v>
      </c>
      <c r="F362" s="64">
        <f>6.8389 * CHOOSE(CONTROL!$C$22, $C$13, 100%, $E$13)</f>
        <v>6.8388999999999998</v>
      </c>
      <c r="G362" s="64">
        <f>6.839 * CHOOSE(CONTROL!$C$22, $C$13, 100%, $E$13)</f>
        <v>6.8390000000000004</v>
      </c>
      <c r="H362" s="64">
        <f>10.9757* CHOOSE(CONTROL!$C$22, $C$13, 100%, $E$13)</f>
        <v>10.9757</v>
      </c>
      <c r="I362" s="64">
        <f>10.9758 * CHOOSE(CONTROL!$C$22, $C$13, 100%, $E$13)</f>
        <v>10.9758</v>
      </c>
      <c r="J362" s="64">
        <f>6.8389 * CHOOSE(CONTROL!$C$22, $C$13, 100%, $E$13)</f>
        <v>6.8388999999999998</v>
      </c>
      <c r="K362" s="64">
        <f>6.839 * CHOOSE(CONTROL!$C$22, $C$13, 100%, $E$13)</f>
        <v>6.8390000000000004</v>
      </c>
    </row>
    <row r="363" spans="1:11" ht="15">
      <c r="A363" s="13">
        <v>52536</v>
      </c>
      <c r="B363" s="63">
        <f>5.6605 * CHOOSE(CONTROL!$C$22, $C$13, 100%, $E$13)</f>
        <v>5.6604999999999999</v>
      </c>
      <c r="C363" s="63">
        <f>5.6605 * CHOOSE(CONTROL!$C$22, $C$13, 100%, $E$13)</f>
        <v>5.6604999999999999</v>
      </c>
      <c r="D363" s="63">
        <f>5.6605 * CHOOSE(CONTROL!$C$22, $C$13, 100%, $E$13)</f>
        <v>5.6604999999999999</v>
      </c>
      <c r="E363" s="64">
        <f>6.8636 * CHOOSE(CONTROL!$C$22, $C$13, 100%, $E$13)</f>
        <v>6.8635999999999999</v>
      </c>
      <c r="F363" s="64">
        <f>6.8636 * CHOOSE(CONTROL!$C$22, $C$13, 100%, $E$13)</f>
        <v>6.8635999999999999</v>
      </c>
      <c r="G363" s="64">
        <f>6.8637 * CHOOSE(CONTROL!$C$22, $C$13, 100%, $E$13)</f>
        <v>6.8636999999999997</v>
      </c>
      <c r="H363" s="64">
        <f>10.9986* CHOOSE(CONTROL!$C$22, $C$13, 100%, $E$13)</f>
        <v>10.9986</v>
      </c>
      <c r="I363" s="64">
        <f>10.9986 * CHOOSE(CONTROL!$C$22, $C$13, 100%, $E$13)</f>
        <v>10.9986</v>
      </c>
      <c r="J363" s="64">
        <f>6.8636 * CHOOSE(CONTROL!$C$22, $C$13, 100%, $E$13)</f>
        <v>6.8635999999999999</v>
      </c>
      <c r="K363" s="64">
        <f>6.8637 * CHOOSE(CONTROL!$C$22, $C$13, 100%, $E$13)</f>
        <v>6.8636999999999997</v>
      </c>
    </row>
    <row r="364" spans="1:11" ht="15">
      <c r="A364" s="13">
        <v>52566</v>
      </c>
      <c r="B364" s="63">
        <f>5.6605 * CHOOSE(CONTROL!$C$22, $C$13, 100%, $E$13)</f>
        <v>5.6604999999999999</v>
      </c>
      <c r="C364" s="63">
        <f>5.6605 * CHOOSE(CONTROL!$C$22, $C$13, 100%, $E$13)</f>
        <v>5.6604999999999999</v>
      </c>
      <c r="D364" s="63">
        <f>5.6605 * CHOOSE(CONTROL!$C$22, $C$13, 100%, $E$13)</f>
        <v>5.6604999999999999</v>
      </c>
      <c r="E364" s="64">
        <f>6.8071 * CHOOSE(CONTROL!$C$22, $C$13, 100%, $E$13)</f>
        <v>6.8071000000000002</v>
      </c>
      <c r="F364" s="64">
        <f>6.8071 * CHOOSE(CONTROL!$C$22, $C$13, 100%, $E$13)</f>
        <v>6.8071000000000002</v>
      </c>
      <c r="G364" s="64">
        <f>6.8072 * CHOOSE(CONTROL!$C$22, $C$13, 100%, $E$13)</f>
        <v>6.8071999999999999</v>
      </c>
      <c r="H364" s="64">
        <f>11.0215* CHOOSE(CONTROL!$C$22, $C$13, 100%, $E$13)</f>
        <v>11.0215</v>
      </c>
      <c r="I364" s="64">
        <f>11.0216 * CHOOSE(CONTROL!$C$22, $C$13, 100%, $E$13)</f>
        <v>11.021599999999999</v>
      </c>
      <c r="J364" s="64">
        <f>6.8071 * CHOOSE(CONTROL!$C$22, $C$13, 100%, $E$13)</f>
        <v>6.8071000000000002</v>
      </c>
      <c r="K364" s="64">
        <f>6.8072 * CHOOSE(CONTROL!$C$22, $C$13, 100%, $E$13)</f>
        <v>6.8071999999999999</v>
      </c>
    </row>
    <row r="365" spans="1:11" ht="15">
      <c r="A365" s="13">
        <v>52597</v>
      </c>
      <c r="B365" s="63">
        <f>5.7103 * CHOOSE(CONTROL!$C$22, $C$13, 100%, $E$13)</f>
        <v>5.7103000000000002</v>
      </c>
      <c r="C365" s="63">
        <f>5.7103 * CHOOSE(CONTROL!$C$22, $C$13, 100%, $E$13)</f>
        <v>5.7103000000000002</v>
      </c>
      <c r="D365" s="63">
        <f>5.7103 * CHOOSE(CONTROL!$C$22, $C$13, 100%, $E$13)</f>
        <v>5.7103000000000002</v>
      </c>
      <c r="E365" s="64">
        <f>6.9038 * CHOOSE(CONTROL!$C$22, $C$13, 100%, $E$13)</f>
        <v>6.9038000000000004</v>
      </c>
      <c r="F365" s="64">
        <f>6.9038 * CHOOSE(CONTROL!$C$22, $C$13, 100%, $E$13)</f>
        <v>6.9038000000000004</v>
      </c>
      <c r="G365" s="64">
        <f>6.9039 * CHOOSE(CONTROL!$C$22, $C$13, 100%, $E$13)</f>
        <v>6.9039000000000001</v>
      </c>
      <c r="H365" s="64">
        <f>11.0444* CHOOSE(CONTROL!$C$22, $C$13, 100%, $E$13)</f>
        <v>11.0444</v>
      </c>
      <c r="I365" s="64">
        <f>11.0445 * CHOOSE(CONTROL!$C$22, $C$13, 100%, $E$13)</f>
        <v>11.044499999999999</v>
      </c>
      <c r="J365" s="64">
        <f>6.9038 * CHOOSE(CONTROL!$C$22, $C$13, 100%, $E$13)</f>
        <v>6.9038000000000004</v>
      </c>
      <c r="K365" s="64">
        <f>6.9039 * CHOOSE(CONTROL!$C$22, $C$13, 100%, $E$13)</f>
        <v>6.9039000000000001</v>
      </c>
    </row>
    <row r="366" spans="1:11" ht="15">
      <c r="A366" s="13">
        <v>52628</v>
      </c>
      <c r="B366" s="63">
        <f>5.7073 * CHOOSE(CONTROL!$C$22, $C$13, 100%, $E$13)</f>
        <v>5.7073</v>
      </c>
      <c r="C366" s="63">
        <f>5.7073 * CHOOSE(CONTROL!$C$22, $C$13, 100%, $E$13)</f>
        <v>5.7073</v>
      </c>
      <c r="D366" s="63">
        <f>5.7073 * CHOOSE(CONTROL!$C$22, $C$13, 100%, $E$13)</f>
        <v>5.7073</v>
      </c>
      <c r="E366" s="64">
        <f>6.7917 * CHOOSE(CONTROL!$C$22, $C$13, 100%, $E$13)</f>
        <v>6.7916999999999996</v>
      </c>
      <c r="F366" s="64">
        <f>6.7917 * CHOOSE(CONTROL!$C$22, $C$13, 100%, $E$13)</f>
        <v>6.7916999999999996</v>
      </c>
      <c r="G366" s="64">
        <f>6.7918 * CHOOSE(CONTROL!$C$22, $C$13, 100%, $E$13)</f>
        <v>6.7918000000000003</v>
      </c>
      <c r="H366" s="64">
        <f>11.0674* CHOOSE(CONTROL!$C$22, $C$13, 100%, $E$13)</f>
        <v>11.067399999999999</v>
      </c>
      <c r="I366" s="64">
        <f>11.0675 * CHOOSE(CONTROL!$C$22, $C$13, 100%, $E$13)</f>
        <v>11.067500000000001</v>
      </c>
      <c r="J366" s="64">
        <f>6.7917 * CHOOSE(CONTROL!$C$22, $C$13, 100%, $E$13)</f>
        <v>6.7916999999999996</v>
      </c>
      <c r="K366" s="64">
        <f>6.7918 * CHOOSE(CONTROL!$C$22, $C$13, 100%, $E$13)</f>
        <v>6.7918000000000003</v>
      </c>
    </row>
    <row r="367" spans="1:11" ht="15">
      <c r="A367" s="13">
        <v>52657</v>
      </c>
      <c r="B367" s="63">
        <f>5.7042 * CHOOSE(CONTROL!$C$22, $C$13, 100%, $E$13)</f>
        <v>5.7042000000000002</v>
      </c>
      <c r="C367" s="63">
        <f>5.7042 * CHOOSE(CONTROL!$C$22, $C$13, 100%, $E$13)</f>
        <v>5.7042000000000002</v>
      </c>
      <c r="D367" s="63">
        <f>5.7042 * CHOOSE(CONTROL!$C$22, $C$13, 100%, $E$13)</f>
        <v>5.7042000000000002</v>
      </c>
      <c r="E367" s="64">
        <f>6.8763 * CHOOSE(CONTROL!$C$22, $C$13, 100%, $E$13)</f>
        <v>6.8762999999999996</v>
      </c>
      <c r="F367" s="64">
        <f>6.8763 * CHOOSE(CONTROL!$C$22, $C$13, 100%, $E$13)</f>
        <v>6.8762999999999996</v>
      </c>
      <c r="G367" s="64">
        <f>6.8764 * CHOOSE(CONTROL!$C$22, $C$13, 100%, $E$13)</f>
        <v>6.8764000000000003</v>
      </c>
      <c r="H367" s="64">
        <f>11.0905* CHOOSE(CONTROL!$C$22, $C$13, 100%, $E$13)</f>
        <v>11.0905</v>
      </c>
      <c r="I367" s="64">
        <f>11.0906 * CHOOSE(CONTROL!$C$22, $C$13, 100%, $E$13)</f>
        <v>11.0906</v>
      </c>
      <c r="J367" s="64">
        <f>6.8763 * CHOOSE(CONTROL!$C$22, $C$13, 100%, $E$13)</f>
        <v>6.8762999999999996</v>
      </c>
      <c r="K367" s="64">
        <f>6.8764 * CHOOSE(CONTROL!$C$22, $C$13, 100%, $E$13)</f>
        <v>6.8764000000000003</v>
      </c>
    </row>
    <row r="368" spans="1:11" ht="15">
      <c r="A368" s="13">
        <v>52688</v>
      </c>
      <c r="B368" s="63">
        <f>5.7034 * CHOOSE(CONTROL!$C$22, $C$13, 100%, $E$13)</f>
        <v>5.7034000000000002</v>
      </c>
      <c r="C368" s="63">
        <f>5.7034 * CHOOSE(CONTROL!$C$22, $C$13, 100%, $E$13)</f>
        <v>5.7034000000000002</v>
      </c>
      <c r="D368" s="63">
        <f>5.7034 * CHOOSE(CONTROL!$C$22, $C$13, 100%, $E$13)</f>
        <v>5.7034000000000002</v>
      </c>
      <c r="E368" s="64">
        <f>6.9651 * CHOOSE(CONTROL!$C$22, $C$13, 100%, $E$13)</f>
        <v>6.9650999999999996</v>
      </c>
      <c r="F368" s="64">
        <f>6.9651 * CHOOSE(CONTROL!$C$22, $C$13, 100%, $E$13)</f>
        <v>6.9650999999999996</v>
      </c>
      <c r="G368" s="64">
        <f>6.9652 * CHOOSE(CONTROL!$C$22, $C$13, 100%, $E$13)</f>
        <v>6.9652000000000003</v>
      </c>
      <c r="H368" s="64">
        <f>11.1136* CHOOSE(CONTROL!$C$22, $C$13, 100%, $E$13)</f>
        <v>11.1136</v>
      </c>
      <c r="I368" s="64">
        <f>11.1137 * CHOOSE(CONTROL!$C$22, $C$13, 100%, $E$13)</f>
        <v>11.1137</v>
      </c>
      <c r="J368" s="64">
        <f>6.9651 * CHOOSE(CONTROL!$C$22, $C$13, 100%, $E$13)</f>
        <v>6.9650999999999996</v>
      </c>
      <c r="K368" s="64">
        <f>6.9652 * CHOOSE(CONTROL!$C$22, $C$13, 100%, $E$13)</f>
        <v>6.9652000000000003</v>
      </c>
    </row>
    <row r="369" spans="1:11" ht="15">
      <c r="A369" s="13">
        <v>52718</v>
      </c>
      <c r="B369" s="63">
        <f>5.7034 * CHOOSE(CONTROL!$C$22, $C$13, 100%, $E$13)</f>
        <v>5.7034000000000002</v>
      </c>
      <c r="C369" s="63">
        <f>5.7034 * CHOOSE(CONTROL!$C$22, $C$13, 100%, $E$13)</f>
        <v>5.7034000000000002</v>
      </c>
      <c r="D369" s="63">
        <f>5.7163 * CHOOSE(CONTROL!$C$22, $C$13, 100%, $E$13)</f>
        <v>5.7163000000000004</v>
      </c>
      <c r="E369" s="64">
        <f>7 * CHOOSE(CONTROL!$C$22, $C$13, 100%, $E$13)</f>
        <v>7</v>
      </c>
      <c r="F369" s="64">
        <f>7 * CHOOSE(CONTROL!$C$22, $C$13, 100%, $E$13)</f>
        <v>7</v>
      </c>
      <c r="G369" s="64">
        <f>7.0157 * CHOOSE(CONTROL!$C$22, $C$13, 100%, $E$13)</f>
        <v>7.0156999999999998</v>
      </c>
      <c r="H369" s="64">
        <f>11.1368* CHOOSE(CONTROL!$C$22, $C$13, 100%, $E$13)</f>
        <v>11.136799999999999</v>
      </c>
      <c r="I369" s="64">
        <f>11.1524 * CHOOSE(CONTROL!$C$22, $C$13, 100%, $E$13)</f>
        <v>11.1524</v>
      </c>
      <c r="J369" s="64">
        <f>7 * CHOOSE(CONTROL!$C$22, $C$13, 100%, $E$13)</f>
        <v>7</v>
      </c>
      <c r="K369" s="64">
        <f>7.0157 * CHOOSE(CONTROL!$C$22, $C$13, 100%, $E$13)</f>
        <v>7.0156999999999998</v>
      </c>
    </row>
    <row r="370" spans="1:11" ht="15">
      <c r="A370" s="13">
        <v>52749</v>
      </c>
      <c r="B370" s="63">
        <f>5.7094 * CHOOSE(CONTROL!$C$22, $C$13, 100%, $E$13)</f>
        <v>5.7093999999999996</v>
      </c>
      <c r="C370" s="63">
        <f>5.7094 * CHOOSE(CONTROL!$C$22, $C$13, 100%, $E$13)</f>
        <v>5.7093999999999996</v>
      </c>
      <c r="D370" s="63">
        <f>5.7224 * CHOOSE(CONTROL!$C$22, $C$13, 100%, $E$13)</f>
        <v>5.7224000000000004</v>
      </c>
      <c r="E370" s="64">
        <f>6.9693 * CHOOSE(CONTROL!$C$22, $C$13, 100%, $E$13)</f>
        <v>6.9692999999999996</v>
      </c>
      <c r="F370" s="64">
        <f>6.9693 * CHOOSE(CONTROL!$C$22, $C$13, 100%, $E$13)</f>
        <v>6.9692999999999996</v>
      </c>
      <c r="G370" s="64">
        <f>6.985 * CHOOSE(CONTROL!$C$22, $C$13, 100%, $E$13)</f>
        <v>6.9850000000000003</v>
      </c>
      <c r="H370" s="64">
        <f>11.16* CHOOSE(CONTROL!$C$22, $C$13, 100%, $E$13)</f>
        <v>11.16</v>
      </c>
      <c r="I370" s="64">
        <f>11.1756 * CHOOSE(CONTROL!$C$22, $C$13, 100%, $E$13)</f>
        <v>11.175599999999999</v>
      </c>
      <c r="J370" s="64">
        <f>6.9693 * CHOOSE(CONTROL!$C$22, $C$13, 100%, $E$13)</f>
        <v>6.9692999999999996</v>
      </c>
      <c r="K370" s="64">
        <f>6.985 * CHOOSE(CONTROL!$C$22, $C$13, 100%, $E$13)</f>
        <v>6.9850000000000003</v>
      </c>
    </row>
    <row r="371" spans="1:11" ht="15">
      <c r="A371" s="13">
        <v>52779</v>
      </c>
      <c r="B371" s="63">
        <f>5.8021 * CHOOSE(CONTROL!$C$22, $C$13, 100%, $E$13)</f>
        <v>5.8021000000000003</v>
      </c>
      <c r="C371" s="63">
        <f>5.8021 * CHOOSE(CONTROL!$C$22, $C$13, 100%, $E$13)</f>
        <v>5.8021000000000003</v>
      </c>
      <c r="D371" s="63">
        <f>5.8151 * CHOOSE(CONTROL!$C$22, $C$13, 100%, $E$13)</f>
        <v>5.8151000000000002</v>
      </c>
      <c r="E371" s="64">
        <f>7.0867 * CHOOSE(CONTROL!$C$22, $C$13, 100%, $E$13)</f>
        <v>7.0867000000000004</v>
      </c>
      <c r="F371" s="64">
        <f>7.0867 * CHOOSE(CONTROL!$C$22, $C$13, 100%, $E$13)</f>
        <v>7.0867000000000004</v>
      </c>
      <c r="G371" s="64">
        <f>7.1024 * CHOOSE(CONTROL!$C$22, $C$13, 100%, $E$13)</f>
        <v>7.1024000000000003</v>
      </c>
      <c r="H371" s="64">
        <f>11.1832* CHOOSE(CONTROL!$C$22, $C$13, 100%, $E$13)</f>
        <v>11.183199999999999</v>
      </c>
      <c r="I371" s="64">
        <f>11.1989 * CHOOSE(CONTROL!$C$22, $C$13, 100%, $E$13)</f>
        <v>11.1989</v>
      </c>
      <c r="J371" s="64">
        <f>7.0867 * CHOOSE(CONTROL!$C$22, $C$13, 100%, $E$13)</f>
        <v>7.0867000000000004</v>
      </c>
      <c r="K371" s="64">
        <f>7.1024 * CHOOSE(CONTROL!$C$22, $C$13, 100%, $E$13)</f>
        <v>7.1024000000000003</v>
      </c>
    </row>
    <row r="372" spans="1:11" ht="15">
      <c r="A372" s="13">
        <v>52810</v>
      </c>
      <c r="B372" s="63">
        <f>5.8088 * CHOOSE(CONTROL!$C$22, $C$13, 100%, $E$13)</f>
        <v>5.8087999999999997</v>
      </c>
      <c r="C372" s="63">
        <f>5.8088 * CHOOSE(CONTROL!$C$22, $C$13, 100%, $E$13)</f>
        <v>5.8087999999999997</v>
      </c>
      <c r="D372" s="63">
        <f>5.8218 * CHOOSE(CONTROL!$C$22, $C$13, 100%, $E$13)</f>
        <v>5.8217999999999996</v>
      </c>
      <c r="E372" s="64">
        <f>6.9867 * CHOOSE(CONTROL!$C$22, $C$13, 100%, $E$13)</f>
        <v>6.9866999999999999</v>
      </c>
      <c r="F372" s="64">
        <f>6.9867 * CHOOSE(CONTROL!$C$22, $C$13, 100%, $E$13)</f>
        <v>6.9866999999999999</v>
      </c>
      <c r="G372" s="64">
        <f>7.0024 * CHOOSE(CONTROL!$C$22, $C$13, 100%, $E$13)</f>
        <v>7.0023999999999997</v>
      </c>
      <c r="H372" s="64">
        <f>11.2065* CHOOSE(CONTROL!$C$22, $C$13, 100%, $E$13)</f>
        <v>11.2065</v>
      </c>
      <c r="I372" s="64">
        <f>11.2222 * CHOOSE(CONTROL!$C$22, $C$13, 100%, $E$13)</f>
        <v>11.222200000000001</v>
      </c>
      <c r="J372" s="64">
        <f>6.9867 * CHOOSE(CONTROL!$C$22, $C$13, 100%, $E$13)</f>
        <v>6.9866999999999999</v>
      </c>
      <c r="K372" s="64">
        <f>7.0024 * CHOOSE(CONTROL!$C$22, $C$13, 100%, $E$13)</f>
        <v>7.0023999999999997</v>
      </c>
    </row>
    <row r="373" spans="1:11" ht="15">
      <c r="A373" s="13">
        <v>52841</v>
      </c>
      <c r="B373" s="63">
        <f>5.8058 * CHOOSE(CONTROL!$C$22, $C$13, 100%, $E$13)</f>
        <v>5.8057999999999996</v>
      </c>
      <c r="C373" s="63">
        <f>5.8058 * CHOOSE(CONTROL!$C$22, $C$13, 100%, $E$13)</f>
        <v>5.8057999999999996</v>
      </c>
      <c r="D373" s="63">
        <f>5.8188 * CHOOSE(CONTROL!$C$22, $C$13, 100%, $E$13)</f>
        <v>5.8188000000000004</v>
      </c>
      <c r="E373" s="64">
        <f>6.9729 * CHOOSE(CONTROL!$C$22, $C$13, 100%, $E$13)</f>
        <v>6.9729000000000001</v>
      </c>
      <c r="F373" s="64">
        <f>6.9729 * CHOOSE(CONTROL!$C$22, $C$13, 100%, $E$13)</f>
        <v>6.9729000000000001</v>
      </c>
      <c r="G373" s="64">
        <f>6.9886 * CHOOSE(CONTROL!$C$22, $C$13, 100%, $E$13)</f>
        <v>6.9885999999999999</v>
      </c>
      <c r="H373" s="64">
        <f>11.2299* CHOOSE(CONTROL!$C$22, $C$13, 100%, $E$13)</f>
        <v>11.229900000000001</v>
      </c>
      <c r="I373" s="64">
        <f>11.2455 * CHOOSE(CONTROL!$C$22, $C$13, 100%, $E$13)</f>
        <v>11.2455</v>
      </c>
      <c r="J373" s="64">
        <f>6.9729 * CHOOSE(CONTROL!$C$22, $C$13, 100%, $E$13)</f>
        <v>6.9729000000000001</v>
      </c>
      <c r="K373" s="64">
        <f>6.9886 * CHOOSE(CONTROL!$C$22, $C$13, 100%, $E$13)</f>
        <v>6.9885999999999999</v>
      </c>
    </row>
    <row r="374" spans="1:11" ht="15">
      <c r="A374" s="13">
        <v>52871</v>
      </c>
      <c r="B374" s="63">
        <f>5.8068 * CHOOSE(CONTROL!$C$22, $C$13, 100%, $E$13)</f>
        <v>5.8068</v>
      </c>
      <c r="C374" s="63">
        <f>5.8068 * CHOOSE(CONTROL!$C$22, $C$13, 100%, $E$13)</f>
        <v>5.8068</v>
      </c>
      <c r="D374" s="63">
        <f>5.8068 * CHOOSE(CONTROL!$C$22, $C$13, 100%, $E$13)</f>
        <v>5.8068</v>
      </c>
      <c r="E374" s="64">
        <f>7.0061 * CHOOSE(CONTROL!$C$22, $C$13, 100%, $E$13)</f>
        <v>7.0061</v>
      </c>
      <c r="F374" s="64">
        <f>7.0061 * CHOOSE(CONTROL!$C$22, $C$13, 100%, $E$13)</f>
        <v>7.0061</v>
      </c>
      <c r="G374" s="64">
        <f>7.0061 * CHOOSE(CONTROL!$C$22, $C$13, 100%, $E$13)</f>
        <v>7.0061</v>
      </c>
      <c r="H374" s="64">
        <f>11.2533* CHOOSE(CONTROL!$C$22, $C$13, 100%, $E$13)</f>
        <v>11.253299999999999</v>
      </c>
      <c r="I374" s="64">
        <f>11.2533 * CHOOSE(CONTROL!$C$22, $C$13, 100%, $E$13)</f>
        <v>11.253299999999999</v>
      </c>
      <c r="J374" s="64">
        <f>7.0061 * CHOOSE(CONTROL!$C$22, $C$13, 100%, $E$13)</f>
        <v>7.0061</v>
      </c>
      <c r="K374" s="64">
        <f>7.0061 * CHOOSE(CONTROL!$C$22, $C$13, 100%, $E$13)</f>
        <v>7.0061</v>
      </c>
    </row>
    <row r="375" spans="1:11" ht="15">
      <c r="A375" s="13">
        <v>52902</v>
      </c>
      <c r="B375" s="63">
        <f>5.8099 * CHOOSE(CONTROL!$C$22, $C$13, 100%, $E$13)</f>
        <v>5.8098999999999998</v>
      </c>
      <c r="C375" s="63">
        <f>5.8099 * CHOOSE(CONTROL!$C$22, $C$13, 100%, $E$13)</f>
        <v>5.8098999999999998</v>
      </c>
      <c r="D375" s="63">
        <f>5.8099 * CHOOSE(CONTROL!$C$22, $C$13, 100%, $E$13)</f>
        <v>5.8098999999999998</v>
      </c>
      <c r="E375" s="64">
        <f>7.0314 * CHOOSE(CONTROL!$C$22, $C$13, 100%, $E$13)</f>
        <v>7.0313999999999997</v>
      </c>
      <c r="F375" s="64">
        <f>7.0314 * CHOOSE(CONTROL!$C$22, $C$13, 100%, $E$13)</f>
        <v>7.0313999999999997</v>
      </c>
      <c r="G375" s="64">
        <f>7.0315 * CHOOSE(CONTROL!$C$22, $C$13, 100%, $E$13)</f>
        <v>7.0315000000000003</v>
      </c>
      <c r="H375" s="64">
        <f>11.2767* CHOOSE(CONTROL!$C$22, $C$13, 100%, $E$13)</f>
        <v>11.2767</v>
      </c>
      <c r="I375" s="64">
        <f>11.2768 * CHOOSE(CONTROL!$C$22, $C$13, 100%, $E$13)</f>
        <v>11.2768</v>
      </c>
      <c r="J375" s="64">
        <f>7.0314 * CHOOSE(CONTROL!$C$22, $C$13, 100%, $E$13)</f>
        <v>7.0313999999999997</v>
      </c>
      <c r="K375" s="64">
        <f>7.0315 * CHOOSE(CONTROL!$C$22, $C$13, 100%, $E$13)</f>
        <v>7.0315000000000003</v>
      </c>
    </row>
    <row r="376" spans="1:11" ht="15">
      <c r="A376" s="13">
        <v>52932</v>
      </c>
      <c r="B376" s="63">
        <f>5.8099 * CHOOSE(CONTROL!$C$22, $C$13, 100%, $E$13)</f>
        <v>5.8098999999999998</v>
      </c>
      <c r="C376" s="63">
        <f>5.8099 * CHOOSE(CONTROL!$C$22, $C$13, 100%, $E$13)</f>
        <v>5.8098999999999998</v>
      </c>
      <c r="D376" s="63">
        <f>5.8099 * CHOOSE(CONTROL!$C$22, $C$13, 100%, $E$13)</f>
        <v>5.8098999999999998</v>
      </c>
      <c r="E376" s="64">
        <f>6.9733 * CHOOSE(CONTROL!$C$22, $C$13, 100%, $E$13)</f>
        <v>6.9733000000000001</v>
      </c>
      <c r="F376" s="64">
        <f>6.9733 * CHOOSE(CONTROL!$C$22, $C$13, 100%, $E$13)</f>
        <v>6.9733000000000001</v>
      </c>
      <c r="G376" s="64">
        <f>6.9734 * CHOOSE(CONTROL!$C$22, $C$13, 100%, $E$13)</f>
        <v>6.9733999999999998</v>
      </c>
      <c r="H376" s="64">
        <f>11.3002* CHOOSE(CONTROL!$C$22, $C$13, 100%, $E$13)</f>
        <v>11.3002</v>
      </c>
      <c r="I376" s="64">
        <f>11.3003 * CHOOSE(CONTROL!$C$22, $C$13, 100%, $E$13)</f>
        <v>11.3003</v>
      </c>
      <c r="J376" s="64">
        <f>6.9733 * CHOOSE(CONTROL!$C$22, $C$13, 100%, $E$13)</f>
        <v>6.9733000000000001</v>
      </c>
      <c r="K376" s="64">
        <f>6.9734 * CHOOSE(CONTROL!$C$22, $C$13, 100%, $E$13)</f>
        <v>6.9733999999999998</v>
      </c>
    </row>
    <row r="377" spans="1:11" ht="15">
      <c r="A377" s="13">
        <v>52963</v>
      </c>
      <c r="B377" s="63">
        <f>5.8609 * CHOOSE(CONTROL!$C$22, $C$13, 100%, $E$13)</f>
        <v>5.8609</v>
      </c>
      <c r="C377" s="63">
        <f>5.8609 * CHOOSE(CONTROL!$C$22, $C$13, 100%, $E$13)</f>
        <v>5.8609</v>
      </c>
      <c r="D377" s="63">
        <f>5.8609 * CHOOSE(CONTROL!$C$22, $C$13, 100%, $E$13)</f>
        <v>5.8609</v>
      </c>
      <c r="E377" s="64">
        <f>7.0724 * CHOOSE(CONTROL!$C$22, $C$13, 100%, $E$13)</f>
        <v>7.0724</v>
      </c>
      <c r="F377" s="64">
        <f>7.0724 * CHOOSE(CONTROL!$C$22, $C$13, 100%, $E$13)</f>
        <v>7.0724</v>
      </c>
      <c r="G377" s="64">
        <f>7.0725 * CHOOSE(CONTROL!$C$22, $C$13, 100%, $E$13)</f>
        <v>7.0724999999999998</v>
      </c>
      <c r="H377" s="64">
        <f>11.3237* CHOOSE(CONTROL!$C$22, $C$13, 100%, $E$13)</f>
        <v>11.323700000000001</v>
      </c>
      <c r="I377" s="64">
        <f>11.3238 * CHOOSE(CONTROL!$C$22, $C$13, 100%, $E$13)</f>
        <v>11.3238</v>
      </c>
      <c r="J377" s="64">
        <f>7.0724 * CHOOSE(CONTROL!$C$22, $C$13, 100%, $E$13)</f>
        <v>7.0724</v>
      </c>
      <c r="K377" s="64">
        <f>7.0725 * CHOOSE(CONTROL!$C$22, $C$13, 100%, $E$13)</f>
        <v>7.0724999999999998</v>
      </c>
    </row>
    <row r="378" spans="1:11" ht="15">
      <c r="A378" s="13">
        <v>52994</v>
      </c>
      <c r="B378" s="63">
        <f>5.8579 * CHOOSE(CONTROL!$C$22, $C$13, 100%, $E$13)</f>
        <v>5.8578999999999999</v>
      </c>
      <c r="C378" s="63">
        <f>5.8579 * CHOOSE(CONTROL!$C$22, $C$13, 100%, $E$13)</f>
        <v>5.8578999999999999</v>
      </c>
      <c r="D378" s="63">
        <f>5.8579 * CHOOSE(CONTROL!$C$22, $C$13, 100%, $E$13)</f>
        <v>5.8578999999999999</v>
      </c>
      <c r="E378" s="64">
        <f>6.9573 * CHOOSE(CONTROL!$C$22, $C$13, 100%, $E$13)</f>
        <v>6.9573</v>
      </c>
      <c r="F378" s="64">
        <f>6.9573 * CHOOSE(CONTROL!$C$22, $C$13, 100%, $E$13)</f>
        <v>6.9573</v>
      </c>
      <c r="G378" s="64">
        <f>6.9574 * CHOOSE(CONTROL!$C$22, $C$13, 100%, $E$13)</f>
        <v>6.9573999999999998</v>
      </c>
      <c r="H378" s="64">
        <f>11.3473* CHOOSE(CONTROL!$C$22, $C$13, 100%, $E$13)</f>
        <v>11.347300000000001</v>
      </c>
      <c r="I378" s="64">
        <f>11.3474 * CHOOSE(CONTROL!$C$22, $C$13, 100%, $E$13)</f>
        <v>11.3474</v>
      </c>
      <c r="J378" s="64">
        <f>6.9573 * CHOOSE(CONTROL!$C$22, $C$13, 100%, $E$13)</f>
        <v>6.9573</v>
      </c>
      <c r="K378" s="64">
        <f>6.9574 * CHOOSE(CONTROL!$C$22, $C$13, 100%, $E$13)</f>
        <v>6.9573999999999998</v>
      </c>
    </row>
    <row r="379" spans="1:11" ht="15">
      <c r="A379" s="13">
        <v>53022</v>
      </c>
      <c r="B379" s="63">
        <f>5.8548 * CHOOSE(CONTROL!$C$22, $C$13, 100%, $E$13)</f>
        <v>5.8548</v>
      </c>
      <c r="C379" s="63">
        <f>5.8548 * CHOOSE(CONTROL!$C$22, $C$13, 100%, $E$13)</f>
        <v>5.8548</v>
      </c>
      <c r="D379" s="63">
        <f>5.8548 * CHOOSE(CONTROL!$C$22, $C$13, 100%, $E$13)</f>
        <v>5.8548</v>
      </c>
      <c r="E379" s="64">
        <f>7.0443 * CHOOSE(CONTROL!$C$22, $C$13, 100%, $E$13)</f>
        <v>7.0442999999999998</v>
      </c>
      <c r="F379" s="64">
        <f>7.0443 * CHOOSE(CONTROL!$C$22, $C$13, 100%, $E$13)</f>
        <v>7.0442999999999998</v>
      </c>
      <c r="G379" s="64">
        <f>7.0443 * CHOOSE(CONTROL!$C$22, $C$13, 100%, $E$13)</f>
        <v>7.0442999999999998</v>
      </c>
      <c r="H379" s="64">
        <f>11.371* CHOOSE(CONTROL!$C$22, $C$13, 100%, $E$13)</f>
        <v>11.371</v>
      </c>
      <c r="I379" s="64">
        <f>11.371 * CHOOSE(CONTROL!$C$22, $C$13, 100%, $E$13)</f>
        <v>11.371</v>
      </c>
      <c r="J379" s="64">
        <f>7.0443 * CHOOSE(CONTROL!$C$22, $C$13, 100%, $E$13)</f>
        <v>7.0442999999999998</v>
      </c>
      <c r="K379" s="64">
        <f>7.0443 * CHOOSE(CONTROL!$C$22, $C$13, 100%, $E$13)</f>
        <v>7.0442999999999998</v>
      </c>
    </row>
    <row r="380" spans="1:11" ht="15">
      <c r="A380" s="13">
        <v>53053</v>
      </c>
      <c r="B380" s="63">
        <f>5.8541 * CHOOSE(CONTROL!$C$22, $C$13, 100%, $E$13)</f>
        <v>5.8540999999999999</v>
      </c>
      <c r="C380" s="63">
        <f>5.8541 * CHOOSE(CONTROL!$C$22, $C$13, 100%, $E$13)</f>
        <v>5.8540999999999999</v>
      </c>
      <c r="D380" s="63">
        <f>5.8541 * CHOOSE(CONTROL!$C$22, $C$13, 100%, $E$13)</f>
        <v>5.8540999999999999</v>
      </c>
      <c r="E380" s="64">
        <f>7.1357 * CHOOSE(CONTROL!$C$22, $C$13, 100%, $E$13)</f>
        <v>7.1356999999999999</v>
      </c>
      <c r="F380" s="64">
        <f>7.1357 * CHOOSE(CONTROL!$C$22, $C$13, 100%, $E$13)</f>
        <v>7.1356999999999999</v>
      </c>
      <c r="G380" s="64">
        <f>7.1358 * CHOOSE(CONTROL!$C$22, $C$13, 100%, $E$13)</f>
        <v>7.1357999999999997</v>
      </c>
      <c r="H380" s="64">
        <f>11.3947* CHOOSE(CONTROL!$C$22, $C$13, 100%, $E$13)</f>
        <v>11.3947</v>
      </c>
      <c r="I380" s="64">
        <f>11.3947 * CHOOSE(CONTROL!$C$22, $C$13, 100%, $E$13)</f>
        <v>11.3947</v>
      </c>
      <c r="J380" s="64">
        <f>7.1357 * CHOOSE(CONTROL!$C$22, $C$13, 100%, $E$13)</f>
        <v>7.1356999999999999</v>
      </c>
      <c r="K380" s="64">
        <f>7.1358 * CHOOSE(CONTROL!$C$22, $C$13, 100%, $E$13)</f>
        <v>7.1357999999999997</v>
      </c>
    </row>
    <row r="381" spans="1:11" ht="15">
      <c r="A381" s="13">
        <v>53083</v>
      </c>
      <c r="B381" s="63">
        <f>5.8541 * CHOOSE(CONTROL!$C$22, $C$13, 100%, $E$13)</f>
        <v>5.8540999999999999</v>
      </c>
      <c r="C381" s="63">
        <f>5.8541 * CHOOSE(CONTROL!$C$22, $C$13, 100%, $E$13)</f>
        <v>5.8540999999999999</v>
      </c>
      <c r="D381" s="63">
        <f>5.8671 * CHOOSE(CONTROL!$C$22, $C$13, 100%, $E$13)</f>
        <v>5.8670999999999998</v>
      </c>
      <c r="E381" s="64">
        <f>7.1716 * CHOOSE(CONTROL!$C$22, $C$13, 100%, $E$13)</f>
        <v>7.1715999999999998</v>
      </c>
      <c r="F381" s="64">
        <f>7.1716 * CHOOSE(CONTROL!$C$22, $C$13, 100%, $E$13)</f>
        <v>7.1715999999999998</v>
      </c>
      <c r="G381" s="64">
        <f>7.1873 * CHOOSE(CONTROL!$C$22, $C$13, 100%, $E$13)</f>
        <v>7.1872999999999996</v>
      </c>
      <c r="H381" s="64">
        <f>11.4184* CHOOSE(CONTROL!$C$22, $C$13, 100%, $E$13)</f>
        <v>11.4184</v>
      </c>
      <c r="I381" s="64">
        <f>11.4341 * CHOOSE(CONTROL!$C$22, $C$13, 100%, $E$13)</f>
        <v>11.434100000000001</v>
      </c>
      <c r="J381" s="64">
        <f>7.1716 * CHOOSE(CONTROL!$C$22, $C$13, 100%, $E$13)</f>
        <v>7.1715999999999998</v>
      </c>
      <c r="K381" s="64">
        <f>7.1873 * CHOOSE(CONTROL!$C$22, $C$13, 100%, $E$13)</f>
        <v>7.1872999999999996</v>
      </c>
    </row>
    <row r="382" spans="1:11" ht="15">
      <c r="A382" s="13">
        <v>53114</v>
      </c>
      <c r="B382" s="63">
        <f>5.8602 * CHOOSE(CONTROL!$C$22, $C$13, 100%, $E$13)</f>
        <v>5.8601999999999999</v>
      </c>
      <c r="C382" s="63">
        <f>5.8602 * CHOOSE(CONTROL!$C$22, $C$13, 100%, $E$13)</f>
        <v>5.8601999999999999</v>
      </c>
      <c r="D382" s="63">
        <f>5.8731 * CHOOSE(CONTROL!$C$22, $C$13, 100%, $E$13)</f>
        <v>5.8731</v>
      </c>
      <c r="E382" s="64">
        <f>7.1399 * CHOOSE(CONTROL!$C$22, $C$13, 100%, $E$13)</f>
        <v>7.1398999999999999</v>
      </c>
      <c r="F382" s="64">
        <f>7.1399 * CHOOSE(CONTROL!$C$22, $C$13, 100%, $E$13)</f>
        <v>7.1398999999999999</v>
      </c>
      <c r="G382" s="64">
        <f>7.1556 * CHOOSE(CONTROL!$C$22, $C$13, 100%, $E$13)</f>
        <v>7.1555999999999997</v>
      </c>
      <c r="H382" s="64">
        <f>11.4422* CHOOSE(CONTROL!$C$22, $C$13, 100%, $E$13)</f>
        <v>11.4422</v>
      </c>
      <c r="I382" s="64">
        <f>11.4579 * CHOOSE(CONTROL!$C$22, $C$13, 100%, $E$13)</f>
        <v>11.4579</v>
      </c>
      <c r="J382" s="64">
        <f>7.1399 * CHOOSE(CONTROL!$C$22, $C$13, 100%, $E$13)</f>
        <v>7.1398999999999999</v>
      </c>
      <c r="K382" s="64">
        <f>7.1556 * CHOOSE(CONTROL!$C$22, $C$13, 100%, $E$13)</f>
        <v>7.1555999999999997</v>
      </c>
    </row>
    <row r="383" spans="1:11" ht="15">
      <c r="A383" s="13">
        <v>53144</v>
      </c>
      <c r="B383" s="63">
        <f>5.955 * CHOOSE(CONTROL!$C$22, $C$13, 100%, $E$13)</f>
        <v>5.9550000000000001</v>
      </c>
      <c r="C383" s="63">
        <f>5.955 * CHOOSE(CONTROL!$C$22, $C$13, 100%, $E$13)</f>
        <v>5.9550000000000001</v>
      </c>
      <c r="D383" s="63">
        <f>5.968 * CHOOSE(CONTROL!$C$22, $C$13, 100%, $E$13)</f>
        <v>5.968</v>
      </c>
      <c r="E383" s="64">
        <f>7.2599 * CHOOSE(CONTROL!$C$22, $C$13, 100%, $E$13)</f>
        <v>7.2599</v>
      </c>
      <c r="F383" s="64">
        <f>7.2599 * CHOOSE(CONTROL!$C$22, $C$13, 100%, $E$13)</f>
        <v>7.2599</v>
      </c>
      <c r="G383" s="64">
        <f>7.2756 * CHOOSE(CONTROL!$C$22, $C$13, 100%, $E$13)</f>
        <v>7.2755999999999998</v>
      </c>
      <c r="H383" s="64">
        <f>11.466* CHOOSE(CONTROL!$C$22, $C$13, 100%, $E$13)</f>
        <v>11.465999999999999</v>
      </c>
      <c r="I383" s="64">
        <f>11.4817 * CHOOSE(CONTROL!$C$22, $C$13, 100%, $E$13)</f>
        <v>11.4817</v>
      </c>
      <c r="J383" s="64">
        <f>7.2599 * CHOOSE(CONTROL!$C$22, $C$13, 100%, $E$13)</f>
        <v>7.2599</v>
      </c>
      <c r="K383" s="64">
        <f>7.2756 * CHOOSE(CONTROL!$C$22, $C$13, 100%, $E$13)</f>
        <v>7.2755999999999998</v>
      </c>
    </row>
    <row r="384" spans="1:11" ht="15">
      <c r="A384" s="13">
        <v>53175</v>
      </c>
      <c r="B384" s="63">
        <f>5.9617 * CHOOSE(CONTROL!$C$22, $C$13, 100%, $E$13)</f>
        <v>5.9617000000000004</v>
      </c>
      <c r="C384" s="63">
        <f>5.9617 * CHOOSE(CONTROL!$C$22, $C$13, 100%, $E$13)</f>
        <v>5.9617000000000004</v>
      </c>
      <c r="D384" s="63">
        <f>5.9746 * CHOOSE(CONTROL!$C$22, $C$13, 100%, $E$13)</f>
        <v>5.9745999999999997</v>
      </c>
      <c r="E384" s="64">
        <f>7.1569 * CHOOSE(CONTROL!$C$22, $C$13, 100%, $E$13)</f>
        <v>7.1569000000000003</v>
      </c>
      <c r="F384" s="64">
        <f>7.1569 * CHOOSE(CONTROL!$C$22, $C$13, 100%, $E$13)</f>
        <v>7.1569000000000003</v>
      </c>
      <c r="G384" s="64">
        <f>7.1726 * CHOOSE(CONTROL!$C$22, $C$13, 100%, $E$13)</f>
        <v>7.1726000000000001</v>
      </c>
      <c r="H384" s="64">
        <f>11.4899* CHOOSE(CONTROL!$C$22, $C$13, 100%, $E$13)</f>
        <v>11.4899</v>
      </c>
      <c r="I384" s="64">
        <f>11.5056 * CHOOSE(CONTROL!$C$22, $C$13, 100%, $E$13)</f>
        <v>11.505599999999999</v>
      </c>
      <c r="J384" s="64">
        <f>7.1569 * CHOOSE(CONTROL!$C$22, $C$13, 100%, $E$13)</f>
        <v>7.1569000000000003</v>
      </c>
      <c r="K384" s="64">
        <f>7.1726 * CHOOSE(CONTROL!$C$22, $C$13, 100%, $E$13)</f>
        <v>7.1726000000000001</v>
      </c>
    </row>
    <row r="385" spans="1:11" ht="15">
      <c r="A385" s="13">
        <v>53206</v>
      </c>
      <c r="B385" s="63">
        <f>5.9586 * CHOOSE(CONTROL!$C$22, $C$13, 100%, $E$13)</f>
        <v>5.9585999999999997</v>
      </c>
      <c r="C385" s="63">
        <f>5.9586 * CHOOSE(CONTROL!$C$22, $C$13, 100%, $E$13)</f>
        <v>5.9585999999999997</v>
      </c>
      <c r="D385" s="63">
        <f>5.9716 * CHOOSE(CONTROL!$C$22, $C$13, 100%, $E$13)</f>
        <v>5.9715999999999996</v>
      </c>
      <c r="E385" s="64">
        <f>7.1429 * CHOOSE(CONTROL!$C$22, $C$13, 100%, $E$13)</f>
        <v>7.1429</v>
      </c>
      <c r="F385" s="64">
        <f>7.1429 * CHOOSE(CONTROL!$C$22, $C$13, 100%, $E$13)</f>
        <v>7.1429</v>
      </c>
      <c r="G385" s="64">
        <f>7.1585 * CHOOSE(CONTROL!$C$22, $C$13, 100%, $E$13)</f>
        <v>7.1585000000000001</v>
      </c>
      <c r="H385" s="64">
        <f>11.5138* CHOOSE(CONTROL!$C$22, $C$13, 100%, $E$13)</f>
        <v>11.5138</v>
      </c>
      <c r="I385" s="64">
        <f>11.5295 * CHOOSE(CONTROL!$C$22, $C$13, 100%, $E$13)</f>
        <v>11.529500000000001</v>
      </c>
      <c r="J385" s="64">
        <f>7.1429 * CHOOSE(CONTROL!$C$22, $C$13, 100%, $E$13)</f>
        <v>7.1429</v>
      </c>
      <c r="K385" s="64">
        <f>7.1585 * CHOOSE(CONTROL!$C$22, $C$13, 100%, $E$13)</f>
        <v>7.1585000000000001</v>
      </c>
    </row>
    <row r="386" spans="1:11" ht="15">
      <c r="A386" s="13">
        <v>53236</v>
      </c>
      <c r="B386" s="63">
        <f>5.9602 * CHOOSE(CONTROL!$C$22, $C$13, 100%, $E$13)</f>
        <v>5.9602000000000004</v>
      </c>
      <c r="C386" s="63">
        <f>5.9602 * CHOOSE(CONTROL!$C$22, $C$13, 100%, $E$13)</f>
        <v>5.9602000000000004</v>
      </c>
      <c r="D386" s="63">
        <f>5.9602 * CHOOSE(CONTROL!$C$22, $C$13, 100%, $E$13)</f>
        <v>5.9602000000000004</v>
      </c>
      <c r="E386" s="64">
        <f>7.1773 * CHOOSE(CONTROL!$C$22, $C$13, 100%, $E$13)</f>
        <v>7.1772999999999998</v>
      </c>
      <c r="F386" s="64">
        <f>7.1773 * CHOOSE(CONTROL!$C$22, $C$13, 100%, $E$13)</f>
        <v>7.1772999999999998</v>
      </c>
      <c r="G386" s="64">
        <f>7.1774 * CHOOSE(CONTROL!$C$22, $C$13, 100%, $E$13)</f>
        <v>7.1773999999999996</v>
      </c>
      <c r="H386" s="64">
        <f>11.5378* CHOOSE(CONTROL!$C$22, $C$13, 100%, $E$13)</f>
        <v>11.537800000000001</v>
      </c>
      <c r="I386" s="64">
        <f>11.5379 * CHOOSE(CONTROL!$C$22, $C$13, 100%, $E$13)</f>
        <v>11.5379</v>
      </c>
      <c r="J386" s="64">
        <f>7.1773 * CHOOSE(CONTROL!$C$22, $C$13, 100%, $E$13)</f>
        <v>7.1772999999999998</v>
      </c>
      <c r="K386" s="64">
        <f>7.1774 * CHOOSE(CONTROL!$C$22, $C$13, 100%, $E$13)</f>
        <v>7.1773999999999996</v>
      </c>
    </row>
    <row r="387" spans="1:11" ht="15">
      <c r="A387" s="13">
        <v>53267</v>
      </c>
      <c r="B387" s="63">
        <f>5.9632 * CHOOSE(CONTROL!$C$22, $C$13, 100%, $E$13)</f>
        <v>5.9631999999999996</v>
      </c>
      <c r="C387" s="63">
        <f>5.9632 * CHOOSE(CONTROL!$C$22, $C$13, 100%, $E$13)</f>
        <v>5.9631999999999996</v>
      </c>
      <c r="D387" s="63">
        <f>5.9632 * CHOOSE(CONTROL!$C$22, $C$13, 100%, $E$13)</f>
        <v>5.9631999999999996</v>
      </c>
      <c r="E387" s="64">
        <f>7.2033 * CHOOSE(CONTROL!$C$22, $C$13, 100%, $E$13)</f>
        <v>7.2032999999999996</v>
      </c>
      <c r="F387" s="64">
        <f>7.2033 * CHOOSE(CONTROL!$C$22, $C$13, 100%, $E$13)</f>
        <v>7.2032999999999996</v>
      </c>
      <c r="G387" s="64">
        <f>7.2034 * CHOOSE(CONTROL!$C$22, $C$13, 100%, $E$13)</f>
        <v>7.2034000000000002</v>
      </c>
      <c r="H387" s="64">
        <f>11.5619* CHOOSE(CONTROL!$C$22, $C$13, 100%, $E$13)</f>
        <v>11.5619</v>
      </c>
      <c r="I387" s="64">
        <f>11.562 * CHOOSE(CONTROL!$C$22, $C$13, 100%, $E$13)</f>
        <v>11.561999999999999</v>
      </c>
      <c r="J387" s="64">
        <f>7.2033 * CHOOSE(CONTROL!$C$22, $C$13, 100%, $E$13)</f>
        <v>7.2032999999999996</v>
      </c>
      <c r="K387" s="64">
        <f>7.2034 * CHOOSE(CONTROL!$C$22, $C$13, 100%, $E$13)</f>
        <v>7.2034000000000002</v>
      </c>
    </row>
    <row r="388" spans="1:11" ht="15">
      <c r="A388" s="13">
        <v>53297</v>
      </c>
      <c r="B388" s="63">
        <f>5.9632 * CHOOSE(CONTROL!$C$22, $C$13, 100%, $E$13)</f>
        <v>5.9631999999999996</v>
      </c>
      <c r="C388" s="63">
        <f>5.9632 * CHOOSE(CONTROL!$C$22, $C$13, 100%, $E$13)</f>
        <v>5.9631999999999996</v>
      </c>
      <c r="D388" s="63">
        <f>5.9632 * CHOOSE(CONTROL!$C$22, $C$13, 100%, $E$13)</f>
        <v>5.9631999999999996</v>
      </c>
      <c r="E388" s="64">
        <f>7.1435 * CHOOSE(CONTROL!$C$22, $C$13, 100%, $E$13)</f>
        <v>7.1435000000000004</v>
      </c>
      <c r="F388" s="64">
        <f>7.1435 * CHOOSE(CONTROL!$C$22, $C$13, 100%, $E$13)</f>
        <v>7.1435000000000004</v>
      </c>
      <c r="G388" s="64">
        <f>7.1436 * CHOOSE(CONTROL!$C$22, $C$13, 100%, $E$13)</f>
        <v>7.1436000000000002</v>
      </c>
      <c r="H388" s="64">
        <f>11.586* CHOOSE(CONTROL!$C$22, $C$13, 100%, $E$13)</f>
        <v>11.586</v>
      </c>
      <c r="I388" s="64">
        <f>11.586 * CHOOSE(CONTROL!$C$22, $C$13, 100%, $E$13)</f>
        <v>11.586</v>
      </c>
      <c r="J388" s="64">
        <f>7.1435 * CHOOSE(CONTROL!$C$22, $C$13, 100%, $E$13)</f>
        <v>7.1435000000000004</v>
      </c>
      <c r="K388" s="64">
        <f>7.1436 * CHOOSE(CONTROL!$C$22, $C$13, 100%, $E$13)</f>
        <v>7.1436000000000002</v>
      </c>
    </row>
    <row r="389" spans="1:11" ht="15">
      <c r="A389" s="13">
        <v>53328</v>
      </c>
      <c r="B389" s="63">
        <f>6.0155 * CHOOSE(CONTROL!$C$22, $C$13, 100%, $E$13)</f>
        <v>6.0155000000000003</v>
      </c>
      <c r="C389" s="63">
        <f>6.0155 * CHOOSE(CONTROL!$C$22, $C$13, 100%, $E$13)</f>
        <v>6.0155000000000003</v>
      </c>
      <c r="D389" s="63">
        <f>6.0155 * CHOOSE(CONTROL!$C$22, $C$13, 100%, $E$13)</f>
        <v>6.0155000000000003</v>
      </c>
      <c r="E389" s="64">
        <f>7.2452 * CHOOSE(CONTROL!$C$22, $C$13, 100%, $E$13)</f>
        <v>7.2451999999999996</v>
      </c>
      <c r="F389" s="64">
        <f>7.2452 * CHOOSE(CONTROL!$C$22, $C$13, 100%, $E$13)</f>
        <v>7.2451999999999996</v>
      </c>
      <c r="G389" s="64">
        <f>7.2453 * CHOOSE(CONTROL!$C$22, $C$13, 100%, $E$13)</f>
        <v>7.2453000000000003</v>
      </c>
      <c r="H389" s="64">
        <f>11.6101* CHOOSE(CONTROL!$C$22, $C$13, 100%, $E$13)</f>
        <v>11.610099999999999</v>
      </c>
      <c r="I389" s="64">
        <f>11.6102 * CHOOSE(CONTROL!$C$22, $C$13, 100%, $E$13)</f>
        <v>11.610200000000001</v>
      </c>
      <c r="J389" s="64">
        <f>7.2452 * CHOOSE(CONTROL!$C$22, $C$13, 100%, $E$13)</f>
        <v>7.2451999999999996</v>
      </c>
      <c r="K389" s="64">
        <f>7.2453 * CHOOSE(CONTROL!$C$22, $C$13, 100%, $E$13)</f>
        <v>7.2453000000000003</v>
      </c>
    </row>
    <row r="390" spans="1:11" ht="15">
      <c r="A390" s="13">
        <v>53359</v>
      </c>
      <c r="B390" s="63">
        <f>6.0125 * CHOOSE(CONTROL!$C$22, $C$13, 100%, $E$13)</f>
        <v>6.0125000000000002</v>
      </c>
      <c r="C390" s="63">
        <f>6.0125 * CHOOSE(CONTROL!$C$22, $C$13, 100%, $E$13)</f>
        <v>6.0125000000000002</v>
      </c>
      <c r="D390" s="63">
        <f>6.0125 * CHOOSE(CONTROL!$C$22, $C$13, 100%, $E$13)</f>
        <v>6.0125000000000002</v>
      </c>
      <c r="E390" s="64">
        <f>7.1269 * CHOOSE(CONTROL!$C$22, $C$13, 100%, $E$13)</f>
        <v>7.1269</v>
      </c>
      <c r="F390" s="64">
        <f>7.1269 * CHOOSE(CONTROL!$C$22, $C$13, 100%, $E$13)</f>
        <v>7.1269</v>
      </c>
      <c r="G390" s="64">
        <f>7.127 * CHOOSE(CONTROL!$C$22, $C$13, 100%, $E$13)</f>
        <v>7.1269999999999998</v>
      </c>
      <c r="H390" s="64">
        <f>11.6343* CHOOSE(CONTROL!$C$22, $C$13, 100%, $E$13)</f>
        <v>11.6343</v>
      </c>
      <c r="I390" s="64">
        <f>11.6344 * CHOOSE(CONTROL!$C$22, $C$13, 100%, $E$13)</f>
        <v>11.634399999999999</v>
      </c>
      <c r="J390" s="64">
        <f>7.1269 * CHOOSE(CONTROL!$C$22, $C$13, 100%, $E$13)</f>
        <v>7.1269</v>
      </c>
      <c r="K390" s="64">
        <f>7.127 * CHOOSE(CONTROL!$C$22, $C$13, 100%, $E$13)</f>
        <v>7.1269999999999998</v>
      </c>
    </row>
    <row r="391" spans="1:11" ht="15">
      <c r="A391" s="13">
        <v>53387</v>
      </c>
      <c r="B391" s="63">
        <f>6.0094 * CHOOSE(CONTROL!$C$22, $C$13, 100%, $E$13)</f>
        <v>6.0094000000000003</v>
      </c>
      <c r="C391" s="63">
        <f>6.0094 * CHOOSE(CONTROL!$C$22, $C$13, 100%, $E$13)</f>
        <v>6.0094000000000003</v>
      </c>
      <c r="D391" s="63">
        <f>6.0094 * CHOOSE(CONTROL!$C$22, $C$13, 100%, $E$13)</f>
        <v>6.0094000000000003</v>
      </c>
      <c r="E391" s="64">
        <f>7.2164 * CHOOSE(CONTROL!$C$22, $C$13, 100%, $E$13)</f>
        <v>7.2164000000000001</v>
      </c>
      <c r="F391" s="64">
        <f>7.2164 * CHOOSE(CONTROL!$C$22, $C$13, 100%, $E$13)</f>
        <v>7.2164000000000001</v>
      </c>
      <c r="G391" s="64">
        <f>7.2164 * CHOOSE(CONTROL!$C$22, $C$13, 100%, $E$13)</f>
        <v>7.2164000000000001</v>
      </c>
      <c r="H391" s="64">
        <f>11.6585* CHOOSE(CONTROL!$C$22, $C$13, 100%, $E$13)</f>
        <v>11.6585</v>
      </c>
      <c r="I391" s="64">
        <f>11.6586 * CHOOSE(CONTROL!$C$22, $C$13, 100%, $E$13)</f>
        <v>11.6586</v>
      </c>
      <c r="J391" s="64">
        <f>7.2164 * CHOOSE(CONTROL!$C$22, $C$13, 100%, $E$13)</f>
        <v>7.2164000000000001</v>
      </c>
      <c r="K391" s="64">
        <f>7.2164 * CHOOSE(CONTROL!$C$22, $C$13, 100%, $E$13)</f>
        <v>7.2164000000000001</v>
      </c>
    </row>
    <row r="392" spans="1:11" ht="15">
      <c r="A392" s="13">
        <v>53418</v>
      </c>
      <c r="B392" s="63">
        <f>6.0088 * CHOOSE(CONTROL!$C$22, $C$13, 100%, $E$13)</f>
        <v>6.0087999999999999</v>
      </c>
      <c r="C392" s="63">
        <f>6.0088 * CHOOSE(CONTROL!$C$22, $C$13, 100%, $E$13)</f>
        <v>6.0087999999999999</v>
      </c>
      <c r="D392" s="63">
        <f>6.0088 * CHOOSE(CONTROL!$C$22, $C$13, 100%, $E$13)</f>
        <v>6.0087999999999999</v>
      </c>
      <c r="E392" s="64">
        <f>7.3105 * CHOOSE(CONTROL!$C$22, $C$13, 100%, $E$13)</f>
        <v>7.3105000000000002</v>
      </c>
      <c r="F392" s="64">
        <f>7.3105 * CHOOSE(CONTROL!$C$22, $C$13, 100%, $E$13)</f>
        <v>7.3105000000000002</v>
      </c>
      <c r="G392" s="64">
        <f>7.3106 * CHOOSE(CONTROL!$C$22, $C$13, 100%, $E$13)</f>
        <v>7.3106</v>
      </c>
      <c r="H392" s="64">
        <f>11.6828* CHOOSE(CONTROL!$C$22, $C$13, 100%, $E$13)</f>
        <v>11.6828</v>
      </c>
      <c r="I392" s="64">
        <f>11.6829 * CHOOSE(CONTROL!$C$22, $C$13, 100%, $E$13)</f>
        <v>11.6829</v>
      </c>
      <c r="J392" s="64">
        <f>7.3105 * CHOOSE(CONTROL!$C$22, $C$13, 100%, $E$13)</f>
        <v>7.3105000000000002</v>
      </c>
      <c r="K392" s="64">
        <f>7.3106 * CHOOSE(CONTROL!$C$22, $C$13, 100%, $E$13)</f>
        <v>7.3106</v>
      </c>
    </row>
    <row r="393" spans="1:11" ht="15">
      <c r="A393" s="13">
        <v>53448</v>
      </c>
      <c r="B393" s="63">
        <f>6.0088 * CHOOSE(CONTROL!$C$22, $C$13, 100%, $E$13)</f>
        <v>6.0087999999999999</v>
      </c>
      <c r="C393" s="63">
        <f>6.0088 * CHOOSE(CONTROL!$C$22, $C$13, 100%, $E$13)</f>
        <v>6.0087999999999999</v>
      </c>
      <c r="D393" s="63">
        <f>6.0218 * CHOOSE(CONTROL!$C$22, $C$13, 100%, $E$13)</f>
        <v>6.0217999999999998</v>
      </c>
      <c r="E393" s="64">
        <f>7.3474 * CHOOSE(CONTROL!$C$22, $C$13, 100%, $E$13)</f>
        <v>7.3474000000000004</v>
      </c>
      <c r="F393" s="64">
        <f>7.3474 * CHOOSE(CONTROL!$C$22, $C$13, 100%, $E$13)</f>
        <v>7.3474000000000004</v>
      </c>
      <c r="G393" s="64">
        <f>7.363 * CHOOSE(CONTROL!$C$22, $C$13, 100%, $E$13)</f>
        <v>7.3630000000000004</v>
      </c>
      <c r="H393" s="64">
        <f>11.7072* CHOOSE(CONTROL!$C$22, $C$13, 100%, $E$13)</f>
        <v>11.7072</v>
      </c>
      <c r="I393" s="64">
        <f>11.7228 * CHOOSE(CONTROL!$C$22, $C$13, 100%, $E$13)</f>
        <v>11.722799999999999</v>
      </c>
      <c r="J393" s="64">
        <f>7.3474 * CHOOSE(CONTROL!$C$22, $C$13, 100%, $E$13)</f>
        <v>7.3474000000000004</v>
      </c>
      <c r="K393" s="64">
        <f>7.363 * CHOOSE(CONTROL!$C$22, $C$13, 100%, $E$13)</f>
        <v>7.3630000000000004</v>
      </c>
    </row>
    <row r="394" spans="1:11" ht="15">
      <c r="A394" s="13">
        <v>53479</v>
      </c>
      <c r="B394" s="63">
        <f>6.0149 * CHOOSE(CONTROL!$C$22, $C$13, 100%, $E$13)</f>
        <v>6.0148999999999999</v>
      </c>
      <c r="C394" s="63">
        <f>6.0149 * CHOOSE(CONTROL!$C$22, $C$13, 100%, $E$13)</f>
        <v>6.0148999999999999</v>
      </c>
      <c r="D394" s="63">
        <f>6.0279 * CHOOSE(CONTROL!$C$22, $C$13, 100%, $E$13)</f>
        <v>6.0278999999999998</v>
      </c>
      <c r="E394" s="64">
        <f>7.3147 * CHOOSE(CONTROL!$C$22, $C$13, 100%, $E$13)</f>
        <v>7.3147000000000002</v>
      </c>
      <c r="F394" s="64">
        <f>7.3147 * CHOOSE(CONTROL!$C$22, $C$13, 100%, $E$13)</f>
        <v>7.3147000000000002</v>
      </c>
      <c r="G394" s="64">
        <f>7.3304 * CHOOSE(CONTROL!$C$22, $C$13, 100%, $E$13)</f>
        <v>7.3304</v>
      </c>
      <c r="H394" s="64">
        <f>11.7315* CHOOSE(CONTROL!$C$22, $C$13, 100%, $E$13)</f>
        <v>11.7315</v>
      </c>
      <c r="I394" s="64">
        <f>11.7472 * CHOOSE(CONTROL!$C$22, $C$13, 100%, $E$13)</f>
        <v>11.747199999999999</v>
      </c>
      <c r="J394" s="64">
        <f>7.3147 * CHOOSE(CONTROL!$C$22, $C$13, 100%, $E$13)</f>
        <v>7.3147000000000002</v>
      </c>
      <c r="K394" s="64">
        <f>7.3304 * CHOOSE(CONTROL!$C$22, $C$13, 100%, $E$13)</f>
        <v>7.3304</v>
      </c>
    </row>
    <row r="395" spans="1:11" ht="15">
      <c r="A395" s="13">
        <v>53509</v>
      </c>
      <c r="B395" s="63">
        <f>6.1119 * CHOOSE(CONTROL!$C$22, $C$13, 100%, $E$13)</f>
        <v>6.1119000000000003</v>
      </c>
      <c r="C395" s="63">
        <f>6.1119 * CHOOSE(CONTROL!$C$22, $C$13, 100%, $E$13)</f>
        <v>6.1119000000000003</v>
      </c>
      <c r="D395" s="63">
        <f>6.1249 * CHOOSE(CONTROL!$C$22, $C$13, 100%, $E$13)</f>
        <v>6.1249000000000002</v>
      </c>
      <c r="E395" s="64">
        <f>7.4374 * CHOOSE(CONTROL!$C$22, $C$13, 100%, $E$13)</f>
        <v>7.4374000000000002</v>
      </c>
      <c r="F395" s="64">
        <f>7.4374 * CHOOSE(CONTROL!$C$22, $C$13, 100%, $E$13)</f>
        <v>7.4374000000000002</v>
      </c>
      <c r="G395" s="64">
        <f>7.453 * CHOOSE(CONTROL!$C$22, $C$13, 100%, $E$13)</f>
        <v>7.4530000000000003</v>
      </c>
      <c r="H395" s="64">
        <f>11.756* CHOOSE(CONTROL!$C$22, $C$13, 100%, $E$13)</f>
        <v>11.756</v>
      </c>
      <c r="I395" s="64">
        <f>11.7717 * CHOOSE(CONTROL!$C$22, $C$13, 100%, $E$13)</f>
        <v>11.771699999999999</v>
      </c>
      <c r="J395" s="64">
        <f>7.4374 * CHOOSE(CONTROL!$C$22, $C$13, 100%, $E$13)</f>
        <v>7.4374000000000002</v>
      </c>
      <c r="K395" s="64">
        <f>7.453 * CHOOSE(CONTROL!$C$22, $C$13, 100%, $E$13)</f>
        <v>7.4530000000000003</v>
      </c>
    </row>
    <row r="396" spans="1:11" ht="15">
      <c r="A396" s="13">
        <v>53540</v>
      </c>
      <c r="B396" s="63">
        <f>6.1186 * CHOOSE(CONTROL!$C$22, $C$13, 100%, $E$13)</f>
        <v>6.1185999999999998</v>
      </c>
      <c r="C396" s="63">
        <f>6.1186 * CHOOSE(CONTROL!$C$22, $C$13, 100%, $E$13)</f>
        <v>6.1185999999999998</v>
      </c>
      <c r="D396" s="63">
        <f>6.1316 * CHOOSE(CONTROL!$C$22, $C$13, 100%, $E$13)</f>
        <v>6.1315999999999997</v>
      </c>
      <c r="E396" s="64">
        <f>7.3314 * CHOOSE(CONTROL!$C$22, $C$13, 100%, $E$13)</f>
        <v>7.3314000000000004</v>
      </c>
      <c r="F396" s="64">
        <f>7.3314 * CHOOSE(CONTROL!$C$22, $C$13, 100%, $E$13)</f>
        <v>7.3314000000000004</v>
      </c>
      <c r="G396" s="64">
        <f>7.3471 * CHOOSE(CONTROL!$C$22, $C$13, 100%, $E$13)</f>
        <v>7.3471000000000002</v>
      </c>
      <c r="H396" s="64">
        <f>11.7805* CHOOSE(CONTROL!$C$22, $C$13, 100%, $E$13)</f>
        <v>11.7805</v>
      </c>
      <c r="I396" s="64">
        <f>11.7962 * CHOOSE(CONTROL!$C$22, $C$13, 100%, $E$13)</f>
        <v>11.796200000000001</v>
      </c>
      <c r="J396" s="64">
        <f>7.3314 * CHOOSE(CONTROL!$C$22, $C$13, 100%, $E$13)</f>
        <v>7.3314000000000004</v>
      </c>
      <c r="K396" s="64">
        <f>7.3471 * CHOOSE(CONTROL!$C$22, $C$13, 100%, $E$13)</f>
        <v>7.3471000000000002</v>
      </c>
    </row>
    <row r="397" spans="1:11" ht="15">
      <c r="A397" s="13">
        <v>53571</v>
      </c>
      <c r="B397" s="63">
        <f>6.1156 * CHOOSE(CONTROL!$C$22, $C$13, 100%, $E$13)</f>
        <v>6.1155999999999997</v>
      </c>
      <c r="C397" s="63">
        <f>6.1156 * CHOOSE(CONTROL!$C$22, $C$13, 100%, $E$13)</f>
        <v>6.1155999999999997</v>
      </c>
      <c r="D397" s="63">
        <f>6.1286 * CHOOSE(CONTROL!$C$22, $C$13, 100%, $E$13)</f>
        <v>6.1285999999999996</v>
      </c>
      <c r="E397" s="64">
        <f>7.317 * CHOOSE(CONTROL!$C$22, $C$13, 100%, $E$13)</f>
        <v>7.3170000000000002</v>
      </c>
      <c r="F397" s="64">
        <f>7.317 * CHOOSE(CONTROL!$C$22, $C$13, 100%, $E$13)</f>
        <v>7.3170000000000002</v>
      </c>
      <c r="G397" s="64">
        <f>7.3326 * CHOOSE(CONTROL!$C$22, $C$13, 100%, $E$13)</f>
        <v>7.3326000000000002</v>
      </c>
      <c r="H397" s="64">
        <f>11.805* CHOOSE(CONTROL!$C$22, $C$13, 100%, $E$13)</f>
        <v>11.805</v>
      </c>
      <c r="I397" s="64">
        <f>11.8207 * CHOOSE(CONTROL!$C$22, $C$13, 100%, $E$13)</f>
        <v>11.8207</v>
      </c>
      <c r="J397" s="64">
        <f>7.317 * CHOOSE(CONTROL!$C$22, $C$13, 100%, $E$13)</f>
        <v>7.3170000000000002</v>
      </c>
      <c r="K397" s="64">
        <f>7.3326 * CHOOSE(CONTROL!$C$22, $C$13, 100%, $E$13)</f>
        <v>7.3326000000000002</v>
      </c>
    </row>
    <row r="398" spans="1:11" ht="15">
      <c r="A398" s="13">
        <v>53601</v>
      </c>
      <c r="B398" s="63">
        <f>6.1176 * CHOOSE(CONTROL!$C$22, $C$13, 100%, $E$13)</f>
        <v>6.1176000000000004</v>
      </c>
      <c r="C398" s="63">
        <f>6.1176 * CHOOSE(CONTROL!$C$22, $C$13, 100%, $E$13)</f>
        <v>6.1176000000000004</v>
      </c>
      <c r="D398" s="63">
        <f>6.1177 * CHOOSE(CONTROL!$C$22, $C$13, 100%, $E$13)</f>
        <v>6.1177000000000001</v>
      </c>
      <c r="E398" s="64">
        <f>7.3527 * CHOOSE(CONTROL!$C$22, $C$13, 100%, $E$13)</f>
        <v>7.3526999999999996</v>
      </c>
      <c r="F398" s="64">
        <f>7.3527 * CHOOSE(CONTROL!$C$22, $C$13, 100%, $E$13)</f>
        <v>7.3526999999999996</v>
      </c>
      <c r="G398" s="64">
        <f>7.3528 * CHOOSE(CONTROL!$C$22, $C$13, 100%, $E$13)</f>
        <v>7.3528000000000002</v>
      </c>
      <c r="H398" s="64">
        <f>11.8296* CHOOSE(CONTROL!$C$22, $C$13, 100%, $E$13)</f>
        <v>11.829599999999999</v>
      </c>
      <c r="I398" s="64">
        <f>11.8297 * CHOOSE(CONTROL!$C$22, $C$13, 100%, $E$13)</f>
        <v>11.829700000000001</v>
      </c>
      <c r="J398" s="64">
        <f>7.3527 * CHOOSE(CONTROL!$C$22, $C$13, 100%, $E$13)</f>
        <v>7.3526999999999996</v>
      </c>
      <c r="K398" s="64">
        <f>7.3528 * CHOOSE(CONTROL!$C$22, $C$13, 100%, $E$13)</f>
        <v>7.3528000000000002</v>
      </c>
    </row>
    <row r="399" spans="1:11" ht="15">
      <c r="A399" s="13">
        <v>53632</v>
      </c>
      <c r="B399" s="63">
        <f>6.1207 * CHOOSE(CONTROL!$C$22, $C$13, 100%, $E$13)</f>
        <v>6.1207000000000003</v>
      </c>
      <c r="C399" s="63">
        <f>6.1207 * CHOOSE(CONTROL!$C$22, $C$13, 100%, $E$13)</f>
        <v>6.1207000000000003</v>
      </c>
      <c r="D399" s="63">
        <f>6.1207 * CHOOSE(CONTROL!$C$22, $C$13, 100%, $E$13)</f>
        <v>6.1207000000000003</v>
      </c>
      <c r="E399" s="64">
        <f>7.3794 * CHOOSE(CONTROL!$C$22, $C$13, 100%, $E$13)</f>
        <v>7.3794000000000004</v>
      </c>
      <c r="F399" s="64">
        <f>7.3794 * CHOOSE(CONTROL!$C$22, $C$13, 100%, $E$13)</f>
        <v>7.3794000000000004</v>
      </c>
      <c r="G399" s="64">
        <f>7.3795 * CHOOSE(CONTROL!$C$22, $C$13, 100%, $E$13)</f>
        <v>7.3795000000000002</v>
      </c>
      <c r="H399" s="64">
        <f>11.8543* CHOOSE(CONTROL!$C$22, $C$13, 100%, $E$13)</f>
        <v>11.8543</v>
      </c>
      <c r="I399" s="64">
        <f>11.8543 * CHOOSE(CONTROL!$C$22, $C$13, 100%, $E$13)</f>
        <v>11.8543</v>
      </c>
      <c r="J399" s="64">
        <f>7.3794 * CHOOSE(CONTROL!$C$22, $C$13, 100%, $E$13)</f>
        <v>7.3794000000000004</v>
      </c>
      <c r="K399" s="64">
        <f>7.3795 * CHOOSE(CONTROL!$C$22, $C$13, 100%, $E$13)</f>
        <v>7.3795000000000002</v>
      </c>
    </row>
    <row r="400" spans="1:11" ht="15">
      <c r="A400" s="13">
        <v>53662</v>
      </c>
      <c r="B400" s="63">
        <f>6.1207 * CHOOSE(CONTROL!$C$22, $C$13, 100%, $E$13)</f>
        <v>6.1207000000000003</v>
      </c>
      <c r="C400" s="63">
        <f>6.1207 * CHOOSE(CONTROL!$C$22, $C$13, 100%, $E$13)</f>
        <v>6.1207000000000003</v>
      </c>
      <c r="D400" s="63">
        <f>6.1207 * CHOOSE(CONTROL!$C$22, $C$13, 100%, $E$13)</f>
        <v>6.1207000000000003</v>
      </c>
      <c r="E400" s="64">
        <f>7.318 * CHOOSE(CONTROL!$C$22, $C$13, 100%, $E$13)</f>
        <v>7.3179999999999996</v>
      </c>
      <c r="F400" s="64">
        <f>7.318 * CHOOSE(CONTROL!$C$22, $C$13, 100%, $E$13)</f>
        <v>7.3179999999999996</v>
      </c>
      <c r="G400" s="64">
        <f>7.318 * CHOOSE(CONTROL!$C$22, $C$13, 100%, $E$13)</f>
        <v>7.3179999999999996</v>
      </c>
      <c r="H400" s="64">
        <f>11.879* CHOOSE(CONTROL!$C$22, $C$13, 100%, $E$13)</f>
        <v>11.879</v>
      </c>
      <c r="I400" s="64">
        <f>11.879 * CHOOSE(CONTROL!$C$22, $C$13, 100%, $E$13)</f>
        <v>11.879</v>
      </c>
      <c r="J400" s="64">
        <f>7.318 * CHOOSE(CONTROL!$C$22, $C$13, 100%, $E$13)</f>
        <v>7.3179999999999996</v>
      </c>
      <c r="K400" s="64">
        <f>7.318 * CHOOSE(CONTROL!$C$22, $C$13, 100%, $E$13)</f>
        <v>7.3179999999999996</v>
      </c>
    </row>
    <row r="401" spans="1:11" ht="15">
      <c r="A401" s="13">
        <v>53693</v>
      </c>
      <c r="B401" s="63">
        <f>6.1742 * CHOOSE(CONTROL!$C$22, $C$13, 100%, $E$13)</f>
        <v>6.1741999999999999</v>
      </c>
      <c r="C401" s="63">
        <f>6.1742 * CHOOSE(CONTROL!$C$22, $C$13, 100%, $E$13)</f>
        <v>6.1741999999999999</v>
      </c>
      <c r="D401" s="63">
        <f>6.1742 * CHOOSE(CONTROL!$C$22, $C$13, 100%, $E$13)</f>
        <v>6.1741999999999999</v>
      </c>
      <c r="E401" s="64">
        <f>7.4222 * CHOOSE(CONTROL!$C$22, $C$13, 100%, $E$13)</f>
        <v>7.4222000000000001</v>
      </c>
      <c r="F401" s="64">
        <f>7.4222 * CHOOSE(CONTROL!$C$22, $C$13, 100%, $E$13)</f>
        <v>7.4222000000000001</v>
      </c>
      <c r="G401" s="64">
        <f>7.4223 * CHOOSE(CONTROL!$C$22, $C$13, 100%, $E$13)</f>
        <v>7.4222999999999999</v>
      </c>
      <c r="H401" s="64">
        <f>11.9037* CHOOSE(CONTROL!$C$22, $C$13, 100%, $E$13)</f>
        <v>11.903700000000001</v>
      </c>
      <c r="I401" s="64">
        <f>11.9038 * CHOOSE(CONTROL!$C$22, $C$13, 100%, $E$13)</f>
        <v>11.9038</v>
      </c>
      <c r="J401" s="64">
        <f>7.4222 * CHOOSE(CONTROL!$C$22, $C$13, 100%, $E$13)</f>
        <v>7.4222000000000001</v>
      </c>
      <c r="K401" s="64">
        <f>7.4223 * CHOOSE(CONTROL!$C$22, $C$13, 100%, $E$13)</f>
        <v>7.4222999999999999</v>
      </c>
    </row>
    <row r="402" spans="1:11" ht="15">
      <c r="A402" s="13">
        <v>53724</v>
      </c>
      <c r="B402" s="63">
        <f>6.1712 * CHOOSE(CONTROL!$C$22, $C$13, 100%, $E$13)</f>
        <v>6.1711999999999998</v>
      </c>
      <c r="C402" s="63">
        <f>6.1712 * CHOOSE(CONTROL!$C$22, $C$13, 100%, $E$13)</f>
        <v>6.1711999999999998</v>
      </c>
      <c r="D402" s="63">
        <f>6.1712 * CHOOSE(CONTROL!$C$22, $C$13, 100%, $E$13)</f>
        <v>6.1711999999999998</v>
      </c>
      <c r="E402" s="64">
        <f>7.3006 * CHOOSE(CONTROL!$C$22, $C$13, 100%, $E$13)</f>
        <v>7.3006000000000002</v>
      </c>
      <c r="F402" s="64">
        <f>7.3006 * CHOOSE(CONTROL!$C$22, $C$13, 100%, $E$13)</f>
        <v>7.3006000000000002</v>
      </c>
      <c r="G402" s="64">
        <f>7.3007 * CHOOSE(CONTROL!$C$22, $C$13, 100%, $E$13)</f>
        <v>7.3007</v>
      </c>
      <c r="H402" s="64">
        <f>11.9285* CHOOSE(CONTROL!$C$22, $C$13, 100%, $E$13)</f>
        <v>11.9285</v>
      </c>
      <c r="I402" s="64">
        <f>11.9286 * CHOOSE(CONTROL!$C$22, $C$13, 100%, $E$13)</f>
        <v>11.928599999999999</v>
      </c>
      <c r="J402" s="64">
        <f>7.3006 * CHOOSE(CONTROL!$C$22, $C$13, 100%, $E$13)</f>
        <v>7.3006000000000002</v>
      </c>
      <c r="K402" s="64">
        <f>7.3007 * CHOOSE(CONTROL!$C$22, $C$13, 100%, $E$13)</f>
        <v>7.3007</v>
      </c>
    </row>
    <row r="403" spans="1:11" ht="15">
      <c r="A403" s="13">
        <v>53752</v>
      </c>
      <c r="B403" s="63">
        <f>6.1681 * CHOOSE(CONTROL!$C$22, $C$13, 100%, $E$13)</f>
        <v>6.1680999999999999</v>
      </c>
      <c r="C403" s="63">
        <f>6.1681 * CHOOSE(CONTROL!$C$22, $C$13, 100%, $E$13)</f>
        <v>6.1680999999999999</v>
      </c>
      <c r="D403" s="63">
        <f>6.1682 * CHOOSE(CONTROL!$C$22, $C$13, 100%, $E$13)</f>
        <v>6.1681999999999997</v>
      </c>
      <c r="E403" s="64">
        <f>7.3927 * CHOOSE(CONTROL!$C$22, $C$13, 100%, $E$13)</f>
        <v>7.3926999999999996</v>
      </c>
      <c r="F403" s="64">
        <f>7.3927 * CHOOSE(CONTROL!$C$22, $C$13, 100%, $E$13)</f>
        <v>7.3926999999999996</v>
      </c>
      <c r="G403" s="64">
        <f>7.3928 * CHOOSE(CONTROL!$C$22, $C$13, 100%, $E$13)</f>
        <v>7.3928000000000003</v>
      </c>
      <c r="H403" s="64">
        <f>11.9533* CHOOSE(CONTROL!$C$22, $C$13, 100%, $E$13)</f>
        <v>11.9533</v>
      </c>
      <c r="I403" s="64">
        <f>11.9534 * CHOOSE(CONTROL!$C$22, $C$13, 100%, $E$13)</f>
        <v>11.9534</v>
      </c>
      <c r="J403" s="64">
        <f>7.3927 * CHOOSE(CONTROL!$C$22, $C$13, 100%, $E$13)</f>
        <v>7.3926999999999996</v>
      </c>
      <c r="K403" s="64">
        <f>7.3928 * CHOOSE(CONTROL!$C$22, $C$13, 100%, $E$13)</f>
        <v>7.3928000000000003</v>
      </c>
    </row>
    <row r="404" spans="1:11" ht="15">
      <c r="A404" s="13">
        <v>53783</v>
      </c>
      <c r="B404" s="63">
        <f>6.1677 * CHOOSE(CONTROL!$C$22, $C$13, 100%, $E$13)</f>
        <v>6.1677</v>
      </c>
      <c r="C404" s="63">
        <f>6.1677 * CHOOSE(CONTROL!$C$22, $C$13, 100%, $E$13)</f>
        <v>6.1677</v>
      </c>
      <c r="D404" s="63">
        <f>6.1677 * CHOOSE(CONTROL!$C$22, $C$13, 100%, $E$13)</f>
        <v>6.1677</v>
      </c>
      <c r="E404" s="64">
        <f>7.4896 * CHOOSE(CONTROL!$C$22, $C$13, 100%, $E$13)</f>
        <v>7.4896000000000003</v>
      </c>
      <c r="F404" s="64">
        <f>7.4896 * CHOOSE(CONTROL!$C$22, $C$13, 100%, $E$13)</f>
        <v>7.4896000000000003</v>
      </c>
      <c r="G404" s="64">
        <f>7.4896 * CHOOSE(CONTROL!$C$22, $C$13, 100%, $E$13)</f>
        <v>7.4896000000000003</v>
      </c>
      <c r="H404" s="64">
        <f>11.9783* CHOOSE(CONTROL!$C$22, $C$13, 100%, $E$13)</f>
        <v>11.978300000000001</v>
      </c>
      <c r="I404" s="64">
        <f>11.9783 * CHOOSE(CONTROL!$C$22, $C$13, 100%, $E$13)</f>
        <v>11.978300000000001</v>
      </c>
      <c r="J404" s="64">
        <f>7.4896 * CHOOSE(CONTROL!$C$22, $C$13, 100%, $E$13)</f>
        <v>7.4896000000000003</v>
      </c>
      <c r="K404" s="64">
        <f>7.4896 * CHOOSE(CONTROL!$C$22, $C$13, 100%, $E$13)</f>
        <v>7.4896000000000003</v>
      </c>
    </row>
    <row r="405" spans="1:11" ht="15">
      <c r="A405" s="13">
        <v>53813</v>
      </c>
      <c r="B405" s="63">
        <f>6.1677 * CHOOSE(CONTROL!$C$22, $C$13, 100%, $E$13)</f>
        <v>6.1677</v>
      </c>
      <c r="C405" s="63">
        <f>6.1677 * CHOOSE(CONTROL!$C$22, $C$13, 100%, $E$13)</f>
        <v>6.1677</v>
      </c>
      <c r="D405" s="63">
        <f>6.1806 * CHOOSE(CONTROL!$C$22, $C$13, 100%, $E$13)</f>
        <v>6.1806000000000001</v>
      </c>
      <c r="E405" s="64">
        <f>7.5275 * CHOOSE(CONTROL!$C$22, $C$13, 100%, $E$13)</f>
        <v>7.5274999999999999</v>
      </c>
      <c r="F405" s="64">
        <f>7.5275 * CHOOSE(CONTROL!$C$22, $C$13, 100%, $E$13)</f>
        <v>7.5274999999999999</v>
      </c>
      <c r="G405" s="64">
        <f>7.5432 * CHOOSE(CONTROL!$C$22, $C$13, 100%, $E$13)</f>
        <v>7.5431999999999997</v>
      </c>
      <c r="H405" s="64">
        <f>12.0032* CHOOSE(CONTROL!$C$22, $C$13, 100%, $E$13)</f>
        <v>12.0032</v>
      </c>
      <c r="I405" s="64">
        <f>12.0189 * CHOOSE(CONTROL!$C$22, $C$13, 100%, $E$13)</f>
        <v>12.0189</v>
      </c>
      <c r="J405" s="64">
        <f>7.5275 * CHOOSE(CONTROL!$C$22, $C$13, 100%, $E$13)</f>
        <v>7.5274999999999999</v>
      </c>
      <c r="K405" s="64">
        <f>7.5432 * CHOOSE(CONTROL!$C$22, $C$13, 100%, $E$13)</f>
        <v>7.5431999999999997</v>
      </c>
    </row>
    <row r="406" spans="1:11" ht="15">
      <c r="A406" s="13">
        <v>53844</v>
      </c>
      <c r="B406" s="63">
        <f>6.1737 * CHOOSE(CONTROL!$C$22, $C$13, 100%, $E$13)</f>
        <v>6.1737000000000002</v>
      </c>
      <c r="C406" s="63">
        <f>6.1737 * CHOOSE(CONTROL!$C$22, $C$13, 100%, $E$13)</f>
        <v>6.1737000000000002</v>
      </c>
      <c r="D406" s="63">
        <f>6.1867 * CHOOSE(CONTROL!$C$22, $C$13, 100%, $E$13)</f>
        <v>6.1867000000000001</v>
      </c>
      <c r="E406" s="64">
        <f>7.4938 * CHOOSE(CONTROL!$C$22, $C$13, 100%, $E$13)</f>
        <v>7.4938000000000002</v>
      </c>
      <c r="F406" s="64">
        <f>7.4938 * CHOOSE(CONTROL!$C$22, $C$13, 100%, $E$13)</f>
        <v>7.4938000000000002</v>
      </c>
      <c r="G406" s="64">
        <f>7.5095 * CHOOSE(CONTROL!$C$22, $C$13, 100%, $E$13)</f>
        <v>7.5095000000000001</v>
      </c>
      <c r="H406" s="64">
        <f>12.0282* CHOOSE(CONTROL!$C$22, $C$13, 100%, $E$13)</f>
        <v>12.0282</v>
      </c>
      <c r="I406" s="64">
        <f>12.0439 * CHOOSE(CONTROL!$C$22, $C$13, 100%, $E$13)</f>
        <v>12.043900000000001</v>
      </c>
      <c r="J406" s="64">
        <f>7.4938 * CHOOSE(CONTROL!$C$22, $C$13, 100%, $E$13)</f>
        <v>7.4938000000000002</v>
      </c>
      <c r="K406" s="64">
        <f>7.5095 * CHOOSE(CONTROL!$C$22, $C$13, 100%, $E$13)</f>
        <v>7.5095000000000001</v>
      </c>
    </row>
    <row r="407" spans="1:11" ht="15">
      <c r="A407" s="13">
        <v>53874</v>
      </c>
      <c r="B407" s="63">
        <f>6.273 * CHOOSE(CONTROL!$C$22, $C$13, 100%, $E$13)</f>
        <v>6.2729999999999997</v>
      </c>
      <c r="C407" s="63">
        <f>6.273 * CHOOSE(CONTROL!$C$22, $C$13, 100%, $E$13)</f>
        <v>6.2729999999999997</v>
      </c>
      <c r="D407" s="63">
        <f>6.286 * CHOOSE(CONTROL!$C$22, $C$13, 100%, $E$13)</f>
        <v>6.2859999999999996</v>
      </c>
      <c r="E407" s="64">
        <f>7.6192 * CHOOSE(CONTROL!$C$22, $C$13, 100%, $E$13)</f>
        <v>7.6192000000000002</v>
      </c>
      <c r="F407" s="64">
        <f>7.6192 * CHOOSE(CONTROL!$C$22, $C$13, 100%, $E$13)</f>
        <v>7.6192000000000002</v>
      </c>
      <c r="G407" s="64">
        <f>7.6348 * CHOOSE(CONTROL!$C$22, $C$13, 100%, $E$13)</f>
        <v>7.6348000000000003</v>
      </c>
      <c r="H407" s="64">
        <f>12.0533* CHOOSE(CONTROL!$C$22, $C$13, 100%, $E$13)</f>
        <v>12.0533</v>
      </c>
      <c r="I407" s="64">
        <f>12.069 * CHOOSE(CONTROL!$C$22, $C$13, 100%, $E$13)</f>
        <v>12.069000000000001</v>
      </c>
      <c r="J407" s="64">
        <f>7.6192 * CHOOSE(CONTROL!$C$22, $C$13, 100%, $E$13)</f>
        <v>7.6192000000000002</v>
      </c>
      <c r="K407" s="64">
        <f>7.6348 * CHOOSE(CONTROL!$C$22, $C$13, 100%, $E$13)</f>
        <v>7.6348000000000003</v>
      </c>
    </row>
    <row r="408" spans="1:11" ht="15">
      <c r="A408" s="13">
        <v>53905</v>
      </c>
      <c r="B408" s="63">
        <f>6.2797 * CHOOSE(CONTROL!$C$22, $C$13, 100%, $E$13)</f>
        <v>6.2797000000000001</v>
      </c>
      <c r="C408" s="63">
        <f>6.2797 * CHOOSE(CONTROL!$C$22, $C$13, 100%, $E$13)</f>
        <v>6.2797000000000001</v>
      </c>
      <c r="D408" s="63">
        <f>6.2927 * CHOOSE(CONTROL!$C$22, $C$13, 100%, $E$13)</f>
        <v>6.2927</v>
      </c>
      <c r="E408" s="64">
        <f>7.5101 * CHOOSE(CONTROL!$C$22, $C$13, 100%, $E$13)</f>
        <v>7.5101000000000004</v>
      </c>
      <c r="F408" s="64">
        <f>7.5101 * CHOOSE(CONTROL!$C$22, $C$13, 100%, $E$13)</f>
        <v>7.5101000000000004</v>
      </c>
      <c r="G408" s="64">
        <f>7.5258 * CHOOSE(CONTROL!$C$22, $C$13, 100%, $E$13)</f>
        <v>7.5258000000000003</v>
      </c>
      <c r="H408" s="64">
        <f>12.0784* CHOOSE(CONTROL!$C$22, $C$13, 100%, $E$13)</f>
        <v>12.0784</v>
      </c>
      <c r="I408" s="64">
        <f>12.0941 * CHOOSE(CONTROL!$C$22, $C$13, 100%, $E$13)</f>
        <v>12.094099999999999</v>
      </c>
      <c r="J408" s="64">
        <f>7.5101 * CHOOSE(CONTROL!$C$22, $C$13, 100%, $E$13)</f>
        <v>7.5101000000000004</v>
      </c>
      <c r="K408" s="64">
        <f>7.5258 * CHOOSE(CONTROL!$C$22, $C$13, 100%, $E$13)</f>
        <v>7.5258000000000003</v>
      </c>
    </row>
    <row r="409" spans="1:11" ht="15">
      <c r="A409" s="13">
        <v>53936</v>
      </c>
      <c r="B409" s="63">
        <f>6.2767 * CHOOSE(CONTROL!$C$22, $C$13, 100%, $E$13)</f>
        <v>6.2766999999999999</v>
      </c>
      <c r="C409" s="63">
        <f>6.2767 * CHOOSE(CONTROL!$C$22, $C$13, 100%, $E$13)</f>
        <v>6.2766999999999999</v>
      </c>
      <c r="D409" s="63">
        <f>6.2897 * CHOOSE(CONTROL!$C$22, $C$13, 100%, $E$13)</f>
        <v>6.2896999999999998</v>
      </c>
      <c r="E409" s="64">
        <f>7.4953 * CHOOSE(CONTROL!$C$22, $C$13, 100%, $E$13)</f>
        <v>7.4953000000000003</v>
      </c>
      <c r="F409" s="64">
        <f>7.4953 * CHOOSE(CONTROL!$C$22, $C$13, 100%, $E$13)</f>
        <v>7.4953000000000003</v>
      </c>
      <c r="G409" s="64">
        <f>7.511 * CHOOSE(CONTROL!$C$22, $C$13, 100%, $E$13)</f>
        <v>7.5110000000000001</v>
      </c>
      <c r="H409" s="64">
        <f>12.1035* CHOOSE(CONTROL!$C$22, $C$13, 100%, $E$13)</f>
        <v>12.1035</v>
      </c>
      <c r="I409" s="64">
        <f>12.1192 * CHOOSE(CONTROL!$C$22, $C$13, 100%, $E$13)</f>
        <v>12.119199999999999</v>
      </c>
      <c r="J409" s="64">
        <f>7.4953 * CHOOSE(CONTROL!$C$22, $C$13, 100%, $E$13)</f>
        <v>7.4953000000000003</v>
      </c>
      <c r="K409" s="64">
        <f>7.511 * CHOOSE(CONTROL!$C$22, $C$13, 100%, $E$13)</f>
        <v>7.5110000000000001</v>
      </c>
    </row>
    <row r="410" spans="1:11" ht="15">
      <c r="A410" s="13">
        <v>53966</v>
      </c>
      <c r="B410" s="63">
        <f>6.2793 * CHOOSE(CONTROL!$C$22, $C$13, 100%, $E$13)</f>
        <v>6.2793000000000001</v>
      </c>
      <c r="C410" s="63">
        <f>6.2793 * CHOOSE(CONTROL!$C$22, $C$13, 100%, $E$13)</f>
        <v>6.2793000000000001</v>
      </c>
      <c r="D410" s="63">
        <f>6.2793 * CHOOSE(CONTROL!$C$22, $C$13, 100%, $E$13)</f>
        <v>6.2793000000000001</v>
      </c>
      <c r="E410" s="64">
        <f>7.5325 * CHOOSE(CONTROL!$C$22, $C$13, 100%, $E$13)</f>
        <v>7.5324999999999998</v>
      </c>
      <c r="F410" s="64">
        <f>7.5325 * CHOOSE(CONTROL!$C$22, $C$13, 100%, $E$13)</f>
        <v>7.5324999999999998</v>
      </c>
      <c r="G410" s="64">
        <f>7.5325 * CHOOSE(CONTROL!$C$22, $C$13, 100%, $E$13)</f>
        <v>7.5324999999999998</v>
      </c>
      <c r="H410" s="64">
        <f>12.1288* CHOOSE(CONTROL!$C$22, $C$13, 100%, $E$13)</f>
        <v>12.1288</v>
      </c>
      <c r="I410" s="64">
        <f>12.1288 * CHOOSE(CONTROL!$C$22, $C$13, 100%, $E$13)</f>
        <v>12.1288</v>
      </c>
      <c r="J410" s="64">
        <f>7.5325 * CHOOSE(CONTROL!$C$22, $C$13, 100%, $E$13)</f>
        <v>7.5324999999999998</v>
      </c>
      <c r="K410" s="64">
        <f>7.5325 * CHOOSE(CONTROL!$C$22, $C$13, 100%, $E$13)</f>
        <v>7.5324999999999998</v>
      </c>
    </row>
    <row r="411" spans="1:11" ht="15">
      <c r="A411" s="13">
        <v>53997</v>
      </c>
      <c r="B411" s="63">
        <f>6.2823 * CHOOSE(CONTROL!$C$22, $C$13, 100%, $E$13)</f>
        <v>6.2823000000000002</v>
      </c>
      <c r="C411" s="63">
        <f>6.2823 * CHOOSE(CONTROL!$C$22, $C$13, 100%, $E$13)</f>
        <v>6.2823000000000002</v>
      </c>
      <c r="D411" s="63">
        <f>6.2823 * CHOOSE(CONTROL!$C$22, $C$13, 100%, $E$13)</f>
        <v>6.2823000000000002</v>
      </c>
      <c r="E411" s="64">
        <f>7.5599 * CHOOSE(CONTROL!$C$22, $C$13, 100%, $E$13)</f>
        <v>7.5598999999999998</v>
      </c>
      <c r="F411" s="64">
        <f>7.5599 * CHOOSE(CONTROL!$C$22, $C$13, 100%, $E$13)</f>
        <v>7.5598999999999998</v>
      </c>
      <c r="G411" s="64">
        <f>7.5599 * CHOOSE(CONTROL!$C$22, $C$13, 100%, $E$13)</f>
        <v>7.5598999999999998</v>
      </c>
      <c r="H411" s="64">
        <f>12.154* CHOOSE(CONTROL!$C$22, $C$13, 100%, $E$13)</f>
        <v>12.154</v>
      </c>
      <c r="I411" s="64">
        <f>12.1541 * CHOOSE(CONTROL!$C$22, $C$13, 100%, $E$13)</f>
        <v>12.1541</v>
      </c>
      <c r="J411" s="64">
        <f>7.5599 * CHOOSE(CONTROL!$C$22, $C$13, 100%, $E$13)</f>
        <v>7.5598999999999998</v>
      </c>
      <c r="K411" s="64">
        <f>7.5599 * CHOOSE(CONTROL!$C$22, $C$13, 100%, $E$13)</f>
        <v>7.5598999999999998</v>
      </c>
    </row>
    <row r="412" spans="1:11" ht="15">
      <c r="A412" s="13">
        <v>54027</v>
      </c>
      <c r="B412" s="63">
        <f>6.2823 * CHOOSE(CONTROL!$C$22, $C$13, 100%, $E$13)</f>
        <v>6.2823000000000002</v>
      </c>
      <c r="C412" s="63">
        <f>6.2823 * CHOOSE(CONTROL!$C$22, $C$13, 100%, $E$13)</f>
        <v>6.2823000000000002</v>
      </c>
      <c r="D412" s="63">
        <f>6.2823 * CHOOSE(CONTROL!$C$22, $C$13, 100%, $E$13)</f>
        <v>6.2823000000000002</v>
      </c>
      <c r="E412" s="64">
        <f>7.4967 * CHOOSE(CONTROL!$C$22, $C$13, 100%, $E$13)</f>
        <v>7.4966999999999997</v>
      </c>
      <c r="F412" s="64">
        <f>7.4967 * CHOOSE(CONTROL!$C$22, $C$13, 100%, $E$13)</f>
        <v>7.4966999999999997</v>
      </c>
      <c r="G412" s="64">
        <f>7.4967 * CHOOSE(CONTROL!$C$22, $C$13, 100%, $E$13)</f>
        <v>7.4966999999999997</v>
      </c>
      <c r="H412" s="64">
        <f>12.1794* CHOOSE(CONTROL!$C$22, $C$13, 100%, $E$13)</f>
        <v>12.179399999999999</v>
      </c>
      <c r="I412" s="64">
        <f>12.1794 * CHOOSE(CONTROL!$C$22, $C$13, 100%, $E$13)</f>
        <v>12.179399999999999</v>
      </c>
      <c r="J412" s="64">
        <f>7.4967 * CHOOSE(CONTROL!$C$22, $C$13, 100%, $E$13)</f>
        <v>7.4966999999999997</v>
      </c>
      <c r="K412" s="64">
        <f>7.4967 * CHOOSE(CONTROL!$C$22, $C$13, 100%, $E$13)</f>
        <v>7.4966999999999997</v>
      </c>
    </row>
    <row r="413" spans="1:11" ht="15">
      <c r="A413" s="13">
        <v>54058</v>
      </c>
      <c r="B413" s="63">
        <f>6.3372 * CHOOSE(CONTROL!$C$22, $C$13, 100%, $E$13)</f>
        <v>6.3372000000000002</v>
      </c>
      <c r="C413" s="63">
        <f>6.3372 * CHOOSE(CONTROL!$C$22, $C$13, 100%, $E$13)</f>
        <v>6.3372000000000002</v>
      </c>
      <c r="D413" s="63">
        <f>6.3372 * CHOOSE(CONTROL!$C$22, $C$13, 100%, $E$13)</f>
        <v>6.3372000000000002</v>
      </c>
      <c r="E413" s="64">
        <f>7.6035 * CHOOSE(CONTROL!$C$22, $C$13, 100%, $E$13)</f>
        <v>7.6035000000000004</v>
      </c>
      <c r="F413" s="64">
        <f>7.6035 * CHOOSE(CONTROL!$C$22, $C$13, 100%, $E$13)</f>
        <v>7.6035000000000004</v>
      </c>
      <c r="G413" s="64">
        <f>7.6036 * CHOOSE(CONTROL!$C$22, $C$13, 100%, $E$13)</f>
        <v>7.6036000000000001</v>
      </c>
      <c r="H413" s="64">
        <f>12.2047* CHOOSE(CONTROL!$C$22, $C$13, 100%, $E$13)</f>
        <v>12.204700000000001</v>
      </c>
      <c r="I413" s="64">
        <f>12.2048 * CHOOSE(CONTROL!$C$22, $C$13, 100%, $E$13)</f>
        <v>12.204800000000001</v>
      </c>
      <c r="J413" s="64">
        <f>7.6035 * CHOOSE(CONTROL!$C$22, $C$13, 100%, $E$13)</f>
        <v>7.6035000000000004</v>
      </c>
      <c r="K413" s="64">
        <f>7.6036 * CHOOSE(CONTROL!$C$22, $C$13, 100%, $E$13)</f>
        <v>7.6036000000000001</v>
      </c>
    </row>
    <row r="414" spans="1:11" ht="15">
      <c r="A414" s="13">
        <v>54089</v>
      </c>
      <c r="B414" s="63">
        <f>6.3341 * CHOOSE(CONTROL!$C$22, $C$13, 100%, $E$13)</f>
        <v>6.3341000000000003</v>
      </c>
      <c r="C414" s="63">
        <f>6.3341 * CHOOSE(CONTROL!$C$22, $C$13, 100%, $E$13)</f>
        <v>6.3341000000000003</v>
      </c>
      <c r="D414" s="63">
        <f>6.3341 * CHOOSE(CONTROL!$C$22, $C$13, 100%, $E$13)</f>
        <v>6.3341000000000003</v>
      </c>
      <c r="E414" s="64">
        <f>7.4786 * CHOOSE(CONTROL!$C$22, $C$13, 100%, $E$13)</f>
        <v>7.4786000000000001</v>
      </c>
      <c r="F414" s="64">
        <f>7.4786 * CHOOSE(CONTROL!$C$22, $C$13, 100%, $E$13)</f>
        <v>7.4786000000000001</v>
      </c>
      <c r="G414" s="64">
        <f>7.4787 * CHOOSE(CONTROL!$C$22, $C$13, 100%, $E$13)</f>
        <v>7.4786999999999999</v>
      </c>
      <c r="H414" s="64">
        <f>12.2302* CHOOSE(CONTROL!$C$22, $C$13, 100%, $E$13)</f>
        <v>12.2302</v>
      </c>
      <c r="I414" s="64">
        <f>12.2302 * CHOOSE(CONTROL!$C$22, $C$13, 100%, $E$13)</f>
        <v>12.2302</v>
      </c>
      <c r="J414" s="64">
        <f>7.4786 * CHOOSE(CONTROL!$C$22, $C$13, 100%, $E$13)</f>
        <v>7.4786000000000001</v>
      </c>
      <c r="K414" s="64">
        <f>7.4787 * CHOOSE(CONTROL!$C$22, $C$13, 100%, $E$13)</f>
        <v>7.4786999999999999</v>
      </c>
    </row>
    <row r="415" spans="1:11" ht="15">
      <c r="A415" s="13">
        <v>54118</v>
      </c>
      <c r="B415" s="63">
        <f>6.3311 * CHOOSE(CONTROL!$C$22, $C$13, 100%, $E$13)</f>
        <v>6.3311000000000002</v>
      </c>
      <c r="C415" s="63">
        <f>6.3311 * CHOOSE(CONTROL!$C$22, $C$13, 100%, $E$13)</f>
        <v>6.3311000000000002</v>
      </c>
      <c r="D415" s="63">
        <f>6.3311 * CHOOSE(CONTROL!$C$22, $C$13, 100%, $E$13)</f>
        <v>6.3311000000000002</v>
      </c>
      <c r="E415" s="64">
        <f>7.5733 * CHOOSE(CONTROL!$C$22, $C$13, 100%, $E$13)</f>
        <v>7.5732999999999997</v>
      </c>
      <c r="F415" s="64">
        <f>7.5733 * CHOOSE(CONTROL!$C$22, $C$13, 100%, $E$13)</f>
        <v>7.5732999999999997</v>
      </c>
      <c r="G415" s="64">
        <f>7.5734 * CHOOSE(CONTROL!$C$22, $C$13, 100%, $E$13)</f>
        <v>7.5734000000000004</v>
      </c>
      <c r="H415" s="64">
        <f>12.2556* CHOOSE(CONTROL!$C$22, $C$13, 100%, $E$13)</f>
        <v>12.255599999999999</v>
      </c>
      <c r="I415" s="64">
        <f>12.2557 * CHOOSE(CONTROL!$C$22, $C$13, 100%, $E$13)</f>
        <v>12.255699999999999</v>
      </c>
      <c r="J415" s="64">
        <f>7.5733 * CHOOSE(CONTROL!$C$22, $C$13, 100%, $E$13)</f>
        <v>7.5732999999999997</v>
      </c>
      <c r="K415" s="64">
        <f>7.5734 * CHOOSE(CONTROL!$C$22, $C$13, 100%, $E$13)</f>
        <v>7.5734000000000004</v>
      </c>
    </row>
    <row r="416" spans="1:11" ht="15">
      <c r="A416" s="13">
        <v>54149</v>
      </c>
      <c r="B416" s="63">
        <f>6.3307 * CHOOSE(CONTROL!$C$22, $C$13, 100%, $E$13)</f>
        <v>6.3307000000000002</v>
      </c>
      <c r="C416" s="63">
        <f>6.3307 * CHOOSE(CONTROL!$C$22, $C$13, 100%, $E$13)</f>
        <v>6.3307000000000002</v>
      </c>
      <c r="D416" s="63">
        <f>6.3307 * CHOOSE(CONTROL!$C$22, $C$13, 100%, $E$13)</f>
        <v>6.3307000000000002</v>
      </c>
      <c r="E416" s="64">
        <f>7.673 * CHOOSE(CONTROL!$C$22, $C$13, 100%, $E$13)</f>
        <v>7.673</v>
      </c>
      <c r="F416" s="64">
        <f>7.673 * CHOOSE(CONTROL!$C$22, $C$13, 100%, $E$13)</f>
        <v>7.673</v>
      </c>
      <c r="G416" s="64">
        <f>7.6731 * CHOOSE(CONTROL!$C$22, $C$13, 100%, $E$13)</f>
        <v>7.6730999999999998</v>
      </c>
      <c r="H416" s="64">
        <f>12.2812* CHOOSE(CONTROL!$C$22, $C$13, 100%, $E$13)</f>
        <v>12.2812</v>
      </c>
      <c r="I416" s="64">
        <f>12.2812 * CHOOSE(CONTROL!$C$22, $C$13, 100%, $E$13)</f>
        <v>12.2812</v>
      </c>
      <c r="J416" s="64">
        <f>7.673 * CHOOSE(CONTROL!$C$22, $C$13, 100%, $E$13)</f>
        <v>7.673</v>
      </c>
      <c r="K416" s="64">
        <f>7.6731 * CHOOSE(CONTROL!$C$22, $C$13, 100%, $E$13)</f>
        <v>7.6730999999999998</v>
      </c>
    </row>
    <row r="417" spans="1:11" ht="15">
      <c r="A417" s="13">
        <v>54179</v>
      </c>
      <c r="B417" s="63">
        <f>6.3307 * CHOOSE(CONTROL!$C$22, $C$13, 100%, $E$13)</f>
        <v>6.3307000000000002</v>
      </c>
      <c r="C417" s="63">
        <f>6.3307 * CHOOSE(CONTROL!$C$22, $C$13, 100%, $E$13)</f>
        <v>6.3307000000000002</v>
      </c>
      <c r="D417" s="63">
        <f>6.3437 * CHOOSE(CONTROL!$C$22, $C$13, 100%, $E$13)</f>
        <v>6.3437000000000001</v>
      </c>
      <c r="E417" s="64">
        <f>7.712 * CHOOSE(CONTROL!$C$22, $C$13, 100%, $E$13)</f>
        <v>7.7119999999999997</v>
      </c>
      <c r="F417" s="64">
        <f>7.712 * CHOOSE(CONTROL!$C$22, $C$13, 100%, $E$13)</f>
        <v>7.7119999999999997</v>
      </c>
      <c r="G417" s="64">
        <f>7.7277 * CHOOSE(CONTROL!$C$22, $C$13, 100%, $E$13)</f>
        <v>7.7276999999999996</v>
      </c>
      <c r="H417" s="64">
        <f>12.3067* CHOOSE(CONTROL!$C$22, $C$13, 100%, $E$13)</f>
        <v>12.306699999999999</v>
      </c>
      <c r="I417" s="64">
        <f>12.3224 * CHOOSE(CONTROL!$C$22, $C$13, 100%, $E$13)</f>
        <v>12.3224</v>
      </c>
      <c r="J417" s="64">
        <f>7.712 * CHOOSE(CONTROL!$C$22, $C$13, 100%, $E$13)</f>
        <v>7.7119999999999997</v>
      </c>
      <c r="K417" s="64">
        <f>7.7277 * CHOOSE(CONTROL!$C$22, $C$13, 100%, $E$13)</f>
        <v>7.7276999999999996</v>
      </c>
    </row>
    <row r="418" spans="1:11" ht="15">
      <c r="A418" s="13">
        <v>54210</v>
      </c>
      <c r="B418" s="63">
        <f>6.3368 * CHOOSE(CONTROL!$C$22, $C$13, 100%, $E$13)</f>
        <v>6.3368000000000002</v>
      </c>
      <c r="C418" s="63">
        <f>6.3368 * CHOOSE(CONTROL!$C$22, $C$13, 100%, $E$13)</f>
        <v>6.3368000000000002</v>
      </c>
      <c r="D418" s="63">
        <f>6.3498 * CHOOSE(CONTROL!$C$22, $C$13, 100%, $E$13)</f>
        <v>6.3498000000000001</v>
      </c>
      <c r="E418" s="64">
        <f>7.6773 * CHOOSE(CONTROL!$C$22, $C$13, 100%, $E$13)</f>
        <v>7.6772999999999998</v>
      </c>
      <c r="F418" s="64">
        <f>7.6773 * CHOOSE(CONTROL!$C$22, $C$13, 100%, $E$13)</f>
        <v>7.6772999999999998</v>
      </c>
      <c r="G418" s="64">
        <f>7.693 * CHOOSE(CONTROL!$C$22, $C$13, 100%, $E$13)</f>
        <v>7.6929999999999996</v>
      </c>
      <c r="H418" s="64">
        <f>12.3324* CHOOSE(CONTROL!$C$22, $C$13, 100%, $E$13)</f>
        <v>12.3324</v>
      </c>
      <c r="I418" s="64">
        <f>12.3481 * CHOOSE(CONTROL!$C$22, $C$13, 100%, $E$13)</f>
        <v>12.348100000000001</v>
      </c>
      <c r="J418" s="64">
        <f>7.6773 * CHOOSE(CONTROL!$C$22, $C$13, 100%, $E$13)</f>
        <v>7.6772999999999998</v>
      </c>
      <c r="K418" s="64">
        <f>7.693 * CHOOSE(CONTROL!$C$22, $C$13, 100%, $E$13)</f>
        <v>7.6929999999999996</v>
      </c>
    </row>
    <row r="419" spans="1:11" ht="15">
      <c r="A419" s="13">
        <v>54240</v>
      </c>
      <c r="B419" s="63">
        <f>6.4385 * CHOOSE(CONTROL!$C$22, $C$13, 100%, $E$13)</f>
        <v>6.4385000000000003</v>
      </c>
      <c r="C419" s="63">
        <f>6.4385 * CHOOSE(CONTROL!$C$22, $C$13, 100%, $E$13)</f>
        <v>6.4385000000000003</v>
      </c>
      <c r="D419" s="63">
        <f>6.4514 * CHOOSE(CONTROL!$C$22, $C$13, 100%, $E$13)</f>
        <v>6.4513999999999996</v>
      </c>
      <c r="E419" s="64">
        <f>7.8054 * CHOOSE(CONTROL!$C$22, $C$13, 100%, $E$13)</f>
        <v>7.8053999999999997</v>
      </c>
      <c r="F419" s="64">
        <f>7.8054 * CHOOSE(CONTROL!$C$22, $C$13, 100%, $E$13)</f>
        <v>7.8053999999999997</v>
      </c>
      <c r="G419" s="64">
        <f>7.8211 * CHOOSE(CONTROL!$C$22, $C$13, 100%, $E$13)</f>
        <v>7.8211000000000004</v>
      </c>
      <c r="H419" s="64">
        <f>12.3581* CHOOSE(CONTROL!$C$22, $C$13, 100%, $E$13)</f>
        <v>12.3581</v>
      </c>
      <c r="I419" s="64">
        <f>12.3738 * CHOOSE(CONTROL!$C$22, $C$13, 100%, $E$13)</f>
        <v>12.373799999999999</v>
      </c>
      <c r="J419" s="64">
        <f>7.8054 * CHOOSE(CONTROL!$C$22, $C$13, 100%, $E$13)</f>
        <v>7.8053999999999997</v>
      </c>
      <c r="K419" s="64">
        <f>7.8211 * CHOOSE(CONTROL!$C$22, $C$13, 100%, $E$13)</f>
        <v>7.8211000000000004</v>
      </c>
    </row>
    <row r="420" spans="1:11" ht="15">
      <c r="A420" s="13">
        <v>54271</v>
      </c>
      <c r="B420" s="63">
        <f>6.4451 * CHOOSE(CONTROL!$C$22, $C$13, 100%, $E$13)</f>
        <v>6.4451000000000001</v>
      </c>
      <c r="C420" s="63">
        <f>6.4451 * CHOOSE(CONTROL!$C$22, $C$13, 100%, $E$13)</f>
        <v>6.4451000000000001</v>
      </c>
      <c r="D420" s="63">
        <f>6.4581 * CHOOSE(CONTROL!$C$22, $C$13, 100%, $E$13)</f>
        <v>6.4581</v>
      </c>
      <c r="E420" s="64">
        <f>7.6932 * CHOOSE(CONTROL!$C$22, $C$13, 100%, $E$13)</f>
        <v>7.6932</v>
      </c>
      <c r="F420" s="64">
        <f>7.6932 * CHOOSE(CONTROL!$C$22, $C$13, 100%, $E$13)</f>
        <v>7.6932</v>
      </c>
      <c r="G420" s="64">
        <f>7.7088 * CHOOSE(CONTROL!$C$22, $C$13, 100%, $E$13)</f>
        <v>7.7088000000000001</v>
      </c>
      <c r="H420" s="64">
        <f>12.3838* CHOOSE(CONTROL!$C$22, $C$13, 100%, $E$13)</f>
        <v>12.383800000000001</v>
      </c>
      <c r="I420" s="64">
        <f>12.3995 * CHOOSE(CONTROL!$C$22, $C$13, 100%, $E$13)</f>
        <v>12.3995</v>
      </c>
      <c r="J420" s="64">
        <f>7.6932 * CHOOSE(CONTROL!$C$22, $C$13, 100%, $E$13)</f>
        <v>7.6932</v>
      </c>
      <c r="K420" s="64">
        <f>7.7088 * CHOOSE(CONTROL!$C$22, $C$13, 100%, $E$13)</f>
        <v>7.7088000000000001</v>
      </c>
    </row>
    <row r="421" spans="1:11" ht="15">
      <c r="A421" s="13">
        <v>54302</v>
      </c>
      <c r="B421" s="63">
        <f>6.4421 * CHOOSE(CONTROL!$C$22, $C$13, 100%, $E$13)</f>
        <v>6.4420999999999999</v>
      </c>
      <c r="C421" s="63">
        <f>6.4421 * CHOOSE(CONTROL!$C$22, $C$13, 100%, $E$13)</f>
        <v>6.4420999999999999</v>
      </c>
      <c r="D421" s="63">
        <f>6.4551 * CHOOSE(CONTROL!$C$22, $C$13, 100%, $E$13)</f>
        <v>6.4550999999999998</v>
      </c>
      <c r="E421" s="64">
        <f>7.678 * CHOOSE(CONTROL!$C$22, $C$13, 100%, $E$13)</f>
        <v>7.6779999999999999</v>
      </c>
      <c r="F421" s="64">
        <f>7.678 * CHOOSE(CONTROL!$C$22, $C$13, 100%, $E$13)</f>
        <v>7.6779999999999999</v>
      </c>
      <c r="G421" s="64">
        <f>7.6937 * CHOOSE(CONTROL!$C$22, $C$13, 100%, $E$13)</f>
        <v>7.6936999999999998</v>
      </c>
      <c r="H421" s="64">
        <f>12.4096* CHOOSE(CONTROL!$C$22, $C$13, 100%, $E$13)</f>
        <v>12.409599999999999</v>
      </c>
      <c r="I421" s="64">
        <f>12.4253 * CHOOSE(CONTROL!$C$22, $C$13, 100%, $E$13)</f>
        <v>12.4253</v>
      </c>
      <c r="J421" s="64">
        <f>7.678 * CHOOSE(CONTROL!$C$22, $C$13, 100%, $E$13)</f>
        <v>7.6779999999999999</v>
      </c>
      <c r="K421" s="64">
        <f>7.6937 * CHOOSE(CONTROL!$C$22, $C$13, 100%, $E$13)</f>
        <v>7.6936999999999998</v>
      </c>
    </row>
    <row r="422" spans="1:11" ht="15">
      <c r="A422" s="13">
        <v>54332</v>
      </c>
      <c r="B422" s="63">
        <f>6.4452 * CHOOSE(CONTROL!$C$22, $C$13, 100%, $E$13)</f>
        <v>6.4451999999999998</v>
      </c>
      <c r="C422" s="63">
        <f>6.4452 * CHOOSE(CONTROL!$C$22, $C$13, 100%, $E$13)</f>
        <v>6.4451999999999998</v>
      </c>
      <c r="D422" s="63">
        <f>6.4452 * CHOOSE(CONTROL!$C$22, $C$13, 100%, $E$13)</f>
        <v>6.4451999999999998</v>
      </c>
      <c r="E422" s="64">
        <f>7.7166 * CHOOSE(CONTROL!$C$22, $C$13, 100%, $E$13)</f>
        <v>7.7165999999999997</v>
      </c>
      <c r="F422" s="64">
        <f>7.7166 * CHOOSE(CONTROL!$C$22, $C$13, 100%, $E$13)</f>
        <v>7.7165999999999997</v>
      </c>
      <c r="G422" s="64">
        <f>7.7167 * CHOOSE(CONTROL!$C$22, $C$13, 100%, $E$13)</f>
        <v>7.7167000000000003</v>
      </c>
      <c r="H422" s="64">
        <f>12.4355* CHOOSE(CONTROL!$C$22, $C$13, 100%, $E$13)</f>
        <v>12.435499999999999</v>
      </c>
      <c r="I422" s="64">
        <f>12.4356 * CHOOSE(CONTROL!$C$22, $C$13, 100%, $E$13)</f>
        <v>12.435600000000001</v>
      </c>
      <c r="J422" s="64">
        <f>7.7166 * CHOOSE(CONTROL!$C$22, $C$13, 100%, $E$13)</f>
        <v>7.7165999999999997</v>
      </c>
      <c r="K422" s="64">
        <f>7.7167 * CHOOSE(CONTROL!$C$22, $C$13, 100%, $E$13)</f>
        <v>7.7167000000000003</v>
      </c>
    </row>
    <row r="423" spans="1:11" ht="15">
      <c r="A423" s="13">
        <v>54363</v>
      </c>
      <c r="B423" s="63">
        <f>6.4483 * CHOOSE(CONTROL!$C$22, $C$13, 100%, $E$13)</f>
        <v>6.4482999999999997</v>
      </c>
      <c r="C423" s="63">
        <f>6.4483 * CHOOSE(CONTROL!$C$22, $C$13, 100%, $E$13)</f>
        <v>6.4482999999999997</v>
      </c>
      <c r="D423" s="63">
        <f>6.4483 * CHOOSE(CONTROL!$C$22, $C$13, 100%, $E$13)</f>
        <v>6.4482999999999997</v>
      </c>
      <c r="E423" s="64">
        <f>7.7447 * CHOOSE(CONTROL!$C$22, $C$13, 100%, $E$13)</f>
        <v>7.7446999999999999</v>
      </c>
      <c r="F423" s="64">
        <f>7.7447 * CHOOSE(CONTROL!$C$22, $C$13, 100%, $E$13)</f>
        <v>7.7446999999999999</v>
      </c>
      <c r="G423" s="64">
        <f>7.7448 * CHOOSE(CONTROL!$C$22, $C$13, 100%, $E$13)</f>
        <v>7.7447999999999997</v>
      </c>
      <c r="H423" s="64">
        <f>12.4614* CHOOSE(CONTROL!$C$22, $C$13, 100%, $E$13)</f>
        <v>12.461399999999999</v>
      </c>
      <c r="I423" s="64">
        <f>12.4615 * CHOOSE(CONTROL!$C$22, $C$13, 100%, $E$13)</f>
        <v>12.461499999999999</v>
      </c>
      <c r="J423" s="64">
        <f>7.7447 * CHOOSE(CONTROL!$C$22, $C$13, 100%, $E$13)</f>
        <v>7.7446999999999999</v>
      </c>
      <c r="K423" s="64">
        <f>7.7448 * CHOOSE(CONTROL!$C$22, $C$13, 100%, $E$13)</f>
        <v>7.7447999999999997</v>
      </c>
    </row>
    <row r="424" spans="1:11" ht="15">
      <c r="A424" s="13">
        <v>54393</v>
      </c>
      <c r="B424" s="63">
        <f>6.4483 * CHOOSE(CONTROL!$C$22, $C$13, 100%, $E$13)</f>
        <v>6.4482999999999997</v>
      </c>
      <c r="C424" s="63">
        <f>6.4483 * CHOOSE(CONTROL!$C$22, $C$13, 100%, $E$13)</f>
        <v>6.4482999999999997</v>
      </c>
      <c r="D424" s="63">
        <f>6.4483 * CHOOSE(CONTROL!$C$22, $C$13, 100%, $E$13)</f>
        <v>6.4482999999999997</v>
      </c>
      <c r="E424" s="64">
        <f>7.6797 * CHOOSE(CONTROL!$C$22, $C$13, 100%, $E$13)</f>
        <v>7.6797000000000004</v>
      </c>
      <c r="F424" s="64">
        <f>7.6797 * CHOOSE(CONTROL!$C$22, $C$13, 100%, $E$13)</f>
        <v>7.6797000000000004</v>
      </c>
      <c r="G424" s="64">
        <f>7.6798 * CHOOSE(CONTROL!$C$22, $C$13, 100%, $E$13)</f>
        <v>7.6798000000000002</v>
      </c>
      <c r="H424" s="64">
        <f>12.4873* CHOOSE(CONTROL!$C$22, $C$13, 100%, $E$13)</f>
        <v>12.487299999999999</v>
      </c>
      <c r="I424" s="64">
        <f>12.4874 * CHOOSE(CONTROL!$C$22, $C$13, 100%, $E$13)</f>
        <v>12.487399999999999</v>
      </c>
      <c r="J424" s="64">
        <f>7.6797 * CHOOSE(CONTROL!$C$22, $C$13, 100%, $E$13)</f>
        <v>7.6797000000000004</v>
      </c>
      <c r="K424" s="64">
        <f>7.6798 * CHOOSE(CONTROL!$C$22, $C$13, 100%, $E$13)</f>
        <v>7.6798000000000002</v>
      </c>
    </row>
    <row r="425" spans="1:11" ht="15">
      <c r="A425" s="13">
        <v>54424</v>
      </c>
      <c r="B425" s="63">
        <f>6.5044 * CHOOSE(CONTROL!$C$22, $C$13, 100%, $E$13)</f>
        <v>6.5044000000000004</v>
      </c>
      <c r="C425" s="63">
        <f>6.5044 * CHOOSE(CONTROL!$C$22, $C$13, 100%, $E$13)</f>
        <v>6.5044000000000004</v>
      </c>
      <c r="D425" s="63">
        <f>6.5045 * CHOOSE(CONTROL!$C$22, $C$13, 100%, $E$13)</f>
        <v>6.5045000000000002</v>
      </c>
      <c r="E425" s="64">
        <f>7.7893 * CHOOSE(CONTROL!$C$22, $C$13, 100%, $E$13)</f>
        <v>7.7892999999999999</v>
      </c>
      <c r="F425" s="64">
        <f>7.7893 * CHOOSE(CONTROL!$C$22, $C$13, 100%, $E$13)</f>
        <v>7.7892999999999999</v>
      </c>
      <c r="G425" s="64">
        <f>7.7894 * CHOOSE(CONTROL!$C$22, $C$13, 100%, $E$13)</f>
        <v>7.7893999999999997</v>
      </c>
      <c r="H425" s="64">
        <f>12.5134* CHOOSE(CONTROL!$C$22, $C$13, 100%, $E$13)</f>
        <v>12.513400000000001</v>
      </c>
      <c r="I425" s="64">
        <f>12.5134 * CHOOSE(CONTROL!$C$22, $C$13, 100%, $E$13)</f>
        <v>12.513400000000001</v>
      </c>
      <c r="J425" s="64">
        <f>7.7893 * CHOOSE(CONTROL!$C$22, $C$13, 100%, $E$13)</f>
        <v>7.7892999999999999</v>
      </c>
      <c r="K425" s="64">
        <f>7.7894 * CHOOSE(CONTROL!$C$22, $C$13, 100%, $E$13)</f>
        <v>7.7893999999999997</v>
      </c>
    </row>
    <row r="426" spans="1:11" ht="15">
      <c r="A426" s="13">
        <v>54455</v>
      </c>
      <c r="B426" s="63">
        <f>6.5014 * CHOOSE(CONTROL!$C$22, $C$13, 100%, $E$13)</f>
        <v>6.5014000000000003</v>
      </c>
      <c r="C426" s="63">
        <f>6.5014 * CHOOSE(CONTROL!$C$22, $C$13, 100%, $E$13)</f>
        <v>6.5014000000000003</v>
      </c>
      <c r="D426" s="63">
        <f>6.5014 * CHOOSE(CONTROL!$C$22, $C$13, 100%, $E$13)</f>
        <v>6.5014000000000003</v>
      </c>
      <c r="E426" s="64">
        <f>7.661 * CHOOSE(CONTROL!$C$22, $C$13, 100%, $E$13)</f>
        <v>7.6609999999999996</v>
      </c>
      <c r="F426" s="64">
        <f>7.661 * CHOOSE(CONTROL!$C$22, $C$13, 100%, $E$13)</f>
        <v>7.6609999999999996</v>
      </c>
      <c r="G426" s="64">
        <f>7.6611 * CHOOSE(CONTROL!$C$22, $C$13, 100%, $E$13)</f>
        <v>7.6611000000000002</v>
      </c>
      <c r="H426" s="64">
        <f>12.5394* CHOOSE(CONTROL!$C$22, $C$13, 100%, $E$13)</f>
        <v>12.539400000000001</v>
      </c>
      <c r="I426" s="64">
        <f>12.5395 * CHOOSE(CONTROL!$C$22, $C$13, 100%, $E$13)</f>
        <v>12.5395</v>
      </c>
      <c r="J426" s="64">
        <f>7.661 * CHOOSE(CONTROL!$C$22, $C$13, 100%, $E$13)</f>
        <v>7.6609999999999996</v>
      </c>
      <c r="K426" s="64">
        <f>7.6611 * CHOOSE(CONTROL!$C$22, $C$13, 100%, $E$13)</f>
        <v>7.6611000000000002</v>
      </c>
    </row>
    <row r="427" spans="1:11" ht="15">
      <c r="A427" s="13">
        <v>54483</v>
      </c>
      <c r="B427" s="63">
        <f>6.4984 * CHOOSE(CONTROL!$C$22, $C$13, 100%, $E$13)</f>
        <v>6.4984000000000002</v>
      </c>
      <c r="C427" s="63">
        <f>6.4984 * CHOOSE(CONTROL!$C$22, $C$13, 100%, $E$13)</f>
        <v>6.4984000000000002</v>
      </c>
      <c r="D427" s="63">
        <f>6.4984 * CHOOSE(CONTROL!$C$22, $C$13, 100%, $E$13)</f>
        <v>6.4984000000000002</v>
      </c>
      <c r="E427" s="64">
        <f>7.7584 * CHOOSE(CONTROL!$C$22, $C$13, 100%, $E$13)</f>
        <v>7.7584</v>
      </c>
      <c r="F427" s="64">
        <f>7.7584 * CHOOSE(CONTROL!$C$22, $C$13, 100%, $E$13)</f>
        <v>7.7584</v>
      </c>
      <c r="G427" s="64">
        <f>7.7585 * CHOOSE(CONTROL!$C$22, $C$13, 100%, $E$13)</f>
        <v>7.7584999999999997</v>
      </c>
      <c r="H427" s="64">
        <f>12.5656* CHOOSE(CONTROL!$C$22, $C$13, 100%, $E$13)</f>
        <v>12.5656</v>
      </c>
      <c r="I427" s="64">
        <f>12.5656 * CHOOSE(CONTROL!$C$22, $C$13, 100%, $E$13)</f>
        <v>12.5656</v>
      </c>
      <c r="J427" s="64">
        <f>7.7584 * CHOOSE(CONTROL!$C$22, $C$13, 100%, $E$13)</f>
        <v>7.7584</v>
      </c>
      <c r="K427" s="64">
        <f>7.7585 * CHOOSE(CONTROL!$C$22, $C$13, 100%, $E$13)</f>
        <v>7.7584999999999997</v>
      </c>
    </row>
    <row r="428" spans="1:11" ht="15">
      <c r="A428" s="13">
        <v>54514</v>
      </c>
      <c r="B428" s="63">
        <f>6.4982 * CHOOSE(CONTROL!$C$22, $C$13, 100%, $E$13)</f>
        <v>6.4981999999999998</v>
      </c>
      <c r="C428" s="63">
        <f>6.4982 * CHOOSE(CONTROL!$C$22, $C$13, 100%, $E$13)</f>
        <v>6.4981999999999998</v>
      </c>
      <c r="D428" s="63">
        <f>6.4982 * CHOOSE(CONTROL!$C$22, $C$13, 100%, $E$13)</f>
        <v>6.4981999999999998</v>
      </c>
      <c r="E428" s="64">
        <f>7.861 * CHOOSE(CONTROL!$C$22, $C$13, 100%, $E$13)</f>
        <v>7.8609999999999998</v>
      </c>
      <c r="F428" s="64">
        <f>7.861 * CHOOSE(CONTROL!$C$22, $C$13, 100%, $E$13)</f>
        <v>7.8609999999999998</v>
      </c>
      <c r="G428" s="64">
        <f>7.8611 * CHOOSE(CONTROL!$C$22, $C$13, 100%, $E$13)</f>
        <v>7.8611000000000004</v>
      </c>
      <c r="H428" s="64">
        <f>12.5917* CHOOSE(CONTROL!$C$22, $C$13, 100%, $E$13)</f>
        <v>12.591699999999999</v>
      </c>
      <c r="I428" s="64">
        <f>12.5918 * CHOOSE(CONTROL!$C$22, $C$13, 100%, $E$13)</f>
        <v>12.591799999999999</v>
      </c>
      <c r="J428" s="64">
        <f>7.861 * CHOOSE(CONTROL!$C$22, $C$13, 100%, $E$13)</f>
        <v>7.8609999999999998</v>
      </c>
      <c r="K428" s="64">
        <f>7.8611 * CHOOSE(CONTROL!$C$22, $C$13, 100%, $E$13)</f>
        <v>7.8611000000000004</v>
      </c>
    </row>
    <row r="429" spans="1:11" ht="15">
      <c r="A429" s="13">
        <v>54544</v>
      </c>
      <c r="B429" s="63">
        <f>6.4982 * CHOOSE(CONTROL!$C$22, $C$13, 100%, $E$13)</f>
        <v>6.4981999999999998</v>
      </c>
      <c r="C429" s="63">
        <f>6.4982 * CHOOSE(CONTROL!$C$22, $C$13, 100%, $E$13)</f>
        <v>6.4981999999999998</v>
      </c>
      <c r="D429" s="63">
        <f>6.5111 * CHOOSE(CONTROL!$C$22, $C$13, 100%, $E$13)</f>
        <v>6.5110999999999999</v>
      </c>
      <c r="E429" s="64">
        <f>7.9011 * CHOOSE(CONTROL!$C$22, $C$13, 100%, $E$13)</f>
        <v>7.9010999999999996</v>
      </c>
      <c r="F429" s="64">
        <f>7.9011 * CHOOSE(CONTROL!$C$22, $C$13, 100%, $E$13)</f>
        <v>7.9010999999999996</v>
      </c>
      <c r="G429" s="64">
        <f>7.9168 * CHOOSE(CONTROL!$C$22, $C$13, 100%, $E$13)</f>
        <v>7.9168000000000003</v>
      </c>
      <c r="H429" s="64">
        <f>12.618* CHOOSE(CONTROL!$C$22, $C$13, 100%, $E$13)</f>
        <v>12.618</v>
      </c>
      <c r="I429" s="64">
        <f>12.6336 * CHOOSE(CONTROL!$C$22, $C$13, 100%, $E$13)</f>
        <v>12.633599999999999</v>
      </c>
      <c r="J429" s="64">
        <f>7.9011 * CHOOSE(CONTROL!$C$22, $C$13, 100%, $E$13)</f>
        <v>7.9010999999999996</v>
      </c>
      <c r="K429" s="64">
        <f>7.9168 * CHOOSE(CONTROL!$C$22, $C$13, 100%, $E$13)</f>
        <v>7.9168000000000003</v>
      </c>
    </row>
    <row r="430" spans="1:11" ht="15">
      <c r="A430" s="13">
        <v>54575</v>
      </c>
      <c r="B430" s="63">
        <f>6.5042 * CHOOSE(CONTROL!$C$22, $C$13, 100%, $E$13)</f>
        <v>6.5042</v>
      </c>
      <c r="C430" s="63">
        <f>6.5042 * CHOOSE(CONTROL!$C$22, $C$13, 100%, $E$13)</f>
        <v>6.5042</v>
      </c>
      <c r="D430" s="63">
        <f>6.5172 * CHOOSE(CONTROL!$C$22, $C$13, 100%, $E$13)</f>
        <v>6.5171999999999999</v>
      </c>
      <c r="E430" s="64">
        <f>7.8653 * CHOOSE(CONTROL!$C$22, $C$13, 100%, $E$13)</f>
        <v>7.8653000000000004</v>
      </c>
      <c r="F430" s="64">
        <f>7.8653 * CHOOSE(CONTROL!$C$22, $C$13, 100%, $E$13)</f>
        <v>7.8653000000000004</v>
      </c>
      <c r="G430" s="64">
        <f>7.8809 * CHOOSE(CONTROL!$C$22, $C$13, 100%, $E$13)</f>
        <v>7.8808999999999996</v>
      </c>
      <c r="H430" s="64">
        <f>12.6443* CHOOSE(CONTROL!$C$22, $C$13, 100%, $E$13)</f>
        <v>12.644299999999999</v>
      </c>
      <c r="I430" s="64">
        <f>12.6599 * CHOOSE(CONTROL!$C$22, $C$13, 100%, $E$13)</f>
        <v>12.6599</v>
      </c>
      <c r="J430" s="64">
        <f>7.8653 * CHOOSE(CONTROL!$C$22, $C$13, 100%, $E$13)</f>
        <v>7.8653000000000004</v>
      </c>
      <c r="K430" s="64">
        <f>7.8809 * CHOOSE(CONTROL!$C$22, $C$13, 100%, $E$13)</f>
        <v>7.8808999999999996</v>
      </c>
    </row>
    <row r="431" spans="1:11" ht="15">
      <c r="A431" s="13">
        <v>54605</v>
      </c>
      <c r="B431" s="63">
        <f>6.6083 * CHOOSE(CONTROL!$C$22, $C$13, 100%, $E$13)</f>
        <v>6.6082999999999998</v>
      </c>
      <c r="C431" s="63">
        <f>6.6083 * CHOOSE(CONTROL!$C$22, $C$13, 100%, $E$13)</f>
        <v>6.6082999999999998</v>
      </c>
      <c r="D431" s="63">
        <f>6.6212 * CHOOSE(CONTROL!$C$22, $C$13, 100%, $E$13)</f>
        <v>6.6212</v>
      </c>
      <c r="E431" s="64">
        <f>7.9963 * CHOOSE(CONTROL!$C$22, $C$13, 100%, $E$13)</f>
        <v>7.9962999999999997</v>
      </c>
      <c r="F431" s="64">
        <f>7.9963 * CHOOSE(CONTROL!$C$22, $C$13, 100%, $E$13)</f>
        <v>7.9962999999999997</v>
      </c>
      <c r="G431" s="64">
        <f>8.012 * CHOOSE(CONTROL!$C$22, $C$13, 100%, $E$13)</f>
        <v>8.0120000000000005</v>
      </c>
      <c r="H431" s="64">
        <f>12.6706* CHOOSE(CONTROL!$C$22, $C$13, 100%, $E$13)</f>
        <v>12.6706</v>
      </c>
      <c r="I431" s="64">
        <f>12.6863 * CHOOSE(CONTROL!$C$22, $C$13, 100%, $E$13)</f>
        <v>12.686299999999999</v>
      </c>
      <c r="J431" s="64">
        <f>7.9963 * CHOOSE(CONTROL!$C$22, $C$13, 100%, $E$13)</f>
        <v>7.9962999999999997</v>
      </c>
      <c r="K431" s="64">
        <f>8.012 * CHOOSE(CONTROL!$C$22, $C$13, 100%, $E$13)</f>
        <v>8.0120000000000005</v>
      </c>
    </row>
    <row r="432" spans="1:11" ht="15">
      <c r="A432" s="13">
        <v>54636</v>
      </c>
      <c r="B432" s="63">
        <f>6.615 * CHOOSE(CONTROL!$C$22, $C$13, 100%, $E$13)</f>
        <v>6.6150000000000002</v>
      </c>
      <c r="C432" s="63">
        <f>6.615 * CHOOSE(CONTROL!$C$22, $C$13, 100%, $E$13)</f>
        <v>6.6150000000000002</v>
      </c>
      <c r="D432" s="63">
        <f>6.6279 * CHOOSE(CONTROL!$C$22, $C$13, 100%, $E$13)</f>
        <v>6.6279000000000003</v>
      </c>
      <c r="E432" s="64">
        <f>7.8807 * CHOOSE(CONTROL!$C$22, $C$13, 100%, $E$13)</f>
        <v>7.8807</v>
      </c>
      <c r="F432" s="64">
        <f>7.8807 * CHOOSE(CONTROL!$C$22, $C$13, 100%, $E$13)</f>
        <v>7.8807</v>
      </c>
      <c r="G432" s="64">
        <f>7.8964 * CHOOSE(CONTROL!$C$22, $C$13, 100%, $E$13)</f>
        <v>7.8963999999999999</v>
      </c>
      <c r="H432" s="64">
        <f>12.697* CHOOSE(CONTROL!$C$22, $C$13, 100%, $E$13)</f>
        <v>12.696999999999999</v>
      </c>
      <c r="I432" s="64">
        <f>12.7127 * CHOOSE(CONTROL!$C$22, $C$13, 100%, $E$13)</f>
        <v>12.7127</v>
      </c>
      <c r="J432" s="64">
        <f>7.8807 * CHOOSE(CONTROL!$C$22, $C$13, 100%, $E$13)</f>
        <v>7.8807</v>
      </c>
      <c r="K432" s="64">
        <f>7.8964 * CHOOSE(CONTROL!$C$22, $C$13, 100%, $E$13)</f>
        <v>7.8963999999999999</v>
      </c>
    </row>
    <row r="433" spans="1:11" ht="15">
      <c r="A433" s="13">
        <v>54667</v>
      </c>
      <c r="B433" s="63">
        <f>6.6119 * CHOOSE(CONTROL!$C$22, $C$13, 100%, $E$13)</f>
        <v>6.6119000000000003</v>
      </c>
      <c r="C433" s="63">
        <f>6.6119 * CHOOSE(CONTROL!$C$22, $C$13, 100%, $E$13)</f>
        <v>6.6119000000000003</v>
      </c>
      <c r="D433" s="63">
        <f>6.6249 * CHOOSE(CONTROL!$C$22, $C$13, 100%, $E$13)</f>
        <v>6.6249000000000002</v>
      </c>
      <c r="E433" s="64">
        <f>7.8653 * CHOOSE(CONTROL!$C$22, $C$13, 100%, $E$13)</f>
        <v>7.8653000000000004</v>
      </c>
      <c r="F433" s="64">
        <f>7.8653 * CHOOSE(CONTROL!$C$22, $C$13, 100%, $E$13)</f>
        <v>7.8653000000000004</v>
      </c>
      <c r="G433" s="64">
        <f>7.8809 * CHOOSE(CONTROL!$C$22, $C$13, 100%, $E$13)</f>
        <v>7.8808999999999996</v>
      </c>
      <c r="H433" s="64">
        <f>12.7234* CHOOSE(CONTROL!$C$22, $C$13, 100%, $E$13)</f>
        <v>12.7234</v>
      </c>
      <c r="I433" s="64">
        <f>12.7391 * CHOOSE(CONTROL!$C$22, $C$13, 100%, $E$13)</f>
        <v>12.739100000000001</v>
      </c>
      <c r="J433" s="64">
        <f>7.8653 * CHOOSE(CONTROL!$C$22, $C$13, 100%, $E$13)</f>
        <v>7.8653000000000004</v>
      </c>
      <c r="K433" s="64">
        <f>7.8809 * CHOOSE(CONTROL!$C$22, $C$13, 100%, $E$13)</f>
        <v>7.8808999999999996</v>
      </c>
    </row>
    <row r="434" spans="1:11" ht="15">
      <c r="A434" s="13">
        <v>54697</v>
      </c>
      <c r="B434" s="63">
        <f>6.6156 * CHOOSE(CONTROL!$C$22, $C$13, 100%, $E$13)</f>
        <v>6.6155999999999997</v>
      </c>
      <c r="C434" s="63">
        <f>6.6156 * CHOOSE(CONTROL!$C$22, $C$13, 100%, $E$13)</f>
        <v>6.6155999999999997</v>
      </c>
      <c r="D434" s="63">
        <f>6.6156 * CHOOSE(CONTROL!$C$22, $C$13, 100%, $E$13)</f>
        <v>6.6155999999999997</v>
      </c>
      <c r="E434" s="64">
        <f>7.9053 * CHOOSE(CONTROL!$C$22, $C$13, 100%, $E$13)</f>
        <v>7.9053000000000004</v>
      </c>
      <c r="F434" s="64">
        <f>7.9053 * CHOOSE(CONTROL!$C$22, $C$13, 100%, $E$13)</f>
        <v>7.9053000000000004</v>
      </c>
      <c r="G434" s="64">
        <f>7.9054 * CHOOSE(CONTROL!$C$22, $C$13, 100%, $E$13)</f>
        <v>7.9054000000000002</v>
      </c>
      <c r="H434" s="64">
        <f>12.75* CHOOSE(CONTROL!$C$22, $C$13, 100%, $E$13)</f>
        <v>12.75</v>
      </c>
      <c r="I434" s="64">
        <f>12.75 * CHOOSE(CONTROL!$C$22, $C$13, 100%, $E$13)</f>
        <v>12.75</v>
      </c>
      <c r="J434" s="64">
        <f>7.9053 * CHOOSE(CONTROL!$C$22, $C$13, 100%, $E$13)</f>
        <v>7.9053000000000004</v>
      </c>
      <c r="K434" s="64">
        <f>7.9054 * CHOOSE(CONTROL!$C$22, $C$13, 100%, $E$13)</f>
        <v>7.9054000000000002</v>
      </c>
    </row>
    <row r="435" spans="1:11" ht="15">
      <c r="A435" s="13">
        <v>54728</v>
      </c>
      <c r="B435" s="63">
        <f>6.6186 * CHOOSE(CONTROL!$C$22, $C$13, 100%, $E$13)</f>
        <v>6.6185999999999998</v>
      </c>
      <c r="C435" s="63">
        <f>6.6186 * CHOOSE(CONTROL!$C$22, $C$13, 100%, $E$13)</f>
        <v>6.6185999999999998</v>
      </c>
      <c r="D435" s="63">
        <f>6.6187 * CHOOSE(CONTROL!$C$22, $C$13, 100%, $E$13)</f>
        <v>6.6186999999999996</v>
      </c>
      <c r="E435" s="64">
        <f>7.9341 * CHOOSE(CONTROL!$C$22, $C$13, 100%, $E$13)</f>
        <v>7.9340999999999999</v>
      </c>
      <c r="F435" s="64">
        <f>7.9341 * CHOOSE(CONTROL!$C$22, $C$13, 100%, $E$13)</f>
        <v>7.9340999999999999</v>
      </c>
      <c r="G435" s="64">
        <f>7.9342 * CHOOSE(CONTROL!$C$22, $C$13, 100%, $E$13)</f>
        <v>7.9341999999999997</v>
      </c>
      <c r="H435" s="64">
        <f>12.7765* CHOOSE(CONTROL!$C$22, $C$13, 100%, $E$13)</f>
        <v>12.7765</v>
      </c>
      <c r="I435" s="64">
        <f>12.7766 * CHOOSE(CONTROL!$C$22, $C$13, 100%, $E$13)</f>
        <v>12.7766</v>
      </c>
      <c r="J435" s="64">
        <f>7.9341 * CHOOSE(CONTROL!$C$22, $C$13, 100%, $E$13)</f>
        <v>7.9340999999999999</v>
      </c>
      <c r="K435" s="64">
        <f>7.9342 * CHOOSE(CONTROL!$C$22, $C$13, 100%, $E$13)</f>
        <v>7.9341999999999997</v>
      </c>
    </row>
    <row r="436" spans="1:11" ht="15">
      <c r="A436" s="13">
        <v>54758</v>
      </c>
      <c r="B436" s="63">
        <f>6.6186 * CHOOSE(CONTROL!$C$22, $C$13, 100%, $E$13)</f>
        <v>6.6185999999999998</v>
      </c>
      <c r="C436" s="63">
        <f>6.6186 * CHOOSE(CONTROL!$C$22, $C$13, 100%, $E$13)</f>
        <v>6.6185999999999998</v>
      </c>
      <c r="D436" s="63">
        <f>6.6187 * CHOOSE(CONTROL!$C$22, $C$13, 100%, $E$13)</f>
        <v>6.6186999999999996</v>
      </c>
      <c r="E436" s="64">
        <f>7.8673 * CHOOSE(CONTROL!$C$22, $C$13, 100%, $E$13)</f>
        <v>7.8673000000000002</v>
      </c>
      <c r="F436" s="64">
        <f>7.8673 * CHOOSE(CONTROL!$C$22, $C$13, 100%, $E$13)</f>
        <v>7.8673000000000002</v>
      </c>
      <c r="G436" s="64">
        <f>7.8674 * CHOOSE(CONTROL!$C$22, $C$13, 100%, $E$13)</f>
        <v>7.8673999999999999</v>
      </c>
      <c r="H436" s="64">
        <f>12.8031* CHOOSE(CONTROL!$C$22, $C$13, 100%, $E$13)</f>
        <v>12.803100000000001</v>
      </c>
      <c r="I436" s="64">
        <f>12.8032 * CHOOSE(CONTROL!$C$22, $C$13, 100%, $E$13)</f>
        <v>12.8032</v>
      </c>
      <c r="J436" s="64">
        <f>7.8673 * CHOOSE(CONTROL!$C$22, $C$13, 100%, $E$13)</f>
        <v>7.8673000000000002</v>
      </c>
      <c r="K436" s="64">
        <f>7.8674 * CHOOSE(CONTROL!$C$22, $C$13, 100%, $E$13)</f>
        <v>7.8673999999999999</v>
      </c>
    </row>
    <row r="437" spans="1:11" ht="15">
      <c r="A437" s="13">
        <v>54789</v>
      </c>
      <c r="B437" s="63">
        <f>6.6762 * CHOOSE(CONTROL!$C$22, $C$13, 100%, $E$13)</f>
        <v>6.6761999999999997</v>
      </c>
      <c r="C437" s="63">
        <f>6.6762 * CHOOSE(CONTROL!$C$22, $C$13, 100%, $E$13)</f>
        <v>6.6761999999999997</v>
      </c>
      <c r="D437" s="63">
        <f>6.6762 * CHOOSE(CONTROL!$C$22, $C$13, 100%, $E$13)</f>
        <v>6.6761999999999997</v>
      </c>
      <c r="E437" s="64">
        <f>7.9797 * CHOOSE(CONTROL!$C$22, $C$13, 100%, $E$13)</f>
        <v>7.9797000000000002</v>
      </c>
      <c r="F437" s="64">
        <f>7.9797 * CHOOSE(CONTROL!$C$22, $C$13, 100%, $E$13)</f>
        <v>7.9797000000000002</v>
      </c>
      <c r="G437" s="64">
        <f>7.9798 * CHOOSE(CONTROL!$C$22, $C$13, 100%, $E$13)</f>
        <v>7.9798</v>
      </c>
      <c r="H437" s="64">
        <f>12.8298* CHOOSE(CONTROL!$C$22, $C$13, 100%, $E$13)</f>
        <v>12.829800000000001</v>
      </c>
      <c r="I437" s="64">
        <f>12.8299 * CHOOSE(CONTROL!$C$22, $C$13, 100%, $E$13)</f>
        <v>12.8299</v>
      </c>
      <c r="J437" s="64">
        <f>7.9797 * CHOOSE(CONTROL!$C$22, $C$13, 100%, $E$13)</f>
        <v>7.9797000000000002</v>
      </c>
      <c r="K437" s="64">
        <f>7.9798 * CHOOSE(CONTROL!$C$22, $C$13, 100%, $E$13)</f>
        <v>7.9798</v>
      </c>
    </row>
    <row r="438" spans="1:11" ht="15">
      <c r="A438" s="13">
        <v>54820</v>
      </c>
      <c r="B438" s="63">
        <f>6.6731 * CHOOSE(CONTROL!$C$22, $C$13, 100%, $E$13)</f>
        <v>6.6730999999999998</v>
      </c>
      <c r="C438" s="63">
        <f>6.6731 * CHOOSE(CONTROL!$C$22, $C$13, 100%, $E$13)</f>
        <v>6.6730999999999998</v>
      </c>
      <c r="D438" s="63">
        <f>6.6731 * CHOOSE(CONTROL!$C$22, $C$13, 100%, $E$13)</f>
        <v>6.6730999999999998</v>
      </c>
      <c r="E438" s="64">
        <f>7.8478 * CHOOSE(CONTROL!$C$22, $C$13, 100%, $E$13)</f>
        <v>7.8478000000000003</v>
      </c>
      <c r="F438" s="64">
        <f>7.8478 * CHOOSE(CONTROL!$C$22, $C$13, 100%, $E$13)</f>
        <v>7.8478000000000003</v>
      </c>
      <c r="G438" s="64">
        <f>7.8479 * CHOOSE(CONTROL!$C$22, $C$13, 100%, $E$13)</f>
        <v>7.8479000000000001</v>
      </c>
      <c r="H438" s="64">
        <f>12.8565* CHOOSE(CONTROL!$C$22, $C$13, 100%, $E$13)</f>
        <v>12.8565</v>
      </c>
      <c r="I438" s="64">
        <f>12.8566 * CHOOSE(CONTROL!$C$22, $C$13, 100%, $E$13)</f>
        <v>12.8566</v>
      </c>
      <c r="J438" s="64">
        <f>7.8478 * CHOOSE(CONTROL!$C$22, $C$13, 100%, $E$13)</f>
        <v>7.8478000000000003</v>
      </c>
      <c r="K438" s="64">
        <f>7.8479 * CHOOSE(CONTROL!$C$22, $C$13, 100%, $E$13)</f>
        <v>7.8479000000000001</v>
      </c>
    </row>
    <row r="439" spans="1:11" ht="15">
      <c r="A439" s="13">
        <v>54848</v>
      </c>
      <c r="B439" s="63">
        <f>6.6701 * CHOOSE(CONTROL!$C$22, $C$13, 100%, $E$13)</f>
        <v>6.6700999999999997</v>
      </c>
      <c r="C439" s="63">
        <f>6.6701 * CHOOSE(CONTROL!$C$22, $C$13, 100%, $E$13)</f>
        <v>6.6700999999999997</v>
      </c>
      <c r="D439" s="63">
        <f>6.6701 * CHOOSE(CONTROL!$C$22, $C$13, 100%, $E$13)</f>
        <v>6.6700999999999997</v>
      </c>
      <c r="E439" s="64">
        <f>7.948 * CHOOSE(CONTROL!$C$22, $C$13, 100%, $E$13)</f>
        <v>7.9480000000000004</v>
      </c>
      <c r="F439" s="64">
        <f>7.948 * CHOOSE(CONTROL!$C$22, $C$13, 100%, $E$13)</f>
        <v>7.9480000000000004</v>
      </c>
      <c r="G439" s="64">
        <f>7.9481 * CHOOSE(CONTROL!$C$22, $C$13, 100%, $E$13)</f>
        <v>7.9481000000000002</v>
      </c>
      <c r="H439" s="64">
        <f>12.8833* CHOOSE(CONTROL!$C$22, $C$13, 100%, $E$13)</f>
        <v>12.8833</v>
      </c>
      <c r="I439" s="64">
        <f>12.8834 * CHOOSE(CONTROL!$C$22, $C$13, 100%, $E$13)</f>
        <v>12.8834</v>
      </c>
      <c r="J439" s="64">
        <f>7.948 * CHOOSE(CONTROL!$C$22, $C$13, 100%, $E$13)</f>
        <v>7.9480000000000004</v>
      </c>
      <c r="K439" s="64">
        <f>7.9481 * CHOOSE(CONTROL!$C$22, $C$13, 100%, $E$13)</f>
        <v>7.9481000000000002</v>
      </c>
    </row>
    <row r="440" spans="1:11" ht="15">
      <c r="A440" s="13">
        <v>54879</v>
      </c>
      <c r="B440" s="63">
        <f>6.67 * CHOOSE(CONTROL!$C$22, $C$13, 100%, $E$13)</f>
        <v>6.67</v>
      </c>
      <c r="C440" s="63">
        <f>6.67 * CHOOSE(CONTROL!$C$22, $C$13, 100%, $E$13)</f>
        <v>6.67</v>
      </c>
      <c r="D440" s="63">
        <f>6.6701 * CHOOSE(CONTROL!$C$22, $C$13, 100%, $E$13)</f>
        <v>6.6700999999999997</v>
      </c>
      <c r="E440" s="64">
        <f>8.0536 * CHOOSE(CONTROL!$C$22, $C$13, 100%, $E$13)</f>
        <v>8.0535999999999994</v>
      </c>
      <c r="F440" s="64">
        <f>8.0536 * CHOOSE(CONTROL!$C$22, $C$13, 100%, $E$13)</f>
        <v>8.0535999999999994</v>
      </c>
      <c r="G440" s="64">
        <f>8.0537 * CHOOSE(CONTROL!$C$22, $C$13, 100%, $E$13)</f>
        <v>8.0536999999999992</v>
      </c>
      <c r="H440" s="64">
        <f>12.9102* CHOOSE(CONTROL!$C$22, $C$13, 100%, $E$13)</f>
        <v>12.9102</v>
      </c>
      <c r="I440" s="64">
        <f>12.9102 * CHOOSE(CONTROL!$C$22, $C$13, 100%, $E$13)</f>
        <v>12.9102</v>
      </c>
      <c r="J440" s="64">
        <f>8.0536 * CHOOSE(CONTROL!$C$22, $C$13, 100%, $E$13)</f>
        <v>8.0535999999999994</v>
      </c>
      <c r="K440" s="64">
        <f>8.0537 * CHOOSE(CONTROL!$C$22, $C$13, 100%, $E$13)</f>
        <v>8.0536999999999992</v>
      </c>
    </row>
    <row r="441" spans="1:11" ht="15">
      <c r="A441" s="13">
        <v>54909</v>
      </c>
      <c r="B441" s="63">
        <f>6.67 * CHOOSE(CONTROL!$C$22, $C$13, 100%, $E$13)</f>
        <v>6.67</v>
      </c>
      <c r="C441" s="63">
        <f>6.67 * CHOOSE(CONTROL!$C$22, $C$13, 100%, $E$13)</f>
        <v>6.67</v>
      </c>
      <c r="D441" s="63">
        <f>6.683 * CHOOSE(CONTROL!$C$22, $C$13, 100%, $E$13)</f>
        <v>6.6829999999999998</v>
      </c>
      <c r="E441" s="64">
        <f>8.0948 * CHOOSE(CONTROL!$C$22, $C$13, 100%, $E$13)</f>
        <v>8.0947999999999993</v>
      </c>
      <c r="F441" s="64">
        <f>8.0948 * CHOOSE(CONTROL!$C$22, $C$13, 100%, $E$13)</f>
        <v>8.0947999999999993</v>
      </c>
      <c r="G441" s="64">
        <f>8.1105 * CHOOSE(CONTROL!$C$22, $C$13, 100%, $E$13)</f>
        <v>8.1105</v>
      </c>
      <c r="H441" s="64">
        <f>12.9371* CHOOSE(CONTROL!$C$22, $C$13, 100%, $E$13)</f>
        <v>12.937099999999999</v>
      </c>
      <c r="I441" s="64">
        <f>12.9527 * CHOOSE(CONTROL!$C$22, $C$13, 100%, $E$13)</f>
        <v>12.9527</v>
      </c>
      <c r="J441" s="64">
        <f>8.0948 * CHOOSE(CONTROL!$C$22, $C$13, 100%, $E$13)</f>
        <v>8.0947999999999993</v>
      </c>
      <c r="K441" s="64">
        <f>8.1105 * CHOOSE(CONTROL!$C$22, $C$13, 100%, $E$13)</f>
        <v>8.1105</v>
      </c>
    </row>
    <row r="442" spans="1:11" ht="15">
      <c r="A442" s="13">
        <v>54940</v>
      </c>
      <c r="B442" s="63">
        <f>6.6761 * CHOOSE(CONTROL!$C$22, $C$13, 100%, $E$13)</f>
        <v>6.6760999999999999</v>
      </c>
      <c r="C442" s="63">
        <f>6.6761 * CHOOSE(CONTROL!$C$22, $C$13, 100%, $E$13)</f>
        <v>6.6760999999999999</v>
      </c>
      <c r="D442" s="63">
        <f>6.6891 * CHOOSE(CONTROL!$C$22, $C$13, 100%, $E$13)</f>
        <v>6.6890999999999998</v>
      </c>
      <c r="E442" s="64">
        <f>8.0579 * CHOOSE(CONTROL!$C$22, $C$13, 100%, $E$13)</f>
        <v>8.0579000000000001</v>
      </c>
      <c r="F442" s="64">
        <f>8.0579 * CHOOSE(CONTROL!$C$22, $C$13, 100%, $E$13)</f>
        <v>8.0579000000000001</v>
      </c>
      <c r="G442" s="64">
        <f>8.0736 * CHOOSE(CONTROL!$C$22, $C$13, 100%, $E$13)</f>
        <v>8.0736000000000008</v>
      </c>
      <c r="H442" s="64">
        <f>12.964* CHOOSE(CONTROL!$C$22, $C$13, 100%, $E$13)</f>
        <v>12.964</v>
      </c>
      <c r="I442" s="64">
        <f>12.9797 * CHOOSE(CONTROL!$C$22, $C$13, 100%, $E$13)</f>
        <v>12.979699999999999</v>
      </c>
      <c r="J442" s="64">
        <f>8.0579 * CHOOSE(CONTROL!$C$22, $C$13, 100%, $E$13)</f>
        <v>8.0579000000000001</v>
      </c>
      <c r="K442" s="64">
        <f>8.0736 * CHOOSE(CONTROL!$C$22, $C$13, 100%, $E$13)</f>
        <v>8.0736000000000008</v>
      </c>
    </row>
    <row r="443" spans="1:11" ht="15">
      <c r="A443" s="13">
        <v>54970</v>
      </c>
      <c r="B443" s="63">
        <f>6.7826 * CHOOSE(CONTROL!$C$22, $C$13, 100%, $E$13)</f>
        <v>6.7826000000000004</v>
      </c>
      <c r="C443" s="63">
        <f>6.7826 * CHOOSE(CONTROL!$C$22, $C$13, 100%, $E$13)</f>
        <v>6.7826000000000004</v>
      </c>
      <c r="D443" s="63">
        <f>6.7956 * CHOOSE(CONTROL!$C$22, $C$13, 100%, $E$13)</f>
        <v>6.7956000000000003</v>
      </c>
      <c r="E443" s="64">
        <f>8.1919 * CHOOSE(CONTROL!$C$22, $C$13, 100%, $E$13)</f>
        <v>8.1919000000000004</v>
      </c>
      <c r="F443" s="64">
        <f>8.1919 * CHOOSE(CONTROL!$C$22, $C$13, 100%, $E$13)</f>
        <v>8.1919000000000004</v>
      </c>
      <c r="G443" s="64">
        <f>8.2075 * CHOOSE(CONTROL!$C$22, $C$13, 100%, $E$13)</f>
        <v>8.2074999999999996</v>
      </c>
      <c r="H443" s="64">
        <f>12.991* CHOOSE(CONTROL!$C$22, $C$13, 100%, $E$13)</f>
        <v>12.991</v>
      </c>
      <c r="I443" s="64">
        <f>13.0067 * CHOOSE(CONTROL!$C$22, $C$13, 100%, $E$13)</f>
        <v>13.0067</v>
      </c>
      <c r="J443" s="64">
        <f>8.1919 * CHOOSE(CONTROL!$C$22, $C$13, 100%, $E$13)</f>
        <v>8.1919000000000004</v>
      </c>
      <c r="K443" s="64">
        <f>8.2075 * CHOOSE(CONTROL!$C$22, $C$13, 100%, $E$13)</f>
        <v>8.2074999999999996</v>
      </c>
    </row>
    <row r="444" spans="1:11" ht="15">
      <c r="A444" s="13">
        <v>55001</v>
      </c>
      <c r="B444" s="63">
        <f>6.7893 * CHOOSE(CONTROL!$C$22, $C$13, 100%, $E$13)</f>
        <v>6.7892999999999999</v>
      </c>
      <c r="C444" s="63">
        <f>6.7893 * CHOOSE(CONTROL!$C$22, $C$13, 100%, $E$13)</f>
        <v>6.7892999999999999</v>
      </c>
      <c r="D444" s="63">
        <f>6.8023 * CHOOSE(CONTROL!$C$22, $C$13, 100%, $E$13)</f>
        <v>6.8022999999999998</v>
      </c>
      <c r="E444" s="64">
        <f>8.0729 * CHOOSE(CONTROL!$C$22, $C$13, 100%, $E$13)</f>
        <v>8.0729000000000006</v>
      </c>
      <c r="F444" s="64">
        <f>8.0729 * CHOOSE(CONTROL!$C$22, $C$13, 100%, $E$13)</f>
        <v>8.0729000000000006</v>
      </c>
      <c r="G444" s="64">
        <f>8.0886 * CHOOSE(CONTROL!$C$22, $C$13, 100%, $E$13)</f>
        <v>8.0885999999999996</v>
      </c>
      <c r="H444" s="64">
        <f>13.0181* CHOOSE(CONTROL!$C$22, $C$13, 100%, $E$13)</f>
        <v>13.0181</v>
      </c>
      <c r="I444" s="64">
        <f>13.0338 * CHOOSE(CONTROL!$C$22, $C$13, 100%, $E$13)</f>
        <v>13.033799999999999</v>
      </c>
      <c r="J444" s="64">
        <f>8.0729 * CHOOSE(CONTROL!$C$22, $C$13, 100%, $E$13)</f>
        <v>8.0729000000000006</v>
      </c>
      <c r="K444" s="64">
        <f>8.0886 * CHOOSE(CONTROL!$C$22, $C$13, 100%, $E$13)</f>
        <v>8.0885999999999996</v>
      </c>
    </row>
    <row r="445" spans="1:11" ht="15">
      <c r="A445" s="13">
        <v>55032</v>
      </c>
      <c r="B445" s="63">
        <f>6.7863 * CHOOSE(CONTROL!$C$22, $C$13, 100%, $E$13)</f>
        <v>6.7862999999999998</v>
      </c>
      <c r="C445" s="63">
        <f>6.7863 * CHOOSE(CONTROL!$C$22, $C$13, 100%, $E$13)</f>
        <v>6.7862999999999998</v>
      </c>
      <c r="D445" s="63">
        <f>6.7992 * CHOOSE(CONTROL!$C$22, $C$13, 100%, $E$13)</f>
        <v>6.7991999999999999</v>
      </c>
      <c r="E445" s="64">
        <f>8.0571 * CHOOSE(CONTROL!$C$22, $C$13, 100%, $E$13)</f>
        <v>8.0571000000000002</v>
      </c>
      <c r="F445" s="64">
        <f>8.0571 * CHOOSE(CONTROL!$C$22, $C$13, 100%, $E$13)</f>
        <v>8.0571000000000002</v>
      </c>
      <c r="G445" s="64">
        <f>8.0727 * CHOOSE(CONTROL!$C$22, $C$13, 100%, $E$13)</f>
        <v>8.0726999999999993</v>
      </c>
      <c r="H445" s="64">
        <f>13.0452* CHOOSE(CONTROL!$C$22, $C$13, 100%, $E$13)</f>
        <v>13.045199999999999</v>
      </c>
      <c r="I445" s="64">
        <f>13.0609 * CHOOSE(CONTROL!$C$22, $C$13, 100%, $E$13)</f>
        <v>13.0609</v>
      </c>
      <c r="J445" s="64">
        <f>8.0571 * CHOOSE(CONTROL!$C$22, $C$13, 100%, $E$13)</f>
        <v>8.0571000000000002</v>
      </c>
      <c r="K445" s="64">
        <f>8.0727 * CHOOSE(CONTROL!$C$22, $C$13, 100%, $E$13)</f>
        <v>8.0726999999999993</v>
      </c>
    </row>
    <row r="446" spans="1:11" ht="15">
      <c r="A446" s="13">
        <v>55062</v>
      </c>
      <c r="B446" s="63">
        <f>6.7905 * CHOOSE(CONTROL!$C$22, $C$13, 100%, $E$13)</f>
        <v>6.7904999999999998</v>
      </c>
      <c r="C446" s="63">
        <f>6.7905 * CHOOSE(CONTROL!$C$22, $C$13, 100%, $E$13)</f>
        <v>6.7904999999999998</v>
      </c>
      <c r="D446" s="63">
        <f>6.7905 * CHOOSE(CONTROL!$C$22, $C$13, 100%, $E$13)</f>
        <v>6.7904999999999998</v>
      </c>
      <c r="E446" s="64">
        <f>8.0986 * CHOOSE(CONTROL!$C$22, $C$13, 100%, $E$13)</f>
        <v>8.0985999999999994</v>
      </c>
      <c r="F446" s="64">
        <f>8.0986 * CHOOSE(CONTROL!$C$22, $C$13, 100%, $E$13)</f>
        <v>8.0985999999999994</v>
      </c>
      <c r="G446" s="64">
        <f>8.0987 * CHOOSE(CONTROL!$C$22, $C$13, 100%, $E$13)</f>
        <v>8.0986999999999991</v>
      </c>
      <c r="H446" s="64">
        <f>13.0724* CHOOSE(CONTROL!$C$22, $C$13, 100%, $E$13)</f>
        <v>13.0724</v>
      </c>
      <c r="I446" s="64">
        <f>13.0725 * CHOOSE(CONTROL!$C$22, $C$13, 100%, $E$13)</f>
        <v>13.0725</v>
      </c>
      <c r="J446" s="64">
        <f>8.0986 * CHOOSE(CONTROL!$C$22, $C$13, 100%, $E$13)</f>
        <v>8.0985999999999994</v>
      </c>
      <c r="K446" s="64">
        <f>8.0987 * CHOOSE(CONTROL!$C$22, $C$13, 100%, $E$13)</f>
        <v>8.0986999999999991</v>
      </c>
    </row>
    <row r="447" spans="1:11" ht="15">
      <c r="A447" s="13">
        <v>55093</v>
      </c>
      <c r="B447" s="63">
        <f>6.7936 * CHOOSE(CONTROL!$C$22, $C$13, 100%, $E$13)</f>
        <v>6.7935999999999996</v>
      </c>
      <c r="C447" s="63">
        <f>6.7936 * CHOOSE(CONTROL!$C$22, $C$13, 100%, $E$13)</f>
        <v>6.7935999999999996</v>
      </c>
      <c r="D447" s="63">
        <f>6.7936 * CHOOSE(CONTROL!$C$22, $C$13, 100%, $E$13)</f>
        <v>6.7935999999999996</v>
      </c>
      <c r="E447" s="64">
        <f>8.1282 * CHOOSE(CONTROL!$C$22, $C$13, 100%, $E$13)</f>
        <v>8.1281999999999996</v>
      </c>
      <c r="F447" s="64">
        <f>8.1282 * CHOOSE(CONTROL!$C$22, $C$13, 100%, $E$13)</f>
        <v>8.1281999999999996</v>
      </c>
      <c r="G447" s="64">
        <f>8.1282 * CHOOSE(CONTROL!$C$22, $C$13, 100%, $E$13)</f>
        <v>8.1281999999999996</v>
      </c>
      <c r="H447" s="64">
        <f>13.0996* CHOOSE(CONTROL!$C$22, $C$13, 100%, $E$13)</f>
        <v>13.099600000000001</v>
      </c>
      <c r="I447" s="64">
        <f>13.0997 * CHOOSE(CONTROL!$C$22, $C$13, 100%, $E$13)</f>
        <v>13.0997</v>
      </c>
      <c r="J447" s="64">
        <f>8.1282 * CHOOSE(CONTROL!$C$22, $C$13, 100%, $E$13)</f>
        <v>8.1281999999999996</v>
      </c>
      <c r="K447" s="64">
        <f>8.1282 * CHOOSE(CONTROL!$C$22, $C$13, 100%, $E$13)</f>
        <v>8.1281999999999996</v>
      </c>
    </row>
    <row r="448" spans="1:11" ht="15">
      <c r="A448" s="13">
        <v>55123</v>
      </c>
      <c r="B448" s="63">
        <f>6.7936 * CHOOSE(CONTROL!$C$22, $C$13, 100%, $E$13)</f>
        <v>6.7935999999999996</v>
      </c>
      <c r="C448" s="63">
        <f>6.7936 * CHOOSE(CONTROL!$C$22, $C$13, 100%, $E$13)</f>
        <v>6.7935999999999996</v>
      </c>
      <c r="D448" s="63">
        <f>6.7936 * CHOOSE(CONTROL!$C$22, $C$13, 100%, $E$13)</f>
        <v>6.7935999999999996</v>
      </c>
      <c r="E448" s="64">
        <f>8.0595 * CHOOSE(CONTROL!$C$22, $C$13, 100%, $E$13)</f>
        <v>8.0594999999999999</v>
      </c>
      <c r="F448" s="64">
        <f>8.0595 * CHOOSE(CONTROL!$C$22, $C$13, 100%, $E$13)</f>
        <v>8.0594999999999999</v>
      </c>
      <c r="G448" s="64">
        <f>8.0596 * CHOOSE(CONTROL!$C$22, $C$13, 100%, $E$13)</f>
        <v>8.0595999999999997</v>
      </c>
      <c r="H448" s="64">
        <f>13.1269* CHOOSE(CONTROL!$C$22, $C$13, 100%, $E$13)</f>
        <v>13.126899999999999</v>
      </c>
      <c r="I448" s="64">
        <f>13.127 * CHOOSE(CONTROL!$C$22, $C$13, 100%, $E$13)</f>
        <v>13.127000000000001</v>
      </c>
      <c r="J448" s="64">
        <f>8.0595 * CHOOSE(CONTROL!$C$22, $C$13, 100%, $E$13)</f>
        <v>8.0594999999999999</v>
      </c>
      <c r="K448" s="64">
        <f>8.0596 * CHOOSE(CONTROL!$C$22, $C$13, 100%, $E$13)</f>
        <v>8.0595999999999997</v>
      </c>
    </row>
    <row r="449" spans="1:11" ht="15">
      <c r="A449" s="13">
        <v>55154</v>
      </c>
      <c r="B449" s="63">
        <f>6.8525 * CHOOSE(CONTROL!$C$22, $C$13, 100%, $E$13)</f>
        <v>6.8525</v>
      </c>
      <c r="C449" s="63">
        <f>6.8525 * CHOOSE(CONTROL!$C$22, $C$13, 100%, $E$13)</f>
        <v>6.8525</v>
      </c>
      <c r="D449" s="63">
        <f>6.8525 * CHOOSE(CONTROL!$C$22, $C$13, 100%, $E$13)</f>
        <v>6.8525</v>
      </c>
      <c r="E449" s="64">
        <f>8.1748 * CHOOSE(CONTROL!$C$22, $C$13, 100%, $E$13)</f>
        <v>8.1747999999999994</v>
      </c>
      <c r="F449" s="64">
        <f>8.1748 * CHOOSE(CONTROL!$C$22, $C$13, 100%, $E$13)</f>
        <v>8.1747999999999994</v>
      </c>
      <c r="G449" s="64">
        <f>8.1748 * CHOOSE(CONTROL!$C$22, $C$13, 100%, $E$13)</f>
        <v>8.1747999999999994</v>
      </c>
      <c r="H449" s="64">
        <f>13.1543* CHOOSE(CONTROL!$C$22, $C$13, 100%, $E$13)</f>
        <v>13.154299999999999</v>
      </c>
      <c r="I449" s="64">
        <f>13.1543 * CHOOSE(CONTROL!$C$22, $C$13, 100%, $E$13)</f>
        <v>13.154299999999999</v>
      </c>
      <c r="J449" s="64">
        <f>8.1748 * CHOOSE(CONTROL!$C$22, $C$13, 100%, $E$13)</f>
        <v>8.1747999999999994</v>
      </c>
      <c r="K449" s="64">
        <f>8.1748 * CHOOSE(CONTROL!$C$22, $C$13, 100%, $E$13)</f>
        <v>8.1747999999999994</v>
      </c>
    </row>
    <row r="450" spans="1:11" ht="15">
      <c r="A450" s="13">
        <v>55185</v>
      </c>
      <c r="B450" s="63">
        <f>6.8495 * CHOOSE(CONTROL!$C$22, $C$13, 100%, $E$13)</f>
        <v>6.8494999999999999</v>
      </c>
      <c r="C450" s="63">
        <f>6.8495 * CHOOSE(CONTROL!$C$22, $C$13, 100%, $E$13)</f>
        <v>6.8494999999999999</v>
      </c>
      <c r="D450" s="63">
        <f>6.8495 * CHOOSE(CONTROL!$C$22, $C$13, 100%, $E$13)</f>
        <v>6.8494999999999999</v>
      </c>
      <c r="E450" s="64">
        <f>8.0392 * CHOOSE(CONTROL!$C$22, $C$13, 100%, $E$13)</f>
        <v>8.0391999999999992</v>
      </c>
      <c r="F450" s="64">
        <f>8.0392 * CHOOSE(CONTROL!$C$22, $C$13, 100%, $E$13)</f>
        <v>8.0391999999999992</v>
      </c>
      <c r="G450" s="64">
        <f>8.0393 * CHOOSE(CONTROL!$C$22, $C$13, 100%, $E$13)</f>
        <v>8.0393000000000008</v>
      </c>
      <c r="H450" s="64">
        <f>13.1817* CHOOSE(CONTROL!$C$22, $C$13, 100%, $E$13)</f>
        <v>13.181699999999999</v>
      </c>
      <c r="I450" s="64">
        <f>13.1817 * CHOOSE(CONTROL!$C$22, $C$13, 100%, $E$13)</f>
        <v>13.181699999999999</v>
      </c>
      <c r="J450" s="64">
        <f>8.0392 * CHOOSE(CONTROL!$C$22, $C$13, 100%, $E$13)</f>
        <v>8.0391999999999992</v>
      </c>
      <c r="K450" s="64">
        <f>8.0393 * CHOOSE(CONTROL!$C$22, $C$13, 100%, $E$13)</f>
        <v>8.0393000000000008</v>
      </c>
    </row>
    <row r="451" spans="1:11" ht="15">
      <c r="A451" s="13">
        <v>55213</v>
      </c>
      <c r="B451" s="63">
        <f>6.8464 * CHOOSE(CONTROL!$C$22, $C$13, 100%, $E$13)</f>
        <v>6.8464</v>
      </c>
      <c r="C451" s="63">
        <f>6.8464 * CHOOSE(CONTROL!$C$22, $C$13, 100%, $E$13)</f>
        <v>6.8464</v>
      </c>
      <c r="D451" s="63">
        <f>6.8464 * CHOOSE(CONTROL!$C$22, $C$13, 100%, $E$13)</f>
        <v>6.8464</v>
      </c>
      <c r="E451" s="64">
        <f>8.1423 * CHOOSE(CONTROL!$C$22, $C$13, 100%, $E$13)</f>
        <v>8.1423000000000005</v>
      </c>
      <c r="F451" s="64">
        <f>8.1423 * CHOOSE(CONTROL!$C$22, $C$13, 100%, $E$13)</f>
        <v>8.1423000000000005</v>
      </c>
      <c r="G451" s="64">
        <f>8.1424 * CHOOSE(CONTROL!$C$22, $C$13, 100%, $E$13)</f>
        <v>8.1424000000000003</v>
      </c>
      <c r="H451" s="64">
        <f>13.2091* CHOOSE(CONTROL!$C$22, $C$13, 100%, $E$13)</f>
        <v>13.209099999999999</v>
      </c>
      <c r="I451" s="64">
        <f>13.2092 * CHOOSE(CONTROL!$C$22, $C$13, 100%, $E$13)</f>
        <v>13.209199999999999</v>
      </c>
      <c r="J451" s="64">
        <f>8.1423 * CHOOSE(CONTROL!$C$22, $C$13, 100%, $E$13)</f>
        <v>8.1423000000000005</v>
      </c>
      <c r="K451" s="64">
        <f>8.1424 * CHOOSE(CONTROL!$C$22, $C$13, 100%, $E$13)</f>
        <v>8.1424000000000003</v>
      </c>
    </row>
    <row r="452" spans="1:11" ht="15">
      <c r="A452" s="13">
        <v>55244</v>
      </c>
      <c r="B452" s="63">
        <f>6.8465 * CHOOSE(CONTROL!$C$22, $C$13, 100%, $E$13)</f>
        <v>6.8464999999999998</v>
      </c>
      <c r="C452" s="63">
        <f>6.8465 * CHOOSE(CONTROL!$C$22, $C$13, 100%, $E$13)</f>
        <v>6.8464999999999998</v>
      </c>
      <c r="D452" s="63">
        <f>6.8465 * CHOOSE(CONTROL!$C$22, $C$13, 100%, $E$13)</f>
        <v>6.8464999999999998</v>
      </c>
      <c r="E452" s="64">
        <f>8.251 * CHOOSE(CONTROL!$C$22, $C$13, 100%, $E$13)</f>
        <v>8.2509999999999994</v>
      </c>
      <c r="F452" s="64">
        <f>8.251 * CHOOSE(CONTROL!$C$22, $C$13, 100%, $E$13)</f>
        <v>8.2509999999999994</v>
      </c>
      <c r="G452" s="64">
        <f>8.2511 * CHOOSE(CONTROL!$C$22, $C$13, 100%, $E$13)</f>
        <v>8.2510999999999992</v>
      </c>
      <c r="H452" s="64">
        <f>13.2366* CHOOSE(CONTROL!$C$22, $C$13, 100%, $E$13)</f>
        <v>13.236599999999999</v>
      </c>
      <c r="I452" s="64">
        <f>13.2367 * CHOOSE(CONTROL!$C$22, $C$13, 100%, $E$13)</f>
        <v>13.236700000000001</v>
      </c>
      <c r="J452" s="64">
        <f>8.251 * CHOOSE(CONTROL!$C$22, $C$13, 100%, $E$13)</f>
        <v>8.2509999999999994</v>
      </c>
      <c r="K452" s="64">
        <f>8.2511 * CHOOSE(CONTROL!$C$22, $C$13, 100%, $E$13)</f>
        <v>8.2510999999999992</v>
      </c>
    </row>
    <row r="453" spans="1:11" ht="15">
      <c r="A453" s="13">
        <v>55274</v>
      </c>
      <c r="B453" s="63">
        <f>6.8465 * CHOOSE(CONTROL!$C$22, $C$13, 100%, $E$13)</f>
        <v>6.8464999999999998</v>
      </c>
      <c r="C453" s="63">
        <f>6.8465 * CHOOSE(CONTROL!$C$22, $C$13, 100%, $E$13)</f>
        <v>6.8464999999999998</v>
      </c>
      <c r="D453" s="63">
        <f>6.8595 * CHOOSE(CONTROL!$C$22, $C$13, 100%, $E$13)</f>
        <v>6.8594999999999997</v>
      </c>
      <c r="E453" s="64">
        <f>8.2934 * CHOOSE(CONTROL!$C$22, $C$13, 100%, $E$13)</f>
        <v>8.2934000000000001</v>
      </c>
      <c r="F453" s="64">
        <f>8.2934 * CHOOSE(CONTROL!$C$22, $C$13, 100%, $E$13)</f>
        <v>8.2934000000000001</v>
      </c>
      <c r="G453" s="64">
        <f>8.309 * CHOOSE(CONTROL!$C$22, $C$13, 100%, $E$13)</f>
        <v>8.3089999999999993</v>
      </c>
      <c r="H453" s="64">
        <f>13.2642* CHOOSE(CONTROL!$C$22, $C$13, 100%, $E$13)</f>
        <v>13.264200000000001</v>
      </c>
      <c r="I453" s="64">
        <f>13.2799 * CHOOSE(CONTROL!$C$22, $C$13, 100%, $E$13)</f>
        <v>13.2799</v>
      </c>
      <c r="J453" s="64">
        <f>8.2934 * CHOOSE(CONTROL!$C$22, $C$13, 100%, $E$13)</f>
        <v>8.2934000000000001</v>
      </c>
      <c r="K453" s="64">
        <f>8.309 * CHOOSE(CONTROL!$C$22, $C$13, 100%, $E$13)</f>
        <v>8.3089999999999993</v>
      </c>
    </row>
    <row r="454" spans="1:11" ht="15">
      <c r="A454" s="13">
        <v>55305</v>
      </c>
      <c r="B454" s="63">
        <f>6.8526 * CHOOSE(CONTROL!$C$22, $C$13, 100%, $E$13)</f>
        <v>6.8525999999999998</v>
      </c>
      <c r="C454" s="63">
        <f>6.8526 * CHOOSE(CONTROL!$C$22, $C$13, 100%, $E$13)</f>
        <v>6.8525999999999998</v>
      </c>
      <c r="D454" s="63">
        <f>6.8656 * CHOOSE(CONTROL!$C$22, $C$13, 100%, $E$13)</f>
        <v>6.8655999999999997</v>
      </c>
      <c r="E454" s="64">
        <f>8.2552 * CHOOSE(CONTROL!$C$22, $C$13, 100%, $E$13)</f>
        <v>8.2552000000000003</v>
      </c>
      <c r="F454" s="64">
        <f>8.2552 * CHOOSE(CONTROL!$C$22, $C$13, 100%, $E$13)</f>
        <v>8.2552000000000003</v>
      </c>
      <c r="G454" s="64">
        <f>8.2709 * CHOOSE(CONTROL!$C$22, $C$13, 100%, $E$13)</f>
        <v>8.2708999999999993</v>
      </c>
      <c r="H454" s="64">
        <f>13.2918* CHOOSE(CONTROL!$C$22, $C$13, 100%, $E$13)</f>
        <v>13.2918</v>
      </c>
      <c r="I454" s="64">
        <f>13.3075 * CHOOSE(CONTROL!$C$22, $C$13, 100%, $E$13)</f>
        <v>13.307499999999999</v>
      </c>
      <c r="J454" s="64">
        <f>8.2552 * CHOOSE(CONTROL!$C$22, $C$13, 100%, $E$13)</f>
        <v>8.2552000000000003</v>
      </c>
      <c r="K454" s="64">
        <f>8.2709 * CHOOSE(CONTROL!$C$22, $C$13, 100%, $E$13)</f>
        <v>8.2708999999999993</v>
      </c>
    </row>
    <row r="455" spans="1:11" ht="15">
      <c r="A455" s="13">
        <v>55335</v>
      </c>
      <c r="B455" s="63">
        <f>6.9616 * CHOOSE(CONTROL!$C$22, $C$13, 100%, $E$13)</f>
        <v>6.9615999999999998</v>
      </c>
      <c r="C455" s="63">
        <f>6.9616 * CHOOSE(CONTROL!$C$22, $C$13, 100%, $E$13)</f>
        <v>6.9615999999999998</v>
      </c>
      <c r="D455" s="63">
        <f>6.9746 * CHOOSE(CONTROL!$C$22, $C$13, 100%, $E$13)</f>
        <v>6.9745999999999997</v>
      </c>
      <c r="E455" s="64">
        <f>8.3922 * CHOOSE(CONTROL!$C$22, $C$13, 100%, $E$13)</f>
        <v>8.3922000000000008</v>
      </c>
      <c r="F455" s="64">
        <f>8.3922 * CHOOSE(CONTROL!$C$22, $C$13, 100%, $E$13)</f>
        <v>8.3922000000000008</v>
      </c>
      <c r="G455" s="64">
        <f>8.4079 * CHOOSE(CONTROL!$C$22, $C$13, 100%, $E$13)</f>
        <v>8.4078999999999997</v>
      </c>
      <c r="H455" s="64">
        <f>13.3195* CHOOSE(CONTROL!$C$22, $C$13, 100%, $E$13)</f>
        <v>13.3195</v>
      </c>
      <c r="I455" s="64">
        <f>13.3352 * CHOOSE(CONTROL!$C$22, $C$13, 100%, $E$13)</f>
        <v>13.3352</v>
      </c>
      <c r="J455" s="64">
        <f>8.3922 * CHOOSE(CONTROL!$C$22, $C$13, 100%, $E$13)</f>
        <v>8.3922000000000008</v>
      </c>
      <c r="K455" s="64">
        <f>8.4079 * CHOOSE(CONTROL!$C$22, $C$13, 100%, $E$13)</f>
        <v>8.4078999999999997</v>
      </c>
    </row>
    <row r="456" spans="1:11" ht="15">
      <c r="A456" s="13">
        <v>55366</v>
      </c>
      <c r="B456" s="63">
        <f>6.9683 * CHOOSE(CONTROL!$C$22, $C$13, 100%, $E$13)</f>
        <v>6.9683000000000002</v>
      </c>
      <c r="C456" s="63">
        <f>6.9683 * CHOOSE(CONTROL!$C$22, $C$13, 100%, $E$13)</f>
        <v>6.9683000000000002</v>
      </c>
      <c r="D456" s="63">
        <f>6.9813 * CHOOSE(CONTROL!$C$22, $C$13, 100%, $E$13)</f>
        <v>6.9813000000000001</v>
      </c>
      <c r="E456" s="64">
        <f>8.2698 * CHOOSE(CONTROL!$C$22, $C$13, 100%, $E$13)</f>
        <v>8.2698</v>
      </c>
      <c r="F456" s="64">
        <f>8.2698 * CHOOSE(CONTROL!$C$22, $C$13, 100%, $E$13)</f>
        <v>8.2698</v>
      </c>
      <c r="G456" s="64">
        <f>8.2855 * CHOOSE(CONTROL!$C$22, $C$13, 100%, $E$13)</f>
        <v>8.2855000000000008</v>
      </c>
      <c r="H456" s="64">
        <f>13.3473* CHOOSE(CONTROL!$C$22, $C$13, 100%, $E$13)</f>
        <v>13.347300000000001</v>
      </c>
      <c r="I456" s="64">
        <f>13.363 * CHOOSE(CONTROL!$C$22, $C$13, 100%, $E$13)</f>
        <v>13.363</v>
      </c>
      <c r="J456" s="64">
        <f>8.2698 * CHOOSE(CONTROL!$C$22, $C$13, 100%, $E$13)</f>
        <v>8.2698</v>
      </c>
      <c r="K456" s="64">
        <f>8.2855 * CHOOSE(CONTROL!$C$22, $C$13, 100%, $E$13)</f>
        <v>8.2855000000000008</v>
      </c>
    </row>
    <row r="457" spans="1:11" ht="15">
      <c r="A457" s="13">
        <v>55397</v>
      </c>
      <c r="B457" s="63">
        <f>6.9653 * CHOOSE(CONTROL!$C$22, $C$13, 100%, $E$13)</f>
        <v>6.9653</v>
      </c>
      <c r="C457" s="63">
        <f>6.9653 * CHOOSE(CONTROL!$C$22, $C$13, 100%, $E$13)</f>
        <v>6.9653</v>
      </c>
      <c r="D457" s="63">
        <f>6.9782 * CHOOSE(CONTROL!$C$22, $C$13, 100%, $E$13)</f>
        <v>6.9782000000000002</v>
      </c>
      <c r="E457" s="64">
        <f>8.2536 * CHOOSE(CONTROL!$C$22, $C$13, 100%, $E$13)</f>
        <v>8.2536000000000005</v>
      </c>
      <c r="F457" s="64">
        <f>8.2536 * CHOOSE(CONTROL!$C$22, $C$13, 100%, $E$13)</f>
        <v>8.2536000000000005</v>
      </c>
      <c r="G457" s="64">
        <f>8.2692 * CHOOSE(CONTROL!$C$22, $C$13, 100%, $E$13)</f>
        <v>8.2691999999999997</v>
      </c>
      <c r="H457" s="64">
        <f>13.3751* CHOOSE(CONTROL!$C$22, $C$13, 100%, $E$13)</f>
        <v>13.3751</v>
      </c>
      <c r="I457" s="64">
        <f>13.3908 * CHOOSE(CONTROL!$C$22, $C$13, 100%, $E$13)</f>
        <v>13.3908</v>
      </c>
      <c r="J457" s="64">
        <f>8.2536 * CHOOSE(CONTROL!$C$22, $C$13, 100%, $E$13)</f>
        <v>8.2536000000000005</v>
      </c>
      <c r="K457" s="64">
        <f>8.2692 * CHOOSE(CONTROL!$C$22, $C$13, 100%, $E$13)</f>
        <v>8.2691999999999997</v>
      </c>
    </row>
    <row r="458" spans="1:11" ht="15">
      <c r="A458" s="13">
        <v>55427</v>
      </c>
      <c r="B458" s="63">
        <f>6.9701 * CHOOSE(CONTROL!$C$22, $C$13, 100%, $E$13)</f>
        <v>6.9701000000000004</v>
      </c>
      <c r="C458" s="63">
        <f>6.9701 * CHOOSE(CONTROL!$C$22, $C$13, 100%, $E$13)</f>
        <v>6.9701000000000004</v>
      </c>
      <c r="D458" s="63">
        <f>6.9701 * CHOOSE(CONTROL!$C$22, $C$13, 100%, $E$13)</f>
        <v>6.9701000000000004</v>
      </c>
      <c r="E458" s="64">
        <f>8.2966 * CHOOSE(CONTROL!$C$22, $C$13, 100%, $E$13)</f>
        <v>8.2965999999999998</v>
      </c>
      <c r="F458" s="64">
        <f>8.2966 * CHOOSE(CONTROL!$C$22, $C$13, 100%, $E$13)</f>
        <v>8.2965999999999998</v>
      </c>
      <c r="G458" s="64">
        <f>8.2967 * CHOOSE(CONTROL!$C$22, $C$13, 100%, $E$13)</f>
        <v>8.2966999999999995</v>
      </c>
      <c r="H458" s="64">
        <f>13.403* CHOOSE(CONTROL!$C$22, $C$13, 100%, $E$13)</f>
        <v>13.403</v>
      </c>
      <c r="I458" s="64">
        <f>13.403 * CHOOSE(CONTROL!$C$22, $C$13, 100%, $E$13)</f>
        <v>13.403</v>
      </c>
      <c r="J458" s="64">
        <f>8.2966 * CHOOSE(CONTROL!$C$22, $C$13, 100%, $E$13)</f>
        <v>8.2965999999999998</v>
      </c>
      <c r="K458" s="64">
        <f>8.2967 * CHOOSE(CONTROL!$C$22, $C$13, 100%, $E$13)</f>
        <v>8.2966999999999995</v>
      </c>
    </row>
    <row r="459" spans="1:11" ht="15">
      <c r="A459" s="13">
        <v>55458</v>
      </c>
      <c r="B459" s="63">
        <f>6.9731 * CHOOSE(CONTROL!$C$22, $C$13, 100%, $E$13)</f>
        <v>6.9730999999999996</v>
      </c>
      <c r="C459" s="63">
        <f>6.9731 * CHOOSE(CONTROL!$C$22, $C$13, 100%, $E$13)</f>
        <v>6.9730999999999996</v>
      </c>
      <c r="D459" s="63">
        <f>6.9731 * CHOOSE(CONTROL!$C$22, $C$13, 100%, $E$13)</f>
        <v>6.9730999999999996</v>
      </c>
      <c r="E459" s="64">
        <f>8.327 * CHOOSE(CONTROL!$C$22, $C$13, 100%, $E$13)</f>
        <v>8.327</v>
      </c>
      <c r="F459" s="64">
        <f>8.327 * CHOOSE(CONTROL!$C$22, $C$13, 100%, $E$13)</f>
        <v>8.327</v>
      </c>
      <c r="G459" s="64">
        <f>8.3271 * CHOOSE(CONTROL!$C$22, $C$13, 100%, $E$13)</f>
        <v>8.3270999999999997</v>
      </c>
      <c r="H459" s="64">
        <f>13.4309* CHOOSE(CONTROL!$C$22, $C$13, 100%, $E$13)</f>
        <v>13.430899999999999</v>
      </c>
      <c r="I459" s="64">
        <f>13.431 * CHOOSE(CONTROL!$C$22, $C$13, 100%, $E$13)</f>
        <v>13.430999999999999</v>
      </c>
      <c r="J459" s="64">
        <f>8.327 * CHOOSE(CONTROL!$C$22, $C$13, 100%, $E$13)</f>
        <v>8.327</v>
      </c>
      <c r="K459" s="64">
        <f>8.3271 * CHOOSE(CONTROL!$C$22, $C$13, 100%, $E$13)</f>
        <v>8.3270999999999997</v>
      </c>
    </row>
    <row r="460" spans="1:11" ht="15">
      <c r="A460" s="13">
        <v>55488</v>
      </c>
      <c r="B460" s="63">
        <f>6.9731 * CHOOSE(CONTROL!$C$22, $C$13, 100%, $E$13)</f>
        <v>6.9730999999999996</v>
      </c>
      <c r="C460" s="63">
        <f>6.9731 * CHOOSE(CONTROL!$C$22, $C$13, 100%, $E$13)</f>
        <v>6.9730999999999996</v>
      </c>
      <c r="D460" s="63">
        <f>6.9731 * CHOOSE(CONTROL!$C$22, $C$13, 100%, $E$13)</f>
        <v>6.9730999999999996</v>
      </c>
      <c r="E460" s="64">
        <f>8.2564 * CHOOSE(CONTROL!$C$22, $C$13, 100%, $E$13)</f>
        <v>8.2563999999999993</v>
      </c>
      <c r="F460" s="64">
        <f>8.2564 * CHOOSE(CONTROL!$C$22, $C$13, 100%, $E$13)</f>
        <v>8.2563999999999993</v>
      </c>
      <c r="G460" s="64">
        <f>8.2565 * CHOOSE(CONTROL!$C$22, $C$13, 100%, $E$13)</f>
        <v>8.2565000000000008</v>
      </c>
      <c r="H460" s="64">
        <f>13.4589* CHOOSE(CONTROL!$C$22, $C$13, 100%, $E$13)</f>
        <v>13.4589</v>
      </c>
      <c r="I460" s="64">
        <f>13.4589 * CHOOSE(CONTROL!$C$22, $C$13, 100%, $E$13)</f>
        <v>13.4589</v>
      </c>
      <c r="J460" s="64">
        <f>8.2564 * CHOOSE(CONTROL!$C$22, $C$13, 100%, $E$13)</f>
        <v>8.2563999999999993</v>
      </c>
      <c r="K460" s="64">
        <f>8.2565 * CHOOSE(CONTROL!$C$22, $C$13, 100%, $E$13)</f>
        <v>8.2565000000000008</v>
      </c>
    </row>
    <row r="461" spans="1:11" ht="15">
      <c r="A461" s="13">
        <v>55519</v>
      </c>
      <c r="B461" s="63">
        <f>7.0335 * CHOOSE(CONTROL!$C$22, $C$13, 100%, $E$13)</f>
        <v>7.0335000000000001</v>
      </c>
      <c r="C461" s="63">
        <f>7.0335 * CHOOSE(CONTROL!$C$22, $C$13, 100%, $E$13)</f>
        <v>7.0335000000000001</v>
      </c>
      <c r="D461" s="63">
        <f>7.0335 * CHOOSE(CONTROL!$C$22, $C$13, 100%, $E$13)</f>
        <v>7.0335000000000001</v>
      </c>
      <c r="E461" s="64">
        <f>8.3746 * CHOOSE(CONTROL!$C$22, $C$13, 100%, $E$13)</f>
        <v>8.3745999999999992</v>
      </c>
      <c r="F461" s="64">
        <f>8.3746 * CHOOSE(CONTROL!$C$22, $C$13, 100%, $E$13)</f>
        <v>8.3745999999999992</v>
      </c>
      <c r="G461" s="64">
        <f>8.3747 * CHOOSE(CONTROL!$C$22, $C$13, 100%, $E$13)</f>
        <v>8.3747000000000007</v>
      </c>
      <c r="H461" s="64">
        <f>13.4869* CHOOSE(CONTROL!$C$22, $C$13, 100%, $E$13)</f>
        <v>13.4869</v>
      </c>
      <c r="I461" s="64">
        <f>13.487 * CHOOSE(CONTROL!$C$22, $C$13, 100%, $E$13)</f>
        <v>13.487</v>
      </c>
      <c r="J461" s="64">
        <f>8.3746 * CHOOSE(CONTROL!$C$22, $C$13, 100%, $E$13)</f>
        <v>8.3745999999999992</v>
      </c>
      <c r="K461" s="64">
        <f>8.3747 * CHOOSE(CONTROL!$C$22, $C$13, 100%, $E$13)</f>
        <v>8.3747000000000007</v>
      </c>
    </row>
    <row r="462" spans="1:11" ht="15">
      <c r="A462" s="13">
        <v>55550</v>
      </c>
      <c r="B462" s="63">
        <f>7.0305 * CHOOSE(CONTROL!$C$22, $C$13, 100%, $E$13)</f>
        <v>7.0305</v>
      </c>
      <c r="C462" s="63">
        <f>7.0305 * CHOOSE(CONTROL!$C$22, $C$13, 100%, $E$13)</f>
        <v>7.0305</v>
      </c>
      <c r="D462" s="63">
        <f>7.0305 * CHOOSE(CONTROL!$C$22, $C$13, 100%, $E$13)</f>
        <v>7.0305</v>
      </c>
      <c r="E462" s="64">
        <f>8.2353 * CHOOSE(CONTROL!$C$22, $C$13, 100%, $E$13)</f>
        <v>8.2353000000000005</v>
      </c>
      <c r="F462" s="64">
        <f>8.2353 * CHOOSE(CONTROL!$C$22, $C$13, 100%, $E$13)</f>
        <v>8.2353000000000005</v>
      </c>
      <c r="G462" s="64">
        <f>8.2354 * CHOOSE(CONTROL!$C$22, $C$13, 100%, $E$13)</f>
        <v>8.2354000000000003</v>
      </c>
      <c r="H462" s="64">
        <f>13.515* CHOOSE(CONTROL!$C$22, $C$13, 100%, $E$13)</f>
        <v>13.515000000000001</v>
      </c>
      <c r="I462" s="64">
        <f>13.5151 * CHOOSE(CONTROL!$C$22, $C$13, 100%, $E$13)</f>
        <v>13.5151</v>
      </c>
      <c r="J462" s="64">
        <f>8.2353 * CHOOSE(CONTROL!$C$22, $C$13, 100%, $E$13)</f>
        <v>8.2353000000000005</v>
      </c>
      <c r="K462" s="64">
        <f>8.2354 * CHOOSE(CONTROL!$C$22, $C$13, 100%, $E$13)</f>
        <v>8.2354000000000003</v>
      </c>
    </row>
    <row r="463" spans="1:11" ht="15">
      <c r="A463" s="13">
        <v>55579</v>
      </c>
      <c r="B463" s="63">
        <f>7.0274 * CHOOSE(CONTROL!$C$22, $C$13, 100%, $E$13)</f>
        <v>7.0274000000000001</v>
      </c>
      <c r="C463" s="63">
        <f>7.0274 * CHOOSE(CONTROL!$C$22, $C$13, 100%, $E$13)</f>
        <v>7.0274000000000001</v>
      </c>
      <c r="D463" s="63">
        <f>7.0274 * CHOOSE(CONTROL!$C$22, $C$13, 100%, $E$13)</f>
        <v>7.0274000000000001</v>
      </c>
      <c r="E463" s="64">
        <f>8.3413 * CHOOSE(CONTROL!$C$22, $C$13, 100%, $E$13)</f>
        <v>8.3413000000000004</v>
      </c>
      <c r="F463" s="64">
        <f>8.3413 * CHOOSE(CONTROL!$C$22, $C$13, 100%, $E$13)</f>
        <v>8.3413000000000004</v>
      </c>
      <c r="G463" s="64">
        <f>8.3414 * CHOOSE(CONTROL!$C$22, $C$13, 100%, $E$13)</f>
        <v>8.3414000000000001</v>
      </c>
      <c r="H463" s="64">
        <f>13.5432* CHOOSE(CONTROL!$C$22, $C$13, 100%, $E$13)</f>
        <v>13.543200000000001</v>
      </c>
      <c r="I463" s="64">
        <f>13.5432 * CHOOSE(CONTROL!$C$22, $C$13, 100%, $E$13)</f>
        <v>13.543200000000001</v>
      </c>
      <c r="J463" s="64">
        <f>8.3413 * CHOOSE(CONTROL!$C$22, $C$13, 100%, $E$13)</f>
        <v>8.3413000000000004</v>
      </c>
      <c r="K463" s="64">
        <f>8.3414 * CHOOSE(CONTROL!$C$22, $C$13, 100%, $E$13)</f>
        <v>8.3414000000000001</v>
      </c>
    </row>
    <row r="464" spans="1:11" ht="15">
      <c r="A464" s="13">
        <v>55610</v>
      </c>
      <c r="B464" s="63">
        <f>7.0277 * CHOOSE(CONTROL!$C$22, $C$13, 100%, $E$13)</f>
        <v>7.0277000000000003</v>
      </c>
      <c r="C464" s="63">
        <f>7.0277 * CHOOSE(CONTROL!$C$22, $C$13, 100%, $E$13)</f>
        <v>7.0277000000000003</v>
      </c>
      <c r="D464" s="63">
        <f>7.0277 * CHOOSE(CONTROL!$C$22, $C$13, 100%, $E$13)</f>
        <v>7.0277000000000003</v>
      </c>
      <c r="E464" s="64">
        <f>8.4532 * CHOOSE(CONTROL!$C$22, $C$13, 100%, $E$13)</f>
        <v>8.4532000000000007</v>
      </c>
      <c r="F464" s="64">
        <f>8.4532 * CHOOSE(CONTROL!$C$22, $C$13, 100%, $E$13)</f>
        <v>8.4532000000000007</v>
      </c>
      <c r="G464" s="64">
        <f>8.4533 * CHOOSE(CONTROL!$C$22, $C$13, 100%, $E$13)</f>
        <v>8.4533000000000005</v>
      </c>
      <c r="H464" s="64">
        <f>13.5714* CHOOSE(CONTROL!$C$22, $C$13, 100%, $E$13)</f>
        <v>13.571400000000001</v>
      </c>
      <c r="I464" s="64">
        <f>13.5715 * CHOOSE(CONTROL!$C$22, $C$13, 100%, $E$13)</f>
        <v>13.5715</v>
      </c>
      <c r="J464" s="64">
        <f>8.4532 * CHOOSE(CONTROL!$C$22, $C$13, 100%, $E$13)</f>
        <v>8.4532000000000007</v>
      </c>
      <c r="K464" s="64">
        <f>8.4533 * CHOOSE(CONTROL!$C$22, $C$13, 100%, $E$13)</f>
        <v>8.4533000000000005</v>
      </c>
    </row>
    <row r="465" spans="1:11" ht="15">
      <c r="A465" s="13">
        <v>55640</v>
      </c>
      <c r="B465" s="63">
        <f>7.0277 * CHOOSE(CONTROL!$C$22, $C$13, 100%, $E$13)</f>
        <v>7.0277000000000003</v>
      </c>
      <c r="C465" s="63">
        <f>7.0277 * CHOOSE(CONTROL!$C$22, $C$13, 100%, $E$13)</f>
        <v>7.0277000000000003</v>
      </c>
      <c r="D465" s="63">
        <f>7.0407 * CHOOSE(CONTROL!$C$22, $C$13, 100%, $E$13)</f>
        <v>7.0407000000000002</v>
      </c>
      <c r="E465" s="64">
        <f>8.4967 * CHOOSE(CONTROL!$C$22, $C$13, 100%, $E$13)</f>
        <v>8.4967000000000006</v>
      </c>
      <c r="F465" s="64">
        <f>8.4967 * CHOOSE(CONTROL!$C$22, $C$13, 100%, $E$13)</f>
        <v>8.4967000000000006</v>
      </c>
      <c r="G465" s="64">
        <f>8.5124 * CHOOSE(CONTROL!$C$22, $C$13, 100%, $E$13)</f>
        <v>8.5123999999999995</v>
      </c>
      <c r="H465" s="64">
        <f>13.5996* CHOOSE(CONTROL!$C$22, $C$13, 100%, $E$13)</f>
        <v>13.599600000000001</v>
      </c>
      <c r="I465" s="64">
        <f>13.6153 * CHOOSE(CONTROL!$C$22, $C$13, 100%, $E$13)</f>
        <v>13.6153</v>
      </c>
      <c r="J465" s="64">
        <f>8.4967 * CHOOSE(CONTROL!$C$22, $C$13, 100%, $E$13)</f>
        <v>8.4967000000000006</v>
      </c>
      <c r="K465" s="64">
        <f>8.5124 * CHOOSE(CONTROL!$C$22, $C$13, 100%, $E$13)</f>
        <v>8.5123999999999995</v>
      </c>
    </row>
    <row r="466" spans="1:11" ht="15">
      <c r="A466" s="13">
        <v>55671</v>
      </c>
      <c r="B466" s="63">
        <f>7.0338 * CHOOSE(CONTROL!$C$22, $C$13, 100%, $E$13)</f>
        <v>7.0338000000000003</v>
      </c>
      <c r="C466" s="63">
        <f>7.0338 * CHOOSE(CONTROL!$C$22, $C$13, 100%, $E$13)</f>
        <v>7.0338000000000003</v>
      </c>
      <c r="D466" s="63">
        <f>7.0467 * CHOOSE(CONTROL!$C$22, $C$13, 100%, $E$13)</f>
        <v>7.0467000000000004</v>
      </c>
      <c r="E466" s="64">
        <f>8.4574 * CHOOSE(CONTROL!$C$22, $C$13, 100%, $E$13)</f>
        <v>8.4573999999999998</v>
      </c>
      <c r="F466" s="64">
        <f>8.4574 * CHOOSE(CONTROL!$C$22, $C$13, 100%, $E$13)</f>
        <v>8.4573999999999998</v>
      </c>
      <c r="G466" s="64">
        <f>8.4731 * CHOOSE(CONTROL!$C$22, $C$13, 100%, $E$13)</f>
        <v>8.4731000000000005</v>
      </c>
      <c r="H466" s="64">
        <f>13.628* CHOOSE(CONTROL!$C$22, $C$13, 100%, $E$13)</f>
        <v>13.628</v>
      </c>
      <c r="I466" s="64">
        <f>13.6437 * CHOOSE(CONTROL!$C$22, $C$13, 100%, $E$13)</f>
        <v>13.643700000000001</v>
      </c>
      <c r="J466" s="64">
        <f>8.4574 * CHOOSE(CONTROL!$C$22, $C$13, 100%, $E$13)</f>
        <v>8.4573999999999998</v>
      </c>
      <c r="K466" s="64">
        <f>8.4731 * CHOOSE(CONTROL!$C$22, $C$13, 100%, $E$13)</f>
        <v>8.4731000000000005</v>
      </c>
    </row>
    <row r="467" spans="1:11" ht="15">
      <c r="A467" s="13">
        <v>55701</v>
      </c>
      <c r="B467" s="63">
        <f>7.1454 * CHOOSE(CONTROL!$C$22, $C$13, 100%, $E$13)</f>
        <v>7.1454000000000004</v>
      </c>
      <c r="C467" s="63">
        <f>7.1454 * CHOOSE(CONTROL!$C$22, $C$13, 100%, $E$13)</f>
        <v>7.1454000000000004</v>
      </c>
      <c r="D467" s="63">
        <f>7.1583 * CHOOSE(CONTROL!$C$22, $C$13, 100%, $E$13)</f>
        <v>7.1582999999999997</v>
      </c>
      <c r="E467" s="64">
        <f>8.5975 * CHOOSE(CONTROL!$C$22, $C$13, 100%, $E$13)</f>
        <v>8.5975000000000001</v>
      </c>
      <c r="F467" s="64">
        <f>8.5975 * CHOOSE(CONTROL!$C$22, $C$13, 100%, $E$13)</f>
        <v>8.5975000000000001</v>
      </c>
      <c r="G467" s="64">
        <f>8.6132 * CHOOSE(CONTROL!$C$22, $C$13, 100%, $E$13)</f>
        <v>8.6132000000000009</v>
      </c>
      <c r="H467" s="64">
        <f>13.6564* CHOOSE(CONTROL!$C$22, $C$13, 100%, $E$13)</f>
        <v>13.6564</v>
      </c>
      <c r="I467" s="64">
        <f>13.672 * CHOOSE(CONTROL!$C$22, $C$13, 100%, $E$13)</f>
        <v>13.672000000000001</v>
      </c>
      <c r="J467" s="64">
        <f>8.5975 * CHOOSE(CONTROL!$C$22, $C$13, 100%, $E$13)</f>
        <v>8.5975000000000001</v>
      </c>
      <c r="K467" s="64">
        <f>8.6132 * CHOOSE(CONTROL!$C$22, $C$13, 100%, $E$13)</f>
        <v>8.6132000000000009</v>
      </c>
    </row>
    <row r="468" spans="1:11" ht="15">
      <c r="A468" s="13">
        <v>55732</v>
      </c>
      <c r="B468" s="63">
        <f>7.1521 * CHOOSE(CONTROL!$C$22, $C$13, 100%, $E$13)</f>
        <v>7.1520999999999999</v>
      </c>
      <c r="C468" s="63">
        <f>7.1521 * CHOOSE(CONTROL!$C$22, $C$13, 100%, $E$13)</f>
        <v>7.1520999999999999</v>
      </c>
      <c r="D468" s="63">
        <f>7.165 * CHOOSE(CONTROL!$C$22, $C$13, 100%, $E$13)</f>
        <v>7.165</v>
      </c>
      <c r="E468" s="64">
        <f>8.4715 * CHOOSE(CONTROL!$C$22, $C$13, 100%, $E$13)</f>
        <v>8.4715000000000007</v>
      </c>
      <c r="F468" s="64">
        <f>8.4715 * CHOOSE(CONTROL!$C$22, $C$13, 100%, $E$13)</f>
        <v>8.4715000000000007</v>
      </c>
      <c r="G468" s="64">
        <f>8.4872 * CHOOSE(CONTROL!$C$22, $C$13, 100%, $E$13)</f>
        <v>8.4871999999999996</v>
      </c>
      <c r="H468" s="64">
        <f>13.6848* CHOOSE(CONTROL!$C$22, $C$13, 100%, $E$13)</f>
        <v>13.684799999999999</v>
      </c>
      <c r="I468" s="64">
        <f>13.7005 * CHOOSE(CONTROL!$C$22, $C$13, 100%, $E$13)</f>
        <v>13.7005</v>
      </c>
      <c r="J468" s="64">
        <f>8.4715 * CHOOSE(CONTROL!$C$22, $C$13, 100%, $E$13)</f>
        <v>8.4715000000000007</v>
      </c>
      <c r="K468" s="64">
        <f>8.4872 * CHOOSE(CONTROL!$C$22, $C$13, 100%, $E$13)</f>
        <v>8.4871999999999996</v>
      </c>
    </row>
    <row r="469" spans="1:11" ht="15">
      <c r="A469" s="13">
        <v>55763</v>
      </c>
      <c r="B469" s="63">
        <f>7.149 * CHOOSE(CONTROL!$C$22, $C$13, 100%, $E$13)</f>
        <v>7.149</v>
      </c>
      <c r="C469" s="63">
        <f>7.149 * CHOOSE(CONTROL!$C$22, $C$13, 100%, $E$13)</f>
        <v>7.149</v>
      </c>
      <c r="D469" s="63">
        <f>7.162 * CHOOSE(CONTROL!$C$22, $C$13, 100%, $E$13)</f>
        <v>7.1619999999999999</v>
      </c>
      <c r="E469" s="64">
        <f>8.4549 * CHOOSE(CONTROL!$C$22, $C$13, 100%, $E$13)</f>
        <v>8.4549000000000003</v>
      </c>
      <c r="F469" s="64">
        <f>8.4549 * CHOOSE(CONTROL!$C$22, $C$13, 100%, $E$13)</f>
        <v>8.4549000000000003</v>
      </c>
      <c r="G469" s="64">
        <f>8.4706 * CHOOSE(CONTROL!$C$22, $C$13, 100%, $E$13)</f>
        <v>8.4705999999999992</v>
      </c>
      <c r="H469" s="64">
        <f>13.7133* CHOOSE(CONTROL!$C$22, $C$13, 100%, $E$13)</f>
        <v>13.7133</v>
      </c>
      <c r="I469" s="64">
        <f>13.729 * CHOOSE(CONTROL!$C$22, $C$13, 100%, $E$13)</f>
        <v>13.728999999999999</v>
      </c>
      <c r="J469" s="64">
        <f>8.4549 * CHOOSE(CONTROL!$C$22, $C$13, 100%, $E$13)</f>
        <v>8.4549000000000003</v>
      </c>
      <c r="K469" s="64">
        <f>8.4706 * CHOOSE(CONTROL!$C$22, $C$13, 100%, $E$13)</f>
        <v>8.4705999999999992</v>
      </c>
    </row>
    <row r="470" spans="1:11" ht="15">
      <c r="A470" s="13">
        <v>55793</v>
      </c>
      <c r="B470" s="63">
        <f>7.1545 * CHOOSE(CONTROL!$C$22, $C$13, 100%, $E$13)</f>
        <v>7.1544999999999996</v>
      </c>
      <c r="C470" s="63">
        <f>7.1545 * CHOOSE(CONTROL!$C$22, $C$13, 100%, $E$13)</f>
        <v>7.1544999999999996</v>
      </c>
      <c r="D470" s="63">
        <f>7.1545 * CHOOSE(CONTROL!$C$22, $C$13, 100%, $E$13)</f>
        <v>7.1544999999999996</v>
      </c>
      <c r="E470" s="64">
        <f>8.4995 * CHOOSE(CONTROL!$C$22, $C$13, 100%, $E$13)</f>
        <v>8.4994999999999994</v>
      </c>
      <c r="F470" s="64">
        <f>8.4995 * CHOOSE(CONTROL!$C$22, $C$13, 100%, $E$13)</f>
        <v>8.4994999999999994</v>
      </c>
      <c r="G470" s="64">
        <f>8.4996 * CHOOSE(CONTROL!$C$22, $C$13, 100%, $E$13)</f>
        <v>8.4995999999999992</v>
      </c>
      <c r="H470" s="64">
        <f>13.7419* CHOOSE(CONTROL!$C$22, $C$13, 100%, $E$13)</f>
        <v>13.741899999999999</v>
      </c>
      <c r="I470" s="64">
        <f>13.742 * CHOOSE(CONTROL!$C$22, $C$13, 100%, $E$13)</f>
        <v>13.742000000000001</v>
      </c>
      <c r="J470" s="64">
        <f>8.4995 * CHOOSE(CONTROL!$C$22, $C$13, 100%, $E$13)</f>
        <v>8.4994999999999994</v>
      </c>
      <c r="K470" s="64">
        <f>8.4996 * CHOOSE(CONTROL!$C$22, $C$13, 100%, $E$13)</f>
        <v>8.4995999999999992</v>
      </c>
    </row>
    <row r="471" spans="1:11" ht="15">
      <c r="A471" s="13">
        <v>55824</v>
      </c>
      <c r="B471" s="63">
        <f>7.1575 * CHOOSE(CONTROL!$C$22, $C$13, 100%, $E$13)</f>
        <v>7.1574999999999998</v>
      </c>
      <c r="C471" s="63">
        <f>7.1575 * CHOOSE(CONTROL!$C$22, $C$13, 100%, $E$13)</f>
        <v>7.1574999999999998</v>
      </c>
      <c r="D471" s="63">
        <f>7.1575 * CHOOSE(CONTROL!$C$22, $C$13, 100%, $E$13)</f>
        <v>7.1574999999999998</v>
      </c>
      <c r="E471" s="64">
        <f>8.5307 * CHOOSE(CONTROL!$C$22, $C$13, 100%, $E$13)</f>
        <v>8.5306999999999995</v>
      </c>
      <c r="F471" s="64">
        <f>8.5307 * CHOOSE(CONTROL!$C$22, $C$13, 100%, $E$13)</f>
        <v>8.5306999999999995</v>
      </c>
      <c r="G471" s="64">
        <f>8.5308 * CHOOSE(CONTROL!$C$22, $C$13, 100%, $E$13)</f>
        <v>8.5307999999999993</v>
      </c>
      <c r="H471" s="64">
        <f>13.7705* CHOOSE(CONTROL!$C$22, $C$13, 100%, $E$13)</f>
        <v>13.7705</v>
      </c>
      <c r="I471" s="64">
        <f>13.7706 * CHOOSE(CONTROL!$C$22, $C$13, 100%, $E$13)</f>
        <v>13.7706</v>
      </c>
      <c r="J471" s="64">
        <f>8.5307 * CHOOSE(CONTROL!$C$22, $C$13, 100%, $E$13)</f>
        <v>8.5306999999999995</v>
      </c>
      <c r="K471" s="64">
        <f>8.5308 * CHOOSE(CONTROL!$C$22, $C$13, 100%, $E$13)</f>
        <v>8.5307999999999993</v>
      </c>
    </row>
    <row r="472" spans="1:11" ht="15">
      <c r="A472" s="13">
        <v>55854</v>
      </c>
      <c r="B472" s="63">
        <f>7.1575 * CHOOSE(CONTROL!$C$22, $C$13, 100%, $E$13)</f>
        <v>7.1574999999999998</v>
      </c>
      <c r="C472" s="63">
        <f>7.1575 * CHOOSE(CONTROL!$C$22, $C$13, 100%, $E$13)</f>
        <v>7.1574999999999998</v>
      </c>
      <c r="D472" s="63">
        <f>7.1575 * CHOOSE(CONTROL!$C$22, $C$13, 100%, $E$13)</f>
        <v>7.1574999999999998</v>
      </c>
      <c r="E472" s="64">
        <f>8.4581 * CHOOSE(CONTROL!$C$22, $C$13, 100%, $E$13)</f>
        <v>8.4581</v>
      </c>
      <c r="F472" s="64">
        <f>8.4581 * CHOOSE(CONTROL!$C$22, $C$13, 100%, $E$13)</f>
        <v>8.4581</v>
      </c>
      <c r="G472" s="64">
        <f>8.4582 * CHOOSE(CONTROL!$C$22, $C$13, 100%, $E$13)</f>
        <v>8.4581999999999997</v>
      </c>
      <c r="H472" s="64">
        <f>13.7992* CHOOSE(CONTROL!$C$22, $C$13, 100%, $E$13)</f>
        <v>13.799200000000001</v>
      </c>
      <c r="I472" s="64">
        <f>13.7993 * CHOOSE(CONTROL!$C$22, $C$13, 100%, $E$13)</f>
        <v>13.799300000000001</v>
      </c>
      <c r="J472" s="64">
        <f>8.4581 * CHOOSE(CONTROL!$C$22, $C$13, 100%, $E$13)</f>
        <v>8.4581</v>
      </c>
      <c r="K472" s="64">
        <f>8.4582 * CHOOSE(CONTROL!$C$22, $C$13, 100%, $E$13)</f>
        <v>8.4581999999999997</v>
      </c>
    </row>
    <row r="473" spans="1:11" ht="15">
      <c r="A473" s="13">
        <v>55885</v>
      </c>
      <c r="B473" s="63">
        <f>7.2193 * CHOOSE(CONTROL!$C$22, $C$13, 100%, $E$13)</f>
        <v>7.2192999999999996</v>
      </c>
      <c r="C473" s="63">
        <f>7.2193 * CHOOSE(CONTROL!$C$22, $C$13, 100%, $E$13)</f>
        <v>7.2192999999999996</v>
      </c>
      <c r="D473" s="63">
        <f>7.2194 * CHOOSE(CONTROL!$C$22, $C$13, 100%, $E$13)</f>
        <v>7.2194000000000003</v>
      </c>
      <c r="E473" s="64">
        <f>8.5793 * CHOOSE(CONTROL!$C$22, $C$13, 100%, $E$13)</f>
        <v>8.5792999999999999</v>
      </c>
      <c r="F473" s="64">
        <f>8.5793 * CHOOSE(CONTROL!$C$22, $C$13, 100%, $E$13)</f>
        <v>8.5792999999999999</v>
      </c>
      <c r="G473" s="64">
        <f>8.5794 * CHOOSE(CONTROL!$C$22, $C$13, 100%, $E$13)</f>
        <v>8.5793999999999997</v>
      </c>
      <c r="H473" s="64">
        <f>13.828* CHOOSE(CONTROL!$C$22, $C$13, 100%, $E$13)</f>
        <v>13.827999999999999</v>
      </c>
      <c r="I473" s="64">
        <f>13.828 * CHOOSE(CONTROL!$C$22, $C$13, 100%, $E$13)</f>
        <v>13.827999999999999</v>
      </c>
      <c r="J473" s="64">
        <f>8.5793 * CHOOSE(CONTROL!$C$22, $C$13, 100%, $E$13)</f>
        <v>8.5792999999999999</v>
      </c>
      <c r="K473" s="64">
        <f>8.5794 * CHOOSE(CONTROL!$C$22, $C$13, 100%, $E$13)</f>
        <v>8.5793999999999997</v>
      </c>
    </row>
    <row r="474" spans="1:11" ht="15">
      <c r="A474" s="13">
        <v>55916</v>
      </c>
      <c r="B474" s="63">
        <f>7.2163 * CHOOSE(CONTROL!$C$22, $C$13, 100%, $E$13)</f>
        <v>7.2163000000000004</v>
      </c>
      <c r="C474" s="63">
        <f>7.2163 * CHOOSE(CONTROL!$C$22, $C$13, 100%, $E$13)</f>
        <v>7.2163000000000004</v>
      </c>
      <c r="D474" s="63">
        <f>7.2163 * CHOOSE(CONTROL!$C$22, $C$13, 100%, $E$13)</f>
        <v>7.2163000000000004</v>
      </c>
      <c r="E474" s="64">
        <f>8.4362 * CHOOSE(CONTROL!$C$22, $C$13, 100%, $E$13)</f>
        <v>8.4361999999999995</v>
      </c>
      <c r="F474" s="64">
        <f>8.4362 * CHOOSE(CONTROL!$C$22, $C$13, 100%, $E$13)</f>
        <v>8.4361999999999995</v>
      </c>
      <c r="G474" s="64">
        <f>8.4363 * CHOOSE(CONTROL!$C$22, $C$13, 100%, $E$13)</f>
        <v>8.4362999999999992</v>
      </c>
      <c r="H474" s="64">
        <f>13.8568* CHOOSE(CONTROL!$C$22, $C$13, 100%, $E$13)</f>
        <v>13.8568</v>
      </c>
      <c r="I474" s="64">
        <f>13.8569 * CHOOSE(CONTROL!$C$22, $C$13, 100%, $E$13)</f>
        <v>13.8569</v>
      </c>
      <c r="J474" s="64">
        <f>8.4362 * CHOOSE(CONTROL!$C$22, $C$13, 100%, $E$13)</f>
        <v>8.4361999999999995</v>
      </c>
      <c r="K474" s="64">
        <f>8.4363 * CHOOSE(CONTROL!$C$22, $C$13, 100%, $E$13)</f>
        <v>8.4362999999999992</v>
      </c>
    </row>
    <row r="475" spans="1:11" ht="15">
      <c r="A475" s="13">
        <v>55944</v>
      </c>
      <c r="B475" s="63">
        <f>7.2133 * CHOOSE(CONTROL!$C$22, $C$13, 100%, $E$13)</f>
        <v>7.2133000000000003</v>
      </c>
      <c r="C475" s="63">
        <f>7.2133 * CHOOSE(CONTROL!$C$22, $C$13, 100%, $E$13)</f>
        <v>7.2133000000000003</v>
      </c>
      <c r="D475" s="63">
        <f>7.2133 * CHOOSE(CONTROL!$C$22, $C$13, 100%, $E$13)</f>
        <v>7.2133000000000003</v>
      </c>
      <c r="E475" s="64">
        <f>8.5452 * CHOOSE(CONTROL!$C$22, $C$13, 100%, $E$13)</f>
        <v>8.5451999999999995</v>
      </c>
      <c r="F475" s="64">
        <f>8.5452 * CHOOSE(CONTROL!$C$22, $C$13, 100%, $E$13)</f>
        <v>8.5451999999999995</v>
      </c>
      <c r="G475" s="64">
        <f>8.5453 * CHOOSE(CONTROL!$C$22, $C$13, 100%, $E$13)</f>
        <v>8.5452999999999992</v>
      </c>
      <c r="H475" s="64">
        <f>13.8856* CHOOSE(CONTROL!$C$22, $C$13, 100%, $E$13)</f>
        <v>13.8856</v>
      </c>
      <c r="I475" s="64">
        <f>13.8857 * CHOOSE(CONTROL!$C$22, $C$13, 100%, $E$13)</f>
        <v>13.8857</v>
      </c>
      <c r="J475" s="64">
        <f>8.5452 * CHOOSE(CONTROL!$C$22, $C$13, 100%, $E$13)</f>
        <v>8.5451999999999995</v>
      </c>
      <c r="K475" s="64">
        <f>8.5453 * CHOOSE(CONTROL!$C$22, $C$13, 100%, $E$13)</f>
        <v>8.5452999999999992</v>
      </c>
    </row>
    <row r="476" spans="1:11" ht="15">
      <c r="A476" s="13">
        <v>55975</v>
      </c>
      <c r="B476" s="63">
        <f>7.2137 * CHOOSE(CONTROL!$C$22, $C$13, 100%, $E$13)</f>
        <v>7.2137000000000002</v>
      </c>
      <c r="C476" s="63">
        <f>7.2137 * CHOOSE(CONTROL!$C$22, $C$13, 100%, $E$13)</f>
        <v>7.2137000000000002</v>
      </c>
      <c r="D476" s="63">
        <f>7.2137 * CHOOSE(CONTROL!$C$22, $C$13, 100%, $E$13)</f>
        <v>7.2137000000000002</v>
      </c>
      <c r="E476" s="64">
        <f>8.6604 * CHOOSE(CONTROL!$C$22, $C$13, 100%, $E$13)</f>
        <v>8.6603999999999992</v>
      </c>
      <c r="F476" s="64">
        <f>8.6604 * CHOOSE(CONTROL!$C$22, $C$13, 100%, $E$13)</f>
        <v>8.6603999999999992</v>
      </c>
      <c r="G476" s="64">
        <f>8.6605 * CHOOSE(CONTROL!$C$22, $C$13, 100%, $E$13)</f>
        <v>8.6605000000000008</v>
      </c>
      <c r="H476" s="64">
        <f>13.9146* CHOOSE(CONTROL!$C$22, $C$13, 100%, $E$13)</f>
        <v>13.9146</v>
      </c>
      <c r="I476" s="64">
        <f>13.9147 * CHOOSE(CONTROL!$C$22, $C$13, 100%, $E$13)</f>
        <v>13.9147</v>
      </c>
      <c r="J476" s="64">
        <f>8.6604 * CHOOSE(CONTROL!$C$22, $C$13, 100%, $E$13)</f>
        <v>8.6603999999999992</v>
      </c>
      <c r="K476" s="64">
        <f>8.6605 * CHOOSE(CONTROL!$C$22, $C$13, 100%, $E$13)</f>
        <v>8.6605000000000008</v>
      </c>
    </row>
    <row r="477" spans="1:11" ht="15">
      <c r="A477" s="13">
        <v>56005</v>
      </c>
      <c r="B477" s="63">
        <f>7.2137 * CHOOSE(CONTROL!$C$22, $C$13, 100%, $E$13)</f>
        <v>7.2137000000000002</v>
      </c>
      <c r="C477" s="63">
        <f>7.2137 * CHOOSE(CONTROL!$C$22, $C$13, 100%, $E$13)</f>
        <v>7.2137000000000002</v>
      </c>
      <c r="D477" s="63">
        <f>7.2266 * CHOOSE(CONTROL!$C$22, $C$13, 100%, $E$13)</f>
        <v>7.2266000000000004</v>
      </c>
      <c r="E477" s="64">
        <f>8.7051 * CHOOSE(CONTROL!$C$22, $C$13, 100%, $E$13)</f>
        <v>8.7050999999999998</v>
      </c>
      <c r="F477" s="64">
        <f>8.7051 * CHOOSE(CONTROL!$C$22, $C$13, 100%, $E$13)</f>
        <v>8.7050999999999998</v>
      </c>
      <c r="G477" s="64">
        <f>8.7208 * CHOOSE(CONTROL!$C$22, $C$13, 100%, $E$13)</f>
        <v>8.7208000000000006</v>
      </c>
      <c r="H477" s="64">
        <f>13.9436* CHOOSE(CONTROL!$C$22, $C$13, 100%, $E$13)</f>
        <v>13.9436</v>
      </c>
      <c r="I477" s="64">
        <f>13.9592 * CHOOSE(CONTROL!$C$22, $C$13, 100%, $E$13)</f>
        <v>13.959199999999999</v>
      </c>
      <c r="J477" s="64">
        <f>8.7051 * CHOOSE(CONTROL!$C$22, $C$13, 100%, $E$13)</f>
        <v>8.7050999999999998</v>
      </c>
      <c r="K477" s="64">
        <f>8.7208 * CHOOSE(CONTROL!$C$22, $C$13, 100%, $E$13)</f>
        <v>8.7208000000000006</v>
      </c>
    </row>
    <row r="478" spans="1:11" ht="15">
      <c r="A478" s="13">
        <v>56036</v>
      </c>
      <c r="B478" s="63">
        <f>7.2198 * CHOOSE(CONTROL!$C$22, $C$13, 100%, $E$13)</f>
        <v>7.2198000000000002</v>
      </c>
      <c r="C478" s="63">
        <f>7.2198 * CHOOSE(CONTROL!$C$22, $C$13, 100%, $E$13)</f>
        <v>7.2198000000000002</v>
      </c>
      <c r="D478" s="63">
        <f>7.2327 * CHOOSE(CONTROL!$C$22, $C$13, 100%, $E$13)</f>
        <v>7.2327000000000004</v>
      </c>
      <c r="E478" s="64">
        <f>8.6646 * CHOOSE(CONTROL!$C$22, $C$13, 100%, $E$13)</f>
        <v>8.6646000000000001</v>
      </c>
      <c r="F478" s="64">
        <f>8.6646 * CHOOSE(CONTROL!$C$22, $C$13, 100%, $E$13)</f>
        <v>8.6646000000000001</v>
      </c>
      <c r="G478" s="64">
        <f>8.6803 * CHOOSE(CONTROL!$C$22, $C$13, 100%, $E$13)</f>
        <v>8.6803000000000008</v>
      </c>
      <c r="H478" s="64">
        <f>13.9726* CHOOSE(CONTROL!$C$22, $C$13, 100%, $E$13)</f>
        <v>13.9726</v>
      </c>
      <c r="I478" s="64">
        <f>13.9883 * CHOOSE(CONTROL!$C$22, $C$13, 100%, $E$13)</f>
        <v>13.988300000000001</v>
      </c>
      <c r="J478" s="64">
        <f>8.6646 * CHOOSE(CONTROL!$C$22, $C$13, 100%, $E$13)</f>
        <v>8.6646000000000001</v>
      </c>
      <c r="K478" s="64">
        <f>8.6803 * CHOOSE(CONTROL!$C$22, $C$13, 100%, $E$13)</f>
        <v>8.6803000000000008</v>
      </c>
    </row>
    <row r="479" spans="1:11" ht="15">
      <c r="A479" s="13">
        <v>56066</v>
      </c>
      <c r="B479" s="63">
        <f>7.334 * CHOOSE(CONTROL!$C$22, $C$13, 100%, $E$13)</f>
        <v>7.3339999999999996</v>
      </c>
      <c r="C479" s="63">
        <f>7.334 * CHOOSE(CONTROL!$C$22, $C$13, 100%, $E$13)</f>
        <v>7.3339999999999996</v>
      </c>
      <c r="D479" s="63">
        <f>7.347 * CHOOSE(CONTROL!$C$22, $C$13, 100%, $E$13)</f>
        <v>7.3470000000000004</v>
      </c>
      <c r="E479" s="64">
        <f>8.8078 * CHOOSE(CONTROL!$C$22, $C$13, 100%, $E$13)</f>
        <v>8.8078000000000003</v>
      </c>
      <c r="F479" s="64">
        <f>8.8078 * CHOOSE(CONTROL!$C$22, $C$13, 100%, $E$13)</f>
        <v>8.8078000000000003</v>
      </c>
      <c r="G479" s="64">
        <f>8.8235 * CHOOSE(CONTROL!$C$22, $C$13, 100%, $E$13)</f>
        <v>8.8234999999999992</v>
      </c>
      <c r="H479" s="64">
        <f>14.0017* CHOOSE(CONTROL!$C$22, $C$13, 100%, $E$13)</f>
        <v>14.0017</v>
      </c>
      <c r="I479" s="64">
        <f>14.0174 * CHOOSE(CONTROL!$C$22, $C$13, 100%, $E$13)</f>
        <v>14.0174</v>
      </c>
      <c r="J479" s="64">
        <f>8.8078 * CHOOSE(CONTROL!$C$22, $C$13, 100%, $E$13)</f>
        <v>8.8078000000000003</v>
      </c>
      <c r="K479" s="64">
        <f>8.8235 * CHOOSE(CONTROL!$C$22, $C$13, 100%, $E$13)</f>
        <v>8.8234999999999992</v>
      </c>
    </row>
    <row r="480" spans="1:11" ht="15">
      <c r="A480" s="13">
        <v>56097</v>
      </c>
      <c r="B480" s="63">
        <f>7.3407 * CHOOSE(CONTROL!$C$22, $C$13, 100%, $E$13)</f>
        <v>7.3407</v>
      </c>
      <c r="C480" s="63">
        <f>7.3407 * CHOOSE(CONTROL!$C$22, $C$13, 100%, $E$13)</f>
        <v>7.3407</v>
      </c>
      <c r="D480" s="63">
        <f>7.3537 * CHOOSE(CONTROL!$C$22, $C$13, 100%, $E$13)</f>
        <v>7.3536999999999999</v>
      </c>
      <c r="E480" s="64">
        <f>8.6782 * CHOOSE(CONTROL!$C$22, $C$13, 100%, $E$13)</f>
        <v>8.6782000000000004</v>
      </c>
      <c r="F480" s="64">
        <f>8.6782 * CHOOSE(CONTROL!$C$22, $C$13, 100%, $E$13)</f>
        <v>8.6782000000000004</v>
      </c>
      <c r="G480" s="64">
        <f>8.6939 * CHOOSE(CONTROL!$C$22, $C$13, 100%, $E$13)</f>
        <v>8.6938999999999993</v>
      </c>
      <c r="H480" s="64">
        <f>14.0309* CHOOSE(CONTROL!$C$22, $C$13, 100%, $E$13)</f>
        <v>14.030900000000001</v>
      </c>
      <c r="I480" s="64">
        <f>14.0466 * CHOOSE(CONTROL!$C$22, $C$13, 100%, $E$13)</f>
        <v>14.0466</v>
      </c>
      <c r="J480" s="64">
        <f>8.6782 * CHOOSE(CONTROL!$C$22, $C$13, 100%, $E$13)</f>
        <v>8.6782000000000004</v>
      </c>
      <c r="K480" s="64">
        <f>8.6939 * CHOOSE(CONTROL!$C$22, $C$13, 100%, $E$13)</f>
        <v>8.6938999999999993</v>
      </c>
    </row>
    <row r="481" spans="1:11" ht="15">
      <c r="A481" s="13">
        <v>56128</v>
      </c>
      <c r="B481" s="63">
        <f>7.3377 * CHOOSE(CONTROL!$C$22, $C$13, 100%, $E$13)</f>
        <v>7.3376999999999999</v>
      </c>
      <c r="C481" s="63">
        <f>7.3377 * CHOOSE(CONTROL!$C$22, $C$13, 100%, $E$13)</f>
        <v>7.3376999999999999</v>
      </c>
      <c r="D481" s="63">
        <f>7.3507 * CHOOSE(CONTROL!$C$22, $C$13, 100%, $E$13)</f>
        <v>7.3506999999999998</v>
      </c>
      <c r="E481" s="64">
        <f>8.6611 * CHOOSE(CONTROL!$C$22, $C$13, 100%, $E$13)</f>
        <v>8.6610999999999994</v>
      </c>
      <c r="F481" s="64">
        <f>8.6611 * CHOOSE(CONTROL!$C$22, $C$13, 100%, $E$13)</f>
        <v>8.6610999999999994</v>
      </c>
      <c r="G481" s="64">
        <f>8.6768 * CHOOSE(CONTROL!$C$22, $C$13, 100%, $E$13)</f>
        <v>8.6768000000000001</v>
      </c>
      <c r="H481" s="64">
        <f>14.0601* CHOOSE(CONTROL!$C$22, $C$13, 100%, $E$13)</f>
        <v>14.0601</v>
      </c>
      <c r="I481" s="64">
        <f>14.0758 * CHOOSE(CONTROL!$C$22, $C$13, 100%, $E$13)</f>
        <v>14.075799999999999</v>
      </c>
      <c r="J481" s="64">
        <f>8.6611 * CHOOSE(CONTROL!$C$22, $C$13, 100%, $E$13)</f>
        <v>8.6610999999999994</v>
      </c>
      <c r="K481" s="64">
        <f>8.6768 * CHOOSE(CONTROL!$C$22, $C$13, 100%, $E$13)</f>
        <v>8.6768000000000001</v>
      </c>
    </row>
    <row r="482" spans="1:11" ht="15">
      <c r="A482" s="13">
        <v>56158</v>
      </c>
      <c r="B482" s="63">
        <f>7.3437 * CHOOSE(CONTROL!$C$22, $C$13, 100%, $E$13)</f>
        <v>7.3437000000000001</v>
      </c>
      <c r="C482" s="63">
        <f>7.3437 * CHOOSE(CONTROL!$C$22, $C$13, 100%, $E$13)</f>
        <v>7.3437000000000001</v>
      </c>
      <c r="D482" s="63">
        <f>7.3437 * CHOOSE(CONTROL!$C$22, $C$13, 100%, $E$13)</f>
        <v>7.3437000000000001</v>
      </c>
      <c r="E482" s="64">
        <f>8.7074 * CHOOSE(CONTROL!$C$22, $C$13, 100%, $E$13)</f>
        <v>8.7073999999999998</v>
      </c>
      <c r="F482" s="64">
        <f>8.7074 * CHOOSE(CONTROL!$C$22, $C$13, 100%, $E$13)</f>
        <v>8.7073999999999998</v>
      </c>
      <c r="G482" s="64">
        <f>8.7075 * CHOOSE(CONTROL!$C$22, $C$13, 100%, $E$13)</f>
        <v>8.7074999999999996</v>
      </c>
      <c r="H482" s="64">
        <f>14.0894* CHOOSE(CONTROL!$C$22, $C$13, 100%, $E$13)</f>
        <v>14.089399999999999</v>
      </c>
      <c r="I482" s="64">
        <f>14.0895 * CHOOSE(CONTROL!$C$22, $C$13, 100%, $E$13)</f>
        <v>14.089499999999999</v>
      </c>
      <c r="J482" s="64">
        <f>8.7074 * CHOOSE(CONTROL!$C$22, $C$13, 100%, $E$13)</f>
        <v>8.7073999999999998</v>
      </c>
      <c r="K482" s="64">
        <f>8.7075 * CHOOSE(CONTROL!$C$22, $C$13, 100%, $E$13)</f>
        <v>8.7074999999999996</v>
      </c>
    </row>
    <row r="483" spans="1:11" ht="15">
      <c r="A483" s="13">
        <v>56189</v>
      </c>
      <c r="B483" s="63">
        <f>7.3468 * CHOOSE(CONTROL!$C$22, $C$13, 100%, $E$13)</f>
        <v>7.3468</v>
      </c>
      <c r="C483" s="63">
        <f>7.3468 * CHOOSE(CONTROL!$C$22, $C$13, 100%, $E$13)</f>
        <v>7.3468</v>
      </c>
      <c r="D483" s="63">
        <f>7.3468 * CHOOSE(CONTROL!$C$22, $C$13, 100%, $E$13)</f>
        <v>7.3468</v>
      </c>
      <c r="E483" s="64">
        <f>8.7394 * CHOOSE(CONTROL!$C$22, $C$13, 100%, $E$13)</f>
        <v>8.7393999999999998</v>
      </c>
      <c r="F483" s="64">
        <f>8.7394 * CHOOSE(CONTROL!$C$22, $C$13, 100%, $E$13)</f>
        <v>8.7393999999999998</v>
      </c>
      <c r="G483" s="64">
        <f>8.7395 * CHOOSE(CONTROL!$C$22, $C$13, 100%, $E$13)</f>
        <v>8.7394999999999996</v>
      </c>
      <c r="H483" s="64">
        <f>14.1188* CHOOSE(CONTROL!$C$22, $C$13, 100%, $E$13)</f>
        <v>14.1188</v>
      </c>
      <c r="I483" s="64">
        <f>14.1188 * CHOOSE(CONTROL!$C$22, $C$13, 100%, $E$13)</f>
        <v>14.1188</v>
      </c>
      <c r="J483" s="64">
        <f>8.7394 * CHOOSE(CONTROL!$C$22, $C$13, 100%, $E$13)</f>
        <v>8.7393999999999998</v>
      </c>
      <c r="K483" s="64">
        <f>8.7395 * CHOOSE(CONTROL!$C$22, $C$13, 100%, $E$13)</f>
        <v>8.7394999999999996</v>
      </c>
    </row>
    <row r="484" spans="1:11" ht="15">
      <c r="A484" s="13">
        <v>56219</v>
      </c>
      <c r="B484" s="63">
        <f>7.3468 * CHOOSE(CONTROL!$C$22, $C$13, 100%, $E$13)</f>
        <v>7.3468</v>
      </c>
      <c r="C484" s="63">
        <f>7.3468 * CHOOSE(CONTROL!$C$22, $C$13, 100%, $E$13)</f>
        <v>7.3468</v>
      </c>
      <c r="D484" s="63">
        <f>7.3468 * CHOOSE(CONTROL!$C$22, $C$13, 100%, $E$13)</f>
        <v>7.3468</v>
      </c>
      <c r="E484" s="64">
        <f>8.6648 * CHOOSE(CONTROL!$C$22, $C$13, 100%, $E$13)</f>
        <v>8.6647999999999996</v>
      </c>
      <c r="F484" s="64">
        <f>8.6648 * CHOOSE(CONTROL!$C$22, $C$13, 100%, $E$13)</f>
        <v>8.6647999999999996</v>
      </c>
      <c r="G484" s="64">
        <f>8.6648 * CHOOSE(CONTROL!$C$22, $C$13, 100%, $E$13)</f>
        <v>8.6647999999999996</v>
      </c>
      <c r="H484" s="64">
        <f>14.1482* CHOOSE(CONTROL!$C$22, $C$13, 100%, $E$13)</f>
        <v>14.148199999999999</v>
      </c>
      <c r="I484" s="64">
        <f>14.1483 * CHOOSE(CONTROL!$C$22, $C$13, 100%, $E$13)</f>
        <v>14.148300000000001</v>
      </c>
      <c r="J484" s="64">
        <f>8.6648 * CHOOSE(CONTROL!$C$22, $C$13, 100%, $E$13)</f>
        <v>8.6647999999999996</v>
      </c>
      <c r="K484" s="64">
        <f>8.6648 * CHOOSE(CONTROL!$C$22, $C$13, 100%, $E$13)</f>
        <v>8.6647999999999996</v>
      </c>
    </row>
    <row r="485" spans="1:11" ht="15">
      <c r="A485" s="13">
        <v>56250</v>
      </c>
      <c r="B485" s="63">
        <f>7.4101 * CHOOSE(CONTROL!$C$22, $C$13, 100%, $E$13)</f>
        <v>7.4100999999999999</v>
      </c>
      <c r="C485" s="63">
        <f>7.4101 * CHOOSE(CONTROL!$C$22, $C$13, 100%, $E$13)</f>
        <v>7.4100999999999999</v>
      </c>
      <c r="D485" s="63">
        <f>7.4102 * CHOOSE(CONTROL!$C$22, $C$13, 100%, $E$13)</f>
        <v>7.4101999999999997</v>
      </c>
      <c r="E485" s="64">
        <f>8.7891 * CHOOSE(CONTROL!$C$22, $C$13, 100%, $E$13)</f>
        <v>8.7890999999999995</v>
      </c>
      <c r="F485" s="64">
        <f>8.7891 * CHOOSE(CONTROL!$C$22, $C$13, 100%, $E$13)</f>
        <v>8.7890999999999995</v>
      </c>
      <c r="G485" s="64">
        <f>8.7892 * CHOOSE(CONTROL!$C$22, $C$13, 100%, $E$13)</f>
        <v>8.7891999999999992</v>
      </c>
      <c r="H485" s="64">
        <f>14.1777* CHOOSE(CONTROL!$C$22, $C$13, 100%, $E$13)</f>
        <v>14.1777</v>
      </c>
      <c r="I485" s="64">
        <f>14.1777 * CHOOSE(CONTROL!$C$22, $C$13, 100%, $E$13)</f>
        <v>14.1777</v>
      </c>
      <c r="J485" s="64">
        <f>8.7891 * CHOOSE(CONTROL!$C$22, $C$13, 100%, $E$13)</f>
        <v>8.7890999999999995</v>
      </c>
      <c r="K485" s="64">
        <f>8.7892 * CHOOSE(CONTROL!$C$22, $C$13, 100%, $E$13)</f>
        <v>8.7891999999999992</v>
      </c>
    </row>
    <row r="486" spans="1:11" ht="15">
      <c r="A486" s="13">
        <v>56281</v>
      </c>
      <c r="B486" s="63">
        <f>7.4071 * CHOOSE(CONTROL!$C$22, $C$13, 100%, $E$13)</f>
        <v>7.4070999999999998</v>
      </c>
      <c r="C486" s="63">
        <f>7.4071 * CHOOSE(CONTROL!$C$22, $C$13, 100%, $E$13)</f>
        <v>7.4070999999999998</v>
      </c>
      <c r="D486" s="63">
        <f>7.4071 * CHOOSE(CONTROL!$C$22, $C$13, 100%, $E$13)</f>
        <v>7.4070999999999998</v>
      </c>
      <c r="E486" s="64">
        <f>8.642 * CHOOSE(CONTROL!$C$22, $C$13, 100%, $E$13)</f>
        <v>8.6419999999999995</v>
      </c>
      <c r="F486" s="64">
        <f>8.642 * CHOOSE(CONTROL!$C$22, $C$13, 100%, $E$13)</f>
        <v>8.6419999999999995</v>
      </c>
      <c r="G486" s="64">
        <f>8.6421 * CHOOSE(CONTROL!$C$22, $C$13, 100%, $E$13)</f>
        <v>8.6420999999999992</v>
      </c>
      <c r="H486" s="64">
        <f>14.2072* CHOOSE(CONTROL!$C$22, $C$13, 100%, $E$13)</f>
        <v>14.2072</v>
      </c>
      <c r="I486" s="64">
        <f>14.2073 * CHOOSE(CONTROL!$C$22, $C$13, 100%, $E$13)</f>
        <v>14.2073</v>
      </c>
      <c r="J486" s="64">
        <f>8.642 * CHOOSE(CONTROL!$C$22, $C$13, 100%, $E$13)</f>
        <v>8.6419999999999995</v>
      </c>
      <c r="K486" s="64">
        <f>8.6421 * CHOOSE(CONTROL!$C$22, $C$13, 100%, $E$13)</f>
        <v>8.6420999999999992</v>
      </c>
    </row>
    <row r="487" spans="1:11" ht="15">
      <c r="A487" s="13">
        <v>56309</v>
      </c>
      <c r="B487" s="63">
        <f>7.4041 * CHOOSE(CONTROL!$C$22, $C$13, 100%, $E$13)</f>
        <v>7.4040999999999997</v>
      </c>
      <c r="C487" s="63">
        <f>7.4041 * CHOOSE(CONTROL!$C$22, $C$13, 100%, $E$13)</f>
        <v>7.4040999999999997</v>
      </c>
      <c r="D487" s="63">
        <f>7.4041 * CHOOSE(CONTROL!$C$22, $C$13, 100%, $E$13)</f>
        <v>7.4040999999999997</v>
      </c>
      <c r="E487" s="64">
        <f>8.7542 * CHOOSE(CONTROL!$C$22, $C$13, 100%, $E$13)</f>
        <v>8.7542000000000009</v>
      </c>
      <c r="F487" s="64">
        <f>8.7542 * CHOOSE(CONTROL!$C$22, $C$13, 100%, $E$13)</f>
        <v>8.7542000000000009</v>
      </c>
      <c r="G487" s="64">
        <f>8.7542 * CHOOSE(CONTROL!$C$22, $C$13, 100%, $E$13)</f>
        <v>8.7542000000000009</v>
      </c>
      <c r="H487" s="64">
        <f>14.2368* CHOOSE(CONTROL!$C$22, $C$13, 100%, $E$13)</f>
        <v>14.236800000000001</v>
      </c>
      <c r="I487" s="64">
        <f>14.2369 * CHOOSE(CONTROL!$C$22, $C$13, 100%, $E$13)</f>
        <v>14.2369</v>
      </c>
      <c r="J487" s="64">
        <f>8.7542 * CHOOSE(CONTROL!$C$22, $C$13, 100%, $E$13)</f>
        <v>8.7542000000000009</v>
      </c>
      <c r="K487" s="64">
        <f>8.7542 * CHOOSE(CONTROL!$C$22, $C$13, 100%, $E$13)</f>
        <v>8.7542000000000009</v>
      </c>
    </row>
    <row r="488" spans="1:11" ht="15">
      <c r="A488" s="13">
        <v>56340</v>
      </c>
      <c r="B488" s="63">
        <f>7.4046 * CHOOSE(CONTROL!$C$22, $C$13, 100%, $E$13)</f>
        <v>7.4046000000000003</v>
      </c>
      <c r="C488" s="63">
        <f>7.4046 * CHOOSE(CONTROL!$C$22, $C$13, 100%, $E$13)</f>
        <v>7.4046000000000003</v>
      </c>
      <c r="D488" s="63">
        <f>7.4046 * CHOOSE(CONTROL!$C$22, $C$13, 100%, $E$13)</f>
        <v>7.4046000000000003</v>
      </c>
      <c r="E488" s="64">
        <f>8.8727 * CHOOSE(CONTROL!$C$22, $C$13, 100%, $E$13)</f>
        <v>8.8727</v>
      </c>
      <c r="F488" s="64">
        <f>8.8727 * CHOOSE(CONTROL!$C$22, $C$13, 100%, $E$13)</f>
        <v>8.8727</v>
      </c>
      <c r="G488" s="64">
        <f>8.8727 * CHOOSE(CONTROL!$C$22, $C$13, 100%, $E$13)</f>
        <v>8.8727</v>
      </c>
      <c r="H488" s="64">
        <f>14.2664* CHOOSE(CONTROL!$C$22, $C$13, 100%, $E$13)</f>
        <v>14.266400000000001</v>
      </c>
      <c r="I488" s="64">
        <f>14.2665 * CHOOSE(CONTROL!$C$22, $C$13, 100%, $E$13)</f>
        <v>14.266500000000001</v>
      </c>
      <c r="J488" s="64">
        <f>8.8727 * CHOOSE(CONTROL!$C$22, $C$13, 100%, $E$13)</f>
        <v>8.8727</v>
      </c>
      <c r="K488" s="64">
        <f>8.8727 * CHOOSE(CONTROL!$C$22, $C$13, 100%, $E$13)</f>
        <v>8.8727</v>
      </c>
    </row>
    <row r="489" spans="1:11" ht="15">
      <c r="A489" s="13">
        <v>56370</v>
      </c>
      <c r="B489" s="63">
        <f>7.4046 * CHOOSE(CONTROL!$C$22, $C$13, 100%, $E$13)</f>
        <v>7.4046000000000003</v>
      </c>
      <c r="C489" s="63">
        <f>7.4046 * CHOOSE(CONTROL!$C$22, $C$13, 100%, $E$13)</f>
        <v>7.4046000000000003</v>
      </c>
      <c r="D489" s="63">
        <f>7.4176 * CHOOSE(CONTROL!$C$22, $C$13, 100%, $E$13)</f>
        <v>7.4176000000000002</v>
      </c>
      <c r="E489" s="64">
        <f>8.9187 * CHOOSE(CONTROL!$C$22, $C$13, 100%, $E$13)</f>
        <v>8.9186999999999994</v>
      </c>
      <c r="F489" s="64">
        <f>8.9187 * CHOOSE(CONTROL!$C$22, $C$13, 100%, $E$13)</f>
        <v>8.9186999999999994</v>
      </c>
      <c r="G489" s="64">
        <f>8.9344 * CHOOSE(CONTROL!$C$22, $C$13, 100%, $E$13)</f>
        <v>8.9344000000000001</v>
      </c>
      <c r="H489" s="64">
        <f>14.2962* CHOOSE(CONTROL!$C$22, $C$13, 100%, $E$13)</f>
        <v>14.296200000000001</v>
      </c>
      <c r="I489" s="64">
        <f>14.3119 * CHOOSE(CONTROL!$C$22, $C$13, 100%, $E$13)</f>
        <v>14.3119</v>
      </c>
      <c r="J489" s="64">
        <f>8.9187 * CHOOSE(CONTROL!$C$22, $C$13, 100%, $E$13)</f>
        <v>8.9186999999999994</v>
      </c>
      <c r="K489" s="64">
        <f>8.9344 * CHOOSE(CONTROL!$C$22, $C$13, 100%, $E$13)</f>
        <v>8.9344000000000001</v>
      </c>
    </row>
    <row r="490" spans="1:11" ht="15">
      <c r="A490" s="13">
        <v>56401</v>
      </c>
      <c r="B490" s="63">
        <f>7.4107 * CHOOSE(CONTROL!$C$22, $C$13, 100%, $E$13)</f>
        <v>7.4107000000000003</v>
      </c>
      <c r="C490" s="63">
        <f>7.4107 * CHOOSE(CONTROL!$C$22, $C$13, 100%, $E$13)</f>
        <v>7.4107000000000003</v>
      </c>
      <c r="D490" s="63">
        <f>7.4237 * CHOOSE(CONTROL!$C$22, $C$13, 100%, $E$13)</f>
        <v>7.4237000000000002</v>
      </c>
      <c r="E490" s="64">
        <f>8.8769 * CHOOSE(CONTROL!$C$22, $C$13, 100%, $E$13)</f>
        <v>8.8768999999999991</v>
      </c>
      <c r="F490" s="64">
        <f>8.8769 * CHOOSE(CONTROL!$C$22, $C$13, 100%, $E$13)</f>
        <v>8.8768999999999991</v>
      </c>
      <c r="G490" s="64">
        <f>8.8926 * CHOOSE(CONTROL!$C$22, $C$13, 100%, $E$13)</f>
        <v>8.8925999999999998</v>
      </c>
      <c r="H490" s="64">
        <f>14.326* CHOOSE(CONTROL!$C$22, $C$13, 100%, $E$13)</f>
        <v>14.326000000000001</v>
      </c>
      <c r="I490" s="64">
        <f>14.3416 * CHOOSE(CONTROL!$C$22, $C$13, 100%, $E$13)</f>
        <v>14.3416</v>
      </c>
      <c r="J490" s="64">
        <f>8.8769 * CHOOSE(CONTROL!$C$22, $C$13, 100%, $E$13)</f>
        <v>8.8768999999999991</v>
      </c>
      <c r="K490" s="64">
        <f>8.8926 * CHOOSE(CONTROL!$C$22, $C$13, 100%, $E$13)</f>
        <v>8.8925999999999998</v>
      </c>
    </row>
    <row r="491" spans="1:11" ht="15">
      <c r="A491" s="13">
        <v>56431</v>
      </c>
      <c r="B491" s="63">
        <f>7.5277 * CHOOSE(CONTROL!$C$22, $C$13, 100%, $E$13)</f>
        <v>7.5277000000000003</v>
      </c>
      <c r="C491" s="63">
        <f>7.5277 * CHOOSE(CONTROL!$C$22, $C$13, 100%, $E$13)</f>
        <v>7.5277000000000003</v>
      </c>
      <c r="D491" s="63">
        <f>7.5407 * CHOOSE(CONTROL!$C$22, $C$13, 100%, $E$13)</f>
        <v>7.5407000000000002</v>
      </c>
      <c r="E491" s="64">
        <f>9.0233 * CHOOSE(CONTROL!$C$22, $C$13, 100%, $E$13)</f>
        <v>9.0233000000000008</v>
      </c>
      <c r="F491" s="64">
        <f>9.0233 * CHOOSE(CONTROL!$C$22, $C$13, 100%, $E$13)</f>
        <v>9.0233000000000008</v>
      </c>
      <c r="G491" s="64">
        <f>9.039 * CHOOSE(CONTROL!$C$22, $C$13, 100%, $E$13)</f>
        <v>9.0389999999999997</v>
      </c>
      <c r="H491" s="64">
        <f>14.3558* CHOOSE(CONTROL!$C$22, $C$13, 100%, $E$13)</f>
        <v>14.3558</v>
      </c>
      <c r="I491" s="64">
        <f>14.3715 * CHOOSE(CONTROL!$C$22, $C$13, 100%, $E$13)</f>
        <v>14.371499999999999</v>
      </c>
      <c r="J491" s="64">
        <f>9.0233 * CHOOSE(CONTROL!$C$22, $C$13, 100%, $E$13)</f>
        <v>9.0233000000000008</v>
      </c>
      <c r="K491" s="64">
        <f>9.039 * CHOOSE(CONTROL!$C$22, $C$13, 100%, $E$13)</f>
        <v>9.0389999999999997</v>
      </c>
    </row>
    <row r="492" spans="1:11" ht="15">
      <c r="A492" s="13">
        <v>56462</v>
      </c>
      <c r="B492" s="63">
        <f>7.5344 * CHOOSE(CONTROL!$C$22, $C$13, 100%, $E$13)</f>
        <v>7.5343999999999998</v>
      </c>
      <c r="C492" s="63">
        <f>7.5344 * CHOOSE(CONTROL!$C$22, $C$13, 100%, $E$13)</f>
        <v>7.5343999999999998</v>
      </c>
      <c r="D492" s="63">
        <f>7.5474 * CHOOSE(CONTROL!$C$22, $C$13, 100%, $E$13)</f>
        <v>7.5473999999999997</v>
      </c>
      <c r="E492" s="64">
        <f>8.8899 * CHOOSE(CONTROL!$C$22, $C$13, 100%, $E$13)</f>
        <v>8.8899000000000008</v>
      </c>
      <c r="F492" s="64">
        <f>8.8899 * CHOOSE(CONTROL!$C$22, $C$13, 100%, $E$13)</f>
        <v>8.8899000000000008</v>
      </c>
      <c r="G492" s="64">
        <f>8.9056 * CHOOSE(CONTROL!$C$22, $C$13, 100%, $E$13)</f>
        <v>8.9055999999999997</v>
      </c>
      <c r="H492" s="64">
        <f>14.3857* CHOOSE(CONTROL!$C$22, $C$13, 100%, $E$13)</f>
        <v>14.3857</v>
      </c>
      <c r="I492" s="64">
        <f>14.4014 * CHOOSE(CONTROL!$C$22, $C$13, 100%, $E$13)</f>
        <v>14.401400000000001</v>
      </c>
      <c r="J492" s="64">
        <f>8.8899 * CHOOSE(CONTROL!$C$22, $C$13, 100%, $E$13)</f>
        <v>8.8899000000000008</v>
      </c>
      <c r="K492" s="64">
        <f>8.9056 * CHOOSE(CONTROL!$C$22, $C$13, 100%, $E$13)</f>
        <v>8.9055999999999997</v>
      </c>
    </row>
    <row r="493" spans="1:11" ht="15">
      <c r="A493" s="13">
        <v>56493</v>
      </c>
      <c r="B493" s="63">
        <f>7.5314 * CHOOSE(CONTROL!$C$22, $C$13, 100%, $E$13)</f>
        <v>7.5313999999999997</v>
      </c>
      <c r="C493" s="63">
        <f>7.5314 * CHOOSE(CONTROL!$C$22, $C$13, 100%, $E$13)</f>
        <v>7.5313999999999997</v>
      </c>
      <c r="D493" s="63">
        <f>7.5444 * CHOOSE(CONTROL!$C$22, $C$13, 100%, $E$13)</f>
        <v>7.5444000000000004</v>
      </c>
      <c r="E493" s="64">
        <f>8.8725 * CHOOSE(CONTROL!$C$22, $C$13, 100%, $E$13)</f>
        <v>8.8725000000000005</v>
      </c>
      <c r="F493" s="64">
        <f>8.8725 * CHOOSE(CONTROL!$C$22, $C$13, 100%, $E$13)</f>
        <v>8.8725000000000005</v>
      </c>
      <c r="G493" s="64">
        <f>8.8881 * CHOOSE(CONTROL!$C$22, $C$13, 100%, $E$13)</f>
        <v>8.8880999999999997</v>
      </c>
      <c r="H493" s="64">
        <f>14.4157* CHOOSE(CONTROL!$C$22, $C$13, 100%, $E$13)</f>
        <v>14.415699999999999</v>
      </c>
      <c r="I493" s="64">
        <f>14.4314 * CHOOSE(CONTROL!$C$22, $C$13, 100%, $E$13)</f>
        <v>14.4314</v>
      </c>
      <c r="J493" s="64">
        <f>8.8725 * CHOOSE(CONTROL!$C$22, $C$13, 100%, $E$13)</f>
        <v>8.8725000000000005</v>
      </c>
      <c r="K493" s="64">
        <f>8.8881 * CHOOSE(CONTROL!$C$22, $C$13, 100%, $E$13)</f>
        <v>8.8880999999999997</v>
      </c>
    </row>
    <row r="494" spans="1:11" ht="15">
      <c r="A494" s="13">
        <v>56523</v>
      </c>
      <c r="B494" s="63">
        <f>7.5381 * CHOOSE(CONTROL!$C$22, $C$13, 100%, $E$13)</f>
        <v>7.5381</v>
      </c>
      <c r="C494" s="63">
        <f>7.5381 * CHOOSE(CONTROL!$C$22, $C$13, 100%, $E$13)</f>
        <v>7.5381</v>
      </c>
      <c r="D494" s="63">
        <f>7.5381 * CHOOSE(CONTROL!$C$22, $C$13, 100%, $E$13)</f>
        <v>7.5381</v>
      </c>
      <c r="E494" s="64">
        <f>8.9204 * CHOOSE(CONTROL!$C$22, $C$13, 100%, $E$13)</f>
        <v>8.9204000000000008</v>
      </c>
      <c r="F494" s="64">
        <f>8.9204 * CHOOSE(CONTROL!$C$22, $C$13, 100%, $E$13)</f>
        <v>8.9204000000000008</v>
      </c>
      <c r="G494" s="64">
        <f>8.9205 * CHOOSE(CONTROL!$C$22, $C$13, 100%, $E$13)</f>
        <v>8.9205000000000005</v>
      </c>
      <c r="H494" s="64">
        <f>14.4457* CHOOSE(CONTROL!$C$22, $C$13, 100%, $E$13)</f>
        <v>14.4457</v>
      </c>
      <c r="I494" s="64">
        <f>14.4458 * CHOOSE(CONTROL!$C$22, $C$13, 100%, $E$13)</f>
        <v>14.4458</v>
      </c>
      <c r="J494" s="64">
        <f>8.9204 * CHOOSE(CONTROL!$C$22, $C$13, 100%, $E$13)</f>
        <v>8.9204000000000008</v>
      </c>
      <c r="K494" s="64">
        <f>8.9205 * CHOOSE(CONTROL!$C$22, $C$13, 100%, $E$13)</f>
        <v>8.9205000000000005</v>
      </c>
    </row>
    <row r="495" spans="1:11" ht="15">
      <c r="A495" s="13">
        <v>56554</v>
      </c>
      <c r="B495" s="63">
        <f>7.5411 * CHOOSE(CONTROL!$C$22, $C$13, 100%, $E$13)</f>
        <v>7.5411000000000001</v>
      </c>
      <c r="C495" s="63">
        <f>7.5411 * CHOOSE(CONTROL!$C$22, $C$13, 100%, $E$13)</f>
        <v>7.5411000000000001</v>
      </c>
      <c r="D495" s="63">
        <f>7.5411 * CHOOSE(CONTROL!$C$22, $C$13, 100%, $E$13)</f>
        <v>7.5411000000000001</v>
      </c>
      <c r="E495" s="64">
        <f>8.9532 * CHOOSE(CONTROL!$C$22, $C$13, 100%, $E$13)</f>
        <v>8.9532000000000007</v>
      </c>
      <c r="F495" s="64">
        <f>8.9532 * CHOOSE(CONTROL!$C$22, $C$13, 100%, $E$13)</f>
        <v>8.9532000000000007</v>
      </c>
      <c r="G495" s="64">
        <f>8.9533 * CHOOSE(CONTROL!$C$22, $C$13, 100%, $E$13)</f>
        <v>8.9533000000000005</v>
      </c>
      <c r="H495" s="64">
        <f>14.4758* CHOOSE(CONTROL!$C$22, $C$13, 100%, $E$13)</f>
        <v>14.4758</v>
      </c>
      <c r="I495" s="64">
        <f>14.4759 * CHOOSE(CONTROL!$C$22, $C$13, 100%, $E$13)</f>
        <v>14.475899999999999</v>
      </c>
      <c r="J495" s="64">
        <f>8.9532 * CHOOSE(CONTROL!$C$22, $C$13, 100%, $E$13)</f>
        <v>8.9532000000000007</v>
      </c>
      <c r="K495" s="64">
        <f>8.9533 * CHOOSE(CONTROL!$C$22, $C$13, 100%, $E$13)</f>
        <v>8.9533000000000005</v>
      </c>
    </row>
    <row r="496" spans="1:11" ht="15">
      <c r="A496" s="13">
        <v>56584</v>
      </c>
      <c r="B496" s="63">
        <f>7.5411 * CHOOSE(CONTROL!$C$22, $C$13, 100%, $E$13)</f>
        <v>7.5411000000000001</v>
      </c>
      <c r="C496" s="63">
        <f>7.5411 * CHOOSE(CONTROL!$C$22, $C$13, 100%, $E$13)</f>
        <v>7.5411000000000001</v>
      </c>
      <c r="D496" s="63">
        <f>7.5411 * CHOOSE(CONTROL!$C$22, $C$13, 100%, $E$13)</f>
        <v>7.5411000000000001</v>
      </c>
      <c r="E496" s="64">
        <f>8.8765 * CHOOSE(CONTROL!$C$22, $C$13, 100%, $E$13)</f>
        <v>8.8765000000000001</v>
      </c>
      <c r="F496" s="64">
        <f>8.8765 * CHOOSE(CONTROL!$C$22, $C$13, 100%, $E$13)</f>
        <v>8.8765000000000001</v>
      </c>
      <c r="G496" s="64">
        <f>8.8766 * CHOOSE(CONTROL!$C$22, $C$13, 100%, $E$13)</f>
        <v>8.8765999999999998</v>
      </c>
      <c r="H496" s="64">
        <f>14.506* CHOOSE(CONTROL!$C$22, $C$13, 100%, $E$13)</f>
        <v>14.506</v>
      </c>
      <c r="I496" s="64">
        <f>14.506 * CHOOSE(CONTROL!$C$22, $C$13, 100%, $E$13)</f>
        <v>14.506</v>
      </c>
      <c r="J496" s="64">
        <f>8.8765 * CHOOSE(CONTROL!$C$22, $C$13, 100%, $E$13)</f>
        <v>8.8765000000000001</v>
      </c>
      <c r="K496" s="64">
        <f>8.8766 * CHOOSE(CONTROL!$C$22, $C$13, 100%, $E$13)</f>
        <v>8.8765999999999998</v>
      </c>
    </row>
    <row r="497" spans="1:11" ht="15">
      <c r="A497" s="13">
        <v>56615</v>
      </c>
      <c r="B497" s="63">
        <f>7.606 * CHOOSE(CONTROL!$C$22, $C$13, 100%, $E$13)</f>
        <v>7.6059999999999999</v>
      </c>
      <c r="C497" s="63">
        <f>7.606 * CHOOSE(CONTROL!$C$22, $C$13, 100%, $E$13)</f>
        <v>7.6059999999999999</v>
      </c>
      <c r="D497" s="63">
        <f>7.606 * CHOOSE(CONTROL!$C$22, $C$13, 100%, $E$13)</f>
        <v>7.6059999999999999</v>
      </c>
      <c r="E497" s="64">
        <f>9.004 * CHOOSE(CONTROL!$C$22, $C$13, 100%, $E$13)</f>
        <v>9.0039999999999996</v>
      </c>
      <c r="F497" s="64">
        <f>9.004 * CHOOSE(CONTROL!$C$22, $C$13, 100%, $E$13)</f>
        <v>9.0039999999999996</v>
      </c>
      <c r="G497" s="64">
        <f>9.0041 * CHOOSE(CONTROL!$C$22, $C$13, 100%, $E$13)</f>
        <v>9.0040999999999993</v>
      </c>
      <c r="H497" s="64">
        <f>14.5362* CHOOSE(CONTROL!$C$22, $C$13, 100%, $E$13)</f>
        <v>14.536199999999999</v>
      </c>
      <c r="I497" s="64">
        <f>14.5363 * CHOOSE(CONTROL!$C$22, $C$13, 100%, $E$13)</f>
        <v>14.536300000000001</v>
      </c>
      <c r="J497" s="64">
        <f>9.004 * CHOOSE(CONTROL!$C$22, $C$13, 100%, $E$13)</f>
        <v>9.0039999999999996</v>
      </c>
      <c r="K497" s="64">
        <f>9.0041 * CHOOSE(CONTROL!$C$22, $C$13, 100%, $E$13)</f>
        <v>9.0040999999999993</v>
      </c>
    </row>
    <row r="498" spans="1:11" ht="15">
      <c r="A498" s="13">
        <v>56646</v>
      </c>
      <c r="B498" s="63">
        <f>7.603 * CHOOSE(CONTROL!$C$22, $C$13, 100%, $E$13)</f>
        <v>7.6029999999999998</v>
      </c>
      <c r="C498" s="63">
        <f>7.603 * CHOOSE(CONTROL!$C$22, $C$13, 100%, $E$13)</f>
        <v>7.6029999999999998</v>
      </c>
      <c r="D498" s="63">
        <f>7.603 * CHOOSE(CONTROL!$C$22, $C$13, 100%, $E$13)</f>
        <v>7.6029999999999998</v>
      </c>
      <c r="E498" s="64">
        <f>8.8528 * CHOOSE(CONTROL!$C$22, $C$13, 100%, $E$13)</f>
        <v>8.8528000000000002</v>
      </c>
      <c r="F498" s="64">
        <f>8.8528 * CHOOSE(CONTROL!$C$22, $C$13, 100%, $E$13)</f>
        <v>8.8528000000000002</v>
      </c>
      <c r="G498" s="64">
        <f>8.8529 * CHOOSE(CONTROL!$C$22, $C$13, 100%, $E$13)</f>
        <v>8.8529</v>
      </c>
      <c r="H498" s="64">
        <f>14.5665* CHOOSE(CONTROL!$C$22, $C$13, 100%, $E$13)</f>
        <v>14.5665</v>
      </c>
      <c r="I498" s="64">
        <f>14.5665 * CHOOSE(CONTROL!$C$22, $C$13, 100%, $E$13)</f>
        <v>14.5665</v>
      </c>
      <c r="J498" s="64">
        <f>8.8528 * CHOOSE(CONTROL!$C$22, $C$13, 100%, $E$13)</f>
        <v>8.8528000000000002</v>
      </c>
      <c r="K498" s="64">
        <f>8.8529 * CHOOSE(CONTROL!$C$22, $C$13, 100%, $E$13)</f>
        <v>8.8529</v>
      </c>
    </row>
    <row r="499" spans="1:11" ht="15">
      <c r="A499" s="13">
        <v>56674</v>
      </c>
      <c r="B499" s="63">
        <f>7.6 * CHOOSE(CONTROL!$C$22, $C$13, 100%, $E$13)</f>
        <v>7.6</v>
      </c>
      <c r="C499" s="63">
        <f>7.6 * CHOOSE(CONTROL!$C$22, $C$13, 100%, $E$13)</f>
        <v>7.6</v>
      </c>
      <c r="D499" s="63">
        <f>7.6 * CHOOSE(CONTROL!$C$22, $C$13, 100%, $E$13)</f>
        <v>7.6</v>
      </c>
      <c r="E499" s="64">
        <f>8.9682 * CHOOSE(CONTROL!$C$22, $C$13, 100%, $E$13)</f>
        <v>8.9681999999999995</v>
      </c>
      <c r="F499" s="64">
        <f>8.9682 * CHOOSE(CONTROL!$C$22, $C$13, 100%, $E$13)</f>
        <v>8.9681999999999995</v>
      </c>
      <c r="G499" s="64">
        <f>8.9683 * CHOOSE(CONTROL!$C$22, $C$13, 100%, $E$13)</f>
        <v>8.9682999999999993</v>
      </c>
      <c r="H499" s="64">
        <f>14.5968* CHOOSE(CONTROL!$C$22, $C$13, 100%, $E$13)</f>
        <v>14.5968</v>
      </c>
      <c r="I499" s="64">
        <f>14.5969 * CHOOSE(CONTROL!$C$22, $C$13, 100%, $E$13)</f>
        <v>14.5969</v>
      </c>
      <c r="J499" s="64">
        <f>8.9682 * CHOOSE(CONTROL!$C$22, $C$13, 100%, $E$13)</f>
        <v>8.9681999999999995</v>
      </c>
      <c r="K499" s="64">
        <f>8.9683 * CHOOSE(CONTROL!$C$22, $C$13, 100%, $E$13)</f>
        <v>8.9682999999999993</v>
      </c>
    </row>
    <row r="500" spans="1:11" ht="15">
      <c r="A500" s="13">
        <v>56705</v>
      </c>
      <c r="B500" s="63">
        <f>7.6007 * CHOOSE(CONTROL!$C$22, $C$13, 100%, $E$13)</f>
        <v>7.6006999999999998</v>
      </c>
      <c r="C500" s="63">
        <f>7.6007 * CHOOSE(CONTROL!$C$22, $C$13, 100%, $E$13)</f>
        <v>7.6006999999999998</v>
      </c>
      <c r="D500" s="63">
        <f>7.6007 * CHOOSE(CONTROL!$C$22, $C$13, 100%, $E$13)</f>
        <v>7.6006999999999998</v>
      </c>
      <c r="E500" s="64">
        <f>9.0901 * CHOOSE(CONTROL!$C$22, $C$13, 100%, $E$13)</f>
        <v>9.0900999999999996</v>
      </c>
      <c r="F500" s="64">
        <f>9.0901 * CHOOSE(CONTROL!$C$22, $C$13, 100%, $E$13)</f>
        <v>9.0900999999999996</v>
      </c>
      <c r="G500" s="64">
        <f>9.0902 * CHOOSE(CONTROL!$C$22, $C$13, 100%, $E$13)</f>
        <v>9.0901999999999994</v>
      </c>
      <c r="H500" s="64">
        <f>14.6272* CHOOSE(CONTROL!$C$22, $C$13, 100%, $E$13)</f>
        <v>14.6272</v>
      </c>
      <c r="I500" s="64">
        <f>14.6273 * CHOOSE(CONTROL!$C$22, $C$13, 100%, $E$13)</f>
        <v>14.6273</v>
      </c>
      <c r="J500" s="64">
        <f>9.0901 * CHOOSE(CONTROL!$C$22, $C$13, 100%, $E$13)</f>
        <v>9.0900999999999996</v>
      </c>
      <c r="K500" s="64">
        <f>9.0902 * CHOOSE(CONTROL!$C$22, $C$13, 100%, $E$13)</f>
        <v>9.0901999999999994</v>
      </c>
    </row>
    <row r="501" spans="1:11" ht="15">
      <c r="A501" s="13">
        <v>56735</v>
      </c>
      <c r="B501" s="63">
        <f>7.6007 * CHOOSE(CONTROL!$C$22, $C$13, 100%, $E$13)</f>
        <v>7.6006999999999998</v>
      </c>
      <c r="C501" s="63">
        <f>7.6007 * CHOOSE(CONTROL!$C$22, $C$13, 100%, $E$13)</f>
        <v>7.6006999999999998</v>
      </c>
      <c r="D501" s="63">
        <f>7.6137 * CHOOSE(CONTROL!$C$22, $C$13, 100%, $E$13)</f>
        <v>7.6136999999999997</v>
      </c>
      <c r="E501" s="64">
        <f>9.1375 * CHOOSE(CONTROL!$C$22, $C$13, 100%, $E$13)</f>
        <v>9.1374999999999993</v>
      </c>
      <c r="F501" s="64">
        <f>9.1375 * CHOOSE(CONTROL!$C$22, $C$13, 100%, $E$13)</f>
        <v>9.1374999999999993</v>
      </c>
      <c r="G501" s="64">
        <f>9.1531 * CHOOSE(CONTROL!$C$22, $C$13, 100%, $E$13)</f>
        <v>9.1531000000000002</v>
      </c>
      <c r="H501" s="64">
        <f>14.6577* CHOOSE(CONTROL!$C$22, $C$13, 100%, $E$13)</f>
        <v>14.6577</v>
      </c>
      <c r="I501" s="64">
        <f>14.6734 * CHOOSE(CONTROL!$C$22, $C$13, 100%, $E$13)</f>
        <v>14.673400000000001</v>
      </c>
      <c r="J501" s="64">
        <f>9.1375 * CHOOSE(CONTROL!$C$22, $C$13, 100%, $E$13)</f>
        <v>9.1374999999999993</v>
      </c>
      <c r="K501" s="64">
        <f>9.1531 * CHOOSE(CONTROL!$C$22, $C$13, 100%, $E$13)</f>
        <v>9.1531000000000002</v>
      </c>
    </row>
    <row r="502" spans="1:11" ht="15">
      <c r="A502" s="13">
        <v>56766</v>
      </c>
      <c r="B502" s="63">
        <f>7.6068 * CHOOSE(CONTROL!$C$22, $C$13, 100%, $E$13)</f>
        <v>7.6067999999999998</v>
      </c>
      <c r="C502" s="63">
        <f>7.6068 * CHOOSE(CONTROL!$C$22, $C$13, 100%, $E$13)</f>
        <v>7.6067999999999998</v>
      </c>
      <c r="D502" s="63">
        <f>7.6197 * CHOOSE(CONTROL!$C$22, $C$13, 100%, $E$13)</f>
        <v>7.6196999999999999</v>
      </c>
      <c r="E502" s="64">
        <f>9.0944 * CHOOSE(CONTROL!$C$22, $C$13, 100%, $E$13)</f>
        <v>9.0944000000000003</v>
      </c>
      <c r="F502" s="64">
        <f>9.0944 * CHOOSE(CONTROL!$C$22, $C$13, 100%, $E$13)</f>
        <v>9.0944000000000003</v>
      </c>
      <c r="G502" s="64">
        <f>9.1101 * CHOOSE(CONTROL!$C$22, $C$13, 100%, $E$13)</f>
        <v>9.1100999999999992</v>
      </c>
      <c r="H502" s="64">
        <f>14.6882* CHOOSE(CONTROL!$C$22, $C$13, 100%, $E$13)</f>
        <v>14.6882</v>
      </c>
      <c r="I502" s="64">
        <f>14.7039 * CHOOSE(CONTROL!$C$22, $C$13, 100%, $E$13)</f>
        <v>14.703900000000001</v>
      </c>
      <c r="J502" s="64">
        <f>9.0944 * CHOOSE(CONTROL!$C$22, $C$13, 100%, $E$13)</f>
        <v>9.0944000000000003</v>
      </c>
      <c r="K502" s="64">
        <f>9.1101 * CHOOSE(CONTROL!$C$22, $C$13, 100%, $E$13)</f>
        <v>9.1100999999999992</v>
      </c>
    </row>
    <row r="503" spans="1:11" ht="15">
      <c r="A503" s="13">
        <v>56796</v>
      </c>
      <c r="B503" s="63">
        <f>7.7266 * CHOOSE(CONTROL!$C$22, $C$13, 100%, $E$13)</f>
        <v>7.7266000000000004</v>
      </c>
      <c r="C503" s="63">
        <f>7.7266 * CHOOSE(CONTROL!$C$22, $C$13, 100%, $E$13)</f>
        <v>7.7266000000000004</v>
      </c>
      <c r="D503" s="63">
        <f>7.7396 * CHOOSE(CONTROL!$C$22, $C$13, 100%, $E$13)</f>
        <v>7.7396000000000003</v>
      </c>
      <c r="E503" s="64">
        <f>9.2441 * CHOOSE(CONTROL!$C$22, $C$13, 100%, $E$13)</f>
        <v>9.2440999999999995</v>
      </c>
      <c r="F503" s="64">
        <f>9.2441 * CHOOSE(CONTROL!$C$22, $C$13, 100%, $E$13)</f>
        <v>9.2440999999999995</v>
      </c>
      <c r="G503" s="64">
        <f>9.2598 * CHOOSE(CONTROL!$C$22, $C$13, 100%, $E$13)</f>
        <v>9.2598000000000003</v>
      </c>
      <c r="H503" s="64">
        <f>14.7188* CHOOSE(CONTROL!$C$22, $C$13, 100%, $E$13)</f>
        <v>14.7188</v>
      </c>
      <c r="I503" s="64">
        <f>14.7345 * CHOOSE(CONTROL!$C$22, $C$13, 100%, $E$13)</f>
        <v>14.734500000000001</v>
      </c>
      <c r="J503" s="64">
        <f>9.2441 * CHOOSE(CONTROL!$C$22, $C$13, 100%, $E$13)</f>
        <v>9.2440999999999995</v>
      </c>
      <c r="K503" s="64">
        <f>9.2598 * CHOOSE(CONTROL!$C$22, $C$13, 100%, $E$13)</f>
        <v>9.2598000000000003</v>
      </c>
    </row>
    <row r="504" spans="1:11" ht="15">
      <c r="A504" s="13">
        <v>56827</v>
      </c>
      <c r="B504" s="63">
        <f>7.7333 * CHOOSE(CONTROL!$C$22, $C$13, 100%, $E$13)</f>
        <v>7.7332999999999998</v>
      </c>
      <c r="C504" s="63">
        <f>7.7333 * CHOOSE(CONTROL!$C$22, $C$13, 100%, $E$13)</f>
        <v>7.7332999999999998</v>
      </c>
      <c r="D504" s="63">
        <f>7.7463 * CHOOSE(CONTROL!$C$22, $C$13, 100%, $E$13)</f>
        <v>7.7462999999999997</v>
      </c>
      <c r="E504" s="64">
        <f>9.1068 * CHOOSE(CONTROL!$C$22, $C$13, 100%, $E$13)</f>
        <v>9.1067999999999998</v>
      </c>
      <c r="F504" s="64">
        <f>9.1068 * CHOOSE(CONTROL!$C$22, $C$13, 100%, $E$13)</f>
        <v>9.1067999999999998</v>
      </c>
      <c r="G504" s="64">
        <f>9.1225 * CHOOSE(CONTROL!$C$22, $C$13, 100%, $E$13)</f>
        <v>9.1225000000000005</v>
      </c>
      <c r="H504" s="64">
        <f>14.7495* CHOOSE(CONTROL!$C$22, $C$13, 100%, $E$13)</f>
        <v>14.749499999999999</v>
      </c>
      <c r="I504" s="64">
        <f>14.7652 * CHOOSE(CONTROL!$C$22, $C$13, 100%, $E$13)</f>
        <v>14.7652</v>
      </c>
      <c r="J504" s="64">
        <f>9.1068 * CHOOSE(CONTROL!$C$22, $C$13, 100%, $E$13)</f>
        <v>9.1067999999999998</v>
      </c>
      <c r="K504" s="64">
        <f>9.1225 * CHOOSE(CONTROL!$C$22, $C$13, 100%, $E$13)</f>
        <v>9.1225000000000005</v>
      </c>
    </row>
    <row r="505" spans="1:11" ht="15">
      <c r="A505" s="13">
        <v>56858</v>
      </c>
      <c r="B505" s="63">
        <f>7.7303 * CHOOSE(CONTROL!$C$22, $C$13, 100%, $E$13)</f>
        <v>7.7302999999999997</v>
      </c>
      <c r="C505" s="63">
        <f>7.7303 * CHOOSE(CONTROL!$C$22, $C$13, 100%, $E$13)</f>
        <v>7.7302999999999997</v>
      </c>
      <c r="D505" s="63">
        <f>7.7432 * CHOOSE(CONTROL!$C$22, $C$13, 100%, $E$13)</f>
        <v>7.7431999999999999</v>
      </c>
      <c r="E505" s="64">
        <f>9.089 * CHOOSE(CONTROL!$C$22, $C$13, 100%, $E$13)</f>
        <v>9.0890000000000004</v>
      </c>
      <c r="F505" s="64">
        <f>9.089 * CHOOSE(CONTROL!$C$22, $C$13, 100%, $E$13)</f>
        <v>9.0890000000000004</v>
      </c>
      <c r="G505" s="64">
        <f>9.1046 * CHOOSE(CONTROL!$C$22, $C$13, 100%, $E$13)</f>
        <v>9.1045999999999996</v>
      </c>
      <c r="H505" s="64">
        <f>14.7802* CHOOSE(CONTROL!$C$22, $C$13, 100%, $E$13)</f>
        <v>14.780200000000001</v>
      </c>
      <c r="I505" s="64">
        <f>14.7959 * CHOOSE(CONTROL!$C$22, $C$13, 100%, $E$13)</f>
        <v>14.7959</v>
      </c>
      <c r="J505" s="64">
        <f>9.089 * CHOOSE(CONTROL!$C$22, $C$13, 100%, $E$13)</f>
        <v>9.0890000000000004</v>
      </c>
      <c r="K505" s="64">
        <f>9.1046 * CHOOSE(CONTROL!$C$22, $C$13, 100%, $E$13)</f>
        <v>9.1045999999999996</v>
      </c>
    </row>
    <row r="506" spans="1:11" ht="15">
      <c r="A506" s="13">
        <v>56888</v>
      </c>
      <c r="B506" s="63">
        <f>7.7376 * CHOOSE(CONTROL!$C$22, $C$13, 100%, $E$13)</f>
        <v>7.7375999999999996</v>
      </c>
      <c r="C506" s="63">
        <f>7.7376 * CHOOSE(CONTROL!$C$22, $C$13, 100%, $E$13)</f>
        <v>7.7375999999999996</v>
      </c>
      <c r="D506" s="63">
        <f>7.7376 * CHOOSE(CONTROL!$C$22, $C$13, 100%, $E$13)</f>
        <v>7.7375999999999996</v>
      </c>
      <c r="E506" s="64">
        <f>9.1386 * CHOOSE(CONTROL!$C$22, $C$13, 100%, $E$13)</f>
        <v>9.1386000000000003</v>
      </c>
      <c r="F506" s="64">
        <f>9.1386 * CHOOSE(CONTROL!$C$22, $C$13, 100%, $E$13)</f>
        <v>9.1386000000000003</v>
      </c>
      <c r="G506" s="64">
        <f>9.1387 * CHOOSE(CONTROL!$C$22, $C$13, 100%, $E$13)</f>
        <v>9.1387</v>
      </c>
      <c r="H506" s="64">
        <f>14.811* CHOOSE(CONTROL!$C$22, $C$13, 100%, $E$13)</f>
        <v>14.811</v>
      </c>
      <c r="I506" s="64">
        <f>14.8111 * CHOOSE(CONTROL!$C$22, $C$13, 100%, $E$13)</f>
        <v>14.8111</v>
      </c>
      <c r="J506" s="64">
        <f>9.1386 * CHOOSE(CONTROL!$C$22, $C$13, 100%, $E$13)</f>
        <v>9.1386000000000003</v>
      </c>
      <c r="K506" s="64">
        <f>9.1387 * CHOOSE(CONTROL!$C$22, $C$13, 100%, $E$13)</f>
        <v>9.1387</v>
      </c>
    </row>
    <row r="507" spans="1:11" ht="15">
      <c r="A507" s="13">
        <v>56919</v>
      </c>
      <c r="B507" s="63">
        <f>7.7406 * CHOOSE(CONTROL!$C$22, $C$13, 100%, $E$13)</f>
        <v>7.7405999999999997</v>
      </c>
      <c r="C507" s="63">
        <f>7.7406 * CHOOSE(CONTROL!$C$22, $C$13, 100%, $E$13)</f>
        <v>7.7405999999999997</v>
      </c>
      <c r="D507" s="63">
        <f>7.7406 * CHOOSE(CONTROL!$C$22, $C$13, 100%, $E$13)</f>
        <v>7.7405999999999997</v>
      </c>
      <c r="E507" s="64">
        <f>9.1723 * CHOOSE(CONTROL!$C$22, $C$13, 100%, $E$13)</f>
        <v>9.1722999999999999</v>
      </c>
      <c r="F507" s="64">
        <f>9.1723 * CHOOSE(CONTROL!$C$22, $C$13, 100%, $E$13)</f>
        <v>9.1722999999999999</v>
      </c>
      <c r="G507" s="64">
        <f>9.1724 * CHOOSE(CONTROL!$C$22, $C$13, 100%, $E$13)</f>
        <v>9.1723999999999997</v>
      </c>
      <c r="H507" s="64">
        <f>14.8419* CHOOSE(CONTROL!$C$22, $C$13, 100%, $E$13)</f>
        <v>14.841900000000001</v>
      </c>
      <c r="I507" s="64">
        <f>14.842 * CHOOSE(CONTROL!$C$22, $C$13, 100%, $E$13)</f>
        <v>14.842000000000001</v>
      </c>
      <c r="J507" s="64">
        <f>9.1723 * CHOOSE(CONTROL!$C$22, $C$13, 100%, $E$13)</f>
        <v>9.1722999999999999</v>
      </c>
      <c r="K507" s="64">
        <f>9.1724 * CHOOSE(CONTROL!$C$22, $C$13, 100%, $E$13)</f>
        <v>9.1723999999999997</v>
      </c>
    </row>
    <row r="508" spans="1:11" ht="15">
      <c r="A508" s="13">
        <v>56949</v>
      </c>
      <c r="B508" s="63">
        <f>7.7406 * CHOOSE(CONTROL!$C$22, $C$13, 100%, $E$13)</f>
        <v>7.7405999999999997</v>
      </c>
      <c r="C508" s="63">
        <f>7.7406 * CHOOSE(CONTROL!$C$22, $C$13, 100%, $E$13)</f>
        <v>7.7405999999999997</v>
      </c>
      <c r="D508" s="63">
        <f>7.7406 * CHOOSE(CONTROL!$C$22, $C$13, 100%, $E$13)</f>
        <v>7.7405999999999997</v>
      </c>
      <c r="E508" s="64">
        <f>9.0934 * CHOOSE(CONTROL!$C$22, $C$13, 100%, $E$13)</f>
        <v>9.0934000000000008</v>
      </c>
      <c r="F508" s="64">
        <f>9.0934 * CHOOSE(CONTROL!$C$22, $C$13, 100%, $E$13)</f>
        <v>9.0934000000000008</v>
      </c>
      <c r="G508" s="64">
        <f>9.0935 * CHOOSE(CONTROL!$C$22, $C$13, 100%, $E$13)</f>
        <v>9.0935000000000006</v>
      </c>
      <c r="H508" s="64">
        <f>14.8728* CHOOSE(CONTROL!$C$22, $C$13, 100%, $E$13)</f>
        <v>14.8728</v>
      </c>
      <c r="I508" s="64">
        <f>14.8729 * CHOOSE(CONTROL!$C$22, $C$13, 100%, $E$13)</f>
        <v>14.8729</v>
      </c>
      <c r="J508" s="64">
        <f>9.0934 * CHOOSE(CONTROL!$C$22, $C$13, 100%, $E$13)</f>
        <v>9.0934000000000008</v>
      </c>
      <c r="K508" s="64">
        <f>9.0935 * CHOOSE(CONTROL!$C$22, $C$13, 100%, $E$13)</f>
        <v>9.0935000000000006</v>
      </c>
    </row>
    <row r="509" spans="1:11" ht="15">
      <c r="A509" s="13">
        <v>56980</v>
      </c>
      <c r="B509" s="63">
        <f>7.8071 * CHOOSE(CONTROL!$C$22, $C$13, 100%, $E$13)</f>
        <v>7.8071000000000002</v>
      </c>
      <c r="C509" s="63">
        <f>7.8071 * CHOOSE(CONTROL!$C$22, $C$13, 100%, $E$13)</f>
        <v>7.8071000000000002</v>
      </c>
      <c r="D509" s="63">
        <f>7.8072 * CHOOSE(CONTROL!$C$22, $C$13, 100%, $E$13)</f>
        <v>7.8071999999999999</v>
      </c>
      <c r="E509" s="64">
        <f>9.2242 * CHOOSE(CONTROL!$C$22, $C$13, 100%, $E$13)</f>
        <v>9.2241999999999997</v>
      </c>
      <c r="F509" s="64">
        <f>9.2242 * CHOOSE(CONTROL!$C$22, $C$13, 100%, $E$13)</f>
        <v>9.2241999999999997</v>
      </c>
      <c r="G509" s="64">
        <f>9.2243 * CHOOSE(CONTROL!$C$22, $C$13, 100%, $E$13)</f>
        <v>9.2242999999999995</v>
      </c>
      <c r="H509" s="64">
        <f>14.9038* CHOOSE(CONTROL!$C$22, $C$13, 100%, $E$13)</f>
        <v>14.9038</v>
      </c>
      <c r="I509" s="64">
        <f>14.9039 * CHOOSE(CONTROL!$C$22, $C$13, 100%, $E$13)</f>
        <v>14.9039</v>
      </c>
      <c r="J509" s="64">
        <f>9.2242 * CHOOSE(CONTROL!$C$22, $C$13, 100%, $E$13)</f>
        <v>9.2241999999999997</v>
      </c>
      <c r="K509" s="64">
        <f>9.2243 * CHOOSE(CONTROL!$C$22, $C$13, 100%, $E$13)</f>
        <v>9.2242999999999995</v>
      </c>
    </row>
    <row r="510" spans="1:11" ht="15">
      <c r="A510" s="13">
        <v>57011</v>
      </c>
      <c r="B510" s="63">
        <f>7.8041 * CHOOSE(CONTROL!$C$22, $C$13, 100%, $E$13)</f>
        <v>7.8041</v>
      </c>
      <c r="C510" s="63">
        <f>7.8041 * CHOOSE(CONTROL!$C$22, $C$13, 100%, $E$13)</f>
        <v>7.8041</v>
      </c>
      <c r="D510" s="63">
        <f>7.8041 * CHOOSE(CONTROL!$C$22, $C$13, 100%, $E$13)</f>
        <v>7.8041</v>
      </c>
      <c r="E510" s="64">
        <f>9.0688 * CHOOSE(CONTROL!$C$22, $C$13, 100%, $E$13)</f>
        <v>9.0687999999999995</v>
      </c>
      <c r="F510" s="64">
        <f>9.0688 * CHOOSE(CONTROL!$C$22, $C$13, 100%, $E$13)</f>
        <v>9.0687999999999995</v>
      </c>
      <c r="G510" s="64">
        <f>9.0689 * CHOOSE(CONTROL!$C$22, $C$13, 100%, $E$13)</f>
        <v>9.0688999999999993</v>
      </c>
      <c r="H510" s="64">
        <f>14.9348* CHOOSE(CONTROL!$C$22, $C$13, 100%, $E$13)</f>
        <v>14.934799999999999</v>
      </c>
      <c r="I510" s="64">
        <f>14.9349 * CHOOSE(CONTROL!$C$22, $C$13, 100%, $E$13)</f>
        <v>14.934900000000001</v>
      </c>
      <c r="J510" s="64">
        <f>9.0688 * CHOOSE(CONTROL!$C$22, $C$13, 100%, $E$13)</f>
        <v>9.0687999999999995</v>
      </c>
      <c r="K510" s="64">
        <f>9.0689 * CHOOSE(CONTROL!$C$22, $C$13, 100%, $E$13)</f>
        <v>9.0688999999999993</v>
      </c>
    </row>
    <row r="511" spans="1:11" ht="15">
      <c r="A511" s="13">
        <v>57040</v>
      </c>
      <c r="B511" s="63">
        <f>7.8011 * CHOOSE(CONTROL!$C$22, $C$13, 100%, $E$13)</f>
        <v>7.8010999999999999</v>
      </c>
      <c r="C511" s="63">
        <f>7.8011 * CHOOSE(CONTROL!$C$22, $C$13, 100%, $E$13)</f>
        <v>7.8010999999999999</v>
      </c>
      <c r="D511" s="63">
        <f>7.8011 * CHOOSE(CONTROL!$C$22, $C$13, 100%, $E$13)</f>
        <v>7.8010999999999999</v>
      </c>
      <c r="E511" s="64">
        <f>9.1875 * CHOOSE(CONTROL!$C$22, $C$13, 100%, $E$13)</f>
        <v>9.1875</v>
      </c>
      <c r="F511" s="64">
        <f>9.1875 * CHOOSE(CONTROL!$C$22, $C$13, 100%, $E$13)</f>
        <v>9.1875</v>
      </c>
      <c r="G511" s="64">
        <f>9.1876 * CHOOSE(CONTROL!$C$22, $C$13, 100%, $E$13)</f>
        <v>9.1875999999999998</v>
      </c>
      <c r="H511" s="64">
        <f>14.9659* CHOOSE(CONTROL!$C$22, $C$13, 100%, $E$13)</f>
        <v>14.9659</v>
      </c>
      <c r="I511" s="64">
        <f>14.966 * CHOOSE(CONTROL!$C$22, $C$13, 100%, $E$13)</f>
        <v>14.965999999999999</v>
      </c>
      <c r="J511" s="64">
        <f>9.1875 * CHOOSE(CONTROL!$C$22, $C$13, 100%, $E$13)</f>
        <v>9.1875</v>
      </c>
      <c r="K511" s="64">
        <f>9.1876 * CHOOSE(CONTROL!$C$22, $C$13, 100%, $E$13)</f>
        <v>9.1875999999999998</v>
      </c>
    </row>
    <row r="512" spans="1:11" ht="15">
      <c r="A512" s="13">
        <v>57071</v>
      </c>
      <c r="B512" s="63">
        <f>7.802 * CHOOSE(CONTROL!$C$22, $C$13, 100%, $E$13)</f>
        <v>7.8019999999999996</v>
      </c>
      <c r="C512" s="63">
        <f>7.802 * CHOOSE(CONTROL!$C$22, $C$13, 100%, $E$13)</f>
        <v>7.8019999999999996</v>
      </c>
      <c r="D512" s="63">
        <f>7.802 * CHOOSE(CONTROL!$C$22, $C$13, 100%, $E$13)</f>
        <v>7.8019999999999996</v>
      </c>
      <c r="E512" s="64">
        <f>9.313 * CHOOSE(CONTROL!$C$22, $C$13, 100%, $E$13)</f>
        <v>9.3130000000000006</v>
      </c>
      <c r="F512" s="64">
        <f>9.313 * CHOOSE(CONTROL!$C$22, $C$13, 100%, $E$13)</f>
        <v>9.3130000000000006</v>
      </c>
      <c r="G512" s="64">
        <f>9.3131 * CHOOSE(CONTROL!$C$22, $C$13, 100%, $E$13)</f>
        <v>9.3131000000000004</v>
      </c>
      <c r="H512" s="64">
        <f>14.9971* CHOOSE(CONTROL!$C$22, $C$13, 100%, $E$13)</f>
        <v>14.9971</v>
      </c>
      <c r="I512" s="64">
        <f>14.9972 * CHOOSE(CONTROL!$C$22, $C$13, 100%, $E$13)</f>
        <v>14.997199999999999</v>
      </c>
      <c r="J512" s="64">
        <f>9.313 * CHOOSE(CONTROL!$C$22, $C$13, 100%, $E$13)</f>
        <v>9.3130000000000006</v>
      </c>
      <c r="K512" s="64">
        <f>9.3131 * CHOOSE(CONTROL!$C$22, $C$13, 100%, $E$13)</f>
        <v>9.3131000000000004</v>
      </c>
    </row>
    <row r="513" spans="1:11" ht="15">
      <c r="A513" s="13">
        <v>57101</v>
      </c>
      <c r="B513" s="63">
        <f>7.802 * CHOOSE(CONTROL!$C$22, $C$13, 100%, $E$13)</f>
        <v>7.8019999999999996</v>
      </c>
      <c r="C513" s="63">
        <f>7.802 * CHOOSE(CONTROL!$C$22, $C$13, 100%, $E$13)</f>
        <v>7.8019999999999996</v>
      </c>
      <c r="D513" s="63">
        <f>7.8149 * CHOOSE(CONTROL!$C$22, $C$13, 100%, $E$13)</f>
        <v>7.8148999999999997</v>
      </c>
      <c r="E513" s="64">
        <f>9.3616 * CHOOSE(CONTROL!$C$22, $C$13, 100%, $E$13)</f>
        <v>9.3615999999999993</v>
      </c>
      <c r="F513" s="64">
        <f>9.3616 * CHOOSE(CONTROL!$C$22, $C$13, 100%, $E$13)</f>
        <v>9.3615999999999993</v>
      </c>
      <c r="G513" s="64">
        <f>9.3773 * CHOOSE(CONTROL!$C$22, $C$13, 100%, $E$13)</f>
        <v>9.3773</v>
      </c>
      <c r="H513" s="64">
        <f>15.0284* CHOOSE(CONTROL!$C$22, $C$13, 100%, $E$13)</f>
        <v>15.0284</v>
      </c>
      <c r="I513" s="64">
        <f>15.044 * CHOOSE(CONTROL!$C$22, $C$13, 100%, $E$13)</f>
        <v>15.044</v>
      </c>
      <c r="J513" s="64">
        <f>9.3616 * CHOOSE(CONTROL!$C$22, $C$13, 100%, $E$13)</f>
        <v>9.3615999999999993</v>
      </c>
      <c r="K513" s="64">
        <f>9.3773 * CHOOSE(CONTROL!$C$22, $C$13, 100%, $E$13)</f>
        <v>9.3773</v>
      </c>
    </row>
    <row r="514" spans="1:11" ht="15">
      <c r="A514" s="13">
        <v>57132</v>
      </c>
      <c r="B514" s="63">
        <f>7.808 * CHOOSE(CONTROL!$C$22, $C$13, 100%, $E$13)</f>
        <v>7.8079999999999998</v>
      </c>
      <c r="C514" s="63">
        <f>7.808 * CHOOSE(CONTROL!$C$22, $C$13, 100%, $E$13)</f>
        <v>7.8079999999999998</v>
      </c>
      <c r="D514" s="63">
        <f>7.821 * CHOOSE(CONTROL!$C$22, $C$13, 100%, $E$13)</f>
        <v>7.8209999999999997</v>
      </c>
      <c r="E514" s="64">
        <f>9.3172 * CHOOSE(CONTROL!$C$22, $C$13, 100%, $E$13)</f>
        <v>9.3171999999999997</v>
      </c>
      <c r="F514" s="64">
        <f>9.3172 * CHOOSE(CONTROL!$C$22, $C$13, 100%, $E$13)</f>
        <v>9.3171999999999997</v>
      </c>
      <c r="G514" s="64">
        <f>9.3329 * CHOOSE(CONTROL!$C$22, $C$13, 100%, $E$13)</f>
        <v>9.3329000000000004</v>
      </c>
      <c r="H514" s="64">
        <f>15.0597* CHOOSE(CONTROL!$C$22, $C$13, 100%, $E$13)</f>
        <v>15.059699999999999</v>
      </c>
      <c r="I514" s="64">
        <f>15.0754 * CHOOSE(CONTROL!$C$22, $C$13, 100%, $E$13)</f>
        <v>15.0754</v>
      </c>
      <c r="J514" s="64">
        <f>9.3172 * CHOOSE(CONTROL!$C$22, $C$13, 100%, $E$13)</f>
        <v>9.3171999999999997</v>
      </c>
      <c r="K514" s="64">
        <f>9.3329 * CHOOSE(CONTROL!$C$22, $C$13, 100%, $E$13)</f>
        <v>9.3329000000000004</v>
      </c>
    </row>
    <row r="515" spans="1:11" ht="15">
      <c r="A515" s="13">
        <v>57162</v>
      </c>
      <c r="B515" s="63">
        <f>7.9308 * CHOOSE(CONTROL!$C$22, $C$13, 100%, $E$13)</f>
        <v>7.9307999999999996</v>
      </c>
      <c r="C515" s="63">
        <f>7.9308 * CHOOSE(CONTROL!$C$22, $C$13, 100%, $E$13)</f>
        <v>7.9307999999999996</v>
      </c>
      <c r="D515" s="63">
        <f>7.9438 * CHOOSE(CONTROL!$C$22, $C$13, 100%, $E$13)</f>
        <v>7.9438000000000004</v>
      </c>
      <c r="E515" s="64">
        <f>9.4704 * CHOOSE(CONTROL!$C$22, $C$13, 100%, $E$13)</f>
        <v>9.4703999999999997</v>
      </c>
      <c r="F515" s="64">
        <f>9.4704 * CHOOSE(CONTROL!$C$22, $C$13, 100%, $E$13)</f>
        <v>9.4703999999999997</v>
      </c>
      <c r="G515" s="64">
        <f>9.4861 * CHOOSE(CONTROL!$C$22, $C$13, 100%, $E$13)</f>
        <v>9.4861000000000004</v>
      </c>
      <c r="H515" s="64">
        <f>15.0911* CHOOSE(CONTROL!$C$22, $C$13, 100%, $E$13)</f>
        <v>15.091100000000001</v>
      </c>
      <c r="I515" s="64">
        <f>15.1067 * CHOOSE(CONTROL!$C$22, $C$13, 100%, $E$13)</f>
        <v>15.1067</v>
      </c>
      <c r="J515" s="64">
        <f>9.4704 * CHOOSE(CONTROL!$C$22, $C$13, 100%, $E$13)</f>
        <v>9.4703999999999997</v>
      </c>
      <c r="K515" s="64">
        <f>9.4861 * CHOOSE(CONTROL!$C$22, $C$13, 100%, $E$13)</f>
        <v>9.4861000000000004</v>
      </c>
    </row>
    <row r="516" spans="1:11" ht="15">
      <c r="A516" s="13">
        <v>57193</v>
      </c>
      <c r="B516" s="63">
        <f>7.9375 * CHOOSE(CONTROL!$C$22, $C$13, 100%, $E$13)</f>
        <v>7.9375</v>
      </c>
      <c r="C516" s="63">
        <f>7.9375 * CHOOSE(CONTROL!$C$22, $C$13, 100%, $E$13)</f>
        <v>7.9375</v>
      </c>
      <c r="D516" s="63">
        <f>7.9505 * CHOOSE(CONTROL!$C$22, $C$13, 100%, $E$13)</f>
        <v>7.9504999999999999</v>
      </c>
      <c r="E516" s="64">
        <f>9.3291 * CHOOSE(CONTROL!$C$22, $C$13, 100%, $E$13)</f>
        <v>9.3291000000000004</v>
      </c>
      <c r="F516" s="64">
        <f>9.3291 * CHOOSE(CONTROL!$C$22, $C$13, 100%, $E$13)</f>
        <v>9.3291000000000004</v>
      </c>
      <c r="G516" s="64">
        <f>9.3448 * CHOOSE(CONTROL!$C$22, $C$13, 100%, $E$13)</f>
        <v>9.3447999999999993</v>
      </c>
      <c r="H516" s="64">
        <f>15.1225* CHOOSE(CONTROL!$C$22, $C$13, 100%, $E$13)</f>
        <v>15.1225</v>
      </c>
      <c r="I516" s="64">
        <f>15.1382 * CHOOSE(CONTROL!$C$22, $C$13, 100%, $E$13)</f>
        <v>15.138199999999999</v>
      </c>
      <c r="J516" s="64">
        <f>9.3291 * CHOOSE(CONTROL!$C$22, $C$13, 100%, $E$13)</f>
        <v>9.3291000000000004</v>
      </c>
      <c r="K516" s="64">
        <f>9.3448 * CHOOSE(CONTROL!$C$22, $C$13, 100%, $E$13)</f>
        <v>9.3447999999999993</v>
      </c>
    </row>
    <row r="517" spans="1:11" ht="15">
      <c r="A517" s="13">
        <v>57224</v>
      </c>
      <c r="B517" s="63">
        <f>7.9344 * CHOOSE(CONTROL!$C$22, $C$13, 100%, $E$13)</f>
        <v>7.9344000000000001</v>
      </c>
      <c r="C517" s="63">
        <f>7.9344 * CHOOSE(CONTROL!$C$22, $C$13, 100%, $E$13)</f>
        <v>7.9344000000000001</v>
      </c>
      <c r="D517" s="63">
        <f>7.9474 * CHOOSE(CONTROL!$C$22, $C$13, 100%, $E$13)</f>
        <v>7.9474</v>
      </c>
      <c r="E517" s="64">
        <f>9.3108 * CHOOSE(CONTROL!$C$22, $C$13, 100%, $E$13)</f>
        <v>9.3108000000000004</v>
      </c>
      <c r="F517" s="64">
        <f>9.3108 * CHOOSE(CONTROL!$C$22, $C$13, 100%, $E$13)</f>
        <v>9.3108000000000004</v>
      </c>
      <c r="G517" s="64">
        <f>9.3264 * CHOOSE(CONTROL!$C$22, $C$13, 100%, $E$13)</f>
        <v>9.3263999999999996</v>
      </c>
      <c r="H517" s="64">
        <f>15.154* CHOOSE(CONTROL!$C$22, $C$13, 100%, $E$13)</f>
        <v>15.154</v>
      </c>
      <c r="I517" s="64">
        <f>15.1697 * CHOOSE(CONTROL!$C$22, $C$13, 100%, $E$13)</f>
        <v>15.169700000000001</v>
      </c>
      <c r="J517" s="64">
        <f>9.3108 * CHOOSE(CONTROL!$C$22, $C$13, 100%, $E$13)</f>
        <v>9.3108000000000004</v>
      </c>
      <c r="K517" s="64">
        <f>9.3264 * CHOOSE(CONTROL!$C$22, $C$13, 100%, $E$13)</f>
        <v>9.3263999999999996</v>
      </c>
    </row>
    <row r="518" spans="1:11" ht="15">
      <c r="A518" s="13">
        <v>57254</v>
      </c>
      <c r="B518" s="63">
        <f>7.9424 * CHOOSE(CONTROL!$C$22, $C$13, 100%, $E$13)</f>
        <v>7.9424000000000001</v>
      </c>
      <c r="C518" s="63">
        <f>7.9424 * CHOOSE(CONTROL!$C$22, $C$13, 100%, $E$13)</f>
        <v>7.9424000000000001</v>
      </c>
      <c r="D518" s="63">
        <f>7.9424 * CHOOSE(CONTROL!$C$22, $C$13, 100%, $E$13)</f>
        <v>7.9424000000000001</v>
      </c>
      <c r="E518" s="64">
        <f>9.3622 * CHOOSE(CONTROL!$C$22, $C$13, 100%, $E$13)</f>
        <v>9.3621999999999996</v>
      </c>
      <c r="F518" s="64">
        <f>9.3622 * CHOOSE(CONTROL!$C$22, $C$13, 100%, $E$13)</f>
        <v>9.3621999999999996</v>
      </c>
      <c r="G518" s="64">
        <f>9.3623 * CHOOSE(CONTROL!$C$22, $C$13, 100%, $E$13)</f>
        <v>9.3622999999999994</v>
      </c>
      <c r="H518" s="64">
        <f>15.1856* CHOOSE(CONTROL!$C$22, $C$13, 100%, $E$13)</f>
        <v>15.185600000000001</v>
      </c>
      <c r="I518" s="64">
        <f>15.1856 * CHOOSE(CONTROL!$C$22, $C$13, 100%, $E$13)</f>
        <v>15.185600000000001</v>
      </c>
      <c r="J518" s="64">
        <f>9.3622 * CHOOSE(CONTROL!$C$22, $C$13, 100%, $E$13)</f>
        <v>9.3621999999999996</v>
      </c>
      <c r="K518" s="64">
        <f>9.3623 * CHOOSE(CONTROL!$C$22, $C$13, 100%, $E$13)</f>
        <v>9.3622999999999994</v>
      </c>
    </row>
    <row r="519" spans="1:11" ht="15">
      <c r="A519" s="13">
        <v>57285</v>
      </c>
      <c r="B519" s="63">
        <f>7.9454 * CHOOSE(CONTROL!$C$22, $C$13, 100%, $E$13)</f>
        <v>7.9454000000000002</v>
      </c>
      <c r="C519" s="63">
        <f>7.9454 * CHOOSE(CONTROL!$C$22, $C$13, 100%, $E$13)</f>
        <v>7.9454000000000002</v>
      </c>
      <c r="D519" s="63">
        <f>7.9455 * CHOOSE(CONTROL!$C$22, $C$13, 100%, $E$13)</f>
        <v>7.9455</v>
      </c>
      <c r="E519" s="64">
        <f>9.3968 * CHOOSE(CONTROL!$C$22, $C$13, 100%, $E$13)</f>
        <v>9.3968000000000007</v>
      </c>
      <c r="F519" s="64">
        <f>9.3968 * CHOOSE(CONTROL!$C$22, $C$13, 100%, $E$13)</f>
        <v>9.3968000000000007</v>
      </c>
      <c r="G519" s="64">
        <f>9.3968 * CHOOSE(CONTROL!$C$22, $C$13, 100%, $E$13)</f>
        <v>9.3968000000000007</v>
      </c>
      <c r="H519" s="64">
        <f>15.2172* CHOOSE(CONTROL!$C$22, $C$13, 100%, $E$13)</f>
        <v>15.2172</v>
      </c>
      <c r="I519" s="64">
        <f>15.2173 * CHOOSE(CONTROL!$C$22, $C$13, 100%, $E$13)</f>
        <v>15.2173</v>
      </c>
      <c r="J519" s="64">
        <f>9.3968 * CHOOSE(CONTROL!$C$22, $C$13, 100%, $E$13)</f>
        <v>9.3968000000000007</v>
      </c>
      <c r="K519" s="64">
        <f>9.3968 * CHOOSE(CONTROL!$C$22, $C$13, 100%, $E$13)</f>
        <v>9.3968000000000007</v>
      </c>
    </row>
    <row r="520" spans="1:11" ht="15">
      <c r="A520" s="13">
        <v>57315</v>
      </c>
      <c r="B520" s="63">
        <f>7.9454 * CHOOSE(CONTROL!$C$22, $C$13, 100%, $E$13)</f>
        <v>7.9454000000000002</v>
      </c>
      <c r="C520" s="63">
        <f>7.9454 * CHOOSE(CONTROL!$C$22, $C$13, 100%, $E$13)</f>
        <v>7.9454000000000002</v>
      </c>
      <c r="D520" s="63">
        <f>7.9455 * CHOOSE(CONTROL!$C$22, $C$13, 100%, $E$13)</f>
        <v>7.9455</v>
      </c>
      <c r="E520" s="64">
        <f>9.3157 * CHOOSE(CONTROL!$C$22, $C$13, 100%, $E$13)</f>
        <v>9.3156999999999996</v>
      </c>
      <c r="F520" s="64">
        <f>9.3157 * CHOOSE(CONTROL!$C$22, $C$13, 100%, $E$13)</f>
        <v>9.3156999999999996</v>
      </c>
      <c r="G520" s="64">
        <f>9.3158 * CHOOSE(CONTROL!$C$22, $C$13, 100%, $E$13)</f>
        <v>9.3157999999999994</v>
      </c>
      <c r="H520" s="64">
        <f>15.2489* CHOOSE(CONTROL!$C$22, $C$13, 100%, $E$13)</f>
        <v>15.248900000000001</v>
      </c>
      <c r="I520" s="64">
        <f>15.249 * CHOOSE(CONTROL!$C$22, $C$13, 100%, $E$13)</f>
        <v>15.249000000000001</v>
      </c>
      <c r="J520" s="64">
        <f>9.3157 * CHOOSE(CONTROL!$C$22, $C$13, 100%, $E$13)</f>
        <v>9.3156999999999996</v>
      </c>
      <c r="K520" s="64">
        <f>9.3158 * CHOOSE(CONTROL!$C$22, $C$13, 100%, $E$13)</f>
        <v>9.3157999999999994</v>
      </c>
    </row>
    <row r="521" spans="1:11" ht="15">
      <c r="A521" s="13">
        <v>57346</v>
      </c>
      <c r="B521" s="63">
        <f>8.0136 * CHOOSE(CONTROL!$C$22, $C$13, 100%, $E$13)</f>
        <v>8.0136000000000003</v>
      </c>
      <c r="C521" s="63">
        <f>8.0136 * CHOOSE(CONTROL!$C$22, $C$13, 100%, $E$13)</f>
        <v>8.0136000000000003</v>
      </c>
      <c r="D521" s="63">
        <f>8.0136 * CHOOSE(CONTROL!$C$22, $C$13, 100%, $E$13)</f>
        <v>8.0136000000000003</v>
      </c>
      <c r="E521" s="64">
        <f>9.4498 * CHOOSE(CONTROL!$C$22, $C$13, 100%, $E$13)</f>
        <v>9.4497999999999998</v>
      </c>
      <c r="F521" s="64">
        <f>9.4498 * CHOOSE(CONTROL!$C$22, $C$13, 100%, $E$13)</f>
        <v>9.4497999999999998</v>
      </c>
      <c r="G521" s="64">
        <f>9.4499 * CHOOSE(CONTROL!$C$22, $C$13, 100%, $E$13)</f>
        <v>9.4498999999999995</v>
      </c>
      <c r="H521" s="64">
        <f>15.2807* CHOOSE(CONTROL!$C$22, $C$13, 100%, $E$13)</f>
        <v>15.2807</v>
      </c>
      <c r="I521" s="64">
        <f>15.2808 * CHOOSE(CONTROL!$C$22, $C$13, 100%, $E$13)</f>
        <v>15.280799999999999</v>
      </c>
      <c r="J521" s="64">
        <f>9.4498 * CHOOSE(CONTROL!$C$22, $C$13, 100%, $E$13)</f>
        <v>9.4497999999999998</v>
      </c>
      <c r="K521" s="64">
        <f>9.4499 * CHOOSE(CONTROL!$C$22, $C$13, 100%, $E$13)</f>
        <v>9.4498999999999995</v>
      </c>
    </row>
    <row r="522" spans="1:11" ht="15">
      <c r="A522" s="13">
        <v>57377</v>
      </c>
      <c r="B522" s="63">
        <f>8.0106 * CHOOSE(CONTROL!$C$22, $C$13, 100%, $E$13)</f>
        <v>8.0106000000000002</v>
      </c>
      <c r="C522" s="63">
        <f>8.0106 * CHOOSE(CONTROL!$C$22, $C$13, 100%, $E$13)</f>
        <v>8.0106000000000002</v>
      </c>
      <c r="D522" s="63">
        <f>8.0106 * CHOOSE(CONTROL!$C$22, $C$13, 100%, $E$13)</f>
        <v>8.0106000000000002</v>
      </c>
      <c r="E522" s="64">
        <f>9.2901 * CHOOSE(CONTROL!$C$22, $C$13, 100%, $E$13)</f>
        <v>9.2901000000000007</v>
      </c>
      <c r="F522" s="64">
        <f>9.2901 * CHOOSE(CONTROL!$C$22, $C$13, 100%, $E$13)</f>
        <v>9.2901000000000007</v>
      </c>
      <c r="G522" s="64">
        <f>9.2902 * CHOOSE(CONTROL!$C$22, $C$13, 100%, $E$13)</f>
        <v>9.2902000000000005</v>
      </c>
      <c r="H522" s="64">
        <f>15.3125* CHOOSE(CONTROL!$C$22, $C$13, 100%, $E$13)</f>
        <v>15.3125</v>
      </c>
      <c r="I522" s="64">
        <f>15.3126 * CHOOSE(CONTROL!$C$22, $C$13, 100%, $E$13)</f>
        <v>15.3126</v>
      </c>
      <c r="J522" s="64">
        <f>9.2901 * CHOOSE(CONTROL!$C$22, $C$13, 100%, $E$13)</f>
        <v>9.2901000000000007</v>
      </c>
      <c r="K522" s="64">
        <f>9.2902 * CHOOSE(CONTROL!$C$22, $C$13, 100%, $E$13)</f>
        <v>9.2902000000000005</v>
      </c>
    </row>
    <row r="523" spans="1:11" ht="15">
      <c r="A523" s="13">
        <v>57405</v>
      </c>
      <c r="B523" s="63">
        <f>8.0075 * CHOOSE(CONTROL!$C$22, $C$13, 100%, $E$13)</f>
        <v>8.0075000000000003</v>
      </c>
      <c r="C523" s="63">
        <f>8.0075 * CHOOSE(CONTROL!$C$22, $C$13, 100%, $E$13)</f>
        <v>8.0075000000000003</v>
      </c>
      <c r="D523" s="63">
        <f>8.0076 * CHOOSE(CONTROL!$C$22, $C$13, 100%, $E$13)</f>
        <v>8.0076000000000001</v>
      </c>
      <c r="E523" s="64">
        <f>9.4122 * CHOOSE(CONTROL!$C$22, $C$13, 100%, $E$13)</f>
        <v>9.4122000000000003</v>
      </c>
      <c r="F523" s="64">
        <f>9.4122 * CHOOSE(CONTROL!$C$22, $C$13, 100%, $E$13)</f>
        <v>9.4122000000000003</v>
      </c>
      <c r="G523" s="64">
        <f>9.4123 * CHOOSE(CONTROL!$C$22, $C$13, 100%, $E$13)</f>
        <v>9.4123000000000001</v>
      </c>
      <c r="H523" s="64">
        <f>15.3444* CHOOSE(CONTROL!$C$22, $C$13, 100%, $E$13)</f>
        <v>15.3444</v>
      </c>
      <c r="I523" s="64">
        <f>15.3445 * CHOOSE(CONTROL!$C$22, $C$13, 100%, $E$13)</f>
        <v>15.3445</v>
      </c>
      <c r="J523" s="64">
        <f>9.4122 * CHOOSE(CONTROL!$C$22, $C$13, 100%, $E$13)</f>
        <v>9.4122000000000003</v>
      </c>
      <c r="K523" s="64">
        <f>9.4123 * CHOOSE(CONTROL!$C$22, $C$13, 100%, $E$13)</f>
        <v>9.4123000000000001</v>
      </c>
    </row>
    <row r="524" spans="1:11" ht="15">
      <c r="A524" s="13">
        <v>57436</v>
      </c>
      <c r="B524" s="63">
        <f>8.0086 * CHOOSE(CONTROL!$C$22, $C$13, 100%, $E$13)</f>
        <v>8.0085999999999995</v>
      </c>
      <c r="C524" s="63">
        <f>8.0086 * CHOOSE(CONTROL!$C$22, $C$13, 100%, $E$13)</f>
        <v>8.0085999999999995</v>
      </c>
      <c r="D524" s="63">
        <f>8.0086 * CHOOSE(CONTROL!$C$22, $C$13, 100%, $E$13)</f>
        <v>8.0085999999999995</v>
      </c>
      <c r="E524" s="64">
        <f>9.5413 * CHOOSE(CONTROL!$C$22, $C$13, 100%, $E$13)</f>
        <v>9.5412999999999997</v>
      </c>
      <c r="F524" s="64">
        <f>9.5413 * CHOOSE(CONTROL!$C$22, $C$13, 100%, $E$13)</f>
        <v>9.5412999999999997</v>
      </c>
      <c r="G524" s="64">
        <f>9.5414 * CHOOSE(CONTROL!$C$22, $C$13, 100%, $E$13)</f>
        <v>9.5413999999999994</v>
      </c>
      <c r="H524" s="64">
        <f>15.3764* CHOOSE(CONTROL!$C$22, $C$13, 100%, $E$13)</f>
        <v>15.3764</v>
      </c>
      <c r="I524" s="64">
        <f>15.3765 * CHOOSE(CONTROL!$C$22, $C$13, 100%, $E$13)</f>
        <v>15.3765</v>
      </c>
      <c r="J524" s="64">
        <f>9.5413 * CHOOSE(CONTROL!$C$22, $C$13, 100%, $E$13)</f>
        <v>9.5412999999999997</v>
      </c>
      <c r="K524" s="64">
        <f>9.5414 * CHOOSE(CONTROL!$C$22, $C$13, 100%, $E$13)</f>
        <v>9.5413999999999994</v>
      </c>
    </row>
    <row r="525" spans="1:11" ht="15">
      <c r="A525" s="13">
        <v>57466</v>
      </c>
      <c r="B525" s="63">
        <f>8.0086 * CHOOSE(CONTROL!$C$22, $C$13, 100%, $E$13)</f>
        <v>8.0085999999999995</v>
      </c>
      <c r="C525" s="63">
        <f>8.0086 * CHOOSE(CONTROL!$C$22, $C$13, 100%, $E$13)</f>
        <v>8.0085999999999995</v>
      </c>
      <c r="D525" s="63">
        <f>8.0216 * CHOOSE(CONTROL!$C$22, $C$13, 100%, $E$13)</f>
        <v>8.0215999999999994</v>
      </c>
      <c r="E525" s="64">
        <f>9.5913 * CHOOSE(CONTROL!$C$22, $C$13, 100%, $E$13)</f>
        <v>9.5913000000000004</v>
      </c>
      <c r="F525" s="64">
        <f>9.5913 * CHOOSE(CONTROL!$C$22, $C$13, 100%, $E$13)</f>
        <v>9.5913000000000004</v>
      </c>
      <c r="G525" s="64">
        <f>9.607 * CHOOSE(CONTROL!$C$22, $C$13, 100%, $E$13)</f>
        <v>9.6069999999999993</v>
      </c>
      <c r="H525" s="64">
        <f>15.4084* CHOOSE(CONTROL!$C$22, $C$13, 100%, $E$13)</f>
        <v>15.4084</v>
      </c>
      <c r="I525" s="64">
        <f>15.4241 * CHOOSE(CONTROL!$C$22, $C$13, 100%, $E$13)</f>
        <v>15.424099999999999</v>
      </c>
      <c r="J525" s="64">
        <f>9.5913 * CHOOSE(CONTROL!$C$22, $C$13, 100%, $E$13)</f>
        <v>9.5913000000000004</v>
      </c>
      <c r="K525" s="64">
        <f>9.607 * CHOOSE(CONTROL!$C$22, $C$13, 100%, $E$13)</f>
        <v>9.6069999999999993</v>
      </c>
    </row>
    <row r="526" spans="1:11" ht="15">
      <c r="A526" s="13">
        <v>57497</v>
      </c>
      <c r="B526" s="63">
        <f>8.0147 * CHOOSE(CONTROL!$C$22, $C$13, 100%, $E$13)</f>
        <v>8.0146999999999995</v>
      </c>
      <c r="C526" s="63">
        <f>8.0147 * CHOOSE(CONTROL!$C$22, $C$13, 100%, $E$13)</f>
        <v>8.0146999999999995</v>
      </c>
      <c r="D526" s="63">
        <f>8.0277 * CHOOSE(CONTROL!$C$22, $C$13, 100%, $E$13)</f>
        <v>8.0276999999999994</v>
      </c>
      <c r="E526" s="64">
        <f>9.5456 * CHOOSE(CONTROL!$C$22, $C$13, 100%, $E$13)</f>
        <v>9.5456000000000003</v>
      </c>
      <c r="F526" s="64">
        <f>9.5456 * CHOOSE(CONTROL!$C$22, $C$13, 100%, $E$13)</f>
        <v>9.5456000000000003</v>
      </c>
      <c r="G526" s="64">
        <f>9.5612 * CHOOSE(CONTROL!$C$22, $C$13, 100%, $E$13)</f>
        <v>9.5611999999999995</v>
      </c>
      <c r="H526" s="64">
        <f>15.4405* CHOOSE(CONTROL!$C$22, $C$13, 100%, $E$13)</f>
        <v>15.4405</v>
      </c>
      <c r="I526" s="64">
        <f>15.4562 * CHOOSE(CONTROL!$C$22, $C$13, 100%, $E$13)</f>
        <v>15.456200000000001</v>
      </c>
      <c r="J526" s="64">
        <f>9.5456 * CHOOSE(CONTROL!$C$22, $C$13, 100%, $E$13)</f>
        <v>9.5456000000000003</v>
      </c>
      <c r="K526" s="64">
        <f>9.5612 * CHOOSE(CONTROL!$C$22, $C$13, 100%, $E$13)</f>
        <v>9.5611999999999995</v>
      </c>
    </row>
    <row r="527" spans="1:11" ht="15">
      <c r="A527" s="13">
        <v>57527</v>
      </c>
      <c r="B527" s="63">
        <f>8.1404 * CHOOSE(CONTROL!$C$22, $C$13, 100%, $E$13)</f>
        <v>8.1403999999999996</v>
      </c>
      <c r="C527" s="63">
        <f>8.1404 * CHOOSE(CONTROL!$C$22, $C$13, 100%, $E$13)</f>
        <v>8.1403999999999996</v>
      </c>
      <c r="D527" s="63">
        <f>8.1534 * CHOOSE(CONTROL!$C$22, $C$13, 100%, $E$13)</f>
        <v>8.1533999999999995</v>
      </c>
      <c r="E527" s="64">
        <f>9.7022 * CHOOSE(CONTROL!$C$22, $C$13, 100%, $E$13)</f>
        <v>9.7021999999999995</v>
      </c>
      <c r="F527" s="64">
        <f>9.7022 * CHOOSE(CONTROL!$C$22, $C$13, 100%, $E$13)</f>
        <v>9.7021999999999995</v>
      </c>
      <c r="G527" s="64">
        <f>9.7179 * CHOOSE(CONTROL!$C$22, $C$13, 100%, $E$13)</f>
        <v>9.7179000000000002</v>
      </c>
      <c r="H527" s="64">
        <f>15.4727* CHOOSE(CONTROL!$C$22, $C$13, 100%, $E$13)</f>
        <v>15.4727</v>
      </c>
      <c r="I527" s="64">
        <f>15.4884 * CHOOSE(CONTROL!$C$22, $C$13, 100%, $E$13)</f>
        <v>15.4884</v>
      </c>
      <c r="J527" s="64">
        <f>9.7022 * CHOOSE(CONTROL!$C$22, $C$13, 100%, $E$13)</f>
        <v>9.7021999999999995</v>
      </c>
      <c r="K527" s="64">
        <f>9.7179 * CHOOSE(CONTROL!$C$22, $C$13, 100%, $E$13)</f>
        <v>9.7179000000000002</v>
      </c>
    </row>
    <row r="528" spans="1:11" ht="15">
      <c r="A528" s="13">
        <v>57558</v>
      </c>
      <c r="B528" s="63">
        <f>8.1471 * CHOOSE(CONTROL!$C$22, $C$13, 100%, $E$13)</f>
        <v>8.1471</v>
      </c>
      <c r="C528" s="63">
        <f>8.1471 * CHOOSE(CONTROL!$C$22, $C$13, 100%, $E$13)</f>
        <v>8.1471</v>
      </c>
      <c r="D528" s="63">
        <f>8.1601 * CHOOSE(CONTROL!$C$22, $C$13, 100%, $E$13)</f>
        <v>8.1600999999999999</v>
      </c>
      <c r="E528" s="64">
        <f>9.5568 * CHOOSE(CONTROL!$C$22, $C$13, 100%, $E$13)</f>
        <v>9.5568000000000008</v>
      </c>
      <c r="F528" s="64">
        <f>9.5568 * CHOOSE(CONTROL!$C$22, $C$13, 100%, $E$13)</f>
        <v>9.5568000000000008</v>
      </c>
      <c r="G528" s="64">
        <f>9.5725 * CHOOSE(CONTROL!$C$22, $C$13, 100%, $E$13)</f>
        <v>9.5724999999999998</v>
      </c>
      <c r="H528" s="64">
        <f>15.5049* CHOOSE(CONTROL!$C$22, $C$13, 100%, $E$13)</f>
        <v>15.504899999999999</v>
      </c>
      <c r="I528" s="64">
        <f>15.5206 * CHOOSE(CONTROL!$C$22, $C$13, 100%, $E$13)</f>
        <v>15.5206</v>
      </c>
      <c r="J528" s="64">
        <f>9.5568 * CHOOSE(CONTROL!$C$22, $C$13, 100%, $E$13)</f>
        <v>9.5568000000000008</v>
      </c>
      <c r="K528" s="64">
        <f>9.5725 * CHOOSE(CONTROL!$C$22, $C$13, 100%, $E$13)</f>
        <v>9.5724999999999998</v>
      </c>
    </row>
    <row r="529" spans="1:11" ht="15">
      <c r="A529" s="13">
        <v>57589</v>
      </c>
      <c r="B529" s="63">
        <f>8.1441 * CHOOSE(CONTROL!$C$22, $C$13, 100%, $E$13)</f>
        <v>8.1440999999999999</v>
      </c>
      <c r="C529" s="63">
        <f>8.1441 * CHOOSE(CONTROL!$C$22, $C$13, 100%, $E$13)</f>
        <v>8.1440999999999999</v>
      </c>
      <c r="D529" s="63">
        <f>8.157 * CHOOSE(CONTROL!$C$22, $C$13, 100%, $E$13)</f>
        <v>8.157</v>
      </c>
      <c r="E529" s="64">
        <f>9.538 * CHOOSE(CONTROL!$C$22, $C$13, 100%, $E$13)</f>
        <v>9.5380000000000003</v>
      </c>
      <c r="F529" s="64">
        <f>9.538 * CHOOSE(CONTROL!$C$22, $C$13, 100%, $E$13)</f>
        <v>9.5380000000000003</v>
      </c>
      <c r="G529" s="64">
        <f>9.5537 * CHOOSE(CONTROL!$C$22, $C$13, 100%, $E$13)</f>
        <v>9.5536999999999992</v>
      </c>
      <c r="H529" s="64">
        <f>15.5372* CHOOSE(CONTROL!$C$22, $C$13, 100%, $E$13)</f>
        <v>15.5372</v>
      </c>
      <c r="I529" s="64">
        <f>15.5529 * CHOOSE(CONTROL!$C$22, $C$13, 100%, $E$13)</f>
        <v>15.552899999999999</v>
      </c>
      <c r="J529" s="64">
        <f>9.538 * CHOOSE(CONTROL!$C$22, $C$13, 100%, $E$13)</f>
        <v>9.5380000000000003</v>
      </c>
      <c r="K529" s="64">
        <f>9.5537 * CHOOSE(CONTROL!$C$22, $C$13, 100%, $E$13)</f>
        <v>9.5536999999999992</v>
      </c>
    </row>
    <row r="530" spans="1:11" ht="15">
      <c r="A530" s="13">
        <v>57619</v>
      </c>
      <c r="B530" s="63">
        <f>8.1527 * CHOOSE(CONTROL!$C$22, $C$13, 100%, $E$13)</f>
        <v>8.1526999999999994</v>
      </c>
      <c r="C530" s="63">
        <f>8.1527 * CHOOSE(CONTROL!$C$22, $C$13, 100%, $E$13)</f>
        <v>8.1526999999999994</v>
      </c>
      <c r="D530" s="63">
        <f>8.1527 * CHOOSE(CONTROL!$C$22, $C$13, 100%, $E$13)</f>
        <v>8.1526999999999994</v>
      </c>
      <c r="E530" s="64">
        <f>9.5913 * CHOOSE(CONTROL!$C$22, $C$13, 100%, $E$13)</f>
        <v>9.5913000000000004</v>
      </c>
      <c r="F530" s="64">
        <f>9.5913 * CHOOSE(CONTROL!$C$22, $C$13, 100%, $E$13)</f>
        <v>9.5913000000000004</v>
      </c>
      <c r="G530" s="64">
        <f>9.5914 * CHOOSE(CONTROL!$C$22, $C$13, 100%, $E$13)</f>
        <v>9.5914000000000001</v>
      </c>
      <c r="H530" s="64">
        <f>15.5696* CHOOSE(CONTROL!$C$22, $C$13, 100%, $E$13)</f>
        <v>15.569599999999999</v>
      </c>
      <c r="I530" s="64">
        <f>15.5697 * CHOOSE(CONTROL!$C$22, $C$13, 100%, $E$13)</f>
        <v>15.569699999999999</v>
      </c>
      <c r="J530" s="64">
        <f>9.5913 * CHOOSE(CONTROL!$C$22, $C$13, 100%, $E$13)</f>
        <v>9.5913000000000004</v>
      </c>
      <c r="K530" s="64">
        <f>9.5914 * CHOOSE(CONTROL!$C$22, $C$13, 100%, $E$13)</f>
        <v>9.5914000000000001</v>
      </c>
    </row>
    <row r="531" spans="1:11" ht="15">
      <c r="A531" s="13">
        <v>57650</v>
      </c>
      <c r="B531" s="63">
        <f>8.1558 * CHOOSE(CONTROL!$C$22, $C$13, 100%, $E$13)</f>
        <v>8.1557999999999993</v>
      </c>
      <c r="C531" s="63">
        <f>8.1558 * CHOOSE(CONTROL!$C$22, $C$13, 100%, $E$13)</f>
        <v>8.1557999999999993</v>
      </c>
      <c r="D531" s="63">
        <f>8.1558 * CHOOSE(CONTROL!$C$22, $C$13, 100%, $E$13)</f>
        <v>8.1557999999999993</v>
      </c>
      <c r="E531" s="64">
        <f>9.6267 * CHOOSE(CONTROL!$C$22, $C$13, 100%, $E$13)</f>
        <v>9.6266999999999996</v>
      </c>
      <c r="F531" s="64">
        <f>9.6267 * CHOOSE(CONTROL!$C$22, $C$13, 100%, $E$13)</f>
        <v>9.6266999999999996</v>
      </c>
      <c r="G531" s="64">
        <f>9.6268 * CHOOSE(CONTROL!$C$22, $C$13, 100%, $E$13)</f>
        <v>9.6267999999999994</v>
      </c>
      <c r="H531" s="64">
        <f>15.602* CHOOSE(CONTROL!$C$22, $C$13, 100%, $E$13)</f>
        <v>15.602</v>
      </c>
      <c r="I531" s="64">
        <f>15.6021 * CHOOSE(CONTROL!$C$22, $C$13, 100%, $E$13)</f>
        <v>15.6021</v>
      </c>
      <c r="J531" s="64">
        <f>9.6267 * CHOOSE(CONTROL!$C$22, $C$13, 100%, $E$13)</f>
        <v>9.6266999999999996</v>
      </c>
      <c r="K531" s="64">
        <f>9.6268 * CHOOSE(CONTROL!$C$22, $C$13, 100%, $E$13)</f>
        <v>9.6267999999999994</v>
      </c>
    </row>
    <row r="532" spans="1:11" ht="15">
      <c r="A532" s="13">
        <v>57680</v>
      </c>
      <c r="B532" s="63">
        <f>8.1558 * CHOOSE(CONTROL!$C$22, $C$13, 100%, $E$13)</f>
        <v>8.1557999999999993</v>
      </c>
      <c r="C532" s="63">
        <f>8.1558 * CHOOSE(CONTROL!$C$22, $C$13, 100%, $E$13)</f>
        <v>8.1557999999999993</v>
      </c>
      <c r="D532" s="63">
        <f>8.1558 * CHOOSE(CONTROL!$C$22, $C$13, 100%, $E$13)</f>
        <v>8.1557999999999993</v>
      </c>
      <c r="E532" s="64">
        <f>9.5434 * CHOOSE(CONTROL!$C$22, $C$13, 100%, $E$13)</f>
        <v>9.5434000000000001</v>
      </c>
      <c r="F532" s="64">
        <f>9.5434 * CHOOSE(CONTROL!$C$22, $C$13, 100%, $E$13)</f>
        <v>9.5434000000000001</v>
      </c>
      <c r="G532" s="64">
        <f>9.5435 * CHOOSE(CONTROL!$C$22, $C$13, 100%, $E$13)</f>
        <v>9.5434999999999999</v>
      </c>
      <c r="H532" s="64">
        <f>15.6345* CHOOSE(CONTROL!$C$22, $C$13, 100%, $E$13)</f>
        <v>15.634499999999999</v>
      </c>
      <c r="I532" s="64">
        <f>15.6346 * CHOOSE(CONTROL!$C$22, $C$13, 100%, $E$13)</f>
        <v>15.634600000000001</v>
      </c>
      <c r="J532" s="64">
        <f>9.5434 * CHOOSE(CONTROL!$C$22, $C$13, 100%, $E$13)</f>
        <v>9.5434000000000001</v>
      </c>
      <c r="K532" s="64">
        <f>9.5435 * CHOOSE(CONTROL!$C$22, $C$13, 100%, $E$13)</f>
        <v>9.5434999999999999</v>
      </c>
    </row>
    <row r="533" spans="1:11" ht="15">
      <c r="A533" s="13">
        <v>57711</v>
      </c>
      <c r="B533" s="63">
        <f>8.2256 * CHOOSE(CONTROL!$C$22, $C$13, 100%, $E$13)</f>
        <v>8.2256</v>
      </c>
      <c r="C533" s="63">
        <f>8.2256 * CHOOSE(CONTROL!$C$22, $C$13, 100%, $E$13)</f>
        <v>8.2256</v>
      </c>
      <c r="D533" s="63">
        <f>8.2256 * CHOOSE(CONTROL!$C$22, $C$13, 100%, $E$13)</f>
        <v>8.2256</v>
      </c>
      <c r="E533" s="64">
        <f>9.6809 * CHOOSE(CONTROL!$C$22, $C$13, 100%, $E$13)</f>
        <v>9.6808999999999994</v>
      </c>
      <c r="F533" s="64">
        <f>9.6809 * CHOOSE(CONTROL!$C$22, $C$13, 100%, $E$13)</f>
        <v>9.6808999999999994</v>
      </c>
      <c r="G533" s="64">
        <f>9.681 * CHOOSE(CONTROL!$C$22, $C$13, 100%, $E$13)</f>
        <v>9.6809999999999992</v>
      </c>
      <c r="H533" s="64">
        <f>15.6671* CHOOSE(CONTROL!$C$22, $C$13, 100%, $E$13)</f>
        <v>15.6671</v>
      </c>
      <c r="I533" s="64">
        <f>15.6672 * CHOOSE(CONTROL!$C$22, $C$13, 100%, $E$13)</f>
        <v>15.667199999999999</v>
      </c>
      <c r="J533" s="64">
        <f>9.6809 * CHOOSE(CONTROL!$C$22, $C$13, 100%, $E$13)</f>
        <v>9.6808999999999994</v>
      </c>
      <c r="K533" s="64">
        <f>9.681 * CHOOSE(CONTROL!$C$22, $C$13, 100%, $E$13)</f>
        <v>9.6809999999999992</v>
      </c>
    </row>
    <row r="534" spans="1:11" ht="15">
      <c r="A534" s="13">
        <v>57742</v>
      </c>
      <c r="B534" s="63">
        <f>8.2226 * CHOOSE(CONTROL!$C$22, $C$13, 100%, $E$13)</f>
        <v>8.2225999999999999</v>
      </c>
      <c r="C534" s="63">
        <f>8.2226 * CHOOSE(CONTROL!$C$22, $C$13, 100%, $E$13)</f>
        <v>8.2225999999999999</v>
      </c>
      <c r="D534" s="63">
        <f>8.2226 * CHOOSE(CONTROL!$C$22, $C$13, 100%, $E$13)</f>
        <v>8.2225999999999999</v>
      </c>
      <c r="E534" s="64">
        <f>9.5169 * CHOOSE(CONTROL!$C$22, $C$13, 100%, $E$13)</f>
        <v>9.5168999999999997</v>
      </c>
      <c r="F534" s="64">
        <f>9.5169 * CHOOSE(CONTROL!$C$22, $C$13, 100%, $E$13)</f>
        <v>9.5168999999999997</v>
      </c>
      <c r="G534" s="64">
        <f>9.517 * CHOOSE(CONTROL!$C$22, $C$13, 100%, $E$13)</f>
        <v>9.5169999999999995</v>
      </c>
      <c r="H534" s="64">
        <f>15.6997* CHOOSE(CONTROL!$C$22, $C$13, 100%, $E$13)</f>
        <v>15.6997</v>
      </c>
      <c r="I534" s="64">
        <f>15.6998 * CHOOSE(CONTROL!$C$22, $C$13, 100%, $E$13)</f>
        <v>15.6998</v>
      </c>
      <c r="J534" s="64">
        <f>9.5169 * CHOOSE(CONTROL!$C$22, $C$13, 100%, $E$13)</f>
        <v>9.5168999999999997</v>
      </c>
      <c r="K534" s="64">
        <f>9.517 * CHOOSE(CONTROL!$C$22, $C$13, 100%, $E$13)</f>
        <v>9.5169999999999995</v>
      </c>
    </row>
    <row r="535" spans="1:11" ht="15">
      <c r="A535" s="13">
        <v>57770</v>
      </c>
      <c r="B535" s="63">
        <f>8.2195 * CHOOSE(CONTROL!$C$22, $C$13, 100%, $E$13)</f>
        <v>8.2195</v>
      </c>
      <c r="C535" s="63">
        <f>8.2195 * CHOOSE(CONTROL!$C$22, $C$13, 100%, $E$13)</f>
        <v>8.2195</v>
      </c>
      <c r="D535" s="63">
        <f>8.2195 * CHOOSE(CONTROL!$C$22, $C$13, 100%, $E$13)</f>
        <v>8.2195</v>
      </c>
      <c r="E535" s="64">
        <f>9.6424 * CHOOSE(CONTROL!$C$22, $C$13, 100%, $E$13)</f>
        <v>9.6424000000000003</v>
      </c>
      <c r="F535" s="64">
        <f>9.6424 * CHOOSE(CONTROL!$C$22, $C$13, 100%, $E$13)</f>
        <v>9.6424000000000003</v>
      </c>
      <c r="G535" s="64">
        <f>9.6425 * CHOOSE(CONTROL!$C$22, $C$13, 100%, $E$13)</f>
        <v>9.6425000000000001</v>
      </c>
      <c r="H535" s="64">
        <f>15.7324* CHOOSE(CONTROL!$C$22, $C$13, 100%, $E$13)</f>
        <v>15.7324</v>
      </c>
      <c r="I535" s="64">
        <f>15.7325 * CHOOSE(CONTROL!$C$22, $C$13, 100%, $E$13)</f>
        <v>15.7325</v>
      </c>
      <c r="J535" s="64">
        <f>9.6424 * CHOOSE(CONTROL!$C$22, $C$13, 100%, $E$13)</f>
        <v>9.6424000000000003</v>
      </c>
      <c r="K535" s="64">
        <f>9.6425 * CHOOSE(CONTROL!$C$22, $C$13, 100%, $E$13)</f>
        <v>9.6425000000000001</v>
      </c>
    </row>
    <row r="536" spans="1:11" ht="15">
      <c r="A536" s="13">
        <v>57801</v>
      </c>
      <c r="B536" s="63">
        <f>8.2208 * CHOOSE(CONTROL!$C$22, $C$13, 100%, $E$13)</f>
        <v>8.2208000000000006</v>
      </c>
      <c r="C536" s="63">
        <f>8.2208 * CHOOSE(CONTROL!$C$22, $C$13, 100%, $E$13)</f>
        <v>8.2208000000000006</v>
      </c>
      <c r="D536" s="63">
        <f>8.2208 * CHOOSE(CONTROL!$C$22, $C$13, 100%, $E$13)</f>
        <v>8.2208000000000006</v>
      </c>
      <c r="E536" s="64">
        <f>9.7753 * CHOOSE(CONTROL!$C$22, $C$13, 100%, $E$13)</f>
        <v>9.7752999999999997</v>
      </c>
      <c r="F536" s="64">
        <f>9.7753 * CHOOSE(CONTROL!$C$22, $C$13, 100%, $E$13)</f>
        <v>9.7752999999999997</v>
      </c>
      <c r="G536" s="64">
        <f>9.7754 * CHOOSE(CONTROL!$C$22, $C$13, 100%, $E$13)</f>
        <v>9.7753999999999994</v>
      </c>
      <c r="H536" s="64">
        <f>15.7652* CHOOSE(CONTROL!$C$22, $C$13, 100%, $E$13)</f>
        <v>15.7652</v>
      </c>
      <c r="I536" s="64">
        <f>15.7653 * CHOOSE(CONTROL!$C$22, $C$13, 100%, $E$13)</f>
        <v>15.7653</v>
      </c>
      <c r="J536" s="64">
        <f>9.7753 * CHOOSE(CONTROL!$C$22, $C$13, 100%, $E$13)</f>
        <v>9.7752999999999997</v>
      </c>
      <c r="K536" s="64">
        <f>9.7754 * CHOOSE(CONTROL!$C$22, $C$13, 100%, $E$13)</f>
        <v>9.7753999999999994</v>
      </c>
    </row>
    <row r="537" spans="1:11" ht="15">
      <c r="A537" s="13">
        <v>57831</v>
      </c>
      <c r="B537" s="63">
        <f>8.2208 * CHOOSE(CONTROL!$C$22, $C$13, 100%, $E$13)</f>
        <v>8.2208000000000006</v>
      </c>
      <c r="C537" s="63">
        <f>8.2208 * CHOOSE(CONTROL!$C$22, $C$13, 100%, $E$13)</f>
        <v>8.2208000000000006</v>
      </c>
      <c r="D537" s="63">
        <f>8.2338 * CHOOSE(CONTROL!$C$22, $C$13, 100%, $E$13)</f>
        <v>8.2338000000000005</v>
      </c>
      <c r="E537" s="64">
        <f>9.8267 * CHOOSE(CONTROL!$C$22, $C$13, 100%, $E$13)</f>
        <v>9.8267000000000007</v>
      </c>
      <c r="F537" s="64">
        <f>9.8267 * CHOOSE(CONTROL!$C$22, $C$13, 100%, $E$13)</f>
        <v>9.8267000000000007</v>
      </c>
      <c r="G537" s="64">
        <f>9.8424 * CHOOSE(CONTROL!$C$22, $C$13, 100%, $E$13)</f>
        <v>9.8423999999999996</v>
      </c>
      <c r="H537" s="64">
        <f>15.7981* CHOOSE(CONTROL!$C$22, $C$13, 100%, $E$13)</f>
        <v>15.7981</v>
      </c>
      <c r="I537" s="64">
        <f>15.8137 * CHOOSE(CONTROL!$C$22, $C$13, 100%, $E$13)</f>
        <v>15.813700000000001</v>
      </c>
      <c r="J537" s="64">
        <f>9.8267 * CHOOSE(CONTROL!$C$22, $C$13, 100%, $E$13)</f>
        <v>9.8267000000000007</v>
      </c>
      <c r="K537" s="64">
        <f>9.8424 * CHOOSE(CONTROL!$C$22, $C$13, 100%, $E$13)</f>
        <v>9.8423999999999996</v>
      </c>
    </row>
    <row r="538" spans="1:11" ht="15">
      <c r="A538" s="13">
        <v>57862</v>
      </c>
      <c r="B538" s="63">
        <f>8.2269 * CHOOSE(CONTROL!$C$22, $C$13, 100%, $E$13)</f>
        <v>8.2269000000000005</v>
      </c>
      <c r="C538" s="63">
        <f>8.2269 * CHOOSE(CONTROL!$C$22, $C$13, 100%, $E$13)</f>
        <v>8.2269000000000005</v>
      </c>
      <c r="D538" s="63">
        <f>8.2398 * CHOOSE(CONTROL!$C$22, $C$13, 100%, $E$13)</f>
        <v>8.2398000000000007</v>
      </c>
      <c r="E538" s="64">
        <f>9.7795 * CHOOSE(CONTROL!$C$22, $C$13, 100%, $E$13)</f>
        <v>9.7795000000000005</v>
      </c>
      <c r="F538" s="64">
        <f>9.7795 * CHOOSE(CONTROL!$C$22, $C$13, 100%, $E$13)</f>
        <v>9.7795000000000005</v>
      </c>
      <c r="G538" s="64">
        <f>9.7952 * CHOOSE(CONTROL!$C$22, $C$13, 100%, $E$13)</f>
        <v>9.7951999999999995</v>
      </c>
      <c r="H538" s="64">
        <f>15.831* CHOOSE(CONTROL!$C$22, $C$13, 100%, $E$13)</f>
        <v>15.831</v>
      </c>
      <c r="I538" s="64">
        <f>15.8467 * CHOOSE(CONTROL!$C$22, $C$13, 100%, $E$13)</f>
        <v>15.8467</v>
      </c>
      <c r="J538" s="64">
        <f>9.7795 * CHOOSE(CONTROL!$C$22, $C$13, 100%, $E$13)</f>
        <v>9.7795000000000005</v>
      </c>
      <c r="K538" s="64">
        <f>9.7952 * CHOOSE(CONTROL!$C$22, $C$13, 100%, $E$13)</f>
        <v>9.7951999999999995</v>
      </c>
    </row>
    <row r="539" spans="1:11" ht="15">
      <c r="A539" s="13">
        <v>57892</v>
      </c>
      <c r="B539" s="63">
        <f>8.3557 * CHOOSE(CONTROL!$C$22, $C$13, 100%, $E$13)</f>
        <v>8.3557000000000006</v>
      </c>
      <c r="C539" s="63">
        <f>8.3557 * CHOOSE(CONTROL!$C$22, $C$13, 100%, $E$13)</f>
        <v>8.3557000000000006</v>
      </c>
      <c r="D539" s="63">
        <f>8.3686 * CHOOSE(CONTROL!$C$22, $C$13, 100%, $E$13)</f>
        <v>8.3686000000000007</v>
      </c>
      <c r="E539" s="64">
        <f>9.9397 * CHOOSE(CONTROL!$C$22, $C$13, 100%, $E$13)</f>
        <v>9.9397000000000002</v>
      </c>
      <c r="F539" s="64">
        <f>9.9397 * CHOOSE(CONTROL!$C$22, $C$13, 100%, $E$13)</f>
        <v>9.9397000000000002</v>
      </c>
      <c r="G539" s="64">
        <f>9.9554 * CHOOSE(CONTROL!$C$22, $C$13, 100%, $E$13)</f>
        <v>9.9553999999999991</v>
      </c>
      <c r="H539" s="64">
        <f>15.864* CHOOSE(CONTROL!$C$22, $C$13, 100%, $E$13)</f>
        <v>15.864000000000001</v>
      </c>
      <c r="I539" s="64">
        <f>15.8796 * CHOOSE(CONTROL!$C$22, $C$13, 100%, $E$13)</f>
        <v>15.8796</v>
      </c>
      <c r="J539" s="64">
        <f>9.9397 * CHOOSE(CONTROL!$C$22, $C$13, 100%, $E$13)</f>
        <v>9.9397000000000002</v>
      </c>
      <c r="K539" s="64">
        <f>9.9554 * CHOOSE(CONTROL!$C$22, $C$13, 100%, $E$13)</f>
        <v>9.9553999999999991</v>
      </c>
    </row>
    <row r="540" spans="1:11" ht="15">
      <c r="A540" s="13">
        <v>57923</v>
      </c>
      <c r="B540" s="63">
        <f>8.3623 * CHOOSE(CONTROL!$C$22, $C$13, 100%, $E$13)</f>
        <v>8.3622999999999994</v>
      </c>
      <c r="C540" s="63">
        <f>8.3623 * CHOOSE(CONTROL!$C$22, $C$13, 100%, $E$13)</f>
        <v>8.3622999999999994</v>
      </c>
      <c r="D540" s="63">
        <f>8.3753 * CHOOSE(CONTROL!$C$22, $C$13, 100%, $E$13)</f>
        <v>8.3752999999999993</v>
      </c>
      <c r="E540" s="64">
        <f>9.7901 * CHOOSE(CONTROL!$C$22, $C$13, 100%, $E$13)</f>
        <v>9.7901000000000007</v>
      </c>
      <c r="F540" s="64">
        <f>9.7901 * CHOOSE(CONTROL!$C$22, $C$13, 100%, $E$13)</f>
        <v>9.7901000000000007</v>
      </c>
      <c r="G540" s="64">
        <f>9.8058 * CHOOSE(CONTROL!$C$22, $C$13, 100%, $E$13)</f>
        <v>9.8057999999999996</v>
      </c>
      <c r="H540" s="64">
        <f>15.897* CHOOSE(CONTROL!$C$22, $C$13, 100%, $E$13)</f>
        <v>15.897</v>
      </c>
      <c r="I540" s="64">
        <f>15.9127 * CHOOSE(CONTROL!$C$22, $C$13, 100%, $E$13)</f>
        <v>15.912699999999999</v>
      </c>
      <c r="J540" s="64">
        <f>9.7901 * CHOOSE(CONTROL!$C$22, $C$13, 100%, $E$13)</f>
        <v>9.7901000000000007</v>
      </c>
      <c r="K540" s="64">
        <f>9.8058 * CHOOSE(CONTROL!$C$22, $C$13, 100%, $E$13)</f>
        <v>9.8057999999999996</v>
      </c>
    </row>
    <row r="541" spans="1:11" ht="15">
      <c r="A541" s="13">
        <v>57954</v>
      </c>
      <c r="B541" s="63">
        <f>8.3593 * CHOOSE(CONTROL!$C$22, $C$13, 100%, $E$13)</f>
        <v>8.3592999999999993</v>
      </c>
      <c r="C541" s="63">
        <f>8.3593 * CHOOSE(CONTROL!$C$22, $C$13, 100%, $E$13)</f>
        <v>8.3592999999999993</v>
      </c>
      <c r="D541" s="63">
        <f>8.3723 * CHOOSE(CONTROL!$C$22, $C$13, 100%, $E$13)</f>
        <v>8.3722999999999992</v>
      </c>
      <c r="E541" s="64">
        <f>9.7709 * CHOOSE(CONTROL!$C$22, $C$13, 100%, $E$13)</f>
        <v>9.7708999999999993</v>
      </c>
      <c r="F541" s="64">
        <f>9.7709 * CHOOSE(CONTROL!$C$22, $C$13, 100%, $E$13)</f>
        <v>9.7708999999999993</v>
      </c>
      <c r="G541" s="64">
        <f>9.7865 * CHOOSE(CONTROL!$C$22, $C$13, 100%, $E$13)</f>
        <v>9.7865000000000002</v>
      </c>
      <c r="H541" s="64">
        <f>15.9301* CHOOSE(CONTROL!$C$22, $C$13, 100%, $E$13)</f>
        <v>15.930099999999999</v>
      </c>
      <c r="I541" s="64">
        <f>15.9458 * CHOOSE(CONTROL!$C$22, $C$13, 100%, $E$13)</f>
        <v>15.9458</v>
      </c>
      <c r="J541" s="64">
        <f>9.7709 * CHOOSE(CONTROL!$C$22, $C$13, 100%, $E$13)</f>
        <v>9.7708999999999993</v>
      </c>
      <c r="K541" s="64">
        <f>9.7865 * CHOOSE(CONTROL!$C$22, $C$13, 100%, $E$13)</f>
        <v>9.7865000000000002</v>
      </c>
    </row>
    <row r="542" spans="1:11" ht="15">
      <c r="A542" s="13">
        <v>57984</v>
      </c>
      <c r="B542" s="63">
        <f>8.3686 * CHOOSE(CONTROL!$C$22, $C$13, 100%, $E$13)</f>
        <v>8.3686000000000007</v>
      </c>
      <c r="C542" s="63">
        <f>8.3686 * CHOOSE(CONTROL!$C$22, $C$13, 100%, $E$13)</f>
        <v>8.3686000000000007</v>
      </c>
      <c r="D542" s="63">
        <f>8.3686 * CHOOSE(CONTROL!$C$22, $C$13, 100%, $E$13)</f>
        <v>8.3686000000000007</v>
      </c>
      <c r="E542" s="64">
        <f>9.826 * CHOOSE(CONTROL!$C$22, $C$13, 100%, $E$13)</f>
        <v>9.8260000000000005</v>
      </c>
      <c r="F542" s="64">
        <f>9.826 * CHOOSE(CONTROL!$C$22, $C$13, 100%, $E$13)</f>
        <v>9.8260000000000005</v>
      </c>
      <c r="G542" s="64">
        <f>9.8261 * CHOOSE(CONTROL!$C$22, $C$13, 100%, $E$13)</f>
        <v>9.8261000000000003</v>
      </c>
      <c r="H542" s="64">
        <f>15.9633* CHOOSE(CONTROL!$C$22, $C$13, 100%, $E$13)</f>
        <v>15.9633</v>
      </c>
      <c r="I542" s="64">
        <f>15.9634 * CHOOSE(CONTROL!$C$22, $C$13, 100%, $E$13)</f>
        <v>15.9634</v>
      </c>
      <c r="J542" s="64">
        <f>9.826 * CHOOSE(CONTROL!$C$22, $C$13, 100%, $E$13)</f>
        <v>9.8260000000000005</v>
      </c>
      <c r="K542" s="64">
        <f>9.8261 * CHOOSE(CONTROL!$C$22, $C$13, 100%, $E$13)</f>
        <v>9.8261000000000003</v>
      </c>
    </row>
    <row r="543" spans="1:11" ht="15">
      <c r="A543" s="13">
        <v>58015</v>
      </c>
      <c r="B543" s="63">
        <f>8.3717 * CHOOSE(CONTROL!$C$22, $C$13, 100%, $E$13)</f>
        <v>8.3717000000000006</v>
      </c>
      <c r="C543" s="63">
        <f>8.3717 * CHOOSE(CONTROL!$C$22, $C$13, 100%, $E$13)</f>
        <v>8.3717000000000006</v>
      </c>
      <c r="D543" s="63">
        <f>8.3717 * CHOOSE(CONTROL!$C$22, $C$13, 100%, $E$13)</f>
        <v>8.3717000000000006</v>
      </c>
      <c r="E543" s="64">
        <f>9.8624 * CHOOSE(CONTROL!$C$22, $C$13, 100%, $E$13)</f>
        <v>9.8623999999999992</v>
      </c>
      <c r="F543" s="64">
        <f>9.8624 * CHOOSE(CONTROL!$C$22, $C$13, 100%, $E$13)</f>
        <v>9.8623999999999992</v>
      </c>
      <c r="G543" s="64">
        <f>9.8625 * CHOOSE(CONTROL!$C$22, $C$13, 100%, $E$13)</f>
        <v>9.8625000000000007</v>
      </c>
      <c r="H543" s="64">
        <f>15.9966* CHOOSE(CONTROL!$C$22, $C$13, 100%, $E$13)</f>
        <v>15.996600000000001</v>
      </c>
      <c r="I543" s="64">
        <f>15.9967 * CHOOSE(CONTROL!$C$22, $C$13, 100%, $E$13)</f>
        <v>15.996700000000001</v>
      </c>
      <c r="J543" s="64">
        <f>9.8624 * CHOOSE(CONTROL!$C$22, $C$13, 100%, $E$13)</f>
        <v>9.8623999999999992</v>
      </c>
      <c r="K543" s="64">
        <f>9.8625 * CHOOSE(CONTROL!$C$22, $C$13, 100%, $E$13)</f>
        <v>9.8625000000000007</v>
      </c>
    </row>
    <row r="544" spans="1:11" ht="15">
      <c r="A544" s="13">
        <v>58045</v>
      </c>
      <c r="B544" s="63">
        <f>8.3717 * CHOOSE(CONTROL!$C$22, $C$13, 100%, $E$13)</f>
        <v>8.3717000000000006</v>
      </c>
      <c r="C544" s="63">
        <f>8.3717 * CHOOSE(CONTROL!$C$22, $C$13, 100%, $E$13)</f>
        <v>8.3717000000000006</v>
      </c>
      <c r="D544" s="63">
        <f>8.3717 * CHOOSE(CONTROL!$C$22, $C$13, 100%, $E$13)</f>
        <v>8.3717000000000006</v>
      </c>
      <c r="E544" s="64">
        <f>9.7767 * CHOOSE(CONTROL!$C$22, $C$13, 100%, $E$13)</f>
        <v>9.7766999999999999</v>
      </c>
      <c r="F544" s="64">
        <f>9.7767 * CHOOSE(CONTROL!$C$22, $C$13, 100%, $E$13)</f>
        <v>9.7766999999999999</v>
      </c>
      <c r="G544" s="64">
        <f>9.7768 * CHOOSE(CONTROL!$C$22, $C$13, 100%, $E$13)</f>
        <v>9.7767999999999997</v>
      </c>
      <c r="H544" s="64">
        <f>16.0299* CHOOSE(CONTROL!$C$22, $C$13, 100%, $E$13)</f>
        <v>16.029900000000001</v>
      </c>
      <c r="I544" s="64">
        <f>16.03 * CHOOSE(CONTROL!$C$22, $C$13, 100%, $E$13)</f>
        <v>16.03</v>
      </c>
      <c r="J544" s="64">
        <f>9.7767 * CHOOSE(CONTROL!$C$22, $C$13, 100%, $E$13)</f>
        <v>9.7766999999999999</v>
      </c>
      <c r="K544" s="64">
        <f>9.7768 * CHOOSE(CONTROL!$C$22, $C$13, 100%, $E$13)</f>
        <v>9.7767999999999997</v>
      </c>
    </row>
    <row r="545" spans="1:11" ht="15">
      <c r="A545" s="13">
        <v>58076</v>
      </c>
      <c r="B545" s="63">
        <f>8.4433 * CHOOSE(CONTROL!$C$22, $C$13, 100%, $E$13)</f>
        <v>8.4433000000000007</v>
      </c>
      <c r="C545" s="63">
        <f>8.4433 * CHOOSE(CONTROL!$C$22, $C$13, 100%, $E$13)</f>
        <v>8.4433000000000007</v>
      </c>
      <c r="D545" s="63">
        <f>8.4433 * CHOOSE(CONTROL!$C$22, $C$13, 100%, $E$13)</f>
        <v>8.4433000000000007</v>
      </c>
      <c r="E545" s="64">
        <f>9.9178 * CHOOSE(CONTROL!$C$22, $C$13, 100%, $E$13)</f>
        <v>9.9177999999999997</v>
      </c>
      <c r="F545" s="64">
        <f>9.9178 * CHOOSE(CONTROL!$C$22, $C$13, 100%, $E$13)</f>
        <v>9.9177999999999997</v>
      </c>
      <c r="G545" s="64">
        <f>9.9178 * CHOOSE(CONTROL!$C$22, $C$13, 100%, $E$13)</f>
        <v>9.9177999999999997</v>
      </c>
      <c r="H545" s="64">
        <f>16.0633* CHOOSE(CONTROL!$C$22, $C$13, 100%, $E$13)</f>
        <v>16.063300000000002</v>
      </c>
      <c r="I545" s="64">
        <f>16.0634 * CHOOSE(CONTROL!$C$22, $C$13, 100%, $E$13)</f>
        <v>16.063400000000001</v>
      </c>
      <c r="J545" s="64">
        <f>9.9178 * CHOOSE(CONTROL!$C$22, $C$13, 100%, $E$13)</f>
        <v>9.9177999999999997</v>
      </c>
      <c r="K545" s="64">
        <f>9.9178 * CHOOSE(CONTROL!$C$22, $C$13, 100%, $E$13)</f>
        <v>9.9177999999999997</v>
      </c>
    </row>
    <row r="546" spans="1:11" ht="15">
      <c r="A546" s="13">
        <v>58107</v>
      </c>
      <c r="B546" s="63">
        <f>8.4402 * CHOOSE(CONTROL!$C$22, $C$13, 100%, $E$13)</f>
        <v>8.4402000000000008</v>
      </c>
      <c r="C546" s="63">
        <f>8.4402 * CHOOSE(CONTROL!$C$22, $C$13, 100%, $E$13)</f>
        <v>8.4402000000000008</v>
      </c>
      <c r="D546" s="63">
        <f>8.4402 * CHOOSE(CONTROL!$C$22, $C$13, 100%, $E$13)</f>
        <v>8.4402000000000008</v>
      </c>
      <c r="E546" s="64">
        <f>9.7492 * CHOOSE(CONTROL!$C$22, $C$13, 100%, $E$13)</f>
        <v>9.7492000000000001</v>
      </c>
      <c r="F546" s="64">
        <f>9.7492 * CHOOSE(CONTROL!$C$22, $C$13, 100%, $E$13)</f>
        <v>9.7492000000000001</v>
      </c>
      <c r="G546" s="64">
        <f>9.7492 * CHOOSE(CONTROL!$C$22, $C$13, 100%, $E$13)</f>
        <v>9.7492000000000001</v>
      </c>
      <c r="H546" s="64">
        <f>16.0968* CHOOSE(CONTROL!$C$22, $C$13, 100%, $E$13)</f>
        <v>16.096800000000002</v>
      </c>
      <c r="I546" s="64">
        <f>16.0968 * CHOOSE(CONTROL!$C$22, $C$13, 100%, $E$13)</f>
        <v>16.096800000000002</v>
      </c>
      <c r="J546" s="64">
        <f>9.7492 * CHOOSE(CONTROL!$C$22, $C$13, 100%, $E$13)</f>
        <v>9.7492000000000001</v>
      </c>
      <c r="K546" s="64">
        <f>9.7492 * CHOOSE(CONTROL!$C$22, $C$13, 100%, $E$13)</f>
        <v>9.7492000000000001</v>
      </c>
    </row>
    <row r="547" spans="1:11" ht="15">
      <c r="A547" s="13">
        <v>58135</v>
      </c>
      <c r="B547" s="63">
        <f>8.4372 * CHOOSE(CONTROL!$C$22, $C$13, 100%, $E$13)</f>
        <v>8.4372000000000007</v>
      </c>
      <c r="C547" s="63">
        <f>8.4372 * CHOOSE(CONTROL!$C$22, $C$13, 100%, $E$13)</f>
        <v>8.4372000000000007</v>
      </c>
      <c r="D547" s="63">
        <f>8.4372 * CHOOSE(CONTROL!$C$22, $C$13, 100%, $E$13)</f>
        <v>8.4372000000000007</v>
      </c>
      <c r="E547" s="64">
        <f>9.8783 * CHOOSE(CONTROL!$C$22, $C$13, 100%, $E$13)</f>
        <v>9.8782999999999994</v>
      </c>
      <c r="F547" s="64">
        <f>9.8783 * CHOOSE(CONTROL!$C$22, $C$13, 100%, $E$13)</f>
        <v>9.8782999999999994</v>
      </c>
      <c r="G547" s="64">
        <f>9.8784 * CHOOSE(CONTROL!$C$22, $C$13, 100%, $E$13)</f>
        <v>9.8783999999999992</v>
      </c>
      <c r="H547" s="64">
        <f>16.1303* CHOOSE(CONTROL!$C$22, $C$13, 100%, $E$13)</f>
        <v>16.130299999999998</v>
      </c>
      <c r="I547" s="64">
        <f>16.1304 * CHOOSE(CONTROL!$C$22, $C$13, 100%, $E$13)</f>
        <v>16.130400000000002</v>
      </c>
      <c r="J547" s="64">
        <f>9.8783 * CHOOSE(CONTROL!$C$22, $C$13, 100%, $E$13)</f>
        <v>9.8782999999999994</v>
      </c>
      <c r="K547" s="64">
        <f>9.8784 * CHOOSE(CONTROL!$C$22, $C$13, 100%, $E$13)</f>
        <v>9.8783999999999992</v>
      </c>
    </row>
    <row r="548" spans="1:11" ht="15">
      <c r="A548" s="13">
        <v>58166</v>
      </c>
      <c r="B548" s="63">
        <f>8.4386 * CHOOSE(CONTROL!$C$22, $C$13, 100%, $E$13)</f>
        <v>8.4385999999999992</v>
      </c>
      <c r="C548" s="63">
        <f>8.4386 * CHOOSE(CONTROL!$C$22, $C$13, 100%, $E$13)</f>
        <v>8.4385999999999992</v>
      </c>
      <c r="D548" s="63">
        <f>8.4386 * CHOOSE(CONTROL!$C$22, $C$13, 100%, $E$13)</f>
        <v>8.4385999999999992</v>
      </c>
      <c r="E548" s="64">
        <f>10.015 * CHOOSE(CONTROL!$C$22, $C$13, 100%, $E$13)</f>
        <v>10.015000000000001</v>
      </c>
      <c r="F548" s="64">
        <f>10.015 * CHOOSE(CONTROL!$C$22, $C$13, 100%, $E$13)</f>
        <v>10.015000000000001</v>
      </c>
      <c r="G548" s="64">
        <f>10.0151 * CHOOSE(CONTROL!$C$22, $C$13, 100%, $E$13)</f>
        <v>10.0151</v>
      </c>
      <c r="H548" s="64">
        <f>16.1639* CHOOSE(CONTROL!$C$22, $C$13, 100%, $E$13)</f>
        <v>16.163900000000002</v>
      </c>
      <c r="I548" s="64">
        <f>16.164 * CHOOSE(CONTROL!$C$22, $C$13, 100%, $E$13)</f>
        <v>16.164000000000001</v>
      </c>
      <c r="J548" s="64">
        <f>10.015 * CHOOSE(CONTROL!$C$22, $C$13, 100%, $E$13)</f>
        <v>10.015000000000001</v>
      </c>
      <c r="K548" s="64">
        <f>10.0151 * CHOOSE(CONTROL!$C$22, $C$13, 100%, $E$13)</f>
        <v>10.0151</v>
      </c>
    </row>
    <row r="549" spans="1:11" ht="15">
      <c r="A549" s="13">
        <v>58196</v>
      </c>
      <c r="B549" s="63">
        <f>8.4386 * CHOOSE(CONTROL!$C$22, $C$13, 100%, $E$13)</f>
        <v>8.4385999999999992</v>
      </c>
      <c r="C549" s="63">
        <f>8.4386 * CHOOSE(CONTROL!$C$22, $C$13, 100%, $E$13)</f>
        <v>8.4385999999999992</v>
      </c>
      <c r="D549" s="63">
        <f>8.4516 * CHOOSE(CONTROL!$C$22, $C$13, 100%, $E$13)</f>
        <v>8.4515999999999991</v>
      </c>
      <c r="E549" s="64">
        <f>10.0679 * CHOOSE(CONTROL!$C$22, $C$13, 100%, $E$13)</f>
        <v>10.0679</v>
      </c>
      <c r="F549" s="64">
        <f>10.0679 * CHOOSE(CONTROL!$C$22, $C$13, 100%, $E$13)</f>
        <v>10.0679</v>
      </c>
      <c r="G549" s="64">
        <f>10.0835 * CHOOSE(CONTROL!$C$22, $C$13, 100%, $E$13)</f>
        <v>10.083500000000001</v>
      </c>
      <c r="H549" s="64">
        <f>16.1976* CHOOSE(CONTROL!$C$22, $C$13, 100%, $E$13)</f>
        <v>16.197600000000001</v>
      </c>
      <c r="I549" s="64">
        <f>16.2133 * CHOOSE(CONTROL!$C$22, $C$13, 100%, $E$13)</f>
        <v>16.2133</v>
      </c>
      <c r="J549" s="64">
        <f>10.0679 * CHOOSE(CONTROL!$C$22, $C$13, 100%, $E$13)</f>
        <v>10.0679</v>
      </c>
      <c r="K549" s="64">
        <f>10.0835 * CHOOSE(CONTROL!$C$22, $C$13, 100%, $E$13)</f>
        <v>10.083500000000001</v>
      </c>
    </row>
    <row r="550" spans="1:11" ht="15">
      <c r="A550" s="13">
        <v>58227</v>
      </c>
      <c r="B550" s="63">
        <f>8.4447 * CHOOSE(CONTROL!$C$22, $C$13, 100%, $E$13)</f>
        <v>8.4446999999999992</v>
      </c>
      <c r="C550" s="63">
        <f>8.4447 * CHOOSE(CONTROL!$C$22, $C$13, 100%, $E$13)</f>
        <v>8.4446999999999992</v>
      </c>
      <c r="D550" s="63">
        <f>8.4577 * CHOOSE(CONTROL!$C$22, $C$13, 100%, $E$13)</f>
        <v>8.4577000000000009</v>
      </c>
      <c r="E550" s="64">
        <f>10.0192 * CHOOSE(CONTROL!$C$22, $C$13, 100%, $E$13)</f>
        <v>10.0192</v>
      </c>
      <c r="F550" s="64">
        <f>10.0192 * CHOOSE(CONTROL!$C$22, $C$13, 100%, $E$13)</f>
        <v>10.0192</v>
      </c>
      <c r="G550" s="64">
        <f>10.0349 * CHOOSE(CONTROL!$C$22, $C$13, 100%, $E$13)</f>
        <v>10.0349</v>
      </c>
      <c r="H550" s="64">
        <f>16.2313* CHOOSE(CONTROL!$C$22, $C$13, 100%, $E$13)</f>
        <v>16.231300000000001</v>
      </c>
      <c r="I550" s="64">
        <f>16.247 * CHOOSE(CONTROL!$C$22, $C$13, 100%, $E$13)</f>
        <v>16.247</v>
      </c>
      <c r="J550" s="64">
        <f>10.0192 * CHOOSE(CONTROL!$C$22, $C$13, 100%, $E$13)</f>
        <v>10.0192</v>
      </c>
      <c r="K550" s="64">
        <f>10.0349 * CHOOSE(CONTROL!$C$22, $C$13, 100%, $E$13)</f>
        <v>10.0349</v>
      </c>
    </row>
    <row r="551" spans="1:11" ht="15">
      <c r="A551" s="13">
        <v>58257</v>
      </c>
      <c r="B551" s="63">
        <f>8.5766 * CHOOSE(CONTROL!$C$22, $C$13, 100%, $E$13)</f>
        <v>8.5765999999999991</v>
      </c>
      <c r="C551" s="63">
        <f>8.5766 * CHOOSE(CONTROL!$C$22, $C$13, 100%, $E$13)</f>
        <v>8.5765999999999991</v>
      </c>
      <c r="D551" s="63">
        <f>8.5896 * CHOOSE(CONTROL!$C$22, $C$13, 100%, $E$13)</f>
        <v>8.5896000000000008</v>
      </c>
      <c r="E551" s="64">
        <f>10.183 * CHOOSE(CONTROL!$C$22, $C$13, 100%, $E$13)</f>
        <v>10.183</v>
      </c>
      <c r="F551" s="64">
        <f>10.183 * CHOOSE(CONTROL!$C$22, $C$13, 100%, $E$13)</f>
        <v>10.183</v>
      </c>
      <c r="G551" s="64">
        <f>10.1987 * CHOOSE(CONTROL!$C$22, $C$13, 100%, $E$13)</f>
        <v>10.198700000000001</v>
      </c>
      <c r="H551" s="64">
        <f>16.2651* CHOOSE(CONTROL!$C$22, $C$13, 100%, $E$13)</f>
        <v>16.2651</v>
      </c>
      <c r="I551" s="64">
        <f>16.2808 * CHOOSE(CONTROL!$C$22, $C$13, 100%, $E$13)</f>
        <v>16.280799999999999</v>
      </c>
      <c r="J551" s="64">
        <f>10.183 * CHOOSE(CONTROL!$C$22, $C$13, 100%, $E$13)</f>
        <v>10.183</v>
      </c>
      <c r="K551" s="64">
        <f>10.1987 * CHOOSE(CONTROL!$C$22, $C$13, 100%, $E$13)</f>
        <v>10.198700000000001</v>
      </c>
    </row>
    <row r="552" spans="1:11" ht="15">
      <c r="A552" s="13">
        <v>58288</v>
      </c>
      <c r="B552" s="63">
        <f>8.5833 * CHOOSE(CONTROL!$C$22, $C$13, 100%, $E$13)</f>
        <v>8.5832999999999995</v>
      </c>
      <c r="C552" s="63">
        <f>8.5833 * CHOOSE(CONTROL!$C$22, $C$13, 100%, $E$13)</f>
        <v>8.5832999999999995</v>
      </c>
      <c r="D552" s="63">
        <f>8.5963 * CHOOSE(CONTROL!$C$22, $C$13, 100%, $E$13)</f>
        <v>8.5962999999999994</v>
      </c>
      <c r="E552" s="64">
        <f>10.0291 * CHOOSE(CONTROL!$C$22, $C$13, 100%, $E$13)</f>
        <v>10.0291</v>
      </c>
      <c r="F552" s="64">
        <f>10.0291 * CHOOSE(CONTROL!$C$22, $C$13, 100%, $E$13)</f>
        <v>10.0291</v>
      </c>
      <c r="G552" s="64">
        <f>10.0448 * CHOOSE(CONTROL!$C$22, $C$13, 100%, $E$13)</f>
        <v>10.0448</v>
      </c>
      <c r="H552" s="64">
        <f>16.299* CHOOSE(CONTROL!$C$22, $C$13, 100%, $E$13)</f>
        <v>16.298999999999999</v>
      </c>
      <c r="I552" s="64">
        <f>16.3147 * CHOOSE(CONTROL!$C$22, $C$13, 100%, $E$13)</f>
        <v>16.314699999999998</v>
      </c>
      <c r="J552" s="64">
        <f>10.0291 * CHOOSE(CONTROL!$C$22, $C$13, 100%, $E$13)</f>
        <v>10.0291</v>
      </c>
      <c r="K552" s="64">
        <f>10.0448 * CHOOSE(CONTROL!$C$22, $C$13, 100%, $E$13)</f>
        <v>10.0448</v>
      </c>
    </row>
    <row r="553" spans="1:11" ht="15">
      <c r="A553" s="13">
        <v>58319</v>
      </c>
      <c r="B553" s="63">
        <f>8.5803 * CHOOSE(CONTROL!$C$22, $C$13, 100%, $E$13)</f>
        <v>8.5802999999999994</v>
      </c>
      <c r="C553" s="63">
        <f>8.5803 * CHOOSE(CONTROL!$C$22, $C$13, 100%, $E$13)</f>
        <v>8.5802999999999994</v>
      </c>
      <c r="D553" s="63">
        <f>8.5933 * CHOOSE(CONTROL!$C$22, $C$13, 100%, $E$13)</f>
        <v>8.5932999999999993</v>
      </c>
      <c r="E553" s="64">
        <f>10.0094 * CHOOSE(CONTROL!$C$22, $C$13, 100%, $E$13)</f>
        <v>10.009399999999999</v>
      </c>
      <c r="F553" s="64">
        <f>10.0094 * CHOOSE(CONTROL!$C$22, $C$13, 100%, $E$13)</f>
        <v>10.009399999999999</v>
      </c>
      <c r="G553" s="64">
        <f>10.0251 * CHOOSE(CONTROL!$C$22, $C$13, 100%, $E$13)</f>
        <v>10.0251</v>
      </c>
      <c r="H553" s="64">
        <f>16.333* CHOOSE(CONTROL!$C$22, $C$13, 100%, $E$13)</f>
        <v>16.332999999999998</v>
      </c>
      <c r="I553" s="64">
        <f>16.3487 * CHOOSE(CONTROL!$C$22, $C$13, 100%, $E$13)</f>
        <v>16.348700000000001</v>
      </c>
      <c r="J553" s="64">
        <f>10.0094 * CHOOSE(CONTROL!$C$22, $C$13, 100%, $E$13)</f>
        <v>10.009399999999999</v>
      </c>
      <c r="K553" s="64">
        <f>10.0251 * CHOOSE(CONTROL!$C$22, $C$13, 100%, $E$13)</f>
        <v>10.0251</v>
      </c>
    </row>
    <row r="554" spans="1:11" ht="15">
      <c r="A554" s="13">
        <v>58349</v>
      </c>
      <c r="B554" s="63">
        <f>8.5903 * CHOOSE(CONTROL!$C$22, $C$13, 100%, $E$13)</f>
        <v>8.5902999999999992</v>
      </c>
      <c r="C554" s="63">
        <f>8.5903 * CHOOSE(CONTROL!$C$22, $C$13, 100%, $E$13)</f>
        <v>8.5902999999999992</v>
      </c>
      <c r="D554" s="63">
        <f>8.5903 * CHOOSE(CONTROL!$C$22, $C$13, 100%, $E$13)</f>
        <v>8.5902999999999992</v>
      </c>
      <c r="E554" s="64">
        <f>10.0665 * CHOOSE(CONTROL!$C$22, $C$13, 100%, $E$13)</f>
        <v>10.0665</v>
      </c>
      <c r="F554" s="64">
        <f>10.0665 * CHOOSE(CONTROL!$C$22, $C$13, 100%, $E$13)</f>
        <v>10.0665</v>
      </c>
      <c r="G554" s="64">
        <f>10.0665 * CHOOSE(CONTROL!$C$22, $C$13, 100%, $E$13)</f>
        <v>10.0665</v>
      </c>
      <c r="H554" s="64">
        <f>16.367* CHOOSE(CONTROL!$C$22, $C$13, 100%, $E$13)</f>
        <v>16.367000000000001</v>
      </c>
      <c r="I554" s="64">
        <f>16.3671 * CHOOSE(CONTROL!$C$22, $C$13, 100%, $E$13)</f>
        <v>16.367100000000001</v>
      </c>
      <c r="J554" s="64">
        <f>10.0665 * CHOOSE(CONTROL!$C$22, $C$13, 100%, $E$13)</f>
        <v>10.0665</v>
      </c>
      <c r="K554" s="64">
        <f>10.0665 * CHOOSE(CONTROL!$C$22, $C$13, 100%, $E$13)</f>
        <v>10.0665</v>
      </c>
    </row>
    <row r="555" spans="1:11" ht="15">
      <c r="A555" s="13">
        <v>58380</v>
      </c>
      <c r="B555" s="63">
        <f>8.5934 * CHOOSE(CONTROL!$C$22, $C$13, 100%, $E$13)</f>
        <v>8.5934000000000008</v>
      </c>
      <c r="C555" s="63">
        <f>8.5934 * CHOOSE(CONTROL!$C$22, $C$13, 100%, $E$13)</f>
        <v>8.5934000000000008</v>
      </c>
      <c r="D555" s="63">
        <f>8.5934 * CHOOSE(CONTROL!$C$22, $C$13, 100%, $E$13)</f>
        <v>8.5934000000000008</v>
      </c>
      <c r="E555" s="64">
        <f>10.1038 * CHOOSE(CONTROL!$C$22, $C$13, 100%, $E$13)</f>
        <v>10.1038</v>
      </c>
      <c r="F555" s="64">
        <f>10.1038 * CHOOSE(CONTROL!$C$22, $C$13, 100%, $E$13)</f>
        <v>10.1038</v>
      </c>
      <c r="G555" s="64">
        <f>10.1039 * CHOOSE(CONTROL!$C$22, $C$13, 100%, $E$13)</f>
        <v>10.103899999999999</v>
      </c>
      <c r="H555" s="64">
        <f>16.4011* CHOOSE(CONTROL!$C$22, $C$13, 100%, $E$13)</f>
        <v>16.4011</v>
      </c>
      <c r="I555" s="64">
        <f>16.4012 * CHOOSE(CONTROL!$C$22, $C$13, 100%, $E$13)</f>
        <v>16.401199999999999</v>
      </c>
      <c r="J555" s="64">
        <f>10.1038 * CHOOSE(CONTROL!$C$22, $C$13, 100%, $E$13)</f>
        <v>10.1038</v>
      </c>
      <c r="K555" s="64">
        <f>10.1039 * CHOOSE(CONTROL!$C$22, $C$13, 100%, $E$13)</f>
        <v>10.103899999999999</v>
      </c>
    </row>
    <row r="556" spans="1:11" ht="15">
      <c r="A556" s="13">
        <v>58410</v>
      </c>
      <c r="B556" s="63">
        <f>8.5934 * CHOOSE(CONTROL!$C$22, $C$13, 100%, $E$13)</f>
        <v>8.5934000000000008</v>
      </c>
      <c r="C556" s="63">
        <f>8.5934 * CHOOSE(CONTROL!$C$22, $C$13, 100%, $E$13)</f>
        <v>8.5934000000000008</v>
      </c>
      <c r="D556" s="63">
        <f>8.5934 * CHOOSE(CONTROL!$C$22, $C$13, 100%, $E$13)</f>
        <v>8.5934000000000008</v>
      </c>
      <c r="E556" s="64">
        <f>10.0157 * CHOOSE(CONTROL!$C$22, $C$13, 100%, $E$13)</f>
        <v>10.015700000000001</v>
      </c>
      <c r="F556" s="64">
        <f>10.0157 * CHOOSE(CONTROL!$C$22, $C$13, 100%, $E$13)</f>
        <v>10.015700000000001</v>
      </c>
      <c r="G556" s="64">
        <f>10.0158 * CHOOSE(CONTROL!$C$22, $C$13, 100%, $E$13)</f>
        <v>10.0158</v>
      </c>
      <c r="H556" s="64">
        <f>16.4353* CHOOSE(CONTROL!$C$22, $C$13, 100%, $E$13)</f>
        <v>16.435300000000002</v>
      </c>
      <c r="I556" s="64">
        <f>16.4354 * CHOOSE(CONTROL!$C$22, $C$13, 100%, $E$13)</f>
        <v>16.435400000000001</v>
      </c>
      <c r="J556" s="64">
        <f>10.0157 * CHOOSE(CONTROL!$C$22, $C$13, 100%, $E$13)</f>
        <v>10.015700000000001</v>
      </c>
      <c r="K556" s="64">
        <f>10.0158 * CHOOSE(CONTROL!$C$22, $C$13, 100%, $E$13)</f>
        <v>10.0158</v>
      </c>
    </row>
    <row r="557" spans="1:11" ht="15">
      <c r="A557" s="13">
        <v>58441</v>
      </c>
      <c r="B557" s="63">
        <f>8.6667 * CHOOSE(CONTROL!$C$22, $C$13, 100%, $E$13)</f>
        <v>8.6667000000000005</v>
      </c>
      <c r="C557" s="63">
        <f>8.6667 * CHOOSE(CONTROL!$C$22, $C$13, 100%, $E$13)</f>
        <v>8.6667000000000005</v>
      </c>
      <c r="D557" s="63">
        <f>8.6667 * CHOOSE(CONTROL!$C$22, $C$13, 100%, $E$13)</f>
        <v>8.6667000000000005</v>
      </c>
      <c r="E557" s="64">
        <f>10.1604 * CHOOSE(CONTROL!$C$22, $C$13, 100%, $E$13)</f>
        <v>10.160399999999999</v>
      </c>
      <c r="F557" s="64">
        <f>10.1604 * CHOOSE(CONTROL!$C$22, $C$13, 100%, $E$13)</f>
        <v>10.160399999999999</v>
      </c>
      <c r="G557" s="64">
        <f>10.1605 * CHOOSE(CONTROL!$C$22, $C$13, 100%, $E$13)</f>
        <v>10.160500000000001</v>
      </c>
      <c r="H557" s="64">
        <f>16.4695* CHOOSE(CONTROL!$C$22, $C$13, 100%, $E$13)</f>
        <v>16.4695</v>
      </c>
      <c r="I557" s="64">
        <f>16.4696 * CHOOSE(CONTROL!$C$22, $C$13, 100%, $E$13)</f>
        <v>16.4696</v>
      </c>
      <c r="J557" s="64">
        <f>10.1604 * CHOOSE(CONTROL!$C$22, $C$13, 100%, $E$13)</f>
        <v>10.160399999999999</v>
      </c>
      <c r="K557" s="64">
        <f>10.1605 * CHOOSE(CONTROL!$C$22, $C$13, 100%, $E$13)</f>
        <v>10.160500000000001</v>
      </c>
    </row>
    <row r="558" spans="1:11" ht="15">
      <c r="A558" s="13">
        <v>58472</v>
      </c>
      <c r="B558" s="63">
        <f>8.6637 * CHOOSE(CONTROL!$C$22, $C$13, 100%, $E$13)</f>
        <v>8.6637000000000004</v>
      </c>
      <c r="C558" s="63">
        <f>8.6637 * CHOOSE(CONTROL!$C$22, $C$13, 100%, $E$13)</f>
        <v>8.6637000000000004</v>
      </c>
      <c r="D558" s="63">
        <f>8.6637 * CHOOSE(CONTROL!$C$22, $C$13, 100%, $E$13)</f>
        <v>8.6637000000000004</v>
      </c>
      <c r="E558" s="64">
        <f>9.9871 * CHOOSE(CONTROL!$C$22, $C$13, 100%, $E$13)</f>
        <v>9.9870999999999999</v>
      </c>
      <c r="F558" s="64">
        <f>9.9871 * CHOOSE(CONTROL!$C$22, $C$13, 100%, $E$13)</f>
        <v>9.9870999999999999</v>
      </c>
      <c r="G558" s="64">
        <f>9.9872 * CHOOSE(CONTROL!$C$22, $C$13, 100%, $E$13)</f>
        <v>9.9871999999999996</v>
      </c>
      <c r="H558" s="64">
        <f>16.5038* CHOOSE(CONTROL!$C$22, $C$13, 100%, $E$13)</f>
        <v>16.503799999999998</v>
      </c>
      <c r="I558" s="64">
        <f>16.5039 * CHOOSE(CONTROL!$C$22, $C$13, 100%, $E$13)</f>
        <v>16.503900000000002</v>
      </c>
      <c r="J558" s="64">
        <f>9.9871 * CHOOSE(CONTROL!$C$22, $C$13, 100%, $E$13)</f>
        <v>9.9870999999999999</v>
      </c>
      <c r="K558" s="64">
        <f>9.9872 * CHOOSE(CONTROL!$C$22, $C$13, 100%, $E$13)</f>
        <v>9.9871999999999996</v>
      </c>
    </row>
    <row r="559" spans="1:11" ht="15">
      <c r="A559" s="13">
        <v>58501</v>
      </c>
      <c r="B559" s="63">
        <f>8.6607 * CHOOSE(CONTROL!$C$22, $C$13, 100%, $E$13)</f>
        <v>8.6607000000000003</v>
      </c>
      <c r="C559" s="63">
        <f>8.6607 * CHOOSE(CONTROL!$C$22, $C$13, 100%, $E$13)</f>
        <v>8.6607000000000003</v>
      </c>
      <c r="D559" s="63">
        <f>8.6607 * CHOOSE(CONTROL!$C$22, $C$13, 100%, $E$13)</f>
        <v>8.6607000000000003</v>
      </c>
      <c r="E559" s="64">
        <f>10.1199 * CHOOSE(CONTROL!$C$22, $C$13, 100%, $E$13)</f>
        <v>10.119899999999999</v>
      </c>
      <c r="F559" s="64">
        <f>10.1199 * CHOOSE(CONTROL!$C$22, $C$13, 100%, $E$13)</f>
        <v>10.119899999999999</v>
      </c>
      <c r="G559" s="64">
        <f>10.12 * CHOOSE(CONTROL!$C$22, $C$13, 100%, $E$13)</f>
        <v>10.119999999999999</v>
      </c>
      <c r="H559" s="64">
        <f>16.5382* CHOOSE(CONTROL!$C$22, $C$13, 100%, $E$13)</f>
        <v>16.5382</v>
      </c>
      <c r="I559" s="64">
        <f>16.5383 * CHOOSE(CONTROL!$C$22, $C$13, 100%, $E$13)</f>
        <v>16.5383</v>
      </c>
      <c r="J559" s="64">
        <f>10.1199 * CHOOSE(CONTROL!$C$22, $C$13, 100%, $E$13)</f>
        <v>10.119899999999999</v>
      </c>
      <c r="K559" s="64">
        <f>10.12 * CHOOSE(CONTROL!$C$22, $C$13, 100%, $E$13)</f>
        <v>10.119999999999999</v>
      </c>
    </row>
    <row r="560" spans="1:11" ht="15">
      <c r="A560" s="13">
        <v>58532</v>
      </c>
      <c r="B560" s="63">
        <f>8.6623 * CHOOSE(CONTROL!$C$22, $C$13, 100%, $E$13)</f>
        <v>8.6623000000000001</v>
      </c>
      <c r="C560" s="63">
        <f>8.6623 * CHOOSE(CONTROL!$C$22, $C$13, 100%, $E$13)</f>
        <v>8.6623000000000001</v>
      </c>
      <c r="D560" s="63">
        <f>8.6623 * CHOOSE(CONTROL!$C$22, $C$13, 100%, $E$13)</f>
        <v>8.6623000000000001</v>
      </c>
      <c r="E560" s="64">
        <f>10.2606 * CHOOSE(CONTROL!$C$22, $C$13, 100%, $E$13)</f>
        <v>10.2606</v>
      </c>
      <c r="F560" s="64">
        <f>10.2606 * CHOOSE(CONTROL!$C$22, $C$13, 100%, $E$13)</f>
        <v>10.2606</v>
      </c>
      <c r="G560" s="64">
        <f>10.2607 * CHOOSE(CONTROL!$C$22, $C$13, 100%, $E$13)</f>
        <v>10.2607</v>
      </c>
      <c r="H560" s="64">
        <f>16.5727* CHOOSE(CONTROL!$C$22, $C$13, 100%, $E$13)</f>
        <v>16.572700000000001</v>
      </c>
      <c r="I560" s="64">
        <f>16.5727 * CHOOSE(CONTROL!$C$22, $C$13, 100%, $E$13)</f>
        <v>16.572700000000001</v>
      </c>
      <c r="J560" s="64">
        <f>10.2606 * CHOOSE(CONTROL!$C$22, $C$13, 100%, $E$13)</f>
        <v>10.2606</v>
      </c>
      <c r="K560" s="64">
        <f>10.2607 * CHOOSE(CONTROL!$C$22, $C$13, 100%, $E$13)</f>
        <v>10.2607</v>
      </c>
    </row>
    <row r="561" spans="1:11" ht="15">
      <c r="A561" s="13">
        <v>58562</v>
      </c>
      <c r="B561" s="63">
        <f>8.6623 * CHOOSE(CONTROL!$C$22, $C$13, 100%, $E$13)</f>
        <v>8.6623000000000001</v>
      </c>
      <c r="C561" s="63">
        <f>8.6623 * CHOOSE(CONTROL!$C$22, $C$13, 100%, $E$13)</f>
        <v>8.6623000000000001</v>
      </c>
      <c r="D561" s="63">
        <f>8.6752 * CHOOSE(CONTROL!$C$22, $C$13, 100%, $E$13)</f>
        <v>8.6752000000000002</v>
      </c>
      <c r="E561" s="64">
        <f>10.315 * CHOOSE(CONTROL!$C$22, $C$13, 100%, $E$13)</f>
        <v>10.315</v>
      </c>
      <c r="F561" s="64">
        <f>10.315 * CHOOSE(CONTROL!$C$22, $C$13, 100%, $E$13)</f>
        <v>10.315</v>
      </c>
      <c r="G561" s="64">
        <f>10.3306 * CHOOSE(CONTROL!$C$22, $C$13, 100%, $E$13)</f>
        <v>10.3306</v>
      </c>
      <c r="H561" s="64">
        <f>16.6072* CHOOSE(CONTROL!$C$22, $C$13, 100%, $E$13)</f>
        <v>16.607199999999999</v>
      </c>
      <c r="I561" s="64">
        <f>16.6229 * CHOOSE(CONTROL!$C$22, $C$13, 100%, $E$13)</f>
        <v>16.622900000000001</v>
      </c>
      <c r="J561" s="64">
        <f>10.315 * CHOOSE(CONTROL!$C$22, $C$13, 100%, $E$13)</f>
        <v>10.315</v>
      </c>
      <c r="K561" s="64">
        <f>10.3306 * CHOOSE(CONTROL!$C$22, $C$13, 100%, $E$13)</f>
        <v>10.3306</v>
      </c>
    </row>
    <row r="562" spans="1:11" ht="15">
      <c r="A562" s="13">
        <v>58593</v>
      </c>
      <c r="B562" s="63">
        <f>8.6684 * CHOOSE(CONTROL!$C$22, $C$13, 100%, $E$13)</f>
        <v>8.6684000000000001</v>
      </c>
      <c r="C562" s="63">
        <f>8.6684 * CHOOSE(CONTROL!$C$22, $C$13, 100%, $E$13)</f>
        <v>8.6684000000000001</v>
      </c>
      <c r="D562" s="63">
        <f>8.6813 * CHOOSE(CONTROL!$C$22, $C$13, 100%, $E$13)</f>
        <v>8.6813000000000002</v>
      </c>
      <c r="E562" s="64">
        <f>10.2649 * CHOOSE(CONTROL!$C$22, $C$13, 100%, $E$13)</f>
        <v>10.264900000000001</v>
      </c>
      <c r="F562" s="64">
        <f>10.2649 * CHOOSE(CONTROL!$C$22, $C$13, 100%, $E$13)</f>
        <v>10.264900000000001</v>
      </c>
      <c r="G562" s="64">
        <f>10.2805 * CHOOSE(CONTROL!$C$22, $C$13, 100%, $E$13)</f>
        <v>10.2805</v>
      </c>
      <c r="H562" s="64">
        <f>16.6418* CHOOSE(CONTROL!$C$22, $C$13, 100%, $E$13)</f>
        <v>16.6418</v>
      </c>
      <c r="I562" s="64">
        <f>16.6575 * CHOOSE(CONTROL!$C$22, $C$13, 100%, $E$13)</f>
        <v>16.657499999999999</v>
      </c>
      <c r="J562" s="64">
        <f>10.2649 * CHOOSE(CONTROL!$C$22, $C$13, 100%, $E$13)</f>
        <v>10.264900000000001</v>
      </c>
      <c r="K562" s="64">
        <f>10.2805 * CHOOSE(CONTROL!$C$22, $C$13, 100%, $E$13)</f>
        <v>10.2805</v>
      </c>
    </row>
    <row r="563" spans="1:11" ht="15">
      <c r="A563" s="13">
        <v>58623</v>
      </c>
      <c r="B563" s="63">
        <f>8.8035 * CHOOSE(CONTROL!$C$22, $C$13, 100%, $E$13)</f>
        <v>8.8034999999999997</v>
      </c>
      <c r="C563" s="63">
        <f>8.8035 * CHOOSE(CONTROL!$C$22, $C$13, 100%, $E$13)</f>
        <v>8.8034999999999997</v>
      </c>
      <c r="D563" s="63">
        <f>8.8165 * CHOOSE(CONTROL!$C$22, $C$13, 100%, $E$13)</f>
        <v>8.8164999999999996</v>
      </c>
      <c r="E563" s="64">
        <f>10.4324 * CHOOSE(CONTROL!$C$22, $C$13, 100%, $E$13)</f>
        <v>10.432399999999999</v>
      </c>
      <c r="F563" s="64">
        <f>10.4324 * CHOOSE(CONTROL!$C$22, $C$13, 100%, $E$13)</f>
        <v>10.432399999999999</v>
      </c>
      <c r="G563" s="64">
        <f>10.4481 * CHOOSE(CONTROL!$C$22, $C$13, 100%, $E$13)</f>
        <v>10.4481</v>
      </c>
      <c r="H563" s="64">
        <f>16.6765* CHOOSE(CONTROL!$C$22, $C$13, 100%, $E$13)</f>
        <v>16.676500000000001</v>
      </c>
      <c r="I563" s="64">
        <f>16.6921 * CHOOSE(CONTROL!$C$22, $C$13, 100%, $E$13)</f>
        <v>16.6921</v>
      </c>
      <c r="J563" s="64">
        <f>10.4324 * CHOOSE(CONTROL!$C$22, $C$13, 100%, $E$13)</f>
        <v>10.432399999999999</v>
      </c>
      <c r="K563" s="64">
        <f>10.4481 * CHOOSE(CONTROL!$C$22, $C$13, 100%, $E$13)</f>
        <v>10.4481</v>
      </c>
    </row>
    <row r="564" spans="1:11" ht="15">
      <c r="A564" s="13">
        <v>58654</v>
      </c>
      <c r="B564" s="63">
        <f>8.8102 * CHOOSE(CONTROL!$C$22, $C$13, 100%, $E$13)</f>
        <v>8.8102</v>
      </c>
      <c r="C564" s="63">
        <f>8.8102 * CHOOSE(CONTROL!$C$22, $C$13, 100%, $E$13)</f>
        <v>8.8102</v>
      </c>
      <c r="D564" s="63">
        <f>8.8232 * CHOOSE(CONTROL!$C$22, $C$13, 100%, $E$13)</f>
        <v>8.8231999999999999</v>
      </c>
      <c r="E564" s="64">
        <f>10.274 * CHOOSE(CONTROL!$C$22, $C$13, 100%, $E$13)</f>
        <v>10.273999999999999</v>
      </c>
      <c r="F564" s="64">
        <f>10.274 * CHOOSE(CONTROL!$C$22, $C$13, 100%, $E$13)</f>
        <v>10.273999999999999</v>
      </c>
      <c r="G564" s="64">
        <f>10.2897 * CHOOSE(CONTROL!$C$22, $C$13, 100%, $E$13)</f>
        <v>10.2897</v>
      </c>
      <c r="H564" s="64">
        <f>16.7112* CHOOSE(CONTROL!$C$22, $C$13, 100%, $E$13)</f>
        <v>16.711200000000002</v>
      </c>
      <c r="I564" s="64">
        <f>16.7269 * CHOOSE(CONTROL!$C$22, $C$13, 100%, $E$13)</f>
        <v>16.726900000000001</v>
      </c>
      <c r="J564" s="64">
        <f>10.274 * CHOOSE(CONTROL!$C$22, $C$13, 100%, $E$13)</f>
        <v>10.273999999999999</v>
      </c>
      <c r="K564" s="64">
        <f>10.2897 * CHOOSE(CONTROL!$C$22, $C$13, 100%, $E$13)</f>
        <v>10.2897</v>
      </c>
    </row>
    <row r="565" spans="1:11" ht="15">
      <c r="A565" s="13">
        <v>58685</v>
      </c>
      <c r="B565" s="63">
        <f>8.8072 * CHOOSE(CONTROL!$C$22, $C$13, 100%, $E$13)</f>
        <v>8.8071999999999999</v>
      </c>
      <c r="C565" s="63">
        <f>8.8072 * CHOOSE(CONTROL!$C$22, $C$13, 100%, $E$13)</f>
        <v>8.8071999999999999</v>
      </c>
      <c r="D565" s="63">
        <f>8.8201 * CHOOSE(CONTROL!$C$22, $C$13, 100%, $E$13)</f>
        <v>8.8201000000000001</v>
      </c>
      <c r="E565" s="64">
        <f>10.2538 * CHOOSE(CONTROL!$C$22, $C$13, 100%, $E$13)</f>
        <v>10.2538</v>
      </c>
      <c r="F565" s="64">
        <f>10.2538 * CHOOSE(CONTROL!$C$22, $C$13, 100%, $E$13)</f>
        <v>10.2538</v>
      </c>
      <c r="G565" s="64">
        <f>10.2695 * CHOOSE(CONTROL!$C$22, $C$13, 100%, $E$13)</f>
        <v>10.269500000000001</v>
      </c>
      <c r="H565" s="64">
        <f>16.746* CHOOSE(CONTROL!$C$22, $C$13, 100%, $E$13)</f>
        <v>16.745999999999999</v>
      </c>
      <c r="I565" s="64">
        <f>16.7617 * CHOOSE(CONTROL!$C$22, $C$13, 100%, $E$13)</f>
        <v>16.761700000000001</v>
      </c>
      <c r="J565" s="64">
        <f>10.2538 * CHOOSE(CONTROL!$C$22, $C$13, 100%, $E$13)</f>
        <v>10.2538</v>
      </c>
      <c r="K565" s="64">
        <f>10.2695 * CHOOSE(CONTROL!$C$22, $C$13, 100%, $E$13)</f>
        <v>10.269500000000001</v>
      </c>
    </row>
    <row r="566" spans="1:11" ht="15">
      <c r="A566" s="13">
        <v>58715</v>
      </c>
      <c r="B566" s="63">
        <f>8.8179 * CHOOSE(CONTROL!$C$22, $C$13, 100%, $E$13)</f>
        <v>8.8178999999999998</v>
      </c>
      <c r="C566" s="63">
        <f>8.8179 * CHOOSE(CONTROL!$C$22, $C$13, 100%, $E$13)</f>
        <v>8.8178999999999998</v>
      </c>
      <c r="D566" s="63">
        <f>8.8179 * CHOOSE(CONTROL!$C$22, $C$13, 100%, $E$13)</f>
        <v>8.8178999999999998</v>
      </c>
      <c r="E566" s="64">
        <f>10.3128 * CHOOSE(CONTROL!$C$22, $C$13, 100%, $E$13)</f>
        <v>10.312799999999999</v>
      </c>
      <c r="F566" s="64">
        <f>10.3128 * CHOOSE(CONTROL!$C$22, $C$13, 100%, $E$13)</f>
        <v>10.312799999999999</v>
      </c>
      <c r="G566" s="64">
        <f>10.3129 * CHOOSE(CONTROL!$C$22, $C$13, 100%, $E$13)</f>
        <v>10.312900000000001</v>
      </c>
      <c r="H566" s="64">
        <f>16.7809* CHOOSE(CONTROL!$C$22, $C$13, 100%, $E$13)</f>
        <v>16.780899999999999</v>
      </c>
      <c r="I566" s="64">
        <f>16.781 * CHOOSE(CONTROL!$C$22, $C$13, 100%, $E$13)</f>
        <v>16.780999999999999</v>
      </c>
      <c r="J566" s="64">
        <f>10.3128 * CHOOSE(CONTROL!$C$22, $C$13, 100%, $E$13)</f>
        <v>10.312799999999999</v>
      </c>
      <c r="K566" s="64">
        <f>10.3129 * CHOOSE(CONTROL!$C$22, $C$13, 100%, $E$13)</f>
        <v>10.312900000000001</v>
      </c>
    </row>
    <row r="567" spans="1:11" ht="15">
      <c r="A567" s="13">
        <v>58746</v>
      </c>
      <c r="B567" s="63">
        <f>8.821 * CHOOSE(CONTROL!$C$22, $C$13, 100%, $E$13)</f>
        <v>8.8209999999999997</v>
      </c>
      <c r="C567" s="63">
        <f>8.821 * CHOOSE(CONTROL!$C$22, $C$13, 100%, $E$13)</f>
        <v>8.8209999999999997</v>
      </c>
      <c r="D567" s="63">
        <f>8.821 * CHOOSE(CONTROL!$C$22, $C$13, 100%, $E$13)</f>
        <v>8.8209999999999997</v>
      </c>
      <c r="E567" s="64">
        <f>10.3512 * CHOOSE(CONTROL!$C$22, $C$13, 100%, $E$13)</f>
        <v>10.3512</v>
      </c>
      <c r="F567" s="64">
        <f>10.3512 * CHOOSE(CONTROL!$C$22, $C$13, 100%, $E$13)</f>
        <v>10.3512</v>
      </c>
      <c r="G567" s="64">
        <f>10.3513 * CHOOSE(CONTROL!$C$22, $C$13, 100%, $E$13)</f>
        <v>10.3513</v>
      </c>
      <c r="H567" s="64">
        <f>16.8159* CHOOSE(CONTROL!$C$22, $C$13, 100%, $E$13)</f>
        <v>16.815899999999999</v>
      </c>
      <c r="I567" s="64">
        <f>16.8159 * CHOOSE(CONTROL!$C$22, $C$13, 100%, $E$13)</f>
        <v>16.815899999999999</v>
      </c>
      <c r="J567" s="64">
        <f>10.3512 * CHOOSE(CONTROL!$C$22, $C$13, 100%, $E$13)</f>
        <v>10.3512</v>
      </c>
      <c r="K567" s="64">
        <f>10.3513 * CHOOSE(CONTROL!$C$22, $C$13, 100%, $E$13)</f>
        <v>10.3513</v>
      </c>
    </row>
    <row r="568" spans="1:11" ht="15">
      <c r="A568" s="13">
        <v>58776</v>
      </c>
      <c r="B568" s="63">
        <f>8.821 * CHOOSE(CONTROL!$C$22, $C$13, 100%, $E$13)</f>
        <v>8.8209999999999997</v>
      </c>
      <c r="C568" s="63">
        <f>8.821 * CHOOSE(CONTROL!$C$22, $C$13, 100%, $E$13)</f>
        <v>8.8209999999999997</v>
      </c>
      <c r="D568" s="63">
        <f>8.821 * CHOOSE(CONTROL!$C$22, $C$13, 100%, $E$13)</f>
        <v>8.8209999999999997</v>
      </c>
      <c r="E568" s="64">
        <f>10.2606 * CHOOSE(CONTROL!$C$22, $C$13, 100%, $E$13)</f>
        <v>10.2606</v>
      </c>
      <c r="F568" s="64">
        <f>10.2606 * CHOOSE(CONTROL!$C$22, $C$13, 100%, $E$13)</f>
        <v>10.2606</v>
      </c>
      <c r="G568" s="64">
        <f>10.2607 * CHOOSE(CONTROL!$C$22, $C$13, 100%, $E$13)</f>
        <v>10.2607</v>
      </c>
      <c r="H568" s="64">
        <f>16.8509* CHOOSE(CONTROL!$C$22, $C$13, 100%, $E$13)</f>
        <v>16.850899999999999</v>
      </c>
      <c r="I568" s="64">
        <f>16.851 * CHOOSE(CONTROL!$C$22, $C$13, 100%, $E$13)</f>
        <v>16.850999999999999</v>
      </c>
      <c r="J568" s="64">
        <f>10.2606 * CHOOSE(CONTROL!$C$22, $C$13, 100%, $E$13)</f>
        <v>10.2606</v>
      </c>
      <c r="K568" s="64">
        <f>10.2607 * CHOOSE(CONTROL!$C$22, $C$13, 100%, $E$13)</f>
        <v>10.2607</v>
      </c>
    </row>
    <row r="569" spans="1:11" ht="15">
      <c r="A569" s="13">
        <v>58807</v>
      </c>
      <c r="B569" s="63">
        <f>8.8962 * CHOOSE(CONTROL!$C$22, $C$13, 100%, $E$13)</f>
        <v>8.8962000000000003</v>
      </c>
      <c r="C569" s="63">
        <f>8.8962 * CHOOSE(CONTROL!$C$22, $C$13, 100%, $E$13)</f>
        <v>8.8962000000000003</v>
      </c>
      <c r="D569" s="63">
        <f>8.8962 * CHOOSE(CONTROL!$C$22, $C$13, 100%, $E$13)</f>
        <v>8.8962000000000003</v>
      </c>
      <c r="E569" s="64">
        <f>10.409 * CHOOSE(CONTROL!$C$22, $C$13, 100%, $E$13)</f>
        <v>10.409000000000001</v>
      </c>
      <c r="F569" s="64">
        <f>10.409 * CHOOSE(CONTROL!$C$22, $C$13, 100%, $E$13)</f>
        <v>10.409000000000001</v>
      </c>
      <c r="G569" s="64">
        <f>10.4091 * CHOOSE(CONTROL!$C$22, $C$13, 100%, $E$13)</f>
        <v>10.4091</v>
      </c>
      <c r="H569" s="64">
        <f>16.886* CHOOSE(CONTROL!$C$22, $C$13, 100%, $E$13)</f>
        <v>16.885999999999999</v>
      </c>
      <c r="I569" s="64">
        <f>16.8861 * CHOOSE(CONTROL!$C$22, $C$13, 100%, $E$13)</f>
        <v>16.886099999999999</v>
      </c>
      <c r="J569" s="64">
        <f>10.409 * CHOOSE(CONTROL!$C$22, $C$13, 100%, $E$13)</f>
        <v>10.409000000000001</v>
      </c>
      <c r="K569" s="64">
        <f>10.4091 * CHOOSE(CONTROL!$C$22, $C$13, 100%, $E$13)</f>
        <v>10.4091</v>
      </c>
    </row>
    <row r="570" spans="1:11" ht="15">
      <c r="A570" s="13">
        <v>58838</v>
      </c>
      <c r="B570" s="63">
        <f>8.8931 * CHOOSE(CONTROL!$C$22, $C$13, 100%, $E$13)</f>
        <v>8.8931000000000004</v>
      </c>
      <c r="C570" s="63">
        <f>8.8931 * CHOOSE(CONTROL!$C$22, $C$13, 100%, $E$13)</f>
        <v>8.8931000000000004</v>
      </c>
      <c r="D570" s="63">
        <f>8.8931 * CHOOSE(CONTROL!$C$22, $C$13, 100%, $E$13)</f>
        <v>8.8931000000000004</v>
      </c>
      <c r="E570" s="64">
        <f>10.2309 * CHOOSE(CONTROL!$C$22, $C$13, 100%, $E$13)</f>
        <v>10.2309</v>
      </c>
      <c r="F570" s="64">
        <f>10.2309 * CHOOSE(CONTROL!$C$22, $C$13, 100%, $E$13)</f>
        <v>10.2309</v>
      </c>
      <c r="G570" s="64">
        <f>10.231 * CHOOSE(CONTROL!$C$22, $C$13, 100%, $E$13)</f>
        <v>10.231</v>
      </c>
      <c r="H570" s="64">
        <f>16.9212* CHOOSE(CONTROL!$C$22, $C$13, 100%, $E$13)</f>
        <v>16.921199999999999</v>
      </c>
      <c r="I570" s="64">
        <f>16.9213 * CHOOSE(CONTROL!$C$22, $C$13, 100%, $E$13)</f>
        <v>16.921299999999999</v>
      </c>
      <c r="J570" s="64">
        <f>10.2309 * CHOOSE(CONTROL!$C$22, $C$13, 100%, $E$13)</f>
        <v>10.2309</v>
      </c>
      <c r="K570" s="64">
        <f>10.231 * CHOOSE(CONTROL!$C$22, $C$13, 100%, $E$13)</f>
        <v>10.231</v>
      </c>
    </row>
    <row r="571" spans="1:11" ht="15">
      <c r="A571" s="13">
        <v>58866</v>
      </c>
      <c r="B571" s="63">
        <f>8.8901 * CHOOSE(CONTROL!$C$22, $C$13, 100%, $E$13)</f>
        <v>8.8901000000000003</v>
      </c>
      <c r="C571" s="63">
        <f>8.8901 * CHOOSE(CONTROL!$C$22, $C$13, 100%, $E$13)</f>
        <v>8.8901000000000003</v>
      </c>
      <c r="D571" s="63">
        <f>8.8901 * CHOOSE(CONTROL!$C$22, $C$13, 100%, $E$13)</f>
        <v>8.8901000000000003</v>
      </c>
      <c r="E571" s="64">
        <f>10.3675 * CHOOSE(CONTROL!$C$22, $C$13, 100%, $E$13)</f>
        <v>10.3675</v>
      </c>
      <c r="F571" s="64">
        <f>10.3675 * CHOOSE(CONTROL!$C$22, $C$13, 100%, $E$13)</f>
        <v>10.3675</v>
      </c>
      <c r="G571" s="64">
        <f>10.3676 * CHOOSE(CONTROL!$C$22, $C$13, 100%, $E$13)</f>
        <v>10.367599999999999</v>
      </c>
      <c r="H571" s="64">
        <f>16.9564* CHOOSE(CONTROL!$C$22, $C$13, 100%, $E$13)</f>
        <v>16.956399999999999</v>
      </c>
      <c r="I571" s="64">
        <f>16.9565 * CHOOSE(CONTROL!$C$22, $C$13, 100%, $E$13)</f>
        <v>16.956499999999998</v>
      </c>
      <c r="J571" s="64">
        <f>10.3675 * CHOOSE(CONTROL!$C$22, $C$13, 100%, $E$13)</f>
        <v>10.3675</v>
      </c>
      <c r="K571" s="64">
        <f>10.3676 * CHOOSE(CONTROL!$C$22, $C$13, 100%, $E$13)</f>
        <v>10.367599999999999</v>
      </c>
    </row>
    <row r="572" spans="1:11" ht="15">
      <c r="A572" s="13">
        <v>58897</v>
      </c>
      <c r="B572" s="63">
        <f>8.8919 * CHOOSE(CONTROL!$C$22, $C$13, 100%, $E$13)</f>
        <v>8.8918999999999997</v>
      </c>
      <c r="C572" s="63">
        <f>8.8919 * CHOOSE(CONTROL!$C$22, $C$13, 100%, $E$13)</f>
        <v>8.8918999999999997</v>
      </c>
      <c r="D572" s="63">
        <f>8.8919 * CHOOSE(CONTROL!$C$22, $C$13, 100%, $E$13)</f>
        <v>8.8918999999999997</v>
      </c>
      <c r="E572" s="64">
        <f>10.5123 * CHOOSE(CONTROL!$C$22, $C$13, 100%, $E$13)</f>
        <v>10.5123</v>
      </c>
      <c r="F572" s="64">
        <f>10.5123 * CHOOSE(CONTROL!$C$22, $C$13, 100%, $E$13)</f>
        <v>10.5123</v>
      </c>
      <c r="G572" s="64">
        <f>10.5124 * CHOOSE(CONTROL!$C$22, $C$13, 100%, $E$13)</f>
        <v>10.5124</v>
      </c>
      <c r="H572" s="64">
        <f>16.9918* CHOOSE(CONTROL!$C$22, $C$13, 100%, $E$13)</f>
        <v>16.991800000000001</v>
      </c>
      <c r="I572" s="64">
        <f>16.9918 * CHOOSE(CONTROL!$C$22, $C$13, 100%, $E$13)</f>
        <v>16.991800000000001</v>
      </c>
      <c r="J572" s="64">
        <f>10.5123 * CHOOSE(CONTROL!$C$22, $C$13, 100%, $E$13)</f>
        <v>10.5123</v>
      </c>
      <c r="K572" s="64">
        <f>10.5124 * CHOOSE(CONTROL!$C$22, $C$13, 100%, $E$13)</f>
        <v>10.5124</v>
      </c>
    </row>
    <row r="573" spans="1:11" ht="15">
      <c r="A573" s="13">
        <v>58927</v>
      </c>
      <c r="B573" s="63">
        <f>8.8919 * CHOOSE(CONTROL!$C$22, $C$13, 100%, $E$13)</f>
        <v>8.8918999999999997</v>
      </c>
      <c r="C573" s="63">
        <f>8.8919 * CHOOSE(CONTROL!$C$22, $C$13, 100%, $E$13)</f>
        <v>8.8918999999999997</v>
      </c>
      <c r="D573" s="63">
        <f>8.9049 * CHOOSE(CONTROL!$C$22, $C$13, 100%, $E$13)</f>
        <v>8.9048999999999996</v>
      </c>
      <c r="E573" s="64">
        <f>10.5681 * CHOOSE(CONTROL!$C$22, $C$13, 100%, $E$13)</f>
        <v>10.568099999999999</v>
      </c>
      <c r="F573" s="64">
        <f>10.5681 * CHOOSE(CONTROL!$C$22, $C$13, 100%, $E$13)</f>
        <v>10.568099999999999</v>
      </c>
      <c r="G573" s="64">
        <f>10.5838 * CHOOSE(CONTROL!$C$22, $C$13, 100%, $E$13)</f>
        <v>10.5838</v>
      </c>
      <c r="H573" s="64">
        <f>17.0272* CHOOSE(CONTROL!$C$22, $C$13, 100%, $E$13)</f>
        <v>17.027200000000001</v>
      </c>
      <c r="I573" s="64">
        <f>17.0428 * CHOOSE(CONTROL!$C$22, $C$13, 100%, $E$13)</f>
        <v>17.0428</v>
      </c>
      <c r="J573" s="64">
        <f>10.5681 * CHOOSE(CONTROL!$C$22, $C$13, 100%, $E$13)</f>
        <v>10.568099999999999</v>
      </c>
      <c r="K573" s="64">
        <f>10.5838 * CHOOSE(CONTROL!$C$22, $C$13, 100%, $E$13)</f>
        <v>10.5838</v>
      </c>
    </row>
    <row r="574" spans="1:11" ht="15">
      <c r="A574" s="13">
        <v>58958</v>
      </c>
      <c r="B574" s="63">
        <f>8.898 * CHOOSE(CONTROL!$C$22, $C$13, 100%, $E$13)</f>
        <v>8.8979999999999997</v>
      </c>
      <c r="C574" s="63">
        <f>8.898 * CHOOSE(CONTROL!$C$22, $C$13, 100%, $E$13)</f>
        <v>8.8979999999999997</v>
      </c>
      <c r="D574" s="63">
        <f>8.911 * CHOOSE(CONTROL!$C$22, $C$13, 100%, $E$13)</f>
        <v>8.9109999999999996</v>
      </c>
      <c r="E574" s="64">
        <f>10.5165 * CHOOSE(CONTROL!$C$22, $C$13, 100%, $E$13)</f>
        <v>10.516500000000001</v>
      </c>
      <c r="F574" s="64">
        <f>10.5165 * CHOOSE(CONTROL!$C$22, $C$13, 100%, $E$13)</f>
        <v>10.516500000000001</v>
      </c>
      <c r="G574" s="64">
        <f>10.5322 * CHOOSE(CONTROL!$C$22, $C$13, 100%, $E$13)</f>
        <v>10.5322</v>
      </c>
      <c r="H574" s="64">
        <f>17.0626* CHOOSE(CONTROL!$C$22, $C$13, 100%, $E$13)</f>
        <v>17.0626</v>
      </c>
      <c r="I574" s="64">
        <f>17.0783 * CHOOSE(CONTROL!$C$22, $C$13, 100%, $E$13)</f>
        <v>17.078299999999999</v>
      </c>
      <c r="J574" s="64">
        <f>10.5165 * CHOOSE(CONTROL!$C$22, $C$13, 100%, $E$13)</f>
        <v>10.516500000000001</v>
      </c>
      <c r="K574" s="64">
        <f>10.5322 * CHOOSE(CONTROL!$C$22, $C$13, 100%, $E$13)</f>
        <v>10.5322</v>
      </c>
    </row>
    <row r="575" spans="1:11" ht="15">
      <c r="A575" s="13">
        <v>58988</v>
      </c>
      <c r="B575" s="63">
        <f>9.0365 * CHOOSE(CONTROL!$C$22, $C$13, 100%, $E$13)</f>
        <v>9.0365000000000002</v>
      </c>
      <c r="C575" s="63">
        <f>9.0365 * CHOOSE(CONTROL!$C$22, $C$13, 100%, $E$13)</f>
        <v>9.0365000000000002</v>
      </c>
      <c r="D575" s="63">
        <f>9.0495 * CHOOSE(CONTROL!$C$22, $C$13, 100%, $E$13)</f>
        <v>9.0495000000000001</v>
      </c>
      <c r="E575" s="64">
        <f>10.6879 * CHOOSE(CONTROL!$C$22, $C$13, 100%, $E$13)</f>
        <v>10.687900000000001</v>
      </c>
      <c r="F575" s="64">
        <f>10.6879 * CHOOSE(CONTROL!$C$22, $C$13, 100%, $E$13)</f>
        <v>10.687900000000001</v>
      </c>
      <c r="G575" s="64">
        <f>10.7036 * CHOOSE(CONTROL!$C$22, $C$13, 100%, $E$13)</f>
        <v>10.7036</v>
      </c>
      <c r="H575" s="64">
        <f>17.0982* CHOOSE(CONTROL!$C$22, $C$13, 100%, $E$13)</f>
        <v>17.098199999999999</v>
      </c>
      <c r="I575" s="64">
        <f>17.1139 * CHOOSE(CONTROL!$C$22, $C$13, 100%, $E$13)</f>
        <v>17.113900000000001</v>
      </c>
      <c r="J575" s="64">
        <f>10.6879 * CHOOSE(CONTROL!$C$22, $C$13, 100%, $E$13)</f>
        <v>10.687900000000001</v>
      </c>
      <c r="K575" s="64">
        <f>10.7036 * CHOOSE(CONTROL!$C$22, $C$13, 100%, $E$13)</f>
        <v>10.7036</v>
      </c>
    </row>
    <row r="576" spans="1:11" ht="15">
      <c r="A576" s="13">
        <v>59019</v>
      </c>
      <c r="B576" s="63">
        <f>9.0432 * CHOOSE(CONTROL!$C$22, $C$13, 100%, $E$13)</f>
        <v>9.0432000000000006</v>
      </c>
      <c r="C576" s="63">
        <f>9.0432 * CHOOSE(CONTROL!$C$22, $C$13, 100%, $E$13)</f>
        <v>9.0432000000000006</v>
      </c>
      <c r="D576" s="63">
        <f>9.0561 * CHOOSE(CONTROL!$C$22, $C$13, 100%, $E$13)</f>
        <v>9.0561000000000007</v>
      </c>
      <c r="E576" s="64">
        <f>10.5249 * CHOOSE(CONTROL!$C$22, $C$13, 100%, $E$13)</f>
        <v>10.524900000000001</v>
      </c>
      <c r="F576" s="64">
        <f>10.5249 * CHOOSE(CONTROL!$C$22, $C$13, 100%, $E$13)</f>
        <v>10.524900000000001</v>
      </c>
      <c r="G576" s="64">
        <f>10.5406 * CHOOSE(CONTROL!$C$22, $C$13, 100%, $E$13)</f>
        <v>10.5406</v>
      </c>
      <c r="H576" s="64">
        <f>17.1338* CHOOSE(CONTROL!$C$22, $C$13, 100%, $E$13)</f>
        <v>17.133800000000001</v>
      </c>
      <c r="I576" s="64">
        <f>17.1495 * CHOOSE(CONTROL!$C$22, $C$13, 100%, $E$13)</f>
        <v>17.1495</v>
      </c>
      <c r="J576" s="64">
        <f>10.5249 * CHOOSE(CONTROL!$C$22, $C$13, 100%, $E$13)</f>
        <v>10.524900000000001</v>
      </c>
      <c r="K576" s="64">
        <f>10.5406 * CHOOSE(CONTROL!$C$22, $C$13, 100%, $E$13)</f>
        <v>10.5406</v>
      </c>
    </row>
    <row r="577" spans="1:11" ht="15">
      <c r="A577" s="13">
        <v>59050</v>
      </c>
      <c r="B577" s="63">
        <f>9.0401 * CHOOSE(CONTROL!$C$22, $C$13, 100%, $E$13)</f>
        <v>9.0401000000000007</v>
      </c>
      <c r="C577" s="63">
        <f>9.0401 * CHOOSE(CONTROL!$C$22, $C$13, 100%, $E$13)</f>
        <v>9.0401000000000007</v>
      </c>
      <c r="D577" s="63">
        <f>9.0531 * CHOOSE(CONTROL!$C$22, $C$13, 100%, $E$13)</f>
        <v>9.0531000000000006</v>
      </c>
      <c r="E577" s="64">
        <f>10.5042 * CHOOSE(CONTROL!$C$22, $C$13, 100%, $E$13)</f>
        <v>10.504200000000001</v>
      </c>
      <c r="F577" s="64">
        <f>10.5042 * CHOOSE(CONTROL!$C$22, $C$13, 100%, $E$13)</f>
        <v>10.504200000000001</v>
      </c>
      <c r="G577" s="64">
        <f>10.5199 * CHOOSE(CONTROL!$C$22, $C$13, 100%, $E$13)</f>
        <v>10.5199</v>
      </c>
      <c r="H577" s="64">
        <f>17.1695* CHOOSE(CONTROL!$C$22, $C$13, 100%, $E$13)</f>
        <v>17.169499999999999</v>
      </c>
      <c r="I577" s="64">
        <f>17.1852 * CHOOSE(CONTROL!$C$22, $C$13, 100%, $E$13)</f>
        <v>17.185199999999998</v>
      </c>
      <c r="J577" s="64">
        <f>10.5042 * CHOOSE(CONTROL!$C$22, $C$13, 100%, $E$13)</f>
        <v>10.504200000000001</v>
      </c>
      <c r="K577" s="64">
        <f>10.5199 * CHOOSE(CONTROL!$C$22, $C$13, 100%, $E$13)</f>
        <v>10.5199</v>
      </c>
    </row>
    <row r="578" spans="1:11" ht="15">
      <c r="A578" s="13">
        <v>59080</v>
      </c>
      <c r="B578" s="63">
        <f>9.0516 * CHOOSE(CONTROL!$C$22, $C$13, 100%, $E$13)</f>
        <v>9.0516000000000005</v>
      </c>
      <c r="C578" s="63">
        <f>9.0516 * CHOOSE(CONTROL!$C$22, $C$13, 100%, $E$13)</f>
        <v>9.0516000000000005</v>
      </c>
      <c r="D578" s="63">
        <f>9.0516 * CHOOSE(CONTROL!$C$22, $C$13, 100%, $E$13)</f>
        <v>9.0516000000000005</v>
      </c>
      <c r="E578" s="64">
        <f>10.5653 * CHOOSE(CONTROL!$C$22, $C$13, 100%, $E$13)</f>
        <v>10.565300000000001</v>
      </c>
      <c r="F578" s="64">
        <f>10.5653 * CHOOSE(CONTROL!$C$22, $C$13, 100%, $E$13)</f>
        <v>10.565300000000001</v>
      </c>
      <c r="G578" s="64">
        <f>10.5653 * CHOOSE(CONTROL!$C$22, $C$13, 100%, $E$13)</f>
        <v>10.565300000000001</v>
      </c>
      <c r="H578" s="64">
        <f>17.2053* CHOOSE(CONTROL!$C$22, $C$13, 100%, $E$13)</f>
        <v>17.205300000000001</v>
      </c>
      <c r="I578" s="64">
        <f>17.2053 * CHOOSE(CONTROL!$C$22, $C$13, 100%, $E$13)</f>
        <v>17.205300000000001</v>
      </c>
      <c r="J578" s="64">
        <f>10.5653 * CHOOSE(CONTROL!$C$22, $C$13, 100%, $E$13)</f>
        <v>10.565300000000001</v>
      </c>
      <c r="K578" s="64">
        <f>10.5653 * CHOOSE(CONTROL!$C$22, $C$13, 100%, $E$13)</f>
        <v>10.565300000000001</v>
      </c>
    </row>
    <row r="579" spans="1:11" ht="15">
      <c r="A579" s="13">
        <v>59111</v>
      </c>
      <c r="B579" s="63">
        <f>9.0547 * CHOOSE(CONTROL!$C$22, $C$13, 100%, $E$13)</f>
        <v>9.0547000000000004</v>
      </c>
      <c r="C579" s="63">
        <f>9.0547 * CHOOSE(CONTROL!$C$22, $C$13, 100%, $E$13)</f>
        <v>9.0547000000000004</v>
      </c>
      <c r="D579" s="63">
        <f>9.0547 * CHOOSE(CONTROL!$C$22, $C$13, 100%, $E$13)</f>
        <v>9.0547000000000004</v>
      </c>
      <c r="E579" s="64">
        <f>10.6046 * CHOOSE(CONTROL!$C$22, $C$13, 100%, $E$13)</f>
        <v>10.6046</v>
      </c>
      <c r="F579" s="64">
        <f>10.6046 * CHOOSE(CONTROL!$C$22, $C$13, 100%, $E$13)</f>
        <v>10.6046</v>
      </c>
      <c r="G579" s="64">
        <f>10.6047 * CHOOSE(CONTROL!$C$22, $C$13, 100%, $E$13)</f>
        <v>10.604699999999999</v>
      </c>
      <c r="H579" s="64">
        <f>17.2411* CHOOSE(CONTROL!$C$22, $C$13, 100%, $E$13)</f>
        <v>17.241099999999999</v>
      </c>
      <c r="I579" s="64">
        <f>17.2412 * CHOOSE(CONTROL!$C$22, $C$13, 100%, $E$13)</f>
        <v>17.241199999999999</v>
      </c>
      <c r="J579" s="64">
        <f>10.6046 * CHOOSE(CONTROL!$C$22, $C$13, 100%, $E$13)</f>
        <v>10.6046</v>
      </c>
      <c r="K579" s="64">
        <f>10.6047 * CHOOSE(CONTROL!$C$22, $C$13, 100%, $E$13)</f>
        <v>10.604699999999999</v>
      </c>
    </row>
    <row r="580" spans="1:11" ht="15">
      <c r="A580" s="13">
        <v>59141</v>
      </c>
      <c r="B580" s="63">
        <f>9.0547 * CHOOSE(CONTROL!$C$22, $C$13, 100%, $E$13)</f>
        <v>9.0547000000000004</v>
      </c>
      <c r="C580" s="63">
        <f>9.0547 * CHOOSE(CONTROL!$C$22, $C$13, 100%, $E$13)</f>
        <v>9.0547000000000004</v>
      </c>
      <c r="D580" s="63">
        <f>9.0547 * CHOOSE(CONTROL!$C$22, $C$13, 100%, $E$13)</f>
        <v>9.0547000000000004</v>
      </c>
      <c r="E580" s="64">
        <f>10.5115 * CHOOSE(CONTROL!$C$22, $C$13, 100%, $E$13)</f>
        <v>10.5115</v>
      </c>
      <c r="F580" s="64">
        <f>10.5115 * CHOOSE(CONTROL!$C$22, $C$13, 100%, $E$13)</f>
        <v>10.5115</v>
      </c>
      <c r="G580" s="64">
        <f>10.5116 * CHOOSE(CONTROL!$C$22, $C$13, 100%, $E$13)</f>
        <v>10.5116</v>
      </c>
      <c r="H580" s="64">
        <f>17.277* CHOOSE(CONTROL!$C$22, $C$13, 100%, $E$13)</f>
        <v>17.277000000000001</v>
      </c>
      <c r="I580" s="64">
        <f>17.2771 * CHOOSE(CONTROL!$C$22, $C$13, 100%, $E$13)</f>
        <v>17.277100000000001</v>
      </c>
      <c r="J580" s="64">
        <f>10.5115 * CHOOSE(CONTROL!$C$22, $C$13, 100%, $E$13)</f>
        <v>10.5115</v>
      </c>
      <c r="K580" s="64">
        <f>10.5116 * CHOOSE(CONTROL!$C$22, $C$13, 100%, $E$13)</f>
        <v>10.5116</v>
      </c>
    </row>
    <row r="581" spans="1:11" ht="15">
      <c r="A581" s="13">
        <v>59172</v>
      </c>
      <c r="B581" s="63">
        <f>9.1318 * CHOOSE(CONTROL!$C$22, $C$13, 100%, $E$13)</f>
        <v>9.1318000000000001</v>
      </c>
      <c r="C581" s="63">
        <f>9.1318 * CHOOSE(CONTROL!$C$22, $C$13, 100%, $E$13)</f>
        <v>9.1318000000000001</v>
      </c>
      <c r="D581" s="63">
        <f>9.1318 * CHOOSE(CONTROL!$C$22, $C$13, 100%, $E$13)</f>
        <v>9.1318000000000001</v>
      </c>
      <c r="E581" s="64">
        <f>10.6637 * CHOOSE(CONTROL!$C$22, $C$13, 100%, $E$13)</f>
        <v>10.6637</v>
      </c>
      <c r="F581" s="64">
        <f>10.6637 * CHOOSE(CONTROL!$C$22, $C$13, 100%, $E$13)</f>
        <v>10.6637</v>
      </c>
      <c r="G581" s="64">
        <f>10.6638 * CHOOSE(CONTROL!$C$22, $C$13, 100%, $E$13)</f>
        <v>10.6638</v>
      </c>
      <c r="H581" s="64">
        <f>17.313* CHOOSE(CONTROL!$C$22, $C$13, 100%, $E$13)</f>
        <v>17.312999999999999</v>
      </c>
      <c r="I581" s="64">
        <f>17.3131 * CHOOSE(CONTROL!$C$22, $C$13, 100%, $E$13)</f>
        <v>17.313099999999999</v>
      </c>
      <c r="J581" s="64">
        <f>10.6637 * CHOOSE(CONTROL!$C$22, $C$13, 100%, $E$13)</f>
        <v>10.6637</v>
      </c>
      <c r="K581" s="64">
        <f>10.6638 * CHOOSE(CONTROL!$C$22, $C$13, 100%, $E$13)</f>
        <v>10.6638</v>
      </c>
    </row>
    <row r="582" spans="1:11" ht="15">
      <c r="A582" s="13">
        <v>59203</v>
      </c>
      <c r="B582" s="63">
        <f>9.1287 * CHOOSE(CONTROL!$C$22, $C$13, 100%, $E$13)</f>
        <v>9.1287000000000003</v>
      </c>
      <c r="C582" s="63">
        <f>9.1287 * CHOOSE(CONTROL!$C$22, $C$13, 100%, $E$13)</f>
        <v>9.1287000000000003</v>
      </c>
      <c r="D582" s="63">
        <f>9.1287 * CHOOSE(CONTROL!$C$22, $C$13, 100%, $E$13)</f>
        <v>9.1287000000000003</v>
      </c>
      <c r="E582" s="64">
        <f>10.4807 * CHOOSE(CONTROL!$C$22, $C$13, 100%, $E$13)</f>
        <v>10.480700000000001</v>
      </c>
      <c r="F582" s="64">
        <f>10.4807 * CHOOSE(CONTROL!$C$22, $C$13, 100%, $E$13)</f>
        <v>10.480700000000001</v>
      </c>
      <c r="G582" s="64">
        <f>10.4808 * CHOOSE(CONTROL!$C$22, $C$13, 100%, $E$13)</f>
        <v>10.4808</v>
      </c>
      <c r="H582" s="64">
        <f>17.3491* CHOOSE(CONTROL!$C$22, $C$13, 100%, $E$13)</f>
        <v>17.3491</v>
      </c>
      <c r="I582" s="64">
        <f>17.3492 * CHOOSE(CONTROL!$C$22, $C$13, 100%, $E$13)</f>
        <v>17.3492</v>
      </c>
      <c r="J582" s="64">
        <f>10.4807 * CHOOSE(CONTROL!$C$22, $C$13, 100%, $E$13)</f>
        <v>10.480700000000001</v>
      </c>
      <c r="K582" s="64">
        <f>10.4808 * CHOOSE(CONTROL!$C$22, $C$13, 100%, $E$13)</f>
        <v>10.4808</v>
      </c>
    </row>
    <row r="583" spans="1:11" ht="15">
      <c r="A583" s="13">
        <v>59231</v>
      </c>
      <c r="B583" s="63">
        <f>9.1257 * CHOOSE(CONTROL!$C$22, $C$13, 100%, $E$13)</f>
        <v>9.1257000000000001</v>
      </c>
      <c r="C583" s="63">
        <f>9.1257 * CHOOSE(CONTROL!$C$22, $C$13, 100%, $E$13)</f>
        <v>9.1257000000000001</v>
      </c>
      <c r="D583" s="63">
        <f>9.1257 * CHOOSE(CONTROL!$C$22, $C$13, 100%, $E$13)</f>
        <v>9.1257000000000001</v>
      </c>
      <c r="E583" s="64">
        <f>10.6212 * CHOOSE(CONTROL!$C$22, $C$13, 100%, $E$13)</f>
        <v>10.6212</v>
      </c>
      <c r="F583" s="64">
        <f>10.6212 * CHOOSE(CONTROL!$C$22, $C$13, 100%, $E$13)</f>
        <v>10.6212</v>
      </c>
      <c r="G583" s="64">
        <f>10.6213 * CHOOSE(CONTROL!$C$22, $C$13, 100%, $E$13)</f>
        <v>10.6213</v>
      </c>
      <c r="H583" s="64">
        <f>17.3852* CHOOSE(CONTROL!$C$22, $C$13, 100%, $E$13)</f>
        <v>17.385200000000001</v>
      </c>
      <c r="I583" s="64">
        <f>17.3853 * CHOOSE(CONTROL!$C$22, $C$13, 100%, $E$13)</f>
        <v>17.385300000000001</v>
      </c>
      <c r="J583" s="64">
        <f>10.6212 * CHOOSE(CONTROL!$C$22, $C$13, 100%, $E$13)</f>
        <v>10.6212</v>
      </c>
      <c r="K583" s="64">
        <f>10.6213 * CHOOSE(CONTROL!$C$22, $C$13, 100%, $E$13)</f>
        <v>10.6213</v>
      </c>
    </row>
    <row r="584" spans="1:11" ht="15">
      <c r="A584" s="13">
        <v>59262</v>
      </c>
      <c r="B584" s="63">
        <f>9.1277 * CHOOSE(CONTROL!$C$22, $C$13, 100%, $E$13)</f>
        <v>9.1277000000000008</v>
      </c>
      <c r="C584" s="63">
        <f>9.1277 * CHOOSE(CONTROL!$C$22, $C$13, 100%, $E$13)</f>
        <v>9.1277000000000008</v>
      </c>
      <c r="D584" s="63">
        <f>9.1277 * CHOOSE(CONTROL!$C$22, $C$13, 100%, $E$13)</f>
        <v>9.1277000000000008</v>
      </c>
      <c r="E584" s="64">
        <f>10.7701 * CHOOSE(CONTROL!$C$22, $C$13, 100%, $E$13)</f>
        <v>10.770099999999999</v>
      </c>
      <c r="F584" s="64">
        <f>10.7701 * CHOOSE(CONTROL!$C$22, $C$13, 100%, $E$13)</f>
        <v>10.770099999999999</v>
      </c>
      <c r="G584" s="64">
        <f>10.7702 * CHOOSE(CONTROL!$C$22, $C$13, 100%, $E$13)</f>
        <v>10.770200000000001</v>
      </c>
      <c r="H584" s="64">
        <f>17.4215* CHOOSE(CONTROL!$C$22, $C$13, 100%, $E$13)</f>
        <v>17.421500000000002</v>
      </c>
      <c r="I584" s="64">
        <f>17.4215 * CHOOSE(CONTROL!$C$22, $C$13, 100%, $E$13)</f>
        <v>17.421500000000002</v>
      </c>
      <c r="J584" s="64">
        <f>10.7701 * CHOOSE(CONTROL!$C$22, $C$13, 100%, $E$13)</f>
        <v>10.770099999999999</v>
      </c>
      <c r="K584" s="64">
        <f>10.7702 * CHOOSE(CONTROL!$C$22, $C$13, 100%, $E$13)</f>
        <v>10.770200000000001</v>
      </c>
    </row>
    <row r="585" spans="1:11" ht="15">
      <c r="A585" s="13">
        <v>59292</v>
      </c>
      <c r="B585" s="63">
        <f>9.1277 * CHOOSE(CONTROL!$C$22, $C$13, 100%, $E$13)</f>
        <v>9.1277000000000008</v>
      </c>
      <c r="C585" s="63">
        <f>9.1277 * CHOOSE(CONTROL!$C$22, $C$13, 100%, $E$13)</f>
        <v>9.1277000000000008</v>
      </c>
      <c r="D585" s="63">
        <f>9.1406 * CHOOSE(CONTROL!$C$22, $C$13, 100%, $E$13)</f>
        <v>9.1405999999999992</v>
      </c>
      <c r="E585" s="64">
        <f>10.8276 * CHOOSE(CONTROL!$C$22, $C$13, 100%, $E$13)</f>
        <v>10.8276</v>
      </c>
      <c r="F585" s="64">
        <f>10.8276 * CHOOSE(CONTROL!$C$22, $C$13, 100%, $E$13)</f>
        <v>10.8276</v>
      </c>
      <c r="G585" s="64">
        <f>10.8433 * CHOOSE(CONTROL!$C$22, $C$13, 100%, $E$13)</f>
        <v>10.843299999999999</v>
      </c>
      <c r="H585" s="64">
        <f>17.4578* CHOOSE(CONTROL!$C$22, $C$13, 100%, $E$13)</f>
        <v>17.457799999999999</v>
      </c>
      <c r="I585" s="64">
        <f>17.4734 * CHOOSE(CONTROL!$C$22, $C$13, 100%, $E$13)</f>
        <v>17.473400000000002</v>
      </c>
      <c r="J585" s="64">
        <f>10.8276 * CHOOSE(CONTROL!$C$22, $C$13, 100%, $E$13)</f>
        <v>10.8276</v>
      </c>
      <c r="K585" s="64">
        <f>10.8433 * CHOOSE(CONTROL!$C$22, $C$13, 100%, $E$13)</f>
        <v>10.843299999999999</v>
      </c>
    </row>
    <row r="586" spans="1:11" ht="15">
      <c r="A586" s="13">
        <v>59323</v>
      </c>
      <c r="B586" s="63">
        <f>9.1337 * CHOOSE(CONTROL!$C$22, $C$13, 100%, $E$13)</f>
        <v>9.1336999999999993</v>
      </c>
      <c r="C586" s="63">
        <f>9.1337 * CHOOSE(CONTROL!$C$22, $C$13, 100%, $E$13)</f>
        <v>9.1336999999999993</v>
      </c>
      <c r="D586" s="63">
        <f>9.1467 * CHOOSE(CONTROL!$C$22, $C$13, 100%, $E$13)</f>
        <v>9.1466999999999992</v>
      </c>
      <c r="E586" s="64">
        <f>10.7744 * CHOOSE(CONTROL!$C$22, $C$13, 100%, $E$13)</f>
        <v>10.7744</v>
      </c>
      <c r="F586" s="64">
        <f>10.7744 * CHOOSE(CONTROL!$C$22, $C$13, 100%, $E$13)</f>
        <v>10.7744</v>
      </c>
      <c r="G586" s="64">
        <f>10.7901 * CHOOSE(CONTROL!$C$22, $C$13, 100%, $E$13)</f>
        <v>10.790100000000001</v>
      </c>
      <c r="H586" s="64">
        <f>17.4941* CHOOSE(CONTROL!$C$22, $C$13, 100%, $E$13)</f>
        <v>17.4941</v>
      </c>
      <c r="I586" s="64">
        <f>17.5098 * CHOOSE(CONTROL!$C$22, $C$13, 100%, $E$13)</f>
        <v>17.509799999999998</v>
      </c>
      <c r="J586" s="64">
        <f>10.7744 * CHOOSE(CONTROL!$C$22, $C$13, 100%, $E$13)</f>
        <v>10.7744</v>
      </c>
      <c r="K586" s="64">
        <f>10.7901 * CHOOSE(CONTROL!$C$22, $C$13, 100%, $E$13)</f>
        <v>10.790100000000001</v>
      </c>
    </row>
    <row r="587" spans="1:11" ht="15">
      <c r="A587" s="13">
        <v>59353</v>
      </c>
      <c r="B587" s="63">
        <f>9.2757 * CHOOSE(CONTROL!$C$22, $C$13, 100%, $E$13)</f>
        <v>9.2757000000000005</v>
      </c>
      <c r="C587" s="63">
        <f>9.2757 * CHOOSE(CONTROL!$C$22, $C$13, 100%, $E$13)</f>
        <v>9.2757000000000005</v>
      </c>
      <c r="D587" s="63">
        <f>9.2886 * CHOOSE(CONTROL!$C$22, $C$13, 100%, $E$13)</f>
        <v>9.2886000000000006</v>
      </c>
      <c r="E587" s="64">
        <f>10.9496 * CHOOSE(CONTROL!$C$22, $C$13, 100%, $E$13)</f>
        <v>10.9496</v>
      </c>
      <c r="F587" s="64">
        <f>10.9496 * CHOOSE(CONTROL!$C$22, $C$13, 100%, $E$13)</f>
        <v>10.9496</v>
      </c>
      <c r="G587" s="64">
        <f>10.9653 * CHOOSE(CONTROL!$C$22, $C$13, 100%, $E$13)</f>
        <v>10.965299999999999</v>
      </c>
      <c r="H587" s="64">
        <f>17.5306* CHOOSE(CONTROL!$C$22, $C$13, 100%, $E$13)</f>
        <v>17.5306</v>
      </c>
      <c r="I587" s="64">
        <f>17.5462 * CHOOSE(CONTROL!$C$22, $C$13, 100%, $E$13)</f>
        <v>17.546199999999999</v>
      </c>
      <c r="J587" s="64">
        <f>10.9496 * CHOOSE(CONTROL!$C$22, $C$13, 100%, $E$13)</f>
        <v>10.9496</v>
      </c>
      <c r="K587" s="64">
        <f>10.9653 * CHOOSE(CONTROL!$C$22, $C$13, 100%, $E$13)</f>
        <v>10.965299999999999</v>
      </c>
    </row>
    <row r="588" spans="1:11" ht="15">
      <c r="A588" s="13">
        <v>59384</v>
      </c>
      <c r="B588" s="63">
        <f>9.2823 * CHOOSE(CONTROL!$C$22, $C$13, 100%, $E$13)</f>
        <v>9.2822999999999993</v>
      </c>
      <c r="C588" s="63">
        <f>9.2823 * CHOOSE(CONTROL!$C$22, $C$13, 100%, $E$13)</f>
        <v>9.2822999999999993</v>
      </c>
      <c r="D588" s="63">
        <f>9.2953 * CHOOSE(CONTROL!$C$22, $C$13, 100%, $E$13)</f>
        <v>9.2952999999999992</v>
      </c>
      <c r="E588" s="64">
        <f>10.782 * CHOOSE(CONTROL!$C$22, $C$13, 100%, $E$13)</f>
        <v>10.782</v>
      </c>
      <c r="F588" s="64">
        <f>10.782 * CHOOSE(CONTROL!$C$22, $C$13, 100%, $E$13)</f>
        <v>10.782</v>
      </c>
      <c r="G588" s="64">
        <f>10.7977 * CHOOSE(CONTROL!$C$22, $C$13, 100%, $E$13)</f>
        <v>10.797700000000001</v>
      </c>
      <c r="H588" s="64">
        <f>17.5671* CHOOSE(CONTROL!$C$22, $C$13, 100%, $E$13)</f>
        <v>17.5671</v>
      </c>
      <c r="I588" s="64">
        <f>17.5828 * CHOOSE(CONTROL!$C$22, $C$13, 100%, $E$13)</f>
        <v>17.582799999999999</v>
      </c>
      <c r="J588" s="64">
        <f>10.782 * CHOOSE(CONTROL!$C$22, $C$13, 100%, $E$13)</f>
        <v>10.782</v>
      </c>
      <c r="K588" s="64">
        <f>10.7977 * CHOOSE(CONTROL!$C$22, $C$13, 100%, $E$13)</f>
        <v>10.797700000000001</v>
      </c>
    </row>
    <row r="589" spans="1:11" ht="15">
      <c r="A589" s="13">
        <v>59415</v>
      </c>
      <c r="B589" s="63">
        <f>9.2793 * CHOOSE(CONTROL!$C$22, $C$13, 100%, $E$13)</f>
        <v>9.2792999999999992</v>
      </c>
      <c r="C589" s="63">
        <f>9.2793 * CHOOSE(CONTROL!$C$22, $C$13, 100%, $E$13)</f>
        <v>9.2792999999999992</v>
      </c>
      <c r="D589" s="63">
        <f>9.2923 * CHOOSE(CONTROL!$C$22, $C$13, 100%, $E$13)</f>
        <v>9.2922999999999991</v>
      </c>
      <c r="E589" s="64">
        <f>10.7607 * CHOOSE(CONTROL!$C$22, $C$13, 100%, $E$13)</f>
        <v>10.7607</v>
      </c>
      <c r="F589" s="64">
        <f>10.7607 * CHOOSE(CONTROL!$C$22, $C$13, 100%, $E$13)</f>
        <v>10.7607</v>
      </c>
      <c r="G589" s="64">
        <f>10.7764 * CHOOSE(CONTROL!$C$22, $C$13, 100%, $E$13)</f>
        <v>10.776400000000001</v>
      </c>
      <c r="H589" s="64">
        <f>17.6037* CHOOSE(CONTROL!$C$22, $C$13, 100%, $E$13)</f>
        <v>17.6037</v>
      </c>
      <c r="I589" s="64">
        <f>17.6194 * CHOOSE(CONTROL!$C$22, $C$13, 100%, $E$13)</f>
        <v>17.619399999999999</v>
      </c>
      <c r="J589" s="64">
        <f>10.7607 * CHOOSE(CONTROL!$C$22, $C$13, 100%, $E$13)</f>
        <v>10.7607</v>
      </c>
      <c r="K589" s="64">
        <f>10.7764 * CHOOSE(CONTROL!$C$22, $C$13, 100%, $E$13)</f>
        <v>10.776400000000001</v>
      </c>
    </row>
    <row r="590" spans="1:11" ht="15">
      <c r="A590" s="13">
        <v>59445</v>
      </c>
      <c r="B590" s="63">
        <f>9.2916 * CHOOSE(CONTROL!$C$22, $C$13, 100%, $E$13)</f>
        <v>9.2916000000000007</v>
      </c>
      <c r="C590" s="63">
        <f>9.2916 * CHOOSE(CONTROL!$C$22, $C$13, 100%, $E$13)</f>
        <v>9.2916000000000007</v>
      </c>
      <c r="D590" s="63">
        <f>9.2916 * CHOOSE(CONTROL!$C$22, $C$13, 100%, $E$13)</f>
        <v>9.2916000000000007</v>
      </c>
      <c r="E590" s="64">
        <f>10.8239 * CHOOSE(CONTROL!$C$22, $C$13, 100%, $E$13)</f>
        <v>10.8239</v>
      </c>
      <c r="F590" s="64">
        <f>10.8239 * CHOOSE(CONTROL!$C$22, $C$13, 100%, $E$13)</f>
        <v>10.8239</v>
      </c>
      <c r="G590" s="64">
        <f>10.824 * CHOOSE(CONTROL!$C$22, $C$13, 100%, $E$13)</f>
        <v>10.824</v>
      </c>
      <c r="H590" s="64">
        <f>17.6404* CHOOSE(CONTROL!$C$22, $C$13, 100%, $E$13)</f>
        <v>17.6404</v>
      </c>
      <c r="I590" s="64">
        <f>17.6404 * CHOOSE(CONTROL!$C$22, $C$13, 100%, $E$13)</f>
        <v>17.6404</v>
      </c>
      <c r="J590" s="64">
        <f>10.8239 * CHOOSE(CONTROL!$C$22, $C$13, 100%, $E$13)</f>
        <v>10.8239</v>
      </c>
      <c r="K590" s="64">
        <f>10.824 * CHOOSE(CONTROL!$C$22, $C$13, 100%, $E$13)</f>
        <v>10.824</v>
      </c>
    </row>
    <row r="591" spans="1:11" ht="15">
      <c r="A591" s="13">
        <v>59476</v>
      </c>
      <c r="B591" s="63">
        <f>9.2946 * CHOOSE(CONTROL!$C$22, $C$13, 100%, $E$13)</f>
        <v>9.2946000000000009</v>
      </c>
      <c r="C591" s="63">
        <f>9.2946 * CHOOSE(CONTROL!$C$22, $C$13, 100%, $E$13)</f>
        <v>9.2946000000000009</v>
      </c>
      <c r="D591" s="63">
        <f>9.2946 * CHOOSE(CONTROL!$C$22, $C$13, 100%, $E$13)</f>
        <v>9.2946000000000009</v>
      </c>
      <c r="E591" s="64">
        <f>10.8643 * CHOOSE(CONTROL!$C$22, $C$13, 100%, $E$13)</f>
        <v>10.8643</v>
      </c>
      <c r="F591" s="64">
        <f>10.8643 * CHOOSE(CONTROL!$C$22, $C$13, 100%, $E$13)</f>
        <v>10.8643</v>
      </c>
      <c r="G591" s="64">
        <f>10.8644 * CHOOSE(CONTROL!$C$22, $C$13, 100%, $E$13)</f>
        <v>10.8644</v>
      </c>
      <c r="H591" s="64">
        <f>17.6771* CHOOSE(CONTROL!$C$22, $C$13, 100%, $E$13)</f>
        <v>17.677099999999999</v>
      </c>
      <c r="I591" s="64">
        <f>17.6772 * CHOOSE(CONTROL!$C$22, $C$13, 100%, $E$13)</f>
        <v>17.677199999999999</v>
      </c>
      <c r="J591" s="64">
        <f>10.8643 * CHOOSE(CONTROL!$C$22, $C$13, 100%, $E$13)</f>
        <v>10.8643</v>
      </c>
      <c r="K591" s="64">
        <f>10.8644 * CHOOSE(CONTROL!$C$22, $C$13, 100%, $E$13)</f>
        <v>10.8644</v>
      </c>
    </row>
    <row r="592" spans="1:11" ht="15">
      <c r="A592" s="13">
        <v>59506</v>
      </c>
      <c r="B592" s="63">
        <f>9.2946 * CHOOSE(CONTROL!$C$22, $C$13, 100%, $E$13)</f>
        <v>9.2946000000000009</v>
      </c>
      <c r="C592" s="63">
        <f>9.2946 * CHOOSE(CONTROL!$C$22, $C$13, 100%, $E$13)</f>
        <v>9.2946000000000009</v>
      </c>
      <c r="D592" s="63">
        <f>9.2946 * CHOOSE(CONTROL!$C$22, $C$13, 100%, $E$13)</f>
        <v>9.2946000000000009</v>
      </c>
      <c r="E592" s="64">
        <f>10.7686 * CHOOSE(CONTROL!$C$22, $C$13, 100%, $E$13)</f>
        <v>10.768599999999999</v>
      </c>
      <c r="F592" s="64">
        <f>10.7686 * CHOOSE(CONTROL!$C$22, $C$13, 100%, $E$13)</f>
        <v>10.768599999999999</v>
      </c>
      <c r="G592" s="64">
        <f>10.7687 * CHOOSE(CONTROL!$C$22, $C$13, 100%, $E$13)</f>
        <v>10.768700000000001</v>
      </c>
      <c r="H592" s="64">
        <f>17.7139* CHOOSE(CONTROL!$C$22, $C$13, 100%, $E$13)</f>
        <v>17.713899999999999</v>
      </c>
      <c r="I592" s="64">
        <f>17.714 * CHOOSE(CONTROL!$C$22, $C$13, 100%, $E$13)</f>
        <v>17.713999999999999</v>
      </c>
      <c r="J592" s="64">
        <f>10.7686 * CHOOSE(CONTROL!$C$22, $C$13, 100%, $E$13)</f>
        <v>10.768599999999999</v>
      </c>
      <c r="K592" s="64">
        <f>10.7687 * CHOOSE(CONTROL!$C$22, $C$13, 100%, $E$13)</f>
        <v>10.768700000000001</v>
      </c>
    </row>
    <row r="593" spans="1:11" ht="15">
      <c r="A593" s="13">
        <v>59537</v>
      </c>
      <c r="B593" s="63">
        <f>9.3673 * CHOOSE(CONTROL!$C$22, $C$13, 100%, $E$13)</f>
        <v>9.3673000000000002</v>
      </c>
      <c r="C593" s="63">
        <f>9.3673 * CHOOSE(CONTROL!$C$22, $C$13, 100%, $E$13)</f>
        <v>9.3673000000000002</v>
      </c>
      <c r="D593" s="63">
        <f>9.3673 * CHOOSE(CONTROL!$C$22, $C$13, 100%, $E$13)</f>
        <v>9.3673000000000002</v>
      </c>
      <c r="E593" s="64">
        <f>10.9185 * CHOOSE(CONTROL!$C$22, $C$13, 100%, $E$13)</f>
        <v>10.9185</v>
      </c>
      <c r="F593" s="64">
        <f>10.9185 * CHOOSE(CONTROL!$C$22, $C$13, 100%, $E$13)</f>
        <v>10.9185</v>
      </c>
      <c r="G593" s="64">
        <f>10.9186 * CHOOSE(CONTROL!$C$22, $C$13, 100%, $E$13)</f>
        <v>10.9186</v>
      </c>
      <c r="H593" s="64">
        <f>17.74* CHOOSE(CONTROL!$C$22, $C$13, 100%, $E$13)</f>
        <v>17.739999999999998</v>
      </c>
      <c r="I593" s="64">
        <f>17.7401 * CHOOSE(CONTROL!$C$22, $C$13, 100%, $E$13)</f>
        <v>17.740100000000002</v>
      </c>
      <c r="J593" s="64">
        <f>10.9185 * CHOOSE(CONTROL!$C$22, $C$13, 100%, $E$13)</f>
        <v>10.9185</v>
      </c>
      <c r="K593" s="64">
        <f>10.9186 * CHOOSE(CONTROL!$C$22, $C$13, 100%, $E$13)</f>
        <v>10.9186</v>
      </c>
    </row>
    <row r="594" spans="1:11" ht="15">
      <c r="A594" s="13">
        <v>59568</v>
      </c>
      <c r="B594" s="63">
        <f>9.3643 * CHOOSE(CONTROL!$C$22, $C$13, 100%, $E$13)</f>
        <v>9.3643000000000001</v>
      </c>
      <c r="C594" s="63">
        <f>9.3643 * CHOOSE(CONTROL!$C$22, $C$13, 100%, $E$13)</f>
        <v>9.3643000000000001</v>
      </c>
      <c r="D594" s="63">
        <f>9.3643 * CHOOSE(CONTROL!$C$22, $C$13, 100%, $E$13)</f>
        <v>9.3643000000000001</v>
      </c>
      <c r="E594" s="64">
        <f>10.7305 * CHOOSE(CONTROL!$C$22, $C$13, 100%, $E$13)</f>
        <v>10.730499999999999</v>
      </c>
      <c r="F594" s="64">
        <f>10.7305 * CHOOSE(CONTROL!$C$22, $C$13, 100%, $E$13)</f>
        <v>10.730499999999999</v>
      </c>
      <c r="G594" s="64">
        <f>10.7306 * CHOOSE(CONTROL!$C$22, $C$13, 100%, $E$13)</f>
        <v>10.730600000000001</v>
      </c>
      <c r="H594" s="64">
        <f>17.777* CHOOSE(CONTROL!$C$22, $C$13, 100%, $E$13)</f>
        <v>17.777000000000001</v>
      </c>
      <c r="I594" s="64">
        <f>17.7771 * CHOOSE(CONTROL!$C$22, $C$13, 100%, $E$13)</f>
        <v>17.777100000000001</v>
      </c>
      <c r="J594" s="64">
        <f>10.7305 * CHOOSE(CONTROL!$C$22, $C$13, 100%, $E$13)</f>
        <v>10.730499999999999</v>
      </c>
      <c r="K594" s="64">
        <f>10.7306 * CHOOSE(CONTROL!$C$22, $C$13, 100%, $E$13)</f>
        <v>10.730600000000001</v>
      </c>
    </row>
    <row r="595" spans="1:11" ht="15">
      <c r="A595" s="13">
        <v>59596</v>
      </c>
      <c r="B595" s="63">
        <f>9.3612 * CHOOSE(CONTROL!$C$22, $C$13, 100%, $E$13)</f>
        <v>9.3612000000000002</v>
      </c>
      <c r="C595" s="63">
        <f>9.3612 * CHOOSE(CONTROL!$C$22, $C$13, 100%, $E$13)</f>
        <v>9.3612000000000002</v>
      </c>
      <c r="D595" s="63">
        <f>9.3612 * CHOOSE(CONTROL!$C$22, $C$13, 100%, $E$13)</f>
        <v>9.3612000000000002</v>
      </c>
      <c r="E595" s="64">
        <f>10.8749 * CHOOSE(CONTROL!$C$22, $C$13, 100%, $E$13)</f>
        <v>10.8749</v>
      </c>
      <c r="F595" s="64">
        <f>10.8749 * CHOOSE(CONTROL!$C$22, $C$13, 100%, $E$13)</f>
        <v>10.8749</v>
      </c>
      <c r="G595" s="64">
        <f>10.875 * CHOOSE(CONTROL!$C$22, $C$13, 100%, $E$13)</f>
        <v>10.875</v>
      </c>
      <c r="H595" s="64">
        <f>17.814* CHOOSE(CONTROL!$C$22, $C$13, 100%, $E$13)</f>
        <v>17.814</v>
      </c>
      <c r="I595" s="64">
        <f>17.8141 * CHOOSE(CONTROL!$C$22, $C$13, 100%, $E$13)</f>
        <v>17.8141</v>
      </c>
      <c r="J595" s="64">
        <f>10.8749 * CHOOSE(CONTROL!$C$22, $C$13, 100%, $E$13)</f>
        <v>10.8749</v>
      </c>
      <c r="K595" s="64">
        <f>10.875 * CHOOSE(CONTROL!$C$22, $C$13, 100%, $E$13)</f>
        <v>10.875</v>
      </c>
    </row>
    <row r="596" spans="1:11" ht="15">
      <c r="A596" s="13">
        <v>59627</v>
      </c>
      <c r="B596" s="63">
        <f>9.3634 * CHOOSE(CONTROL!$C$22, $C$13, 100%, $E$13)</f>
        <v>9.3634000000000004</v>
      </c>
      <c r="C596" s="63">
        <f>9.3634 * CHOOSE(CONTROL!$C$22, $C$13, 100%, $E$13)</f>
        <v>9.3634000000000004</v>
      </c>
      <c r="D596" s="63">
        <f>9.3634 * CHOOSE(CONTROL!$C$22, $C$13, 100%, $E$13)</f>
        <v>9.3634000000000004</v>
      </c>
      <c r="E596" s="64">
        <f>11.028 * CHOOSE(CONTROL!$C$22, $C$13, 100%, $E$13)</f>
        <v>11.028</v>
      </c>
      <c r="F596" s="64">
        <f>11.028 * CHOOSE(CONTROL!$C$22, $C$13, 100%, $E$13)</f>
        <v>11.028</v>
      </c>
      <c r="G596" s="64">
        <f>11.0281 * CHOOSE(CONTROL!$C$22, $C$13, 100%, $E$13)</f>
        <v>11.0281</v>
      </c>
      <c r="H596" s="64">
        <f>17.8512* CHOOSE(CONTROL!$C$22, $C$13, 100%, $E$13)</f>
        <v>17.851199999999999</v>
      </c>
      <c r="I596" s="64">
        <f>17.8512 * CHOOSE(CONTROL!$C$22, $C$13, 100%, $E$13)</f>
        <v>17.851199999999999</v>
      </c>
      <c r="J596" s="64">
        <f>11.028 * CHOOSE(CONTROL!$C$22, $C$13, 100%, $E$13)</f>
        <v>11.028</v>
      </c>
      <c r="K596" s="64">
        <f>11.0281 * CHOOSE(CONTROL!$C$22, $C$13, 100%, $E$13)</f>
        <v>11.0281</v>
      </c>
    </row>
    <row r="597" spans="1:11" ht="15">
      <c r="A597" s="13">
        <v>59657</v>
      </c>
      <c r="B597" s="63">
        <f>9.3634 * CHOOSE(CONTROL!$C$22, $C$13, 100%, $E$13)</f>
        <v>9.3634000000000004</v>
      </c>
      <c r="C597" s="63">
        <f>9.3634 * CHOOSE(CONTROL!$C$22, $C$13, 100%, $E$13)</f>
        <v>9.3634000000000004</v>
      </c>
      <c r="D597" s="63">
        <f>9.3764 * CHOOSE(CONTROL!$C$22, $C$13, 100%, $E$13)</f>
        <v>9.3764000000000003</v>
      </c>
      <c r="E597" s="64">
        <f>11.087 * CHOOSE(CONTROL!$C$22, $C$13, 100%, $E$13)</f>
        <v>11.087</v>
      </c>
      <c r="F597" s="64">
        <f>11.087 * CHOOSE(CONTROL!$C$22, $C$13, 100%, $E$13)</f>
        <v>11.087</v>
      </c>
      <c r="G597" s="64">
        <f>11.1027 * CHOOSE(CONTROL!$C$22, $C$13, 100%, $E$13)</f>
        <v>11.1027</v>
      </c>
      <c r="H597" s="64">
        <f>17.8883* CHOOSE(CONTROL!$C$22, $C$13, 100%, $E$13)</f>
        <v>17.888300000000001</v>
      </c>
      <c r="I597" s="64">
        <f>17.904 * CHOOSE(CONTROL!$C$22, $C$13, 100%, $E$13)</f>
        <v>17.904</v>
      </c>
      <c r="J597" s="64">
        <f>11.087 * CHOOSE(CONTROL!$C$22, $C$13, 100%, $E$13)</f>
        <v>11.087</v>
      </c>
      <c r="K597" s="64">
        <f>11.1027 * CHOOSE(CONTROL!$C$22, $C$13, 100%, $E$13)</f>
        <v>11.1027</v>
      </c>
    </row>
    <row r="598" spans="1:11" ht="15">
      <c r="A598" s="13">
        <v>59688</v>
      </c>
      <c r="B598" s="63">
        <f>9.3695 * CHOOSE(CONTROL!$C$22, $C$13, 100%, $E$13)</f>
        <v>9.3695000000000004</v>
      </c>
      <c r="C598" s="63">
        <f>9.3695 * CHOOSE(CONTROL!$C$22, $C$13, 100%, $E$13)</f>
        <v>9.3695000000000004</v>
      </c>
      <c r="D598" s="63">
        <f>9.3825 * CHOOSE(CONTROL!$C$22, $C$13, 100%, $E$13)</f>
        <v>9.3825000000000003</v>
      </c>
      <c r="E598" s="64">
        <f>11.0322 * CHOOSE(CONTROL!$C$22, $C$13, 100%, $E$13)</f>
        <v>11.0322</v>
      </c>
      <c r="F598" s="64">
        <f>11.0322 * CHOOSE(CONTROL!$C$22, $C$13, 100%, $E$13)</f>
        <v>11.0322</v>
      </c>
      <c r="G598" s="64">
        <f>11.0479 * CHOOSE(CONTROL!$C$22, $C$13, 100%, $E$13)</f>
        <v>11.0479</v>
      </c>
      <c r="H598" s="64">
        <f>17.9256* CHOOSE(CONTROL!$C$22, $C$13, 100%, $E$13)</f>
        <v>17.925599999999999</v>
      </c>
      <c r="I598" s="64">
        <f>17.9413 * CHOOSE(CONTROL!$C$22, $C$13, 100%, $E$13)</f>
        <v>17.941299999999998</v>
      </c>
      <c r="J598" s="64">
        <f>11.0322 * CHOOSE(CONTROL!$C$22, $C$13, 100%, $E$13)</f>
        <v>11.0322</v>
      </c>
      <c r="K598" s="64">
        <f>11.0479 * CHOOSE(CONTROL!$C$22, $C$13, 100%, $E$13)</f>
        <v>11.0479</v>
      </c>
    </row>
    <row r="599" spans="1:11" ht="15">
      <c r="A599" s="13">
        <v>59718</v>
      </c>
      <c r="B599" s="63">
        <f>9.5148 * CHOOSE(CONTROL!$C$22, $C$13, 100%, $E$13)</f>
        <v>9.5147999999999993</v>
      </c>
      <c r="C599" s="63">
        <f>9.5148 * CHOOSE(CONTROL!$C$22, $C$13, 100%, $E$13)</f>
        <v>9.5147999999999993</v>
      </c>
      <c r="D599" s="63">
        <f>9.5278 * CHOOSE(CONTROL!$C$22, $C$13, 100%, $E$13)</f>
        <v>9.5277999999999992</v>
      </c>
      <c r="E599" s="64">
        <f>11.2114 * CHOOSE(CONTROL!$C$22, $C$13, 100%, $E$13)</f>
        <v>11.211399999999999</v>
      </c>
      <c r="F599" s="64">
        <f>11.2114 * CHOOSE(CONTROL!$C$22, $C$13, 100%, $E$13)</f>
        <v>11.211399999999999</v>
      </c>
      <c r="G599" s="64">
        <f>11.2271 * CHOOSE(CONTROL!$C$22, $C$13, 100%, $E$13)</f>
        <v>11.2271</v>
      </c>
      <c r="H599" s="64">
        <f>17.963* CHOOSE(CONTROL!$C$22, $C$13, 100%, $E$13)</f>
        <v>17.963000000000001</v>
      </c>
      <c r="I599" s="64">
        <f>17.9786 * CHOOSE(CONTROL!$C$22, $C$13, 100%, $E$13)</f>
        <v>17.9786</v>
      </c>
      <c r="J599" s="64">
        <f>11.2114 * CHOOSE(CONTROL!$C$22, $C$13, 100%, $E$13)</f>
        <v>11.211399999999999</v>
      </c>
      <c r="K599" s="64">
        <f>11.2271 * CHOOSE(CONTROL!$C$22, $C$13, 100%, $E$13)</f>
        <v>11.2271</v>
      </c>
    </row>
    <row r="600" spans="1:11" ht="15">
      <c r="A600" s="13">
        <v>59749</v>
      </c>
      <c r="B600" s="63">
        <f>9.5215 * CHOOSE(CONTROL!$C$22, $C$13, 100%, $E$13)</f>
        <v>9.5214999999999996</v>
      </c>
      <c r="C600" s="63">
        <f>9.5215 * CHOOSE(CONTROL!$C$22, $C$13, 100%, $E$13)</f>
        <v>9.5214999999999996</v>
      </c>
      <c r="D600" s="63">
        <f>9.5345 * CHOOSE(CONTROL!$C$22, $C$13, 100%, $E$13)</f>
        <v>9.5344999999999995</v>
      </c>
      <c r="E600" s="64">
        <f>11.0391 * CHOOSE(CONTROL!$C$22, $C$13, 100%, $E$13)</f>
        <v>11.039099999999999</v>
      </c>
      <c r="F600" s="64">
        <f>11.0391 * CHOOSE(CONTROL!$C$22, $C$13, 100%, $E$13)</f>
        <v>11.039099999999999</v>
      </c>
      <c r="G600" s="64">
        <f>11.0548 * CHOOSE(CONTROL!$C$22, $C$13, 100%, $E$13)</f>
        <v>11.0548</v>
      </c>
      <c r="H600" s="64">
        <f>18.0004* CHOOSE(CONTROL!$C$22, $C$13, 100%, $E$13)</f>
        <v>18.000399999999999</v>
      </c>
      <c r="I600" s="64">
        <f>18.0161 * CHOOSE(CONTROL!$C$22, $C$13, 100%, $E$13)</f>
        <v>18.016100000000002</v>
      </c>
      <c r="J600" s="64">
        <f>11.0391 * CHOOSE(CONTROL!$C$22, $C$13, 100%, $E$13)</f>
        <v>11.039099999999999</v>
      </c>
      <c r="K600" s="64">
        <f>11.0548 * CHOOSE(CONTROL!$C$22, $C$13, 100%, $E$13)</f>
        <v>11.0548</v>
      </c>
    </row>
    <row r="601" spans="1:11" ht="15">
      <c r="A601" s="13">
        <v>59780</v>
      </c>
      <c r="B601" s="63">
        <f>9.5185 * CHOOSE(CONTROL!$C$22, $C$13, 100%, $E$13)</f>
        <v>9.5184999999999995</v>
      </c>
      <c r="C601" s="63">
        <f>9.5185 * CHOOSE(CONTROL!$C$22, $C$13, 100%, $E$13)</f>
        <v>9.5184999999999995</v>
      </c>
      <c r="D601" s="63">
        <f>9.5315 * CHOOSE(CONTROL!$C$22, $C$13, 100%, $E$13)</f>
        <v>9.5314999999999994</v>
      </c>
      <c r="E601" s="64">
        <f>11.0173 * CHOOSE(CONTROL!$C$22, $C$13, 100%, $E$13)</f>
        <v>11.017300000000001</v>
      </c>
      <c r="F601" s="64">
        <f>11.0173 * CHOOSE(CONTROL!$C$22, $C$13, 100%, $E$13)</f>
        <v>11.017300000000001</v>
      </c>
      <c r="G601" s="64">
        <f>11.033 * CHOOSE(CONTROL!$C$22, $C$13, 100%, $E$13)</f>
        <v>11.032999999999999</v>
      </c>
      <c r="H601" s="64">
        <f>18.0379* CHOOSE(CONTROL!$C$22, $C$13, 100%, $E$13)</f>
        <v>18.0379</v>
      </c>
      <c r="I601" s="64">
        <f>18.0536 * CHOOSE(CONTROL!$C$22, $C$13, 100%, $E$13)</f>
        <v>18.053599999999999</v>
      </c>
      <c r="J601" s="64">
        <f>11.0173 * CHOOSE(CONTROL!$C$22, $C$13, 100%, $E$13)</f>
        <v>11.017300000000001</v>
      </c>
      <c r="K601" s="64">
        <f>11.033 * CHOOSE(CONTROL!$C$22, $C$13, 100%, $E$13)</f>
        <v>11.032999999999999</v>
      </c>
    </row>
    <row r="602" spans="1:11" ht="15">
      <c r="A602" s="13">
        <v>59810</v>
      </c>
      <c r="B602" s="63">
        <f>9.5315 * CHOOSE(CONTROL!$C$22, $C$13, 100%, $E$13)</f>
        <v>9.5314999999999994</v>
      </c>
      <c r="C602" s="63">
        <f>9.5315 * CHOOSE(CONTROL!$C$22, $C$13, 100%, $E$13)</f>
        <v>9.5314999999999994</v>
      </c>
      <c r="D602" s="63">
        <f>9.5315 * CHOOSE(CONTROL!$C$22, $C$13, 100%, $E$13)</f>
        <v>9.5314999999999994</v>
      </c>
      <c r="E602" s="64">
        <f>11.0825 * CHOOSE(CONTROL!$C$22, $C$13, 100%, $E$13)</f>
        <v>11.0825</v>
      </c>
      <c r="F602" s="64">
        <f>11.0825 * CHOOSE(CONTROL!$C$22, $C$13, 100%, $E$13)</f>
        <v>11.0825</v>
      </c>
      <c r="G602" s="64">
        <f>11.0826 * CHOOSE(CONTROL!$C$22, $C$13, 100%, $E$13)</f>
        <v>11.082599999999999</v>
      </c>
      <c r="H602" s="64">
        <f>18.0755* CHOOSE(CONTROL!$C$22, $C$13, 100%, $E$13)</f>
        <v>18.075500000000002</v>
      </c>
      <c r="I602" s="64">
        <f>18.0755 * CHOOSE(CONTROL!$C$22, $C$13, 100%, $E$13)</f>
        <v>18.075500000000002</v>
      </c>
      <c r="J602" s="64">
        <f>11.0825 * CHOOSE(CONTROL!$C$22, $C$13, 100%, $E$13)</f>
        <v>11.0825</v>
      </c>
      <c r="K602" s="64">
        <f>11.0826 * CHOOSE(CONTROL!$C$22, $C$13, 100%, $E$13)</f>
        <v>11.082599999999999</v>
      </c>
    </row>
    <row r="603" spans="1:11" ht="15">
      <c r="A603" s="13">
        <v>59841</v>
      </c>
      <c r="B603" s="63">
        <f>9.5345 * CHOOSE(CONTROL!$C$22, $C$13, 100%, $E$13)</f>
        <v>9.5344999999999995</v>
      </c>
      <c r="C603" s="63">
        <f>9.5345 * CHOOSE(CONTROL!$C$22, $C$13, 100%, $E$13)</f>
        <v>9.5344999999999995</v>
      </c>
      <c r="D603" s="63">
        <f>9.5346 * CHOOSE(CONTROL!$C$22, $C$13, 100%, $E$13)</f>
        <v>9.5345999999999993</v>
      </c>
      <c r="E603" s="64">
        <f>11.124 * CHOOSE(CONTROL!$C$22, $C$13, 100%, $E$13)</f>
        <v>11.124000000000001</v>
      </c>
      <c r="F603" s="64">
        <f>11.124 * CHOOSE(CONTROL!$C$22, $C$13, 100%, $E$13)</f>
        <v>11.124000000000001</v>
      </c>
      <c r="G603" s="64">
        <f>11.1241 * CHOOSE(CONTROL!$C$22, $C$13, 100%, $E$13)</f>
        <v>11.1241</v>
      </c>
      <c r="H603" s="64">
        <f>18.1131* CHOOSE(CONTROL!$C$22, $C$13, 100%, $E$13)</f>
        <v>18.113099999999999</v>
      </c>
      <c r="I603" s="64">
        <f>18.1132 * CHOOSE(CONTROL!$C$22, $C$13, 100%, $E$13)</f>
        <v>18.113199999999999</v>
      </c>
      <c r="J603" s="64">
        <f>11.124 * CHOOSE(CONTROL!$C$22, $C$13, 100%, $E$13)</f>
        <v>11.124000000000001</v>
      </c>
      <c r="K603" s="64">
        <f>11.1241 * CHOOSE(CONTROL!$C$22, $C$13, 100%, $E$13)</f>
        <v>11.1241</v>
      </c>
    </row>
    <row r="604" spans="1:11" ht="15">
      <c r="A604" s="13">
        <v>59871</v>
      </c>
      <c r="B604" s="63">
        <f>9.5345 * CHOOSE(CONTROL!$C$22, $C$13, 100%, $E$13)</f>
        <v>9.5344999999999995</v>
      </c>
      <c r="C604" s="63">
        <f>9.5345 * CHOOSE(CONTROL!$C$22, $C$13, 100%, $E$13)</f>
        <v>9.5344999999999995</v>
      </c>
      <c r="D604" s="63">
        <f>9.5346 * CHOOSE(CONTROL!$C$22, $C$13, 100%, $E$13)</f>
        <v>9.5345999999999993</v>
      </c>
      <c r="E604" s="64">
        <f>11.0257 * CHOOSE(CONTROL!$C$22, $C$13, 100%, $E$13)</f>
        <v>11.025700000000001</v>
      </c>
      <c r="F604" s="64">
        <f>11.0257 * CHOOSE(CONTROL!$C$22, $C$13, 100%, $E$13)</f>
        <v>11.025700000000001</v>
      </c>
      <c r="G604" s="64">
        <f>11.0257 * CHOOSE(CONTROL!$C$22, $C$13, 100%, $E$13)</f>
        <v>11.025700000000001</v>
      </c>
      <c r="H604" s="64">
        <f>18.1508* CHOOSE(CONTROL!$C$22, $C$13, 100%, $E$13)</f>
        <v>18.1508</v>
      </c>
      <c r="I604" s="64">
        <f>18.1509 * CHOOSE(CONTROL!$C$22, $C$13, 100%, $E$13)</f>
        <v>18.1509</v>
      </c>
      <c r="J604" s="64">
        <f>11.0257 * CHOOSE(CONTROL!$C$22, $C$13, 100%, $E$13)</f>
        <v>11.025700000000001</v>
      </c>
      <c r="K604" s="64">
        <f>11.0257 * CHOOSE(CONTROL!$C$22, $C$13, 100%, $E$13)</f>
        <v>11.025700000000001</v>
      </c>
    </row>
    <row r="605" spans="1:11" ht="15">
      <c r="A605" s="13">
        <v>59902</v>
      </c>
      <c r="B605" s="63">
        <f>9.6029 * CHOOSE(CONTROL!$C$22, $C$13, 100%, $E$13)</f>
        <v>9.6029</v>
      </c>
      <c r="C605" s="63">
        <f>9.6029 * CHOOSE(CONTROL!$C$22, $C$13, 100%, $E$13)</f>
        <v>9.6029</v>
      </c>
      <c r="D605" s="63">
        <f>9.6029 * CHOOSE(CONTROL!$C$22, $C$13, 100%, $E$13)</f>
        <v>9.6029</v>
      </c>
      <c r="E605" s="64">
        <f>11.1732 * CHOOSE(CONTROL!$C$22, $C$13, 100%, $E$13)</f>
        <v>11.1732</v>
      </c>
      <c r="F605" s="64">
        <f>11.1732 * CHOOSE(CONTROL!$C$22, $C$13, 100%, $E$13)</f>
        <v>11.1732</v>
      </c>
      <c r="G605" s="64">
        <f>11.1733 * CHOOSE(CONTROL!$C$22, $C$13, 100%, $E$13)</f>
        <v>11.173299999999999</v>
      </c>
      <c r="H605" s="64">
        <f>18.1671* CHOOSE(CONTROL!$C$22, $C$13, 100%, $E$13)</f>
        <v>18.167100000000001</v>
      </c>
      <c r="I605" s="64">
        <f>18.1671 * CHOOSE(CONTROL!$C$22, $C$13, 100%, $E$13)</f>
        <v>18.167100000000001</v>
      </c>
      <c r="J605" s="64">
        <f>11.1732 * CHOOSE(CONTROL!$C$22, $C$13, 100%, $E$13)</f>
        <v>11.1732</v>
      </c>
      <c r="K605" s="64">
        <f>11.1733 * CHOOSE(CONTROL!$C$22, $C$13, 100%, $E$13)</f>
        <v>11.173299999999999</v>
      </c>
    </row>
    <row r="606" spans="1:11" ht="15">
      <c r="A606" s="13">
        <v>59933</v>
      </c>
      <c r="B606" s="63">
        <f>9.5999 * CHOOSE(CONTROL!$C$22, $C$13, 100%, $E$13)</f>
        <v>9.5998999999999999</v>
      </c>
      <c r="C606" s="63">
        <f>9.5999 * CHOOSE(CONTROL!$C$22, $C$13, 100%, $E$13)</f>
        <v>9.5998999999999999</v>
      </c>
      <c r="D606" s="63">
        <f>9.5999 * CHOOSE(CONTROL!$C$22, $C$13, 100%, $E$13)</f>
        <v>9.5998999999999999</v>
      </c>
      <c r="E606" s="64">
        <f>10.9803 * CHOOSE(CONTROL!$C$22, $C$13, 100%, $E$13)</f>
        <v>10.9803</v>
      </c>
      <c r="F606" s="64">
        <f>10.9803 * CHOOSE(CONTROL!$C$22, $C$13, 100%, $E$13)</f>
        <v>10.9803</v>
      </c>
      <c r="G606" s="64">
        <f>10.9804 * CHOOSE(CONTROL!$C$22, $C$13, 100%, $E$13)</f>
        <v>10.980399999999999</v>
      </c>
      <c r="H606" s="64">
        <f>18.2049* CHOOSE(CONTROL!$C$22, $C$13, 100%, $E$13)</f>
        <v>18.204899999999999</v>
      </c>
      <c r="I606" s="64">
        <f>18.205 * CHOOSE(CONTROL!$C$22, $C$13, 100%, $E$13)</f>
        <v>18.204999999999998</v>
      </c>
      <c r="J606" s="64">
        <f>10.9803 * CHOOSE(CONTROL!$C$22, $C$13, 100%, $E$13)</f>
        <v>10.9803</v>
      </c>
      <c r="K606" s="64">
        <f>10.9804 * CHOOSE(CONTROL!$C$22, $C$13, 100%, $E$13)</f>
        <v>10.980399999999999</v>
      </c>
    </row>
    <row r="607" spans="1:11" ht="15">
      <c r="A607" s="13">
        <v>59962</v>
      </c>
      <c r="B607" s="63">
        <f>9.5968 * CHOOSE(CONTROL!$C$22, $C$13, 100%, $E$13)</f>
        <v>9.5968</v>
      </c>
      <c r="C607" s="63">
        <f>9.5968 * CHOOSE(CONTROL!$C$22, $C$13, 100%, $E$13)</f>
        <v>9.5968</v>
      </c>
      <c r="D607" s="63">
        <f>9.5968 * CHOOSE(CONTROL!$C$22, $C$13, 100%, $E$13)</f>
        <v>9.5968</v>
      </c>
      <c r="E607" s="64">
        <f>11.1286 * CHOOSE(CONTROL!$C$22, $C$13, 100%, $E$13)</f>
        <v>11.1286</v>
      </c>
      <c r="F607" s="64">
        <f>11.1286 * CHOOSE(CONTROL!$C$22, $C$13, 100%, $E$13)</f>
        <v>11.1286</v>
      </c>
      <c r="G607" s="64">
        <f>11.1287 * CHOOSE(CONTROL!$C$22, $C$13, 100%, $E$13)</f>
        <v>11.1287</v>
      </c>
      <c r="H607" s="64">
        <f>18.2428* CHOOSE(CONTROL!$C$22, $C$13, 100%, $E$13)</f>
        <v>18.242799999999999</v>
      </c>
      <c r="I607" s="64">
        <f>18.2429 * CHOOSE(CONTROL!$C$22, $C$13, 100%, $E$13)</f>
        <v>18.242899999999999</v>
      </c>
      <c r="J607" s="64">
        <f>11.1286 * CHOOSE(CONTROL!$C$22, $C$13, 100%, $E$13)</f>
        <v>11.1286</v>
      </c>
      <c r="K607" s="64">
        <f>11.1287 * CHOOSE(CONTROL!$C$22, $C$13, 100%, $E$13)</f>
        <v>11.1287</v>
      </c>
    </row>
    <row r="608" spans="1:11" ht="15">
      <c r="A608" s="13">
        <v>59993</v>
      </c>
      <c r="B608" s="63">
        <f>9.5992 * CHOOSE(CONTROL!$C$22, $C$13, 100%, $E$13)</f>
        <v>9.5991999999999997</v>
      </c>
      <c r="C608" s="63">
        <f>9.5992 * CHOOSE(CONTROL!$C$22, $C$13, 100%, $E$13)</f>
        <v>9.5991999999999997</v>
      </c>
      <c r="D608" s="63">
        <f>9.5992 * CHOOSE(CONTROL!$C$22, $C$13, 100%, $E$13)</f>
        <v>9.5991999999999997</v>
      </c>
      <c r="E608" s="64">
        <f>11.2859 * CHOOSE(CONTROL!$C$22, $C$13, 100%, $E$13)</f>
        <v>11.2859</v>
      </c>
      <c r="F608" s="64">
        <f>11.2859 * CHOOSE(CONTROL!$C$22, $C$13, 100%, $E$13)</f>
        <v>11.2859</v>
      </c>
      <c r="G608" s="64">
        <f>11.2859 * CHOOSE(CONTROL!$C$22, $C$13, 100%, $E$13)</f>
        <v>11.2859</v>
      </c>
      <c r="H608" s="64">
        <f>18.2808* CHOOSE(CONTROL!$C$22, $C$13, 100%, $E$13)</f>
        <v>18.280799999999999</v>
      </c>
      <c r="I608" s="64">
        <f>18.2809 * CHOOSE(CONTROL!$C$22, $C$13, 100%, $E$13)</f>
        <v>18.280899999999999</v>
      </c>
      <c r="J608" s="64">
        <f>11.2859 * CHOOSE(CONTROL!$C$22, $C$13, 100%, $E$13)</f>
        <v>11.2859</v>
      </c>
      <c r="K608" s="64">
        <f>11.2859 * CHOOSE(CONTROL!$C$22, $C$13, 100%, $E$13)</f>
        <v>11.2859</v>
      </c>
    </row>
    <row r="609" spans="1:11" ht="15">
      <c r="A609" s="13">
        <v>60023</v>
      </c>
      <c r="B609" s="63">
        <f>9.5992 * CHOOSE(CONTROL!$C$22, $C$13, 100%, $E$13)</f>
        <v>9.5991999999999997</v>
      </c>
      <c r="C609" s="63">
        <f>9.5992 * CHOOSE(CONTROL!$C$22, $C$13, 100%, $E$13)</f>
        <v>9.5991999999999997</v>
      </c>
      <c r="D609" s="63">
        <f>9.6122 * CHOOSE(CONTROL!$C$22, $C$13, 100%, $E$13)</f>
        <v>9.6121999999999996</v>
      </c>
      <c r="E609" s="64">
        <f>11.3464 * CHOOSE(CONTROL!$C$22, $C$13, 100%, $E$13)</f>
        <v>11.346399999999999</v>
      </c>
      <c r="F609" s="64">
        <f>11.3464 * CHOOSE(CONTROL!$C$22, $C$13, 100%, $E$13)</f>
        <v>11.346399999999999</v>
      </c>
      <c r="G609" s="64">
        <f>11.3621 * CHOOSE(CONTROL!$C$22, $C$13, 100%, $E$13)</f>
        <v>11.3621</v>
      </c>
      <c r="H609" s="64">
        <f>18.3189* CHOOSE(CONTROL!$C$22, $C$13, 100%, $E$13)</f>
        <v>18.318899999999999</v>
      </c>
      <c r="I609" s="64">
        <f>18.3346 * CHOOSE(CONTROL!$C$22, $C$13, 100%, $E$13)</f>
        <v>18.334599999999998</v>
      </c>
      <c r="J609" s="64">
        <f>11.3464 * CHOOSE(CONTROL!$C$22, $C$13, 100%, $E$13)</f>
        <v>11.346399999999999</v>
      </c>
      <c r="K609" s="64">
        <f>11.3621 * CHOOSE(CONTROL!$C$22, $C$13, 100%, $E$13)</f>
        <v>11.3621</v>
      </c>
    </row>
    <row r="610" spans="1:11" ht="15">
      <c r="A610" s="13">
        <v>60054</v>
      </c>
      <c r="B610" s="63">
        <f>9.6053 * CHOOSE(CONTROL!$C$22, $C$13, 100%, $E$13)</f>
        <v>9.6052999999999997</v>
      </c>
      <c r="C610" s="63">
        <f>9.6053 * CHOOSE(CONTROL!$C$22, $C$13, 100%, $E$13)</f>
        <v>9.6052999999999997</v>
      </c>
      <c r="D610" s="63">
        <f>9.6183 * CHOOSE(CONTROL!$C$22, $C$13, 100%, $E$13)</f>
        <v>9.6182999999999996</v>
      </c>
      <c r="E610" s="64">
        <f>11.2901 * CHOOSE(CONTROL!$C$22, $C$13, 100%, $E$13)</f>
        <v>11.290100000000001</v>
      </c>
      <c r="F610" s="64">
        <f>11.2901 * CHOOSE(CONTROL!$C$22, $C$13, 100%, $E$13)</f>
        <v>11.290100000000001</v>
      </c>
      <c r="G610" s="64">
        <f>11.3058 * CHOOSE(CONTROL!$C$22, $C$13, 100%, $E$13)</f>
        <v>11.3058</v>
      </c>
      <c r="H610" s="64">
        <f>18.3571* CHOOSE(CONTROL!$C$22, $C$13, 100%, $E$13)</f>
        <v>18.357099999999999</v>
      </c>
      <c r="I610" s="64">
        <f>18.3728 * CHOOSE(CONTROL!$C$22, $C$13, 100%, $E$13)</f>
        <v>18.372800000000002</v>
      </c>
      <c r="J610" s="64">
        <f>11.2901 * CHOOSE(CONTROL!$C$22, $C$13, 100%, $E$13)</f>
        <v>11.290100000000001</v>
      </c>
      <c r="K610" s="64">
        <f>11.3058 * CHOOSE(CONTROL!$C$22, $C$13, 100%, $E$13)</f>
        <v>11.3058</v>
      </c>
    </row>
    <row r="611" spans="1:11" ht="15">
      <c r="A611" s="13">
        <v>60084</v>
      </c>
      <c r="B611" s="63">
        <f>9.754 * CHOOSE(CONTROL!$C$22, $C$13, 100%, $E$13)</f>
        <v>9.7539999999999996</v>
      </c>
      <c r="C611" s="63">
        <f>9.754 * CHOOSE(CONTROL!$C$22, $C$13, 100%, $E$13)</f>
        <v>9.7539999999999996</v>
      </c>
      <c r="D611" s="63">
        <f>9.767 * CHOOSE(CONTROL!$C$22, $C$13, 100%, $E$13)</f>
        <v>9.7669999999999995</v>
      </c>
      <c r="E611" s="64">
        <f>11.4732 * CHOOSE(CONTROL!$C$22, $C$13, 100%, $E$13)</f>
        <v>11.4732</v>
      </c>
      <c r="F611" s="64">
        <f>11.4732 * CHOOSE(CONTROL!$C$22, $C$13, 100%, $E$13)</f>
        <v>11.4732</v>
      </c>
      <c r="G611" s="64">
        <f>11.4889 * CHOOSE(CONTROL!$C$22, $C$13, 100%, $E$13)</f>
        <v>11.488899999999999</v>
      </c>
      <c r="H611" s="64">
        <f>18.3953* CHOOSE(CONTROL!$C$22, $C$13, 100%, $E$13)</f>
        <v>18.395299999999999</v>
      </c>
      <c r="I611" s="64">
        <f>18.411 * CHOOSE(CONTROL!$C$22, $C$13, 100%, $E$13)</f>
        <v>18.411000000000001</v>
      </c>
      <c r="J611" s="64">
        <f>11.4732 * CHOOSE(CONTROL!$C$22, $C$13, 100%, $E$13)</f>
        <v>11.4732</v>
      </c>
      <c r="K611" s="64">
        <f>11.4889 * CHOOSE(CONTROL!$C$22, $C$13, 100%, $E$13)</f>
        <v>11.488899999999999</v>
      </c>
    </row>
    <row r="612" spans="1:11" ht="15">
      <c r="A612" s="13">
        <v>60115</v>
      </c>
      <c r="B612" s="63">
        <f>9.7607 * CHOOSE(CONTROL!$C$22, $C$13, 100%, $E$13)</f>
        <v>9.7606999999999999</v>
      </c>
      <c r="C612" s="63">
        <f>9.7607 * CHOOSE(CONTROL!$C$22, $C$13, 100%, $E$13)</f>
        <v>9.7606999999999999</v>
      </c>
      <c r="D612" s="63">
        <f>9.7737 * CHOOSE(CONTROL!$C$22, $C$13, 100%, $E$13)</f>
        <v>9.7736999999999998</v>
      </c>
      <c r="E612" s="64">
        <f>11.2961 * CHOOSE(CONTROL!$C$22, $C$13, 100%, $E$13)</f>
        <v>11.296099999999999</v>
      </c>
      <c r="F612" s="64">
        <f>11.2961 * CHOOSE(CONTROL!$C$22, $C$13, 100%, $E$13)</f>
        <v>11.296099999999999</v>
      </c>
      <c r="G612" s="64">
        <f>11.3118 * CHOOSE(CONTROL!$C$22, $C$13, 100%, $E$13)</f>
        <v>11.3118</v>
      </c>
      <c r="H612" s="64">
        <f>18.4337* CHOOSE(CONTROL!$C$22, $C$13, 100%, $E$13)</f>
        <v>18.433700000000002</v>
      </c>
      <c r="I612" s="64">
        <f>18.4493 * CHOOSE(CONTROL!$C$22, $C$13, 100%, $E$13)</f>
        <v>18.449300000000001</v>
      </c>
      <c r="J612" s="64">
        <f>11.2961 * CHOOSE(CONTROL!$C$22, $C$13, 100%, $E$13)</f>
        <v>11.296099999999999</v>
      </c>
      <c r="K612" s="64">
        <f>11.3118 * CHOOSE(CONTROL!$C$22, $C$13, 100%, $E$13)</f>
        <v>11.3118</v>
      </c>
    </row>
    <row r="613" spans="1:11" ht="15">
      <c r="A613" s="13">
        <v>60146</v>
      </c>
      <c r="B613" s="63">
        <f>9.7577 * CHOOSE(CONTROL!$C$22, $C$13, 100%, $E$13)</f>
        <v>9.7576999999999998</v>
      </c>
      <c r="C613" s="63">
        <f>9.7577 * CHOOSE(CONTROL!$C$22, $C$13, 100%, $E$13)</f>
        <v>9.7576999999999998</v>
      </c>
      <c r="D613" s="63">
        <f>9.7706 * CHOOSE(CONTROL!$C$22, $C$13, 100%, $E$13)</f>
        <v>9.7706</v>
      </c>
      <c r="E613" s="64">
        <f>11.2738 * CHOOSE(CONTROL!$C$22, $C$13, 100%, $E$13)</f>
        <v>11.2738</v>
      </c>
      <c r="F613" s="64">
        <f>11.2738 * CHOOSE(CONTROL!$C$22, $C$13, 100%, $E$13)</f>
        <v>11.2738</v>
      </c>
      <c r="G613" s="64">
        <f>11.2895 * CHOOSE(CONTROL!$C$22, $C$13, 100%, $E$13)</f>
        <v>11.2895</v>
      </c>
      <c r="H613" s="64">
        <f>18.4721* CHOOSE(CONTROL!$C$22, $C$13, 100%, $E$13)</f>
        <v>18.472100000000001</v>
      </c>
      <c r="I613" s="64">
        <f>18.4877 * CHOOSE(CONTROL!$C$22, $C$13, 100%, $E$13)</f>
        <v>18.4877</v>
      </c>
      <c r="J613" s="64">
        <f>11.2738 * CHOOSE(CONTROL!$C$22, $C$13, 100%, $E$13)</f>
        <v>11.2738</v>
      </c>
      <c r="K613" s="64">
        <f>11.2895 * CHOOSE(CONTROL!$C$22, $C$13, 100%, $E$13)</f>
        <v>11.2895</v>
      </c>
    </row>
    <row r="614" spans="1:11" ht="15">
      <c r="A614" s="13">
        <v>60176</v>
      </c>
      <c r="B614" s="63">
        <f>9.7714 * CHOOSE(CONTROL!$C$22, $C$13, 100%, $E$13)</f>
        <v>9.7713999999999999</v>
      </c>
      <c r="C614" s="63">
        <f>9.7714 * CHOOSE(CONTROL!$C$22, $C$13, 100%, $E$13)</f>
        <v>9.7713999999999999</v>
      </c>
      <c r="D614" s="63">
        <f>9.7715 * CHOOSE(CONTROL!$C$22, $C$13, 100%, $E$13)</f>
        <v>9.7714999999999996</v>
      </c>
      <c r="E614" s="64">
        <f>11.3412 * CHOOSE(CONTROL!$C$22, $C$13, 100%, $E$13)</f>
        <v>11.341200000000001</v>
      </c>
      <c r="F614" s="64">
        <f>11.3412 * CHOOSE(CONTROL!$C$22, $C$13, 100%, $E$13)</f>
        <v>11.341200000000001</v>
      </c>
      <c r="G614" s="64">
        <f>11.3413 * CHOOSE(CONTROL!$C$22, $C$13, 100%, $E$13)</f>
        <v>11.3413</v>
      </c>
      <c r="H614" s="64">
        <f>18.5106* CHOOSE(CONTROL!$C$22, $C$13, 100%, $E$13)</f>
        <v>18.5106</v>
      </c>
      <c r="I614" s="64">
        <f>18.5106 * CHOOSE(CONTROL!$C$22, $C$13, 100%, $E$13)</f>
        <v>18.5106</v>
      </c>
      <c r="J614" s="64">
        <f>11.3412 * CHOOSE(CONTROL!$C$22, $C$13, 100%, $E$13)</f>
        <v>11.341200000000001</v>
      </c>
      <c r="K614" s="64">
        <f>11.3413 * CHOOSE(CONTROL!$C$22, $C$13, 100%, $E$13)</f>
        <v>11.3413</v>
      </c>
    </row>
    <row r="615" spans="1:11" ht="15">
      <c r="A615" s="13">
        <v>60207</v>
      </c>
      <c r="B615" s="63">
        <f>9.7745 * CHOOSE(CONTROL!$C$22, $C$13, 100%, $E$13)</f>
        <v>9.7744999999999997</v>
      </c>
      <c r="C615" s="63">
        <f>9.7745 * CHOOSE(CONTROL!$C$22, $C$13, 100%, $E$13)</f>
        <v>9.7744999999999997</v>
      </c>
      <c r="D615" s="63">
        <f>9.7745 * CHOOSE(CONTROL!$C$22, $C$13, 100%, $E$13)</f>
        <v>9.7744999999999997</v>
      </c>
      <c r="E615" s="64">
        <f>11.3837 * CHOOSE(CONTROL!$C$22, $C$13, 100%, $E$13)</f>
        <v>11.383699999999999</v>
      </c>
      <c r="F615" s="64">
        <f>11.3837 * CHOOSE(CONTROL!$C$22, $C$13, 100%, $E$13)</f>
        <v>11.383699999999999</v>
      </c>
      <c r="G615" s="64">
        <f>11.3838 * CHOOSE(CONTROL!$C$22, $C$13, 100%, $E$13)</f>
        <v>11.383800000000001</v>
      </c>
      <c r="H615" s="64">
        <f>18.5491* CHOOSE(CONTROL!$C$22, $C$13, 100%, $E$13)</f>
        <v>18.549099999999999</v>
      </c>
      <c r="I615" s="64">
        <f>18.5492 * CHOOSE(CONTROL!$C$22, $C$13, 100%, $E$13)</f>
        <v>18.549199999999999</v>
      </c>
      <c r="J615" s="64">
        <f>11.3837 * CHOOSE(CONTROL!$C$22, $C$13, 100%, $E$13)</f>
        <v>11.383699999999999</v>
      </c>
      <c r="K615" s="64">
        <f>11.3838 * CHOOSE(CONTROL!$C$22, $C$13, 100%, $E$13)</f>
        <v>11.383800000000001</v>
      </c>
    </row>
    <row r="616" spans="1:11" ht="15">
      <c r="A616" s="13">
        <v>60237</v>
      </c>
      <c r="B616" s="63">
        <f>9.7745 * CHOOSE(CONTROL!$C$22, $C$13, 100%, $E$13)</f>
        <v>9.7744999999999997</v>
      </c>
      <c r="C616" s="63">
        <f>9.7745 * CHOOSE(CONTROL!$C$22, $C$13, 100%, $E$13)</f>
        <v>9.7744999999999997</v>
      </c>
      <c r="D616" s="63">
        <f>9.7745 * CHOOSE(CONTROL!$C$22, $C$13, 100%, $E$13)</f>
        <v>9.7744999999999997</v>
      </c>
      <c r="E616" s="64">
        <f>11.2827 * CHOOSE(CONTROL!$C$22, $C$13, 100%, $E$13)</f>
        <v>11.2827</v>
      </c>
      <c r="F616" s="64">
        <f>11.2827 * CHOOSE(CONTROL!$C$22, $C$13, 100%, $E$13)</f>
        <v>11.2827</v>
      </c>
      <c r="G616" s="64">
        <f>11.2828 * CHOOSE(CONTROL!$C$22, $C$13, 100%, $E$13)</f>
        <v>11.2828</v>
      </c>
      <c r="H616" s="64">
        <f>18.5878* CHOOSE(CONTROL!$C$22, $C$13, 100%, $E$13)</f>
        <v>18.587800000000001</v>
      </c>
      <c r="I616" s="64">
        <f>18.5878 * CHOOSE(CONTROL!$C$22, $C$13, 100%, $E$13)</f>
        <v>18.587800000000001</v>
      </c>
      <c r="J616" s="64">
        <f>11.2827 * CHOOSE(CONTROL!$C$22, $C$13, 100%, $E$13)</f>
        <v>11.2827</v>
      </c>
      <c r="K616" s="64">
        <f>11.2828 * CHOOSE(CONTROL!$C$22, $C$13, 100%, $E$13)</f>
        <v>11.2828</v>
      </c>
    </row>
    <row r="617" spans="1:11" ht="15">
      <c r="A617" s="13">
        <v>60268</v>
      </c>
      <c r="B617" s="63">
        <f>9.8385 * CHOOSE(CONTROL!$C$22, $C$13, 100%, $E$13)</f>
        <v>9.8384999999999998</v>
      </c>
      <c r="C617" s="63">
        <f>9.8385 * CHOOSE(CONTROL!$C$22, $C$13, 100%, $E$13)</f>
        <v>9.8384999999999998</v>
      </c>
      <c r="D617" s="63">
        <f>9.8385 * CHOOSE(CONTROL!$C$22, $C$13, 100%, $E$13)</f>
        <v>9.8384999999999998</v>
      </c>
      <c r="E617" s="64">
        <f>11.4279 * CHOOSE(CONTROL!$C$22, $C$13, 100%, $E$13)</f>
        <v>11.427899999999999</v>
      </c>
      <c r="F617" s="64">
        <f>11.4279 * CHOOSE(CONTROL!$C$22, $C$13, 100%, $E$13)</f>
        <v>11.427899999999999</v>
      </c>
      <c r="G617" s="64">
        <f>11.428 * CHOOSE(CONTROL!$C$22, $C$13, 100%, $E$13)</f>
        <v>11.428000000000001</v>
      </c>
      <c r="H617" s="64">
        <f>18.5941* CHOOSE(CONTROL!$C$22, $C$13, 100%, $E$13)</f>
        <v>18.594100000000001</v>
      </c>
      <c r="I617" s="64">
        <f>18.5942 * CHOOSE(CONTROL!$C$22, $C$13, 100%, $E$13)</f>
        <v>18.594200000000001</v>
      </c>
      <c r="J617" s="64">
        <f>11.4279 * CHOOSE(CONTROL!$C$22, $C$13, 100%, $E$13)</f>
        <v>11.427899999999999</v>
      </c>
      <c r="K617" s="64">
        <f>11.428 * CHOOSE(CONTROL!$C$22, $C$13, 100%, $E$13)</f>
        <v>11.428000000000001</v>
      </c>
    </row>
    <row r="618" spans="1:11" ht="15">
      <c r="A618" s="13">
        <v>60299</v>
      </c>
      <c r="B618" s="63">
        <f>9.8354 * CHOOSE(CONTROL!$C$22, $C$13, 100%, $E$13)</f>
        <v>9.8353999999999999</v>
      </c>
      <c r="C618" s="63">
        <f>9.8354 * CHOOSE(CONTROL!$C$22, $C$13, 100%, $E$13)</f>
        <v>9.8353999999999999</v>
      </c>
      <c r="D618" s="63">
        <f>9.8354 * CHOOSE(CONTROL!$C$22, $C$13, 100%, $E$13)</f>
        <v>9.8353999999999999</v>
      </c>
      <c r="E618" s="64">
        <f>11.2301 * CHOOSE(CONTROL!$C$22, $C$13, 100%, $E$13)</f>
        <v>11.2301</v>
      </c>
      <c r="F618" s="64">
        <f>11.2301 * CHOOSE(CONTROL!$C$22, $C$13, 100%, $E$13)</f>
        <v>11.2301</v>
      </c>
      <c r="G618" s="64">
        <f>11.2302 * CHOOSE(CONTROL!$C$22, $C$13, 100%, $E$13)</f>
        <v>11.2302</v>
      </c>
      <c r="H618" s="64">
        <f>18.6328* CHOOSE(CONTROL!$C$22, $C$13, 100%, $E$13)</f>
        <v>18.6328</v>
      </c>
      <c r="I618" s="64">
        <f>18.6329 * CHOOSE(CONTROL!$C$22, $C$13, 100%, $E$13)</f>
        <v>18.632899999999999</v>
      </c>
      <c r="J618" s="64">
        <f>11.2301 * CHOOSE(CONTROL!$C$22, $C$13, 100%, $E$13)</f>
        <v>11.2301</v>
      </c>
      <c r="K618" s="64">
        <f>11.2302 * CHOOSE(CONTROL!$C$22, $C$13, 100%, $E$13)</f>
        <v>11.2302</v>
      </c>
    </row>
    <row r="619" spans="1:11" ht="15">
      <c r="A619" s="13">
        <v>60327</v>
      </c>
      <c r="B619" s="63">
        <f>9.8324 * CHOOSE(CONTROL!$C$22, $C$13, 100%, $E$13)</f>
        <v>9.8323999999999998</v>
      </c>
      <c r="C619" s="63">
        <f>9.8324 * CHOOSE(CONTROL!$C$22, $C$13, 100%, $E$13)</f>
        <v>9.8323999999999998</v>
      </c>
      <c r="D619" s="63">
        <f>9.8324 * CHOOSE(CONTROL!$C$22, $C$13, 100%, $E$13)</f>
        <v>9.8323999999999998</v>
      </c>
      <c r="E619" s="64">
        <f>11.3823 * CHOOSE(CONTROL!$C$22, $C$13, 100%, $E$13)</f>
        <v>11.382300000000001</v>
      </c>
      <c r="F619" s="64">
        <f>11.3823 * CHOOSE(CONTROL!$C$22, $C$13, 100%, $E$13)</f>
        <v>11.382300000000001</v>
      </c>
      <c r="G619" s="64">
        <f>11.3823 * CHOOSE(CONTROL!$C$22, $C$13, 100%, $E$13)</f>
        <v>11.382300000000001</v>
      </c>
      <c r="H619" s="64">
        <f>18.6716* CHOOSE(CONTROL!$C$22, $C$13, 100%, $E$13)</f>
        <v>18.671600000000002</v>
      </c>
      <c r="I619" s="64">
        <f>18.6717 * CHOOSE(CONTROL!$C$22, $C$13, 100%, $E$13)</f>
        <v>18.671700000000001</v>
      </c>
      <c r="J619" s="64">
        <f>11.3823 * CHOOSE(CONTROL!$C$22, $C$13, 100%, $E$13)</f>
        <v>11.382300000000001</v>
      </c>
      <c r="K619" s="64">
        <f>11.3823 * CHOOSE(CONTROL!$C$22, $C$13, 100%, $E$13)</f>
        <v>11.382300000000001</v>
      </c>
    </row>
    <row r="620" spans="1:11" ht="15">
      <c r="A620" s="13">
        <v>60358</v>
      </c>
      <c r="B620" s="63">
        <f>9.835 * CHOOSE(CONTROL!$C$22, $C$13, 100%, $E$13)</f>
        <v>9.8350000000000009</v>
      </c>
      <c r="C620" s="63">
        <f>9.835 * CHOOSE(CONTROL!$C$22, $C$13, 100%, $E$13)</f>
        <v>9.8350000000000009</v>
      </c>
      <c r="D620" s="63">
        <f>9.835 * CHOOSE(CONTROL!$C$22, $C$13, 100%, $E$13)</f>
        <v>9.8350000000000009</v>
      </c>
      <c r="E620" s="64">
        <f>11.5437 * CHOOSE(CONTROL!$C$22, $C$13, 100%, $E$13)</f>
        <v>11.543699999999999</v>
      </c>
      <c r="F620" s="64">
        <f>11.5437 * CHOOSE(CONTROL!$C$22, $C$13, 100%, $E$13)</f>
        <v>11.543699999999999</v>
      </c>
      <c r="G620" s="64">
        <f>11.5438 * CHOOSE(CONTROL!$C$22, $C$13, 100%, $E$13)</f>
        <v>11.543799999999999</v>
      </c>
      <c r="H620" s="64">
        <f>18.7105* CHOOSE(CONTROL!$C$22, $C$13, 100%, $E$13)</f>
        <v>18.7105</v>
      </c>
      <c r="I620" s="64">
        <f>18.7106 * CHOOSE(CONTROL!$C$22, $C$13, 100%, $E$13)</f>
        <v>18.710599999999999</v>
      </c>
      <c r="J620" s="64">
        <f>11.5437 * CHOOSE(CONTROL!$C$22, $C$13, 100%, $E$13)</f>
        <v>11.543699999999999</v>
      </c>
      <c r="K620" s="64">
        <f>11.5438 * CHOOSE(CONTROL!$C$22, $C$13, 100%, $E$13)</f>
        <v>11.543799999999999</v>
      </c>
    </row>
    <row r="621" spans="1:11" ht="15">
      <c r="A621" s="13">
        <v>60388</v>
      </c>
      <c r="B621" s="63">
        <f>9.835 * CHOOSE(CONTROL!$C$22, $C$13, 100%, $E$13)</f>
        <v>9.8350000000000009</v>
      </c>
      <c r="C621" s="63">
        <f>9.835 * CHOOSE(CONTROL!$C$22, $C$13, 100%, $E$13)</f>
        <v>9.8350000000000009</v>
      </c>
      <c r="D621" s="63">
        <f>9.8479 * CHOOSE(CONTROL!$C$22, $C$13, 100%, $E$13)</f>
        <v>9.8478999999999992</v>
      </c>
      <c r="E621" s="64">
        <f>11.6059 * CHOOSE(CONTROL!$C$22, $C$13, 100%, $E$13)</f>
        <v>11.6059</v>
      </c>
      <c r="F621" s="64">
        <f>11.6059 * CHOOSE(CONTROL!$C$22, $C$13, 100%, $E$13)</f>
        <v>11.6059</v>
      </c>
      <c r="G621" s="64">
        <f>11.6215 * CHOOSE(CONTROL!$C$22, $C$13, 100%, $E$13)</f>
        <v>11.621499999999999</v>
      </c>
      <c r="H621" s="64">
        <f>18.7495* CHOOSE(CONTROL!$C$22, $C$13, 100%, $E$13)</f>
        <v>18.749500000000001</v>
      </c>
      <c r="I621" s="64">
        <f>18.7652 * CHOOSE(CONTROL!$C$22, $C$13, 100%, $E$13)</f>
        <v>18.7652</v>
      </c>
      <c r="J621" s="64">
        <f>11.6059 * CHOOSE(CONTROL!$C$22, $C$13, 100%, $E$13)</f>
        <v>11.6059</v>
      </c>
      <c r="K621" s="64">
        <f>11.6215 * CHOOSE(CONTROL!$C$22, $C$13, 100%, $E$13)</f>
        <v>11.621499999999999</v>
      </c>
    </row>
    <row r="622" spans="1:11" ht="15">
      <c r="A622" s="13">
        <v>60419</v>
      </c>
      <c r="B622" s="63">
        <f>9.841 * CHOOSE(CONTROL!$C$22, $C$13, 100%, $E$13)</f>
        <v>9.8409999999999993</v>
      </c>
      <c r="C622" s="63">
        <f>9.841 * CHOOSE(CONTROL!$C$22, $C$13, 100%, $E$13)</f>
        <v>9.8409999999999993</v>
      </c>
      <c r="D622" s="63">
        <f>9.854 * CHOOSE(CONTROL!$C$22, $C$13, 100%, $E$13)</f>
        <v>9.8539999999999992</v>
      </c>
      <c r="E622" s="64">
        <f>11.548 * CHOOSE(CONTROL!$C$22, $C$13, 100%, $E$13)</f>
        <v>11.548</v>
      </c>
      <c r="F622" s="64">
        <f>11.548 * CHOOSE(CONTROL!$C$22, $C$13, 100%, $E$13)</f>
        <v>11.548</v>
      </c>
      <c r="G622" s="64">
        <f>11.5636 * CHOOSE(CONTROL!$C$22, $C$13, 100%, $E$13)</f>
        <v>11.563599999999999</v>
      </c>
      <c r="H622" s="64">
        <f>18.7886* CHOOSE(CONTROL!$C$22, $C$13, 100%, $E$13)</f>
        <v>18.788599999999999</v>
      </c>
      <c r="I622" s="64">
        <f>18.8043 * CHOOSE(CONTROL!$C$22, $C$13, 100%, $E$13)</f>
        <v>18.804300000000001</v>
      </c>
      <c r="J622" s="64">
        <f>11.548 * CHOOSE(CONTROL!$C$22, $C$13, 100%, $E$13)</f>
        <v>11.548</v>
      </c>
      <c r="K622" s="64">
        <f>11.5636 * CHOOSE(CONTROL!$C$22, $C$13, 100%, $E$13)</f>
        <v>11.563599999999999</v>
      </c>
    </row>
    <row r="623" spans="1:11" ht="15">
      <c r="A623" s="13">
        <v>60449</v>
      </c>
      <c r="B623" s="63">
        <f>9.9932 * CHOOSE(CONTROL!$C$22, $C$13, 100%, $E$13)</f>
        <v>9.9931999999999999</v>
      </c>
      <c r="C623" s="63">
        <f>9.9932 * CHOOSE(CONTROL!$C$22, $C$13, 100%, $E$13)</f>
        <v>9.9931999999999999</v>
      </c>
      <c r="D623" s="63">
        <f>10.0062 * CHOOSE(CONTROL!$C$22, $C$13, 100%, $E$13)</f>
        <v>10.0062</v>
      </c>
      <c r="E623" s="64">
        <f>11.735 * CHOOSE(CONTROL!$C$22, $C$13, 100%, $E$13)</f>
        <v>11.734999999999999</v>
      </c>
      <c r="F623" s="64">
        <f>11.735 * CHOOSE(CONTROL!$C$22, $C$13, 100%, $E$13)</f>
        <v>11.734999999999999</v>
      </c>
      <c r="G623" s="64">
        <f>11.7506 * CHOOSE(CONTROL!$C$22, $C$13, 100%, $E$13)</f>
        <v>11.7506</v>
      </c>
      <c r="H623" s="64">
        <f>18.8277* CHOOSE(CONTROL!$C$22, $C$13, 100%, $E$13)</f>
        <v>18.8277</v>
      </c>
      <c r="I623" s="64">
        <f>18.8434 * CHOOSE(CONTROL!$C$22, $C$13, 100%, $E$13)</f>
        <v>18.843399999999999</v>
      </c>
      <c r="J623" s="64">
        <f>11.735 * CHOOSE(CONTROL!$C$22, $C$13, 100%, $E$13)</f>
        <v>11.734999999999999</v>
      </c>
      <c r="K623" s="64">
        <f>11.7506 * CHOOSE(CONTROL!$C$22, $C$13, 100%, $E$13)</f>
        <v>11.7506</v>
      </c>
    </row>
    <row r="624" spans="1:11" ht="15">
      <c r="A624" s="13">
        <v>60480</v>
      </c>
      <c r="B624" s="63">
        <f>9.9999 * CHOOSE(CONTROL!$C$22, $C$13, 100%, $E$13)</f>
        <v>9.9999000000000002</v>
      </c>
      <c r="C624" s="63">
        <f>9.9999 * CHOOSE(CONTROL!$C$22, $C$13, 100%, $E$13)</f>
        <v>9.9999000000000002</v>
      </c>
      <c r="D624" s="63">
        <f>10.0129 * CHOOSE(CONTROL!$C$22, $C$13, 100%, $E$13)</f>
        <v>10.0129</v>
      </c>
      <c r="E624" s="64">
        <f>11.5532 * CHOOSE(CONTROL!$C$22, $C$13, 100%, $E$13)</f>
        <v>11.5532</v>
      </c>
      <c r="F624" s="64">
        <f>11.5532 * CHOOSE(CONTROL!$C$22, $C$13, 100%, $E$13)</f>
        <v>11.5532</v>
      </c>
      <c r="G624" s="64">
        <f>11.5689 * CHOOSE(CONTROL!$C$22, $C$13, 100%, $E$13)</f>
        <v>11.568899999999999</v>
      </c>
      <c r="H624" s="64">
        <f>18.867* CHOOSE(CONTROL!$C$22, $C$13, 100%, $E$13)</f>
        <v>18.867000000000001</v>
      </c>
      <c r="I624" s="64">
        <f>18.8826 * CHOOSE(CONTROL!$C$22, $C$13, 100%, $E$13)</f>
        <v>18.8826</v>
      </c>
      <c r="J624" s="64">
        <f>11.5532 * CHOOSE(CONTROL!$C$22, $C$13, 100%, $E$13)</f>
        <v>11.5532</v>
      </c>
      <c r="K624" s="64">
        <f>11.5689 * CHOOSE(CONTROL!$C$22, $C$13, 100%, $E$13)</f>
        <v>11.568899999999999</v>
      </c>
    </row>
    <row r="625" spans="1:11" ht="15">
      <c r="A625" s="13">
        <v>60511</v>
      </c>
      <c r="B625" s="63">
        <f>9.9968 * CHOOSE(CONTROL!$C$22, $C$13, 100%, $E$13)</f>
        <v>9.9968000000000004</v>
      </c>
      <c r="C625" s="63">
        <f>9.9968 * CHOOSE(CONTROL!$C$22, $C$13, 100%, $E$13)</f>
        <v>9.9968000000000004</v>
      </c>
      <c r="D625" s="63">
        <f>10.0098 * CHOOSE(CONTROL!$C$22, $C$13, 100%, $E$13)</f>
        <v>10.0098</v>
      </c>
      <c r="E625" s="64">
        <f>11.5304 * CHOOSE(CONTROL!$C$22, $C$13, 100%, $E$13)</f>
        <v>11.5304</v>
      </c>
      <c r="F625" s="64">
        <f>11.5304 * CHOOSE(CONTROL!$C$22, $C$13, 100%, $E$13)</f>
        <v>11.5304</v>
      </c>
      <c r="G625" s="64">
        <f>11.5461 * CHOOSE(CONTROL!$C$22, $C$13, 100%, $E$13)</f>
        <v>11.546099999999999</v>
      </c>
      <c r="H625" s="64">
        <f>18.9063* CHOOSE(CONTROL!$C$22, $C$13, 100%, $E$13)</f>
        <v>18.906300000000002</v>
      </c>
      <c r="I625" s="64">
        <f>18.9219 * CHOOSE(CONTROL!$C$22, $C$13, 100%, $E$13)</f>
        <v>18.921900000000001</v>
      </c>
      <c r="J625" s="64">
        <f>11.5304 * CHOOSE(CONTROL!$C$22, $C$13, 100%, $E$13)</f>
        <v>11.5304</v>
      </c>
      <c r="K625" s="64">
        <f>11.5461 * CHOOSE(CONTROL!$C$22, $C$13, 100%, $E$13)</f>
        <v>11.546099999999999</v>
      </c>
    </row>
    <row r="626" spans="1:11" ht="15">
      <c r="A626" s="13">
        <v>60541</v>
      </c>
      <c r="B626" s="63">
        <f>10.0114 * CHOOSE(CONTROL!$C$22, $C$13, 100%, $E$13)</f>
        <v>10.0114</v>
      </c>
      <c r="C626" s="63">
        <f>10.0114 * CHOOSE(CONTROL!$C$22, $C$13, 100%, $E$13)</f>
        <v>10.0114</v>
      </c>
      <c r="D626" s="63">
        <f>10.0114 * CHOOSE(CONTROL!$C$22, $C$13, 100%, $E$13)</f>
        <v>10.0114</v>
      </c>
      <c r="E626" s="64">
        <f>11.5998 * CHOOSE(CONTROL!$C$22, $C$13, 100%, $E$13)</f>
        <v>11.5998</v>
      </c>
      <c r="F626" s="64">
        <f>11.5998 * CHOOSE(CONTROL!$C$22, $C$13, 100%, $E$13)</f>
        <v>11.5998</v>
      </c>
      <c r="G626" s="64">
        <f>11.5999 * CHOOSE(CONTROL!$C$22, $C$13, 100%, $E$13)</f>
        <v>11.5999</v>
      </c>
      <c r="H626" s="64">
        <f>18.9456* CHOOSE(CONTROL!$C$22, $C$13, 100%, $E$13)</f>
        <v>18.945599999999999</v>
      </c>
      <c r="I626" s="64">
        <f>18.9457 * CHOOSE(CONTROL!$C$22, $C$13, 100%, $E$13)</f>
        <v>18.945699999999999</v>
      </c>
      <c r="J626" s="64">
        <f>11.5998 * CHOOSE(CONTROL!$C$22, $C$13, 100%, $E$13)</f>
        <v>11.5998</v>
      </c>
      <c r="K626" s="64">
        <f>11.5999 * CHOOSE(CONTROL!$C$22, $C$13, 100%, $E$13)</f>
        <v>11.5999</v>
      </c>
    </row>
    <row r="627" spans="1:11" ht="15">
      <c r="A627" s="13">
        <v>60572</v>
      </c>
      <c r="B627" s="63">
        <f>10.0144 * CHOOSE(CONTROL!$C$22, $C$13, 100%, $E$13)</f>
        <v>10.0144</v>
      </c>
      <c r="C627" s="63">
        <f>10.0144 * CHOOSE(CONTROL!$C$22, $C$13, 100%, $E$13)</f>
        <v>10.0144</v>
      </c>
      <c r="D627" s="63">
        <f>10.0144 * CHOOSE(CONTROL!$C$22, $C$13, 100%, $E$13)</f>
        <v>10.0144</v>
      </c>
      <c r="E627" s="64">
        <f>11.6434 * CHOOSE(CONTROL!$C$22, $C$13, 100%, $E$13)</f>
        <v>11.6434</v>
      </c>
      <c r="F627" s="64">
        <f>11.6434 * CHOOSE(CONTROL!$C$22, $C$13, 100%, $E$13)</f>
        <v>11.6434</v>
      </c>
      <c r="G627" s="64">
        <f>11.6434 * CHOOSE(CONTROL!$C$22, $C$13, 100%, $E$13)</f>
        <v>11.6434</v>
      </c>
      <c r="H627" s="64">
        <f>18.9851* CHOOSE(CONTROL!$C$22, $C$13, 100%, $E$13)</f>
        <v>18.985099999999999</v>
      </c>
      <c r="I627" s="64">
        <f>18.9852 * CHOOSE(CONTROL!$C$22, $C$13, 100%, $E$13)</f>
        <v>18.985199999999999</v>
      </c>
      <c r="J627" s="64">
        <f>11.6434 * CHOOSE(CONTROL!$C$22, $C$13, 100%, $E$13)</f>
        <v>11.6434</v>
      </c>
      <c r="K627" s="64">
        <f>11.6434 * CHOOSE(CONTROL!$C$22, $C$13, 100%, $E$13)</f>
        <v>11.6434</v>
      </c>
    </row>
    <row r="628" spans="1:11" ht="15">
      <c r="A628" s="13">
        <v>60602</v>
      </c>
      <c r="B628" s="63">
        <f>10.0144 * CHOOSE(CONTROL!$C$22, $C$13, 100%, $E$13)</f>
        <v>10.0144</v>
      </c>
      <c r="C628" s="63">
        <f>10.0144 * CHOOSE(CONTROL!$C$22, $C$13, 100%, $E$13)</f>
        <v>10.0144</v>
      </c>
      <c r="D628" s="63">
        <f>10.0144 * CHOOSE(CONTROL!$C$22, $C$13, 100%, $E$13)</f>
        <v>10.0144</v>
      </c>
      <c r="E628" s="64">
        <f>11.5398 * CHOOSE(CONTROL!$C$22, $C$13, 100%, $E$13)</f>
        <v>11.5398</v>
      </c>
      <c r="F628" s="64">
        <f>11.5398 * CHOOSE(CONTROL!$C$22, $C$13, 100%, $E$13)</f>
        <v>11.5398</v>
      </c>
      <c r="G628" s="64">
        <f>11.5399 * CHOOSE(CONTROL!$C$22, $C$13, 100%, $E$13)</f>
        <v>11.539899999999999</v>
      </c>
      <c r="H628" s="64">
        <f>19.0247* CHOOSE(CONTROL!$C$22, $C$13, 100%, $E$13)</f>
        <v>19.024699999999999</v>
      </c>
      <c r="I628" s="64">
        <f>19.0247 * CHOOSE(CONTROL!$C$22, $C$13, 100%, $E$13)</f>
        <v>19.024699999999999</v>
      </c>
      <c r="J628" s="64">
        <f>11.5398 * CHOOSE(CONTROL!$C$22, $C$13, 100%, $E$13)</f>
        <v>11.5398</v>
      </c>
      <c r="K628" s="64">
        <f>11.5399 * CHOOSE(CONTROL!$C$22, $C$13, 100%, $E$13)</f>
        <v>11.539899999999999</v>
      </c>
    </row>
    <row r="629" spans="1:11" ht="15">
      <c r="A629" s="13">
        <v>60633</v>
      </c>
      <c r="B629" s="63">
        <f>10.074 * CHOOSE(CONTROL!$C$22, $C$13, 100%, $E$13)</f>
        <v>10.074</v>
      </c>
      <c r="C629" s="63">
        <f>10.074 * CHOOSE(CONTROL!$C$22, $C$13, 100%, $E$13)</f>
        <v>10.074</v>
      </c>
      <c r="D629" s="63">
        <f>10.074 * CHOOSE(CONTROL!$C$22, $C$13, 100%, $E$13)</f>
        <v>10.074</v>
      </c>
      <c r="E629" s="64">
        <f>11.6826 * CHOOSE(CONTROL!$C$22, $C$13, 100%, $E$13)</f>
        <v>11.682600000000001</v>
      </c>
      <c r="F629" s="64">
        <f>11.6826 * CHOOSE(CONTROL!$C$22, $C$13, 100%, $E$13)</f>
        <v>11.682600000000001</v>
      </c>
      <c r="G629" s="64">
        <f>11.6827 * CHOOSE(CONTROL!$C$22, $C$13, 100%, $E$13)</f>
        <v>11.682700000000001</v>
      </c>
      <c r="H629" s="64">
        <f>19.0211* CHOOSE(CONTROL!$C$22, $C$13, 100%, $E$13)</f>
        <v>19.021100000000001</v>
      </c>
      <c r="I629" s="64">
        <f>19.0212 * CHOOSE(CONTROL!$C$22, $C$13, 100%, $E$13)</f>
        <v>19.0212</v>
      </c>
      <c r="J629" s="64">
        <f>11.6826 * CHOOSE(CONTROL!$C$22, $C$13, 100%, $E$13)</f>
        <v>11.682600000000001</v>
      </c>
      <c r="K629" s="64">
        <f>11.6827 * CHOOSE(CONTROL!$C$22, $C$13, 100%, $E$13)</f>
        <v>11.682700000000001</v>
      </c>
    </row>
    <row r="630" spans="1:11" ht="15">
      <c r="A630" s="13">
        <v>60664</v>
      </c>
      <c r="B630" s="63">
        <f>10.071 * CHOOSE(CONTROL!$C$22, $C$13, 100%, $E$13)</f>
        <v>10.071</v>
      </c>
      <c r="C630" s="63">
        <f>10.071 * CHOOSE(CONTROL!$C$22, $C$13, 100%, $E$13)</f>
        <v>10.071</v>
      </c>
      <c r="D630" s="63">
        <f>10.071 * CHOOSE(CONTROL!$C$22, $C$13, 100%, $E$13)</f>
        <v>10.071</v>
      </c>
      <c r="E630" s="64">
        <f>11.4799 * CHOOSE(CONTROL!$C$22, $C$13, 100%, $E$13)</f>
        <v>11.479900000000001</v>
      </c>
      <c r="F630" s="64">
        <f>11.4799 * CHOOSE(CONTROL!$C$22, $C$13, 100%, $E$13)</f>
        <v>11.479900000000001</v>
      </c>
      <c r="G630" s="64">
        <f>11.48 * CHOOSE(CONTROL!$C$22, $C$13, 100%, $E$13)</f>
        <v>11.48</v>
      </c>
      <c r="H630" s="64">
        <f>19.0607* CHOOSE(CONTROL!$C$22, $C$13, 100%, $E$13)</f>
        <v>19.060700000000001</v>
      </c>
      <c r="I630" s="64">
        <f>19.0608 * CHOOSE(CONTROL!$C$22, $C$13, 100%, $E$13)</f>
        <v>19.0608</v>
      </c>
      <c r="J630" s="64">
        <f>11.4799 * CHOOSE(CONTROL!$C$22, $C$13, 100%, $E$13)</f>
        <v>11.479900000000001</v>
      </c>
      <c r="K630" s="64">
        <f>11.48 * CHOOSE(CONTROL!$C$22, $C$13, 100%, $E$13)</f>
        <v>11.48</v>
      </c>
    </row>
    <row r="631" spans="1:11" ht="15">
      <c r="A631" s="13">
        <v>60692</v>
      </c>
      <c r="B631" s="63">
        <f>10.068 * CHOOSE(CONTROL!$C$22, $C$13, 100%, $E$13)</f>
        <v>10.068</v>
      </c>
      <c r="C631" s="63">
        <f>10.068 * CHOOSE(CONTROL!$C$22, $C$13, 100%, $E$13)</f>
        <v>10.068</v>
      </c>
      <c r="D631" s="63">
        <f>10.068 * CHOOSE(CONTROL!$C$22, $C$13, 100%, $E$13)</f>
        <v>10.068</v>
      </c>
      <c r="E631" s="64">
        <f>11.6359 * CHOOSE(CONTROL!$C$22, $C$13, 100%, $E$13)</f>
        <v>11.635899999999999</v>
      </c>
      <c r="F631" s="64">
        <f>11.6359 * CHOOSE(CONTROL!$C$22, $C$13, 100%, $E$13)</f>
        <v>11.635899999999999</v>
      </c>
      <c r="G631" s="64">
        <f>11.636 * CHOOSE(CONTROL!$C$22, $C$13, 100%, $E$13)</f>
        <v>11.635999999999999</v>
      </c>
      <c r="H631" s="64">
        <f>19.1004* CHOOSE(CONTROL!$C$22, $C$13, 100%, $E$13)</f>
        <v>19.1004</v>
      </c>
      <c r="I631" s="64">
        <f>19.1005 * CHOOSE(CONTROL!$C$22, $C$13, 100%, $E$13)</f>
        <v>19.1005</v>
      </c>
      <c r="J631" s="64">
        <f>11.6359 * CHOOSE(CONTROL!$C$22, $C$13, 100%, $E$13)</f>
        <v>11.635899999999999</v>
      </c>
      <c r="K631" s="64">
        <f>11.636 * CHOOSE(CONTROL!$C$22, $C$13, 100%, $E$13)</f>
        <v>11.635999999999999</v>
      </c>
    </row>
    <row r="632" spans="1:11" ht="15">
      <c r="A632" s="13">
        <v>60723</v>
      </c>
      <c r="B632" s="63">
        <f>10.0707 * CHOOSE(CONTROL!$C$22, $C$13, 100%, $E$13)</f>
        <v>10.0707</v>
      </c>
      <c r="C632" s="63">
        <f>10.0707 * CHOOSE(CONTROL!$C$22, $C$13, 100%, $E$13)</f>
        <v>10.0707</v>
      </c>
      <c r="D632" s="63">
        <f>10.0707 * CHOOSE(CONTROL!$C$22, $C$13, 100%, $E$13)</f>
        <v>10.0707</v>
      </c>
      <c r="E632" s="64">
        <f>11.8016 * CHOOSE(CONTROL!$C$22, $C$13, 100%, $E$13)</f>
        <v>11.801600000000001</v>
      </c>
      <c r="F632" s="64">
        <f>11.8016 * CHOOSE(CONTROL!$C$22, $C$13, 100%, $E$13)</f>
        <v>11.801600000000001</v>
      </c>
      <c r="G632" s="64">
        <f>11.8017 * CHOOSE(CONTROL!$C$22, $C$13, 100%, $E$13)</f>
        <v>11.8017</v>
      </c>
      <c r="H632" s="64">
        <f>19.1402* CHOOSE(CONTROL!$C$22, $C$13, 100%, $E$13)</f>
        <v>19.1402</v>
      </c>
      <c r="I632" s="64">
        <f>19.1403 * CHOOSE(CONTROL!$C$22, $C$13, 100%, $E$13)</f>
        <v>19.1403</v>
      </c>
      <c r="J632" s="64">
        <f>11.8016 * CHOOSE(CONTROL!$C$22, $C$13, 100%, $E$13)</f>
        <v>11.801600000000001</v>
      </c>
      <c r="K632" s="64">
        <f>11.8017 * CHOOSE(CONTROL!$C$22, $C$13, 100%, $E$13)</f>
        <v>11.8017</v>
      </c>
    </row>
    <row r="633" spans="1:11" ht="15">
      <c r="A633" s="13">
        <v>60753</v>
      </c>
      <c r="B633" s="63">
        <f>10.0707 * CHOOSE(CONTROL!$C$22, $C$13, 100%, $E$13)</f>
        <v>10.0707</v>
      </c>
      <c r="C633" s="63">
        <f>10.0707 * CHOOSE(CONTROL!$C$22, $C$13, 100%, $E$13)</f>
        <v>10.0707</v>
      </c>
      <c r="D633" s="63">
        <f>10.0837 * CHOOSE(CONTROL!$C$22, $C$13, 100%, $E$13)</f>
        <v>10.0837</v>
      </c>
      <c r="E633" s="64">
        <f>11.8653 * CHOOSE(CONTROL!$C$22, $C$13, 100%, $E$13)</f>
        <v>11.8653</v>
      </c>
      <c r="F633" s="64">
        <f>11.8653 * CHOOSE(CONTROL!$C$22, $C$13, 100%, $E$13)</f>
        <v>11.8653</v>
      </c>
      <c r="G633" s="64">
        <f>11.881 * CHOOSE(CONTROL!$C$22, $C$13, 100%, $E$13)</f>
        <v>11.881</v>
      </c>
      <c r="H633" s="64">
        <f>19.1801* CHOOSE(CONTROL!$C$22, $C$13, 100%, $E$13)</f>
        <v>19.180099999999999</v>
      </c>
      <c r="I633" s="64">
        <f>19.1958 * CHOOSE(CONTROL!$C$22, $C$13, 100%, $E$13)</f>
        <v>19.195799999999998</v>
      </c>
      <c r="J633" s="64">
        <f>11.8653 * CHOOSE(CONTROL!$C$22, $C$13, 100%, $E$13)</f>
        <v>11.8653</v>
      </c>
      <c r="K633" s="64">
        <f>11.881 * CHOOSE(CONTROL!$C$22, $C$13, 100%, $E$13)</f>
        <v>11.881</v>
      </c>
    </row>
    <row r="634" spans="1:11" ht="15">
      <c r="A634" s="13">
        <v>60784</v>
      </c>
      <c r="B634" s="63">
        <f>10.0768 * CHOOSE(CONTROL!$C$22, $C$13, 100%, $E$13)</f>
        <v>10.0768</v>
      </c>
      <c r="C634" s="63">
        <f>10.0768 * CHOOSE(CONTROL!$C$22, $C$13, 100%, $E$13)</f>
        <v>10.0768</v>
      </c>
      <c r="D634" s="63">
        <f>10.0898 * CHOOSE(CONTROL!$C$22, $C$13, 100%, $E$13)</f>
        <v>10.0898</v>
      </c>
      <c r="E634" s="64">
        <f>11.8058 * CHOOSE(CONTROL!$C$22, $C$13, 100%, $E$13)</f>
        <v>11.8058</v>
      </c>
      <c r="F634" s="64">
        <f>11.8058 * CHOOSE(CONTROL!$C$22, $C$13, 100%, $E$13)</f>
        <v>11.8058</v>
      </c>
      <c r="G634" s="64">
        <f>11.8215 * CHOOSE(CONTROL!$C$22, $C$13, 100%, $E$13)</f>
        <v>11.8215</v>
      </c>
      <c r="H634" s="64">
        <f>19.2201* CHOOSE(CONTROL!$C$22, $C$13, 100%, $E$13)</f>
        <v>19.220099999999999</v>
      </c>
      <c r="I634" s="64">
        <f>19.2358 * CHOOSE(CONTROL!$C$22, $C$13, 100%, $E$13)</f>
        <v>19.235800000000001</v>
      </c>
      <c r="J634" s="64">
        <f>11.8058 * CHOOSE(CONTROL!$C$22, $C$13, 100%, $E$13)</f>
        <v>11.8058</v>
      </c>
      <c r="K634" s="64">
        <f>11.8215 * CHOOSE(CONTROL!$C$22, $C$13, 100%, $E$13)</f>
        <v>11.8215</v>
      </c>
    </row>
    <row r="635" spans="1:11" ht="15">
      <c r="A635" s="13">
        <v>60814</v>
      </c>
      <c r="B635" s="63">
        <f>10.2324 * CHOOSE(CONTROL!$C$22, $C$13, 100%, $E$13)</f>
        <v>10.2324</v>
      </c>
      <c r="C635" s="63">
        <f>10.2324 * CHOOSE(CONTROL!$C$22, $C$13, 100%, $E$13)</f>
        <v>10.2324</v>
      </c>
      <c r="D635" s="63">
        <f>10.2453 * CHOOSE(CONTROL!$C$22, $C$13, 100%, $E$13)</f>
        <v>10.2453</v>
      </c>
      <c r="E635" s="64">
        <f>11.9967 * CHOOSE(CONTROL!$C$22, $C$13, 100%, $E$13)</f>
        <v>11.996700000000001</v>
      </c>
      <c r="F635" s="64">
        <f>11.9967 * CHOOSE(CONTROL!$C$22, $C$13, 100%, $E$13)</f>
        <v>11.996700000000001</v>
      </c>
      <c r="G635" s="64">
        <f>12.0124 * CHOOSE(CONTROL!$C$22, $C$13, 100%, $E$13)</f>
        <v>12.0124</v>
      </c>
      <c r="H635" s="64">
        <f>19.2601* CHOOSE(CONTROL!$C$22, $C$13, 100%, $E$13)</f>
        <v>19.260100000000001</v>
      </c>
      <c r="I635" s="64">
        <f>19.2758 * CHOOSE(CONTROL!$C$22, $C$13, 100%, $E$13)</f>
        <v>19.2758</v>
      </c>
      <c r="J635" s="64">
        <f>11.9967 * CHOOSE(CONTROL!$C$22, $C$13, 100%, $E$13)</f>
        <v>11.996700000000001</v>
      </c>
      <c r="K635" s="64">
        <f>12.0124 * CHOOSE(CONTROL!$C$22, $C$13, 100%, $E$13)</f>
        <v>12.0124</v>
      </c>
    </row>
    <row r="636" spans="1:11" ht="15">
      <c r="A636" s="13">
        <v>60845</v>
      </c>
      <c r="B636" s="63">
        <f>10.2391 * CHOOSE(CONTROL!$C$22, $C$13, 100%, $E$13)</f>
        <v>10.239100000000001</v>
      </c>
      <c r="C636" s="63">
        <f>10.2391 * CHOOSE(CONTROL!$C$22, $C$13, 100%, $E$13)</f>
        <v>10.239100000000001</v>
      </c>
      <c r="D636" s="63">
        <f>10.252 * CHOOSE(CONTROL!$C$22, $C$13, 100%, $E$13)</f>
        <v>10.252000000000001</v>
      </c>
      <c r="E636" s="64">
        <f>11.8103 * CHOOSE(CONTROL!$C$22, $C$13, 100%, $E$13)</f>
        <v>11.8103</v>
      </c>
      <c r="F636" s="64">
        <f>11.8103 * CHOOSE(CONTROL!$C$22, $C$13, 100%, $E$13)</f>
        <v>11.8103</v>
      </c>
      <c r="G636" s="64">
        <f>11.826 * CHOOSE(CONTROL!$C$22, $C$13, 100%, $E$13)</f>
        <v>11.826000000000001</v>
      </c>
      <c r="H636" s="64">
        <f>19.3002* CHOOSE(CONTROL!$C$22, $C$13, 100%, $E$13)</f>
        <v>19.3002</v>
      </c>
      <c r="I636" s="64">
        <f>19.3159 * CHOOSE(CONTROL!$C$22, $C$13, 100%, $E$13)</f>
        <v>19.315899999999999</v>
      </c>
      <c r="J636" s="64">
        <f>11.8103 * CHOOSE(CONTROL!$C$22, $C$13, 100%, $E$13)</f>
        <v>11.8103</v>
      </c>
      <c r="K636" s="64">
        <f>11.826 * CHOOSE(CONTROL!$C$22, $C$13, 100%, $E$13)</f>
        <v>11.826000000000001</v>
      </c>
    </row>
    <row r="637" spans="1:11" ht="15">
      <c r="A637" s="13">
        <v>60876</v>
      </c>
      <c r="B637" s="63">
        <f>10.236 * CHOOSE(CONTROL!$C$22, $C$13, 100%, $E$13)</f>
        <v>10.236000000000001</v>
      </c>
      <c r="C637" s="63">
        <f>10.236 * CHOOSE(CONTROL!$C$22, $C$13, 100%, $E$13)</f>
        <v>10.236000000000001</v>
      </c>
      <c r="D637" s="63">
        <f>10.249 * CHOOSE(CONTROL!$C$22, $C$13, 100%, $E$13)</f>
        <v>10.249000000000001</v>
      </c>
      <c r="E637" s="64">
        <f>11.7869 * CHOOSE(CONTROL!$C$22, $C$13, 100%, $E$13)</f>
        <v>11.786899999999999</v>
      </c>
      <c r="F637" s="64">
        <f>11.7869 * CHOOSE(CONTROL!$C$22, $C$13, 100%, $E$13)</f>
        <v>11.786899999999999</v>
      </c>
      <c r="G637" s="64">
        <f>11.8026 * CHOOSE(CONTROL!$C$22, $C$13, 100%, $E$13)</f>
        <v>11.8026</v>
      </c>
      <c r="H637" s="64">
        <f>19.3404* CHOOSE(CONTROL!$C$22, $C$13, 100%, $E$13)</f>
        <v>19.340399999999999</v>
      </c>
      <c r="I637" s="64">
        <f>19.3561 * CHOOSE(CONTROL!$C$22, $C$13, 100%, $E$13)</f>
        <v>19.356100000000001</v>
      </c>
      <c r="J637" s="64">
        <f>11.7869 * CHOOSE(CONTROL!$C$22, $C$13, 100%, $E$13)</f>
        <v>11.786899999999999</v>
      </c>
      <c r="K637" s="64">
        <f>11.8026 * CHOOSE(CONTROL!$C$22, $C$13, 100%, $E$13)</f>
        <v>11.8026</v>
      </c>
    </row>
    <row r="638" spans="1:11" ht="15">
      <c r="A638" s="13">
        <v>60906</v>
      </c>
      <c r="B638" s="63">
        <f>10.2513 * CHOOSE(CONTROL!$C$22, $C$13, 100%, $E$13)</f>
        <v>10.251300000000001</v>
      </c>
      <c r="C638" s="63">
        <f>10.2513 * CHOOSE(CONTROL!$C$22, $C$13, 100%, $E$13)</f>
        <v>10.251300000000001</v>
      </c>
      <c r="D638" s="63">
        <f>10.2513 * CHOOSE(CONTROL!$C$22, $C$13, 100%, $E$13)</f>
        <v>10.251300000000001</v>
      </c>
      <c r="E638" s="64">
        <f>11.8585 * CHOOSE(CONTROL!$C$22, $C$13, 100%, $E$13)</f>
        <v>11.858499999999999</v>
      </c>
      <c r="F638" s="64">
        <f>11.8585 * CHOOSE(CONTROL!$C$22, $C$13, 100%, $E$13)</f>
        <v>11.858499999999999</v>
      </c>
      <c r="G638" s="64">
        <f>11.8585 * CHOOSE(CONTROL!$C$22, $C$13, 100%, $E$13)</f>
        <v>11.858499999999999</v>
      </c>
      <c r="H638" s="64">
        <f>19.3807* CHOOSE(CONTROL!$C$22, $C$13, 100%, $E$13)</f>
        <v>19.380700000000001</v>
      </c>
      <c r="I638" s="64">
        <f>19.3808 * CHOOSE(CONTROL!$C$22, $C$13, 100%, $E$13)</f>
        <v>19.380800000000001</v>
      </c>
      <c r="J638" s="64">
        <f>11.8585 * CHOOSE(CONTROL!$C$22, $C$13, 100%, $E$13)</f>
        <v>11.858499999999999</v>
      </c>
      <c r="K638" s="64">
        <f>11.8585 * CHOOSE(CONTROL!$C$22, $C$13, 100%, $E$13)</f>
        <v>11.858499999999999</v>
      </c>
    </row>
    <row r="639" spans="1:11" ht="15">
      <c r="A639" s="13">
        <v>60937</v>
      </c>
      <c r="B639" s="63">
        <f>10.2544 * CHOOSE(CONTROL!$C$22, $C$13, 100%, $E$13)</f>
        <v>10.2544</v>
      </c>
      <c r="C639" s="63">
        <f>10.2544 * CHOOSE(CONTROL!$C$22, $C$13, 100%, $E$13)</f>
        <v>10.2544</v>
      </c>
      <c r="D639" s="63">
        <f>10.2544 * CHOOSE(CONTROL!$C$22, $C$13, 100%, $E$13)</f>
        <v>10.2544</v>
      </c>
      <c r="E639" s="64">
        <f>11.903 * CHOOSE(CONTROL!$C$22, $C$13, 100%, $E$13)</f>
        <v>11.903</v>
      </c>
      <c r="F639" s="64">
        <f>11.903 * CHOOSE(CONTROL!$C$22, $C$13, 100%, $E$13)</f>
        <v>11.903</v>
      </c>
      <c r="G639" s="64">
        <f>11.9031 * CHOOSE(CONTROL!$C$22, $C$13, 100%, $E$13)</f>
        <v>11.9031</v>
      </c>
      <c r="H639" s="64">
        <f>19.4211* CHOOSE(CONTROL!$C$22, $C$13, 100%, $E$13)</f>
        <v>19.421099999999999</v>
      </c>
      <c r="I639" s="64">
        <f>19.4212 * CHOOSE(CONTROL!$C$22, $C$13, 100%, $E$13)</f>
        <v>19.421199999999999</v>
      </c>
      <c r="J639" s="64">
        <f>11.903 * CHOOSE(CONTROL!$C$22, $C$13, 100%, $E$13)</f>
        <v>11.903</v>
      </c>
      <c r="K639" s="64">
        <f>11.9031 * CHOOSE(CONTROL!$C$22, $C$13, 100%, $E$13)</f>
        <v>11.9031</v>
      </c>
    </row>
    <row r="640" spans="1:11" ht="15">
      <c r="A640" s="13">
        <v>60967</v>
      </c>
      <c r="B640" s="63">
        <f>10.2544 * CHOOSE(CONTROL!$C$22, $C$13, 100%, $E$13)</f>
        <v>10.2544</v>
      </c>
      <c r="C640" s="63">
        <f>10.2544 * CHOOSE(CONTROL!$C$22, $C$13, 100%, $E$13)</f>
        <v>10.2544</v>
      </c>
      <c r="D640" s="63">
        <f>10.2544 * CHOOSE(CONTROL!$C$22, $C$13, 100%, $E$13)</f>
        <v>10.2544</v>
      </c>
      <c r="E640" s="64">
        <f>11.7969 * CHOOSE(CONTROL!$C$22, $C$13, 100%, $E$13)</f>
        <v>11.796900000000001</v>
      </c>
      <c r="F640" s="64">
        <f>11.7969 * CHOOSE(CONTROL!$C$22, $C$13, 100%, $E$13)</f>
        <v>11.796900000000001</v>
      </c>
      <c r="G640" s="64">
        <f>11.797 * CHOOSE(CONTROL!$C$22, $C$13, 100%, $E$13)</f>
        <v>11.797000000000001</v>
      </c>
      <c r="H640" s="64">
        <f>19.4616* CHOOSE(CONTROL!$C$22, $C$13, 100%, $E$13)</f>
        <v>19.461600000000001</v>
      </c>
      <c r="I640" s="64">
        <f>19.4617 * CHOOSE(CONTROL!$C$22, $C$13, 100%, $E$13)</f>
        <v>19.4617</v>
      </c>
      <c r="J640" s="64">
        <f>11.7969 * CHOOSE(CONTROL!$C$22, $C$13, 100%, $E$13)</f>
        <v>11.796900000000001</v>
      </c>
      <c r="K640" s="64">
        <f>11.797 * CHOOSE(CONTROL!$C$22, $C$13, 100%, $E$13)</f>
        <v>11.797000000000001</v>
      </c>
    </row>
    <row r="641" spans="1:11" ht="15">
      <c r="A641" s="13">
        <v>60998</v>
      </c>
      <c r="B641" s="63">
        <f>10.3096 * CHOOSE(CONTROL!$C$22, $C$13, 100%, $E$13)</f>
        <v>10.3096</v>
      </c>
      <c r="C641" s="63">
        <f>10.3096 * CHOOSE(CONTROL!$C$22, $C$13, 100%, $E$13)</f>
        <v>10.3096</v>
      </c>
      <c r="D641" s="63">
        <f>10.3096 * CHOOSE(CONTROL!$C$22, $C$13, 100%, $E$13)</f>
        <v>10.3096</v>
      </c>
      <c r="E641" s="64">
        <f>11.9374 * CHOOSE(CONTROL!$C$22, $C$13, 100%, $E$13)</f>
        <v>11.9374</v>
      </c>
      <c r="F641" s="64">
        <f>11.9374 * CHOOSE(CONTROL!$C$22, $C$13, 100%, $E$13)</f>
        <v>11.9374</v>
      </c>
      <c r="G641" s="64">
        <f>11.9374 * CHOOSE(CONTROL!$C$22, $C$13, 100%, $E$13)</f>
        <v>11.9374</v>
      </c>
      <c r="H641" s="64">
        <f>19.4481* CHOOSE(CONTROL!$C$22, $C$13, 100%, $E$13)</f>
        <v>19.4481</v>
      </c>
      <c r="I641" s="64">
        <f>19.4482 * CHOOSE(CONTROL!$C$22, $C$13, 100%, $E$13)</f>
        <v>19.4482</v>
      </c>
      <c r="J641" s="64">
        <f>11.9374 * CHOOSE(CONTROL!$C$22, $C$13, 100%, $E$13)</f>
        <v>11.9374</v>
      </c>
      <c r="K641" s="64">
        <f>11.9374 * CHOOSE(CONTROL!$C$22, $C$13, 100%, $E$13)</f>
        <v>11.9374</v>
      </c>
    </row>
    <row r="642" spans="1:11" ht="15">
      <c r="A642" s="13">
        <v>61029</v>
      </c>
      <c r="B642" s="63">
        <f>10.3066 * CHOOSE(CONTROL!$C$22, $C$13, 100%, $E$13)</f>
        <v>10.3066</v>
      </c>
      <c r="C642" s="63">
        <f>10.3066 * CHOOSE(CONTROL!$C$22, $C$13, 100%, $E$13)</f>
        <v>10.3066</v>
      </c>
      <c r="D642" s="63">
        <f>10.3066 * CHOOSE(CONTROL!$C$22, $C$13, 100%, $E$13)</f>
        <v>10.3066</v>
      </c>
      <c r="E642" s="64">
        <f>11.7297 * CHOOSE(CONTROL!$C$22, $C$13, 100%, $E$13)</f>
        <v>11.729699999999999</v>
      </c>
      <c r="F642" s="64">
        <f>11.7297 * CHOOSE(CONTROL!$C$22, $C$13, 100%, $E$13)</f>
        <v>11.729699999999999</v>
      </c>
      <c r="G642" s="64">
        <f>11.7297 * CHOOSE(CONTROL!$C$22, $C$13, 100%, $E$13)</f>
        <v>11.729699999999999</v>
      </c>
      <c r="H642" s="64">
        <f>19.4886* CHOOSE(CONTROL!$C$22, $C$13, 100%, $E$13)</f>
        <v>19.488600000000002</v>
      </c>
      <c r="I642" s="64">
        <f>19.4887 * CHOOSE(CONTROL!$C$22, $C$13, 100%, $E$13)</f>
        <v>19.488700000000001</v>
      </c>
      <c r="J642" s="64">
        <f>11.7297 * CHOOSE(CONTROL!$C$22, $C$13, 100%, $E$13)</f>
        <v>11.729699999999999</v>
      </c>
      <c r="K642" s="64">
        <f>11.7297 * CHOOSE(CONTROL!$C$22, $C$13, 100%, $E$13)</f>
        <v>11.729699999999999</v>
      </c>
    </row>
    <row r="643" spans="1:11" ht="15">
      <c r="A643" s="13">
        <v>61057</v>
      </c>
      <c r="B643" s="63">
        <f>10.3035 * CHOOSE(CONTROL!$C$22, $C$13, 100%, $E$13)</f>
        <v>10.3035</v>
      </c>
      <c r="C643" s="63">
        <f>10.3035 * CHOOSE(CONTROL!$C$22, $C$13, 100%, $E$13)</f>
        <v>10.3035</v>
      </c>
      <c r="D643" s="63">
        <f>10.3035 * CHOOSE(CONTROL!$C$22, $C$13, 100%, $E$13)</f>
        <v>10.3035</v>
      </c>
      <c r="E643" s="64">
        <f>11.8896 * CHOOSE(CONTROL!$C$22, $C$13, 100%, $E$13)</f>
        <v>11.8896</v>
      </c>
      <c r="F643" s="64">
        <f>11.8896 * CHOOSE(CONTROL!$C$22, $C$13, 100%, $E$13)</f>
        <v>11.8896</v>
      </c>
      <c r="G643" s="64">
        <f>11.8897 * CHOOSE(CONTROL!$C$22, $C$13, 100%, $E$13)</f>
        <v>11.889699999999999</v>
      </c>
      <c r="H643" s="64">
        <f>19.5292* CHOOSE(CONTROL!$C$22, $C$13, 100%, $E$13)</f>
        <v>19.529199999999999</v>
      </c>
      <c r="I643" s="64">
        <f>19.5293 * CHOOSE(CONTROL!$C$22, $C$13, 100%, $E$13)</f>
        <v>19.529299999999999</v>
      </c>
      <c r="J643" s="64">
        <f>11.8896 * CHOOSE(CONTROL!$C$22, $C$13, 100%, $E$13)</f>
        <v>11.8896</v>
      </c>
      <c r="K643" s="64">
        <f>11.8897 * CHOOSE(CONTROL!$C$22, $C$13, 100%, $E$13)</f>
        <v>11.889699999999999</v>
      </c>
    </row>
    <row r="644" spans="1:11" ht="15">
      <c r="A644" s="13">
        <v>61088</v>
      </c>
      <c r="B644" s="63">
        <f>10.3065 * CHOOSE(CONTROL!$C$22, $C$13, 100%, $E$13)</f>
        <v>10.3065</v>
      </c>
      <c r="C644" s="63">
        <f>10.3065 * CHOOSE(CONTROL!$C$22, $C$13, 100%, $E$13)</f>
        <v>10.3065</v>
      </c>
      <c r="D644" s="63">
        <f>10.3065 * CHOOSE(CONTROL!$C$22, $C$13, 100%, $E$13)</f>
        <v>10.3065</v>
      </c>
      <c r="E644" s="64">
        <f>12.0594 * CHOOSE(CONTROL!$C$22, $C$13, 100%, $E$13)</f>
        <v>12.0594</v>
      </c>
      <c r="F644" s="64">
        <f>12.0594 * CHOOSE(CONTROL!$C$22, $C$13, 100%, $E$13)</f>
        <v>12.0594</v>
      </c>
      <c r="G644" s="64">
        <f>12.0595 * CHOOSE(CONTROL!$C$22, $C$13, 100%, $E$13)</f>
        <v>12.0595</v>
      </c>
      <c r="H644" s="64">
        <f>19.5699* CHOOSE(CONTROL!$C$22, $C$13, 100%, $E$13)</f>
        <v>19.569900000000001</v>
      </c>
      <c r="I644" s="64">
        <f>19.57 * CHOOSE(CONTROL!$C$22, $C$13, 100%, $E$13)</f>
        <v>19.57</v>
      </c>
      <c r="J644" s="64">
        <f>12.0594 * CHOOSE(CONTROL!$C$22, $C$13, 100%, $E$13)</f>
        <v>12.0594</v>
      </c>
      <c r="K644" s="64">
        <f>12.0595 * CHOOSE(CONTROL!$C$22, $C$13, 100%, $E$13)</f>
        <v>12.0595</v>
      </c>
    </row>
    <row r="645" spans="1:11" ht="15">
      <c r="A645" s="13">
        <v>61118</v>
      </c>
      <c r="B645" s="63">
        <f>10.3065 * CHOOSE(CONTROL!$C$22, $C$13, 100%, $E$13)</f>
        <v>10.3065</v>
      </c>
      <c r="C645" s="63">
        <f>10.3065 * CHOOSE(CONTROL!$C$22, $C$13, 100%, $E$13)</f>
        <v>10.3065</v>
      </c>
      <c r="D645" s="63">
        <f>10.3195 * CHOOSE(CONTROL!$C$22, $C$13, 100%, $E$13)</f>
        <v>10.3195</v>
      </c>
      <c r="E645" s="64">
        <f>12.1247 * CHOOSE(CONTROL!$C$22, $C$13, 100%, $E$13)</f>
        <v>12.124700000000001</v>
      </c>
      <c r="F645" s="64">
        <f>12.1247 * CHOOSE(CONTROL!$C$22, $C$13, 100%, $E$13)</f>
        <v>12.124700000000001</v>
      </c>
      <c r="G645" s="64">
        <f>12.1404 * CHOOSE(CONTROL!$C$22, $C$13, 100%, $E$13)</f>
        <v>12.1404</v>
      </c>
      <c r="H645" s="64">
        <f>19.6107* CHOOSE(CONTROL!$C$22, $C$13, 100%, $E$13)</f>
        <v>19.610700000000001</v>
      </c>
      <c r="I645" s="64">
        <f>19.6264 * CHOOSE(CONTROL!$C$22, $C$13, 100%, $E$13)</f>
        <v>19.6264</v>
      </c>
      <c r="J645" s="64">
        <f>12.1247 * CHOOSE(CONTROL!$C$22, $C$13, 100%, $E$13)</f>
        <v>12.124700000000001</v>
      </c>
      <c r="K645" s="64">
        <f>12.1404 * CHOOSE(CONTROL!$C$22, $C$13, 100%, $E$13)</f>
        <v>12.1404</v>
      </c>
    </row>
    <row r="646" spans="1:11" ht="15">
      <c r="A646" s="13">
        <v>61149</v>
      </c>
      <c r="B646" s="63">
        <f>10.3126 * CHOOSE(CONTROL!$C$22, $C$13, 100%, $E$13)</f>
        <v>10.3126</v>
      </c>
      <c r="C646" s="63">
        <f>10.3126 * CHOOSE(CONTROL!$C$22, $C$13, 100%, $E$13)</f>
        <v>10.3126</v>
      </c>
      <c r="D646" s="63">
        <f>10.3256 * CHOOSE(CONTROL!$C$22, $C$13, 100%, $E$13)</f>
        <v>10.3256</v>
      </c>
      <c r="E646" s="64">
        <f>12.0637 * CHOOSE(CONTROL!$C$22, $C$13, 100%, $E$13)</f>
        <v>12.063700000000001</v>
      </c>
      <c r="F646" s="64">
        <f>12.0637 * CHOOSE(CONTROL!$C$22, $C$13, 100%, $E$13)</f>
        <v>12.063700000000001</v>
      </c>
      <c r="G646" s="64">
        <f>12.0794 * CHOOSE(CONTROL!$C$22, $C$13, 100%, $E$13)</f>
        <v>12.0794</v>
      </c>
      <c r="H646" s="64">
        <f>19.6516* CHOOSE(CONTROL!$C$22, $C$13, 100%, $E$13)</f>
        <v>19.651599999999998</v>
      </c>
      <c r="I646" s="64">
        <f>19.6672 * CHOOSE(CONTROL!$C$22, $C$13, 100%, $E$13)</f>
        <v>19.667200000000001</v>
      </c>
      <c r="J646" s="64">
        <f>12.0637 * CHOOSE(CONTROL!$C$22, $C$13, 100%, $E$13)</f>
        <v>12.063700000000001</v>
      </c>
      <c r="K646" s="64">
        <f>12.0794 * CHOOSE(CONTROL!$C$22, $C$13, 100%, $E$13)</f>
        <v>12.0794</v>
      </c>
    </row>
    <row r="647" spans="1:11" ht="15">
      <c r="A647" s="13">
        <v>61179</v>
      </c>
      <c r="B647" s="63">
        <f>10.4716 * CHOOSE(CONTROL!$C$22, $C$13, 100%, $E$13)</f>
        <v>10.4716</v>
      </c>
      <c r="C647" s="63">
        <f>10.4716 * CHOOSE(CONTROL!$C$22, $C$13, 100%, $E$13)</f>
        <v>10.4716</v>
      </c>
      <c r="D647" s="63">
        <f>10.4845 * CHOOSE(CONTROL!$C$22, $C$13, 100%, $E$13)</f>
        <v>10.484500000000001</v>
      </c>
      <c r="E647" s="64">
        <f>12.2585 * CHOOSE(CONTROL!$C$22, $C$13, 100%, $E$13)</f>
        <v>12.2585</v>
      </c>
      <c r="F647" s="64">
        <f>12.2585 * CHOOSE(CONTROL!$C$22, $C$13, 100%, $E$13)</f>
        <v>12.2585</v>
      </c>
      <c r="G647" s="64">
        <f>12.2742 * CHOOSE(CONTROL!$C$22, $C$13, 100%, $E$13)</f>
        <v>12.2742</v>
      </c>
      <c r="H647" s="64">
        <f>19.6925* CHOOSE(CONTROL!$C$22, $C$13, 100%, $E$13)</f>
        <v>19.692499999999999</v>
      </c>
      <c r="I647" s="64">
        <f>19.7082 * CHOOSE(CONTROL!$C$22, $C$13, 100%, $E$13)</f>
        <v>19.708200000000001</v>
      </c>
      <c r="J647" s="64">
        <f>12.2585 * CHOOSE(CONTROL!$C$22, $C$13, 100%, $E$13)</f>
        <v>12.2585</v>
      </c>
      <c r="K647" s="64">
        <f>12.2742 * CHOOSE(CONTROL!$C$22, $C$13, 100%, $E$13)</f>
        <v>12.2742</v>
      </c>
    </row>
    <row r="648" spans="1:11" ht="15">
      <c r="A648" s="13">
        <v>61210</v>
      </c>
      <c r="B648" s="63">
        <f>10.4782 * CHOOSE(CONTROL!$C$22, $C$13, 100%, $E$13)</f>
        <v>10.478199999999999</v>
      </c>
      <c r="C648" s="63">
        <f>10.4782 * CHOOSE(CONTROL!$C$22, $C$13, 100%, $E$13)</f>
        <v>10.478199999999999</v>
      </c>
      <c r="D648" s="63">
        <f>10.4912 * CHOOSE(CONTROL!$C$22, $C$13, 100%, $E$13)</f>
        <v>10.491199999999999</v>
      </c>
      <c r="E648" s="64">
        <f>12.0674 * CHOOSE(CONTROL!$C$22, $C$13, 100%, $E$13)</f>
        <v>12.067399999999999</v>
      </c>
      <c r="F648" s="64">
        <f>12.0674 * CHOOSE(CONTROL!$C$22, $C$13, 100%, $E$13)</f>
        <v>12.067399999999999</v>
      </c>
      <c r="G648" s="64">
        <f>12.083 * CHOOSE(CONTROL!$C$22, $C$13, 100%, $E$13)</f>
        <v>12.083</v>
      </c>
      <c r="H648" s="64">
        <f>19.7335* CHOOSE(CONTROL!$C$22, $C$13, 100%, $E$13)</f>
        <v>19.733499999999999</v>
      </c>
      <c r="I648" s="64">
        <f>19.7492 * CHOOSE(CONTROL!$C$22, $C$13, 100%, $E$13)</f>
        <v>19.749199999999998</v>
      </c>
      <c r="J648" s="64">
        <f>12.0674 * CHOOSE(CONTROL!$C$22, $C$13, 100%, $E$13)</f>
        <v>12.067399999999999</v>
      </c>
      <c r="K648" s="64">
        <f>12.083 * CHOOSE(CONTROL!$C$22, $C$13, 100%, $E$13)</f>
        <v>12.083</v>
      </c>
    </row>
    <row r="649" spans="1:11" ht="15">
      <c r="A649" s="13">
        <v>61241</v>
      </c>
      <c r="B649" s="63">
        <f>10.4752 * CHOOSE(CONTROL!$C$22, $C$13, 100%, $E$13)</f>
        <v>10.475199999999999</v>
      </c>
      <c r="C649" s="63">
        <f>10.4752 * CHOOSE(CONTROL!$C$22, $C$13, 100%, $E$13)</f>
        <v>10.475199999999999</v>
      </c>
      <c r="D649" s="63">
        <f>10.4882 * CHOOSE(CONTROL!$C$22, $C$13, 100%, $E$13)</f>
        <v>10.488200000000001</v>
      </c>
      <c r="E649" s="64">
        <f>12.0435 * CHOOSE(CONTROL!$C$22, $C$13, 100%, $E$13)</f>
        <v>12.0435</v>
      </c>
      <c r="F649" s="64">
        <f>12.0435 * CHOOSE(CONTROL!$C$22, $C$13, 100%, $E$13)</f>
        <v>12.0435</v>
      </c>
      <c r="G649" s="64">
        <f>12.0592 * CHOOSE(CONTROL!$C$22, $C$13, 100%, $E$13)</f>
        <v>12.059200000000001</v>
      </c>
      <c r="H649" s="64">
        <f>19.7746* CHOOSE(CONTROL!$C$22, $C$13, 100%, $E$13)</f>
        <v>19.7746</v>
      </c>
      <c r="I649" s="64">
        <f>19.7903 * CHOOSE(CONTROL!$C$22, $C$13, 100%, $E$13)</f>
        <v>19.790299999999998</v>
      </c>
      <c r="J649" s="64">
        <f>12.0435 * CHOOSE(CONTROL!$C$22, $C$13, 100%, $E$13)</f>
        <v>12.0435</v>
      </c>
      <c r="K649" s="64">
        <f>12.0592 * CHOOSE(CONTROL!$C$22, $C$13, 100%, $E$13)</f>
        <v>12.059200000000001</v>
      </c>
    </row>
    <row r="650" spans="1:11" ht="15">
      <c r="A650" s="13">
        <v>61271</v>
      </c>
      <c r="B650" s="63">
        <f>10.4913 * CHOOSE(CONTROL!$C$22, $C$13, 100%, $E$13)</f>
        <v>10.491300000000001</v>
      </c>
      <c r="C650" s="63">
        <f>10.4913 * CHOOSE(CONTROL!$C$22, $C$13, 100%, $E$13)</f>
        <v>10.491300000000001</v>
      </c>
      <c r="D650" s="63">
        <f>10.4913 * CHOOSE(CONTROL!$C$22, $C$13, 100%, $E$13)</f>
        <v>10.491300000000001</v>
      </c>
      <c r="E650" s="64">
        <f>12.1171 * CHOOSE(CONTROL!$C$22, $C$13, 100%, $E$13)</f>
        <v>12.117100000000001</v>
      </c>
      <c r="F650" s="64">
        <f>12.1171 * CHOOSE(CONTROL!$C$22, $C$13, 100%, $E$13)</f>
        <v>12.117100000000001</v>
      </c>
      <c r="G650" s="64">
        <f>12.1172 * CHOOSE(CONTROL!$C$22, $C$13, 100%, $E$13)</f>
        <v>12.1172</v>
      </c>
      <c r="H650" s="64">
        <f>19.8158* CHOOSE(CONTROL!$C$22, $C$13, 100%, $E$13)</f>
        <v>19.815799999999999</v>
      </c>
      <c r="I650" s="64">
        <f>19.8159 * CHOOSE(CONTROL!$C$22, $C$13, 100%, $E$13)</f>
        <v>19.815899999999999</v>
      </c>
      <c r="J650" s="64">
        <f>12.1171 * CHOOSE(CONTROL!$C$22, $C$13, 100%, $E$13)</f>
        <v>12.117100000000001</v>
      </c>
      <c r="K650" s="64">
        <f>12.1172 * CHOOSE(CONTROL!$C$22, $C$13, 100%, $E$13)</f>
        <v>12.1172</v>
      </c>
    </row>
    <row r="651" spans="1:11" ht="15">
      <c r="A651" s="13">
        <v>61302</v>
      </c>
      <c r="B651" s="63">
        <f>10.4943 * CHOOSE(CONTROL!$C$22, $C$13, 100%, $E$13)</f>
        <v>10.494300000000001</v>
      </c>
      <c r="C651" s="63">
        <f>10.4943 * CHOOSE(CONTROL!$C$22, $C$13, 100%, $E$13)</f>
        <v>10.494300000000001</v>
      </c>
      <c r="D651" s="63">
        <f>10.4943 * CHOOSE(CONTROL!$C$22, $C$13, 100%, $E$13)</f>
        <v>10.494300000000001</v>
      </c>
      <c r="E651" s="64">
        <f>12.1627 * CHOOSE(CONTROL!$C$22, $C$13, 100%, $E$13)</f>
        <v>12.162699999999999</v>
      </c>
      <c r="F651" s="64">
        <f>12.1627 * CHOOSE(CONTROL!$C$22, $C$13, 100%, $E$13)</f>
        <v>12.162699999999999</v>
      </c>
      <c r="G651" s="64">
        <f>12.1628 * CHOOSE(CONTROL!$C$22, $C$13, 100%, $E$13)</f>
        <v>12.162800000000001</v>
      </c>
      <c r="H651" s="64">
        <f>19.8571* CHOOSE(CONTROL!$C$22, $C$13, 100%, $E$13)</f>
        <v>19.857099999999999</v>
      </c>
      <c r="I651" s="64">
        <f>19.8572 * CHOOSE(CONTROL!$C$22, $C$13, 100%, $E$13)</f>
        <v>19.857199999999999</v>
      </c>
      <c r="J651" s="64">
        <f>12.1627 * CHOOSE(CONTROL!$C$22, $C$13, 100%, $E$13)</f>
        <v>12.162699999999999</v>
      </c>
      <c r="K651" s="64">
        <f>12.1628 * CHOOSE(CONTROL!$C$22, $C$13, 100%, $E$13)</f>
        <v>12.162800000000001</v>
      </c>
    </row>
    <row r="652" spans="1:11" ht="15">
      <c r="A652" s="13">
        <v>61332</v>
      </c>
      <c r="B652" s="63">
        <f>10.4943 * CHOOSE(CONTROL!$C$22, $C$13, 100%, $E$13)</f>
        <v>10.494300000000001</v>
      </c>
      <c r="C652" s="63">
        <f>10.4943 * CHOOSE(CONTROL!$C$22, $C$13, 100%, $E$13)</f>
        <v>10.494300000000001</v>
      </c>
      <c r="D652" s="63">
        <f>10.4943 * CHOOSE(CONTROL!$C$22, $C$13, 100%, $E$13)</f>
        <v>10.494300000000001</v>
      </c>
      <c r="E652" s="64">
        <f>12.0539 * CHOOSE(CONTROL!$C$22, $C$13, 100%, $E$13)</f>
        <v>12.053900000000001</v>
      </c>
      <c r="F652" s="64">
        <f>12.0539 * CHOOSE(CONTROL!$C$22, $C$13, 100%, $E$13)</f>
        <v>12.053900000000001</v>
      </c>
      <c r="G652" s="64">
        <f>12.054 * CHOOSE(CONTROL!$C$22, $C$13, 100%, $E$13)</f>
        <v>12.054</v>
      </c>
      <c r="H652" s="64">
        <f>19.8985* CHOOSE(CONTROL!$C$22, $C$13, 100%, $E$13)</f>
        <v>19.898499999999999</v>
      </c>
      <c r="I652" s="64">
        <f>19.8986 * CHOOSE(CONTROL!$C$22, $C$13, 100%, $E$13)</f>
        <v>19.898599999999998</v>
      </c>
      <c r="J652" s="64">
        <f>12.0539 * CHOOSE(CONTROL!$C$22, $C$13, 100%, $E$13)</f>
        <v>12.053900000000001</v>
      </c>
      <c r="K652" s="64">
        <f>12.054 * CHOOSE(CONTROL!$C$22, $C$13, 100%, $E$13)</f>
        <v>12.054</v>
      </c>
    </row>
    <row r="653" spans="1:11" ht="15">
      <c r="A653" s="13">
        <v>61363</v>
      </c>
      <c r="B653" s="63">
        <f>10.5452 * CHOOSE(CONTROL!$C$22, $C$13, 100%, $E$13)</f>
        <v>10.545199999999999</v>
      </c>
      <c r="C653" s="63">
        <f>10.5452 * CHOOSE(CONTROL!$C$22, $C$13, 100%, $E$13)</f>
        <v>10.545199999999999</v>
      </c>
      <c r="D653" s="63">
        <f>10.5452 * CHOOSE(CONTROL!$C$22, $C$13, 100%, $E$13)</f>
        <v>10.545199999999999</v>
      </c>
      <c r="E653" s="64">
        <f>12.1921 * CHOOSE(CONTROL!$C$22, $C$13, 100%, $E$13)</f>
        <v>12.1921</v>
      </c>
      <c r="F653" s="64">
        <f>12.1921 * CHOOSE(CONTROL!$C$22, $C$13, 100%, $E$13)</f>
        <v>12.1921</v>
      </c>
      <c r="G653" s="64">
        <f>12.1922 * CHOOSE(CONTROL!$C$22, $C$13, 100%, $E$13)</f>
        <v>12.1922</v>
      </c>
      <c r="H653" s="64">
        <f>19.8751* CHOOSE(CONTROL!$C$22, $C$13, 100%, $E$13)</f>
        <v>19.8751</v>
      </c>
      <c r="I653" s="64">
        <f>19.8752 * CHOOSE(CONTROL!$C$22, $C$13, 100%, $E$13)</f>
        <v>19.8752</v>
      </c>
      <c r="J653" s="64">
        <f>12.1921 * CHOOSE(CONTROL!$C$22, $C$13, 100%, $E$13)</f>
        <v>12.1921</v>
      </c>
      <c r="K653" s="64">
        <f>12.1922 * CHOOSE(CONTROL!$C$22, $C$13, 100%, $E$13)</f>
        <v>12.1922</v>
      </c>
    </row>
    <row r="654" spans="1:11" ht="15">
      <c r="A654" s="13">
        <v>61394</v>
      </c>
      <c r="B654" s="63">
        <f>10.5421 * CHOOSE(CONTROL!$C$22, $C$13, 100%, $E$13)</f>
        <v>10.5421</v>
      </c>
      <c r="C654" s="63">
        <f>10.5421 * CHOOSE(CONTROL!$C$22, $C$13, 100%, $E$13)</f>
        <v>10.5421</v>
      </c>
      <c r="D654" s="63">
        <f>10.5421 * CHOOSE(CONTROL!$C$22, $C$13, 100%, $E$13)</f>
        <v>10.5421</v>
      </c>
      <c r="E654" s="64">
        <f>11.9794 * CHOOSE(CONTROL!$C$22, $C$13, 100%, $E$13)</f>
        <v>11.9794</v>
      </c>
      <c r="F654" s="64">
        <f>11.9794 * CHOOSE(CONTROL!$C$22, $C$13, 100%, $E$13)</f>
        <v>11.9794</v>
      </c>
      <c r="G654" s="64">
        <f>11.9795 * CHOOSE(CONTROL!$C$22, $C$13, 100%, $E$13)</f>
        <v>11.9795</v>
      </c>
      <c r="H654" s="64">
        <f>19.9166* CHOOSE(CONTROL!$C$22, $C$13, 100%, $E$13)</f>
        <v>19.916599999999999</v>
      </c>
      <c r="I654" s="64">
        <f>19.9166 * CHOOSE(CONTROL!$C$22, $C$13, 100%, $E$13)</f>
        <v>19.916599999999999</v>
      </c>
      <c r="J654" s="64">
        <f>11.9794 * CHOOSE(CONTROL!$C$22, $C$13, 100%, $E$13)</f>
        <v>11.9794</v>
      </c>
      <c r="K654" s="64">
        <f>11.9795 * CHOOSE(CONTROL!$C$22, $C$13, 100%, $E$13)</f>
        <v>11.9795</v>
      </c>
    </row>
    <row r="655" spans="1:11" ht="15">
      <c r="A655" s="13">
        <v>61423</v>
      </c>
      <c r="B655" s="63">
        <f>10.5391 * CHOOSE(CONTROL!$C$22, $C$13, 100%, $E$13)</f>
        <v>10.539099999999999</v>
      </c>
      <c r="C655" s="63">
        <f>10.5391 * CHOOSE(CONTROL!$C$22, $C$13, 100%, $E$13)</f>
        <v>10.539099999999999</v>
      </c>
      <c r="D655" s="63">
        <f>10.5391 * CHOOSE(CONTROL!$C$22, $C$13, 100%, $E$13)</f>
        <v>10.539099999999999</v>
      </c>
      <c r="E655" s="64">
        <f>12.1433 * CHOOSE(CONTROL!$C$22, $C$13, 100%, $E$13)</f>
        <v>12.1433</v>
      </c>
      <c r="F655" s="64">
        <f>12.1433 * CHOOSE(CONTROL!$C$22, $C$13, 100%, $E$13)</f>
        <v>12.1433</v>
      </c>
      <c r="G655" s="64">
        <f>12.1434 * CHOOSE(CONTROL!$C$22, $C$13, 100%, $E$13)</f>
        <v>12.1434</v>
      </c>
      <c r="H655" s="64">
        <f>19.958* CHOOSE(CONTROL!$C$22, $C$13, 100%, $E$13)</f>
        <v>19.957999999999998</v>
      </c>
      <c r="I655" s="64">
        <f>19.9581 * CHOOSE(CONTROL!$C$22, $C$13, 100%, $E$13)</f>
        <v>19.958100000000002</v>
      </c>
      <c r="J655" s="64">
        <f>12.1433 * CHOOSE(CONTROL!$C$22, $C$13, 100%, $E$13)</f>
        <v>12.1433</v>
      </c>
      <c r="K655" s="64">
        <f>12.1434 * CHOOSE(CONTROL!$C$22, $C$13, 100%, $E$13)</f>
        <v>12.1434</v>
      </c>
    </row>
    <row r="656" spans="1:11" ht="15">
      <c r="A656" s="13">
        <v>61454</v>
      </c>
      <c r="B656" s="63">
        <f>10.5423 * CHOOSE(CONTROL!$C$22, $C$13, 100%, $E$13)</f>
        <v>10.542299999999999</v>
      </c>
      <c r="C656" s="63">
        <f>10.5423 * CHOOSE(CONTROL!$C$22, $C$13, 100%, $E$13)</f>
        <v>10.542299999999999</v>
      </c>
      <c r="D656" s="63">
        <f>10.5423 * CHOOSE(CONTROL!$C$22, $C$13, 100%, $E$13)</f>
        <v>10.542299999999999</v>
      </c>
      <c r="E656" s="64">
        <f>12.3173 * CHOOSE(CONTROL!$C$22, $C$13, 100%, $E$13)</f>
        <v>12.317299999999999</v>
      </c>
      <c r="F656" s="64">
        <f>12.3173 * CHOOSE(CONTROL!$C$22, $C$13, 100%, $E$13)</f>
        <v>12.317299999999999</v>
      </c>
      <c r="G656" s="64">
        <f>12.3174 * CHOOSE(CONTROL!$C$22, $C$13, 100%, $E$13)</f>
        <v>12.317399999999999</v>
      </c>
      <c r="H656" s="64">
        <f>19.9996* CHOOSE(CONTROL!$C$22, $C$13, 100%, $E$13)</f>
        <v>19.999600000000001</v>
      </c>
      <c r="I656" s="64">
        <f>19.9997 * CHOOSE(CONTROL!$C$22, $C$13, 100%, $E$13)</f>
        <v>19.999700000000001</v>
      </c>
      <c r="J656" s="64">
        <f>12.3173 * CHOOSE(CONTROL!$C$22, $C$13, 100%, $E$13)</f>
        <v>12.317299999999999</v>
      </c>
      <c r="K656" s="64">
        <f>12.3174 * CHOOSE(CONTROL!$C$22, $C$13, 100%, $E$13)</f>
        <v>12.317399999999999</v>
      </c>
    </row>
    <row r="657" spans="1:11" ht="15">
      <c r="A657" s="13">
        <v>61484</v>
      </c>
      <c r="B657" s="63">
        <f>10.5423 * CHOOSE(CONTROL!$C$22, $C$13, 100%, $E$13)</f>
        <v>10.542299999999999</v>
      </c>
      <c r="C657" s="63">
        <f>10.5423 * CHOOSE(CONTROL!$C$22, $C$13, 100%, $E$13)</f>
        <v>10.542299999999999</v>
      </c>
      <c r="D657" s="63">
        <f>10.5552 * CHOOSE(CONTROL!$C$22, $C$13, 100%, $E$13)</f>
        <v>10.555199999999999</v>
      </c>
      <c r="E657" s="64">
        <f>12.3841 * CHOOSE(CONTROL!$C$22, $C$13, 100%, $E$13)</f>
        <v>12.3841</v>
      </c>
      <c r="F657" s="64">
        <f>12.3841 * CHOOSE(CONTROL!$C$22, $C$13, 100%, $E$13)</f>
        <v>12.3841</v>
      </c>
      <c r="G657" s="64">
        <f>12.3998 * CHOOSE(CONTROL!$C$22, $C$13, 100%, $E$13)</f>
        <v>12.399800000000001</v>
      </c>
      <c r="H657" s="64">
        <f>20.0413* CHOOSE(CONTROL!$C$22, $C$13, 100%, $E$13)</f>
        <v>20.0413</v>
      </c>
      <c r="I657" s="64">
        <f>20.057 * CHOOSE(CONTROL!$C$22, $C$13, 100%, $E$13)</f>
        <v>20.056999999999999</v>
      </c>
      <c r="J657" s="64">
        <f>12.3841 * CHOOSE(CONTROL!$C$22, $C$13, 100%, $E$13)</f>
        <v>12.3841</v>
      </c>
      <c r="K657" s="64">
        <f>12.3998 * CHOOSE(CONTROL!$C$22, $C$13, 100%, $E$13)</f>
        <v>12.399800000000001</v>
      </c>
    </row>
    <row r="658" spans="1:11" ht="15">
      <c r="A658" s="13">
        <v>61515</v>
      </c>
      <c r="B658" s="63">
        <f>10.5483 * CHOOSE(CONTROL!$C$22, $C$13, 100%, $E$13)</f>
        <v>10.548299999999999</v>
      </c>
      <c r="C658" s="63">
        <f>10.5483 * CHOOSE(CONTROL!$C$22, $C$13, 100%, $E$13)</f>
        <v>10.548299999999999</v>
      </c>
      <c r="D658" s="63">
        <f>10.5613 * CHOOSE(CONTROL!$C$22, $C$13, 100%, $E$13)</f>
        <v>10.561299999999999</v>
      </c>
      <c r="E658" s="64">
        <f>12.3215 * CHOOSE(CONTROL!$C$22, $C$13, 100%, $E$13)</f>
        <v>12.3215</v>
      </c>
      <c r="F658" s="64">
        <f>12.3215 * CHOOSE(CONTROL!$C$22, $C$13, 100%, $E$13)</f>
        <v>12.3215</v>
      </c>
      <c r="G658" s="64">
        <f>12.3372 * CHOOSE(CONTROL!$C$22, $C$13, 100%, $E$13)</f>
        <v>12.337199999999999</v>
      </c>
      <c r="H658" s="64">
        <f>20.083* CHOOSE(CONTROL!$C$22, $C$13, 100%, $E$13)</f>
        <v>20.082999999999998</v>
      </c>
      <c r="I658" s="64">
        <f>20.0987 * CHOOSE(CONTROL!$C$22, $C$13, 100%, $E$13)</f>
        <v>20.098700000000001</v>
      </c>
      <c r="J658" s="64">
        <f>12.3215 * CHOOSE(CONTROL!$C$22, $C$13, 100%, $E$13)</f>
        <v>12.3215</v>
      </c>
      <c r="K658" s="64">
        <f>12.3372 * CHOOSE(CONTROL!$C$22, $C$13, 100%, $E$13)</f>
        <v>12.337199999999999</v>
      </c>
    </row>
    <row r="659" spans="1:11" ht="15">
      <c r="A659" s="13">
        <v>61545</v>
      </c>
      <c r="B659" s="63">
        <f>10.7107 * CHOOSE(CONTROL!$C$22, $C$13, 100%, $E$13)</f>
        <v>10.710699999999999</v>
      </c>
      <c r="C659" s="63">
        <f>10.7107 * CHOOSE(CONTROL!$C$22, $C$13, 100%, $E$13)</f>
        <v>10.710699999999999</v>
      </c>
      <c r="D659" s="63">
        <f>10.7237 * CHOOSE(CONTROL!$C$22, $C$13, 100%, $E$13)</f>
        <v>10.723699999999999</v>
      </c>
      <c r="E659" s="64">
        <f>12.5203 * CHOOSE(CONTROL!$C$22, $C$13, 100%, $E$13)</f>
        <v>12.520300000000001</v>
      </c>
      <c r="F659" s="64">
        <f>12.5203 * CHOOSE(CONTROL!$C$22, $C$13, 100%, $E$13)</f>
        <v>12.520300000000001</v>
      </c>
      <c r="G659" s="64">
        <f>12.536 * CHOOSE(CONTROL!$C$22, $C$13, 100%, $E$13)</f>
        <v>12.536</v>
      </c>
      <c r="H659" s="64">
        <f>20.1249* CHOOSE(CONTROL!$C$22, $C$13, 100%, $E$13)</f>
        <v>20.1249</v>
      </c>
      <c r="I659" s="64">
        <f>20.1406 * CHOOSE(CONTROL!$C$22, $C$13, 100%, $E$13)</f>
        <v>20.140599999999999</v>
      </c>
      <c r="J659" s="64">
        <f>12.5203 * CHOOSE(CONTROL!$C$22, $C$13, 100%, $E$13)</f>
        <v>12.520300000000001</v>
      </c>
      <c r="K659" s="64">
        <f>12.536 * CHOOSE(CONTROL!$C$22, $C$13, 100%, $E$13)</f>
        <v>12.536</v>
      </c>
    </row>
    <row r="660" spans="1:11" ht="15">
      <c r="A660" s="13">
        <v>61576</v>
      </c>
      <c r="B660" s="63">
        <f>10.7174 * CHOOSE(CONTROL!$C$22, $C$13, 100%, $E$13)</f>
        <v>10.7174</v>
      </c>
      <c r="C660" s="63">
        <f>10.7174 * CHOOSE(CONTROL!$C$22, $C$13, 100%, $E$13)</f>
        <v>10.7174</v>
      </c>
      <c r="D660" s="63">
        <f>10.7304 * CHOOSE(CONTROL!$C$22, $C$13, 100%, $E$13)</f>
        <v>10.730399999999999</v>
      </c>
      <c r="E660" s="64">
        <f>12.3244 * CHOOSE(CONTROL!$C$22, $C$13, 100%, $E$13)</f>
        <v>12.324400000000001</v>
      </c>
      <c r="F660" s="64">
        <f>12.3244 * CHOOSE(CONTROL!$C$22, $C$13, 100%, $E$13)</f>
        <v>12.324400000000001</v>
      </c>
      <c r="G660" s="64">
        <f>12.3401 * CHOOSE(CONTROL!$C$22, $C$13, 100%, $E$13)</f>
        <v>12.3401</v>
      </c>
      <c r="H660" s="64">
        <f>20.1668* CHOOSE(CONTROL!$C$22, $C$13, 100%, $E$13)</f>
        <v>20.166799999999999</v>
      </c>
      <c r="I660" s="64">
        <f>20.1825 * CHOOSE(CONTROL!$C$22, $C$13, 100%, $E$13)</f>
        <v>20.182500000000001</v>
      </c>
      <c r="J660" s="64">
        <f>12.3244 * CHOOSE(CONTROL!$C$22, $C$13, 100%, $E$13)</f>
        <v>12.324400000000001</v>
      </c>
      <c r="K660" s="64">
        <f>12.3401 * CHOOSE(CONTROL!$C$22, $C$13, 100%, $E$13)</f>
        <v>12.3401</v>
      </c>
    </row>
    <row r="661" spans="1:11" ht="15">
      <c r="A661" s="13">
        <v>61607</v>
      </c>
      <c r="B661" s="63">
        <f>10.7144 * CHOOSE(CONTROL!$C$22, $C$13, 100%, $E$13)</f>
        <v>10.714399999999999</v>
      </c>
      <c r="C661" s="63">
        <f>10.7144 * CHOOSE(CONTROL!$C$22, $C$13, 100%, $E$13)</f>
        <v>10.714399999999999</v>
      </c>
      <c r="D661" s="63">
        <f>10.7274 * CHOOSE(CONTROL!$C$22, $C$13, 100%, $E$13)</f>
        <v>10.727399999999999</v>
      </c>
      <c r="E661" s="64">
        <f>12.3 * CHOOSE(CONTROL!$C$22, $C$13, 100%, $E$13)</f>
        <v>12.3</v>
      </c>
      <c r="F661" s="64">
        <f>12.3 * CHOOSE(CONTROL!$C$22, $C$13, 100%, $E$13)</f>
        <v>12.3</v>
      </c>
      <c r="G661" s="64">
        <f>12.3157 * CHOOSE(CONTROL!$C$22, $C$13, 100%, $E$13)</f>
        <v>12.3157</v>
      </c>
      <c r="H661" s="64">
        <f>20.2088* CHOOSE(CONTROL!$C$22, $C$13, 100%, $E$13)</f>
        <v>20.2088</v>
      </c>
      <c r="I661" s="64">
        <f>20.2245 * CHOOSE(CONTROL!$C$22, $C$13, 100%, $E$13)</f>
        <v>20.224499999999999</v>
      </c>
      <c r="J661" s="64">
        <f>12.3 * CHOOSE(CONTROL!$C$22, $C$13, 100%, $E$13)</f>
        <v>12.3</v>
      </c>
      <c r="K661" s="64">
        <f>12.3157 * CHOOSE(CONTROL!$C$22, $C$13, 100%, $E$13)</f>
        <v>12.3157</v>
      </c>
    </row>
    <row r="662" spans="1:11" ht="15">
      <c r="A662" s="13">
        <v>61637</v>
      </c>
      <c r="B662" s="63">
        <f>10.7312 * CHOOSE(CONTROL!$C$22, $C$13, 100%, $E$13)</f>
        <v>10.731199999999999</v>
      </c>
      <c r="C662" s="63">
        <f>10.7312 * CHOOSE(CONTROL!$C$22, $C$13, 100%, $E$13)</f>
        <v>10.731199999999999</v>
      </c>
      <c r="D662" s="63">
        <f>10.7312 * CHOOSE(CONTROL!$C$22, $C$13, 100%, $E$13)</f>
        <v>10.731199999999999</v>
      </c>
      <c r="E662" s="64">
        <f>12.3757 * CHOOSE(CONTROL!$C$22, $C$13, 100%, $E$13)</f>
        <v>12.3757</v>
      </c>
      <c r="F662" s="64">
        <f>12.3757 * CHOOSE(CONTROL!$C$22, $C$13, 100%, $E$13)</f>
        <v>12.3757</v>
      </c>
      <c r="G662" s="64">
        <f>12.3758 * CHOOSE(CONTROL!$C$22, $C$13, 100%, $E$13)</f>
        <v>12.3758</v>
      </c>
      <c r="H662" s="64">
        <f>20.2509* CHOOSE(CONTROL!$C$22, $C$13, 100%, $E$13)</f>
        <v>20.250900000000001</v>
      </c>
      <c r="I662" s="64">
        <f>20.251 * CHOOSE(CONTROL!$C$22, $C$13, 100%, $E$13)</f>
        <v>20.251000000000001</v>
      </c>
      <c r="J662" s="64">
        <f>12.3757 * CHOOSE(CONTROL!$C$22, $C$13, 100%, $E$13)</f>
        <v>12.3757</v>
      </c>
      <c r="K662" s="64">
        <f>12.3758 * CHOOSE(CONTROL!$C$22, $C$13, 100%, $E$13)</f>
        <v>12.3758</v>
      </c>
    </row>
    <row r="663" spans="1:11" ht="15">
      <c r="A663" s="13">
        <v>61668</v>
      </c>
      <c r="B663" s="63">
        <f>10.7342 * CHOOSE(CONTROL!$C$22, $C$13, 100%, $E$13)</f>
        <v>10.7342</v>
      </c>
      <c r="C663" s="63">
        <f>10.7342 * CHOOSE(CONTROL!$C$22, $C$13, 100%, $E$13)</f>
        <v>10.7342</v>
      </c>
      <c r="D663" s="63">
        <f>10.7342 * CHOOSE(CONTROL!$C$22, $C$13, 100%, $E$13)</f>
        <v>10.7342</v>
      </c>
      <c r="E663" s="64">
        <f>12.4224 * CHOOSE(CONTROL!$C$22, $C$13, 100%, $E$13)</f>
        <v>12.4224</v>
      </c>
      <c r="F663" s="64">
        <f>12.4224 * CHOOSE(CONTROL!$C$22, $C$13, 100%, $E$13)</f>
        <v>12.4224</v>
      </c>
      <c r="G663" s="64">
        <f>12.4225 * CHOOSE(CONTROL!$C$22, $C$13, 100%, $E$13)</f>
        <v>12.422499999999999</v>
      </c>
      <c r="H663" s="64">
        <f>20.2931* CHOOSE(CONTROL!$C$22, $C$13, 100%, $E$13)</f>
        <v>20.293099999999999</v>
      </c>
      <c r="I663" s="64">
        <f>20.2932 * CHOOSE(CONTROL!$C$22, $C$13, 100%, $E$13)</f>
        <v>20.293199999999999</v>
      </c>
      <c r="J663" s="64">
        <f>12.4224 * CHOOSE(CONTROL!$C$22, $C$13, 100%, $E$13)</f>
        <v>12.4224</v>
      </c>
      <c r="K663" s="64">
        <f>12.4225 * CHOOSE(CONTROL!$C$22, $C$13, 100%, $E$13)</f>
        <v>12.422499999999999</v>
      </c>
    </row>
    <row r="664" spans="1:11" ht="15">
      <c r="A664" s="13">
        <v>61698</v>
      </c>
      <c r="B664" s="63">
        <f>10.7342 * CHOOSE(CONTROL!$C$22, $C$13, 100%, $E$13)</f>
        <v>10.7342</v>
      </c>
      <c r="C664" s="63">
        <f>10.7342 * CHOOSE(CONTROL!$C$22, $C$13, 100%, $E$13)</f>
        <v>10.7342</v>
      </c>
      <c r="D664" s="63">
        <f>10.7342 * CHOOSE(CONTROL!$C$22, $C$13, 100%, $E$13)</f>
        <v>10.7342</v>
      </c>
      <c r="E664" s="64">
        <f>12.311 * CHOOSE(CONTROL!$C$22, $C$13, 100%, $E$13)</f>
        <v>12.311</v>
      </c>
      <c r="F664" s="64">
        <f>12.311 * CHOOSE(CONTROL!$C$22, $C$13, 100%, $E$13)</f>
        <v>12.311</v>
      </c>
      <c r="G664" s="64">
        <f>12.3111 * CHOOSE(CONTROL!$C$22, $C$13, 100%, $E$13)</f>
        <v>12.3111</v>
      </c>
      <c r="H664" s="64">
        <f>20.3354* CHOOSE(CONTROL!$C$22, $C$13, 100%, $E$13)</f>
        <v>20.3354</v>
      </c>
      <c r="I664" s="64">
        <f>20.3355 * CHOOSE(CONTROL!$C$22, $C$13, 100%, $E$13)</f>
        <v>20.3355</v>
      </c>
      <c r="J664" s="64">
        <f>12.311 * CHOOSE(CONTROL!$C$22, $C$13, 100%, $E$13)</f>
        <v>12.311</v>
      </c>
      <c r="K664" s="64">
        <f>12.3111 * CHOOSE(CONTROL!$C$22, $C$13, 100%, $E$13)</f>
        <v>12.3111</v>
      </c>
    </row>
    <row r="665" spans="1:11" ht="15">
      <c r="A665" s="13">
        <v>61729</v>
      </c>
      <c r="B665" s="63">
        <f>10.7807 * CHOOSE(CONTROL!$C$22, $C$13, 100%, $E$13)</f>
        <v>10.7807</v>
      </c>
      <c r="C665" s="63">
        <f>10.7807 * CHOOSE(CONTROL!$C$22, $C$13, 100%, $E$13)</f>
        <v>10.7807</v>
      </c>
      <c r="D665" s="63">
        <f>10.7808 * CHOOSE(CONTROL!$C$22, $C$13, 100%, $E$13)</f>
        <v>10.780799999999999</v>
      </c>
      <c r="E665" s="64">
        <f>12.4468 * CHOOSE(CONTROL!$C$22, $C$13, 100%, $E$13)</f>
        <v>12.4468</v>
      </c>
      <c r="F665" s="64">
        <f>12.4468 * CHOOSE(CONTROL!$C$22, $C$13, 100%, $E$13)</f>
        <v>12.4468</v>
      </c>
      <c r="G665" s="64">
        <f>12.4469 * CHOOSE(CONTROL!$C$22, $C$13, 100%, $E$13)</f>
        <v>12.446899999999999</v>
      </c>
      <c r="H665" s="64">
        <f>20.3022* CHOOSE(CONTROL!$C$22, $C$13, 100%, $E$13)</f>
        <v>20.302199999999999</v>
      </c>
      <c r="I665" s="64">
        <f>20.3023 * CHOOSE(CONTROL!$C$22, $C$13, 100%, $E$13)</f>
        <v>20.302299999999999</v>
      </c>
      <c r="J665" s="64">
        <f>12.4468 * CHOOSE(CONTROL!$C$22, $C$13, 100%, $E$13)</f>
        <v>12.4468</v>
      </c>
      <c r="K665" s="64">
        <f>12.4469 * CHOOSE(CONTROL!$C$22, $C$13, 100%, $E$13)</f>
        <v>12.446899999999999</v>
      </c>
    </row>
    <row r="666" spans="1:11" ht="15">
      <c r="A666" s="13">
        <v>61760</v>
      </c>
      <c r="B666" s="63">
        <f>10.7777 * CHOOSE(CONTROL!$C$22, $C$13, 100%, $E$13)</f>
        <v>10.777699999999999</v>
      </c>
      <c r="C666" s="63">
        <f>10.7777 * CHOOSE(CONTROL!$C$22, $C$13, 100%, $E$13)</f>
        <v>10.777699999999999</v>
      </c>
      <c r="D666" s="63">
        <f>10.7777 * CHOOSE(CONTROL!$C$22, $C$13, 100%, $E$13)</f>
        <v>10.777699999999999</v>
      </c>
      <c r="E666" s="64">
        <f>12.2292 * CHOOSE(CONTROL!$C$22, $C$13, 100%, $E$13)</f>
        <v>12.229200000000001</v>
      </c>
      <c r="F666" s="64">
        <f>12.2292 * CHOOSE(CONTROL!$C$22, $C$13, 100%, $E$13)</f>
        <v>12.229200000000001</v>
      </c>
      <c r="G666" s="64">
        <f>12.2293 * CHOOSE(CONTROL!$C$22, $C$13, 100%, $E$13)</f>
        <v>12.2293</v>
      </c>
      <c r="H666" s="64">
        <f>20.3445* CHOOSE(CONTROL!$C$22, $C$13, 100%, $E$13)</f>
        <v>20.3445</v>
      </c>
      <c r="I666" s="64">
        <f>20.3445 * CHOOSE(CONTROL!$C$22, $C$13, 100%, $E$13)</f>
        <v>20.3445</v>
      </c>
      <c r="J666" s="64">
        <f>12.2292 * CHOOSE(CONTROL!$C$22, $C$13, 100%, $E$13)</f>
        <v>12.229200000000001</v>
      </c>
      <c r="K666" s="64">
        <f>12.2293 * CHOOSE(CONTROL!$C$22, $C$13, 100%, $E$13)</f>
        <v>12.2293</v>
      </c>
    </row>
    <row r="667" spans="1:11" ht="15">
      <c r="A667" s="13">
        <v>61788</v>
      </c>
      <c r="B667" s="63">
        <f>10.7747 * CHOOSE(CONTROL!$C$22, $C$13, 100%, $E$13)</f>
        <v>10.774699999999999</v>
      </c>
      <c r="C667" s="63">
        <f>10.7747 * CHOOSE(CONTROL!$C$22, $C$13, 100%, $E$13)</f>
        <v>10.774699999999999</v>
      </c>
      <c r="D667" s="63">
        <f>10.7747 * CHOOSE(CONTROL!$C$22, $C$13, 100%, $E$13)</f>
        <v>10.774699999999999</v>
      </c>
      <c r="E667" s="64">
        <f>12.397 * CHOOSE(CONTROL!$C$22, $C$13, 100%, $E$13)</f>
        <v>12.397</v>
      </c>
      <c r="F667" s="64">
        <f>12.397 * CHOOSE(CONTROL!$C$22, $C$13, 100%, $E$13)</f>
        <v>12.397</v>
      </c>
      <c r="G667" s="64">
        <f>12.3971 * CHOOSE(CONTROL!$C$22, $C$13, 100%, $E$13)</f>
        <v>12.3971</v>
      </c>
      <c r="H667" s="64">
        <f>20.3869* CHOOSE(CONTROL!$C$22, $C$13, 100%, $E$13)</f>
        <v>20.386900000000001</v>
      </c>
      <c r="I667" s="64">
        <f>20.3869 * CHOOSE(CONTROL!$C$22, $C$13, 100%, $E$13)</f>
        <v>20.386900000000001</v>
      </c>
      <c r="J667" s="64">
        <f>12.397 * CHOOSE(CONTROL!$C$22, $C$13, 100%, $E$13)</f>
        <v>12.397</v>
      </c>
      <c r="K667" s="64">
        <f>12.3971 * CHOOSE(CONTROL!$C$22, $C$13, 100%, $E$13)</f>
        <v>12.3971</v>
      </c>
    </row>
    <row r="668" spans="1:11" ht="15">
      <c r="A668" s="13">
        <v>61819</v>
      </c>
      <c r="B668" s="63">
        <f>10.778 * CHOOSE(CONTROL!$C$22, $C$13, 100%, $E$13)</f>
        <v>10.778</v>
      </c>
      <c r="C668" s="63">
        <f>10.778 * CHOOSE(CONTROL!$C$22, $C$13, 100%, $E$13)</f>
        <v>10.778</v>
      </c>
      <c r="D668" s="63">
        <f>10.778 * CHOOSE(CONTROL!$C$22, $C$13, 100%, $E$13)</f>
        <v>10.778</v>
      </c>
      <c r="E668" s="64">
        <f>12.5752 * CHOOSE(CONTROL!$C$22, $C$13, 100%, $E$13)</f>
        <v>12.575200000000001</v>
      </c>
      <c r="F668" s="64">
        <f>12.5752 * CHOOSE(CONTROL!$C$22, $C$13, 100%, $E$13)</f>
        <v>12.575200000000001</v>
      </c>
      <c r="G668" s="64">
        <f>12.5752 * CHOOSE(CONTROL!$C$22, $C$13, 100%, $E$13)</f>
        <v>12.575200000000001</v>
      </c>
      <c r="H668" s="64">
        <f>20.4293* CHOOSE(CONTROL!$C$22, $C$13, 100%, $E$13)</f>
        <v>20.429300000000001</v>
      </c>
      <c r="I668" s="64">
        <f>20.4294 * CHOOSE(CONTROL!$C$22, $C$13, 100%, $E$13)</f>
        <v>20.429400000000001</v>
      </c>
      <c r="J668" s="64">
        <f>12.5752 * CHOOSE(CONTROL!$C$22, $C$13, 100%, $E$13)</f>
        <v>12.575200000000001</v>
      </c>
      <c r="K668" s="64">
        <f>12.5752 * CHOOSE(CONTROL!$C$22, $C$13, 100%, $E$13)</f>
        <v>12.575200000000001</v>
      </c>
    </row>
    <row r="669" spans="1:11" ht="15">
      <c r="A669" s="13">
        <v>61849</v>
      </c>
      <c r="B669" s="63">
        <f>10.778 * CHOOSE(CONTROL!$C$22, $C$13, 100%, $E$13)</f>
        <v>10.778</v>
      </c>
      <c r="C669" s="63">
        <f>10.778 * CHOOSE(CONTROL!$C$22, $C$13, 100%, $E$13)</f>
        <v>10.778</v>
      </c>
      <c r="D669" s="63">
        <f>10.791 * CHOOSE(CONTROL!$C$22, $C$13, 100%, $E$13)</f>
        <v>10.791</v>
      </c>
      <c r="E669" s="64">
        <f>12.6436 * CHOOSE(CONTROL!$C$22, $C$13, 100%, $E$13)</f>
        <v>12.643599999999999</v>
      </c>
      <c r="F669" s="64">
        <f>12.6436 * CHOOSE(CONTROL!$C$22, $C$13, 100%, $E$13)</f>
        <v>12.643599999999999</v>
      </c>
      <c r="G669" s="64">
        <f>12.6592 * CHOOSE(CONTROL!$C$22, $C$13, 100%, $E$13)</f>
        <v>12.6592</v>
      </c>
      <c r="H669" s="64">
        <f>20.4719* CHOOSE(CONTROL!$C$22, $C$13, 100%, $E$13)</f>
        <v>20.471900000000002</v>
      </c>
      <c r="I669" s="64">
        <f>20.4876 * CHOOSE(CONTROL!$C$22, $C$13, 100%, $E$13)</f>
        <v>20.4876</v>
      </c>
      <c r="J669" s="64">
        <f>12.6436 * CHOOSE(CONTROL!$C$22, $C$13, 100%, $E$13)</f>
        <v>12.643599999999999</v>
      </c>
      <c r="K669" s="64">
        <f>12.6592 * CHOOSE(CONTROL!$C$22, $C$13, 100%, $E$13)</f>
        <v>12.6592</v>
      </c>
    </row>
    <row r="670" spans="1:11" ht="15">
      <c r="A670" s="13">
        <v>61880</v>
      </c>
      <c r="B670" s="63">
        <f>10.7841 * CHOOSE(CONTROL!$C$22, $C$13, 100%, $E$13)</f>
        <v>10.7841</v>
      </c>
      <c r="C670" s="63">
        <f>10.7841 * CHOOSE(CONTROL!$C$22, $C$13, 100%, $E$13)</f>
        <v>10.7841</v>
      </c>
      <c r="D670" s="63">
        <f>10.7971 * CHOOSE(CONTROL!$C$22, $C$13, 100%, $E$13)</f>
        <v>10.7971</v>
      </c>
      <c r="E670" s="64">
        <f>12.5794 * CHOOSE(CONTROL!$C$22, $C$13, 100%, $E$13)</f>
        <v>12.5794</v>
      </c>
      <c r="F670" s="64">
        <f>12.5794 * CHOOSE(CONTROL!$C$22, $C$13, 100%, $E$13)</f>
        <v>12.5794</v>
      </c>
      <c r="G670" s="64">
        <f>12.5951 * CHOOSE(CONTROL!$C$22, $C$13, 100%, $E$13)</f>
        <v>12.5951</v>
      </c>
      <c r="H670" s="64">
        <f>20.5145* CHOOSE(CONTROL!$C$22, $C$13, 100%, $E$13)</f>
        <v>20.514500000000002</v>
      </c>
      <c r="I670" s="64">
        <f>20.5302 * CHOOSE(CONTROL!$C$22, $C$13, 100%, $E$13)</f>
        <v>20.530200000000001</v>
      </c>
      <c r="J670" s="64">
        <f>12.5794 * CHOOSE(CONTROL!$C$22, $C$13, 100%, $E$13)</f>
        <v>12.5794</v>
      </c>
      <c r="K670" s="64">
        <f>12.5951 * CHOOSE(CONTROL!$C$22, $C$13, 100%, $E$13)</f>
        <v>12.5951</v>
      </c>
    </row>
    <row r="671" spans="1:11" ht="15">
      <c r="A671" s="13">
        <v>61910</v>
      </c>
      <c r="B671" s="63">
        <f>10.9499 * CHOOSE(CONTROL!$C$22, $C$13, 100%, $E$13)</f>
        <v>10.9499</v>
      </c>
      <c r="C671" s="63">
        <f>10.9499 * CHOOSE(CONTROL!$C$22, $C$13, 100%, $E$13)</f>
        <v>10.9499</v>
      </c>
      <c r="D671" s="63">
        <f>10.9629 * CHOOSE(CONTROL!$C$22, $C$13, 100%, $E$13)</f>
        <v>10.962899999999999</v>
      </c>
      <c r="E671" s="64">
        <f>12.7821 * CHOOSE(CONTROL!$C$22, $C$13, 100%, $E$13)</f>
        <v>12.7821</v>
      </c>
      <c r="F671" s="64">
        <f>12.7821 * CHOOSE(CONTROL!$C$22, $C$13, 100%, $E$13)</f>
        <v>12.7821</v>
      </c>
      <c r="G671" s="64">
        <f>12.7977 * CHOOSE(CONTROL!$C$22, $C$13, 100%, $E$13)</f>
        <v>12.797700000000001</v>
      </c>
      <c r="H671" s="64">
        <f>20.5573* CHOOSE(CONTROL!$C$22, $C$13, 100%, $E$13)</f>
        <v>20.557300000000001</v>
      </c>
      <c r="I671" s="64">
        <f>20.573 * CHOOSE(CONTROL!$C$22, $C$13, 100%, $E$13)</f>
        <v>20.573</v>
      </c>
      <c r="J671" s="64">
        <f>12.7821 * CHOOSE(CONTROL!$C$22, $C$13, 100%, $E$13)</f>
        <v>12.7821</v>
      </c>
      <c r="K671" s="64">
        <f>12.7977 * CHOOSE(CONTROL!$C$22, $C$13, 100%, $E$13)</f>
        <v>12.797700000000001</v>
      </c>
    </row>
    <row r="672" spans="1:11" ht="15">
      <c r="A672" s="13">
        <v>61941</v>
      </c>
      <c r="B672" s="63">
        <f>10.9566 * CHOOSE(CONTROL!$C$22, $C$13, 100%, $E$13)</f>
        <v>10.9566</v>
      </c>
      <c r="C672" s="63">
        <f>10.9566 * CHOOSE(CONTROL!$C$22, $C$13, 100%, $E$13)</f>
        <v>10.9566</v>
      </c>
      <c r="D672" s="63">
        <f>10.9696 * CHOOSE(CONTROL!$C$22, $C$13, 100%, $E$13)</f>
        <v>10.9696</v>
      </c>
      <c r="E672" s="64">
        <f>12.5815 * CHOOSE(CONTROL!$C$22, $C$13, 100%, $E$13)</f>
        <v>12.5815</v>
      </c>
      <c r="F672" s="64">
        <f>12.5815 * CHOOSE(CONTROL!$C$22, $C$13, 100%, $E$13)</f>
        <v>12.5815</v>
      </c>
      <c r="G672" s="64">
        <f>12.5972 * CHOOSE(CONTROL!$C$22, $C$13, 100%, $E$13)</f>
        <v>12.597200000000001</v>
      </c>
      <c r="H672" s="64">
        <f>20.6001* CHOOSE(CONTROL!$C$22, $C$13, 100%, $E$13)</f>
        <v>20.600100000000001</v>
      </c>
      <c r="I672" s="64">
        <f>20.6158 * CHOOSE(CONTROL!$C$22, $C$13, 100%, $E$13)</f>
        <v>20.6158</v>
      </c>
      <c r="J672" s="64">
        <f>12.5815 * CHOOSE(CONTROL!$C$22, $C$13, 100%, $E$13)</f>
        <v>12.5815</v>
      </c>
      <c r="K672" s="64">
        <f>12.5972 * CHOOSE(CONTROL!$C$22, $C$13, 100%, $E$13)</f>
        <v>12.597200000000001</v>
      </c>
    </row>
    <row r="673" spans="1:11" ht="15">
      <c r="A673" s="13">
        <v>61972</v>
      </c>
      <c r="B673" s="63">
        <f>10.9536 * CHOOSE(CONTROL!$C$22, $C$13, 100%, $E$13)</f>
        <v>10.9536</v>
      </c>
      <c r="C673" s="63">
        <f>10.9536 * CHOOSE(CONTROL!$C$22, $C$13, 100%, $E$13)</f>
        <v>10.9536</v>
      </c>
      <c r="D673" s="63">
        <f>10.9665 * CHOOSE(CONTROL!$C$22, $C$13, 100%, $E$13)</f>
        <v>10.9665</v>
      </c>
      <c r="E673" s="64">
        <f>12.5566 * CHOOSE(CONTROL!$C$22, $C$13, 100%, $E$13)</f>
        <v>12.5566</v>
      </c>
      <c r="F673" s="64">
        <f>12.5566 * CHOOSE(CONTROL!$C$22, $C$13, 100%, $E$13)</f>
        <v>12.5566</v>
      </c>
      <c r="G673" s="64">
        <f>12.5723 * CHOOSE(CONTROL!$C$22, $C$13, 100%, $E$13)</f>
        <v>12.5723</v>
      </c>
      <c r="H673" s="64">
        <f>20.643* CHOOSE(CONTROL!$C$22, $C$13, 100%, $E$13)</f>
        <v>20.643000000000001</v>
      </c>
      <c r="I673" s="64">
        <f>20.6587 * CHOOSE(CONTROL!$C$22, $C$13, 100%, $E$13)</f>
        <v>20.6587</v>
      </c>
      <c r="J673" s="64">
        <f>12.5566 * CHOOSE(CONTROL!$C$22, $C$13, 100%, $E$13)</f>
        <v>12.5566</v>
      </c>
      <c r="K673" s="64">
        <f>12.5723 * CHOOSE(CONTROL!$C$22, $C$13, 100%, $E$13)</f>
        <v>12.5723</v>
      </c>
    </row>
    <row r="674" spans="1:11" ht="15">
      <c r="A674" s="13">
        <v>62002</v>
      </c>
      <c r="B674" s="63">
        <f>10.9711 * CHOOSE(CONTROL!$C$22, $C$13, 100%, $E$13)</f>
        <v>10.9711</v>
      </c>
      <c r="C674" s="63">
        <f>10.9711 * CHOOSE(CONTROL!$C$22, $C$13, 100%, $E$13)</f>
        <v>10.9711</v>
      </c>
      <c r="D674" s="63">
        <f>10.9711 * CHOOSE(CONTROL!$C$22, $C$13, 100%, $E$13)</f>
        <v>10.9711</v>
      </c>
      <c r="E674" s="64">
        <f>12.6344 * CHOOSE(CONTROL!$C$22, $C$13, 100%, $E$13)</f>
        <v>12.634399999999999</v>
      </c>
      <c r="F674" s="64">
        <f>12.6344 * CHOOSE(CONTROL!$C$22, $C$13, 100%, $E$13)</f>
        <v>12.634399999999999</v>
      </c>
      <c r="G674" s="64">
        <f>12.6345 * CHOOSE(CONTROL!$C$22, $C$13, 100%, $E$13)</f>
        <v>12.634499999999999</v>
      </c>
      <c r="H674" s="64">
        <f>20.686* CHOOSE(CONTROL!$C$22, $C$13, 100%, $E$13)</f>
        <v>20.686</v>
      </c>
      <c r="I674" s="64">
        <f>20.6861 * CHOOSE(CONTROL!$C$22, $C$13, 100%, $E$13)</f>
        <v>20.6861</v>
      </c>
      <c r="J674" s="64">
        <f>12.6344 * CHOOSE(CONTROL!$C$22, $C$13, 100%, $E$13)</f>
        <v>12.634399999999999</v>
      </c>
      <c r="K674" s="64">
        <f>12.6345 * CHOOSE(CONTROL!$C$22, $C$13, 100%, $E$13)</f>
        <v>12.634499999999999</v>
      </c>
    </row>
    <row r="675" spans="1:11" ht="15">
      <c r="A675" s="13">
        <v>62033</v>
      </c>
      <c r="B675" s="63">
        <f>10.9742 * CHOOSE(CONTROL!$C$22, $C$13, 100%, $E$13)</f>
        <v>10.9742</v>
      </c>
      <c r="C675" s="63">
        <f>10.9742 * CHOOSE(CONTROL!$C$22, $C$13, 100%, $E$13)</f>
        <v>10.9742</v>
      </c>
      <c r="D675" s="63">
        <f>10.9742 * CHOOSE(CONTROL!$C$22, $C$13, 100%, $E$13)</f>
        <v>10.9742</v>
      </c>
      <c r="E675" s="64">
        <f>12.6821 * CHOOSE(CONTROL!$C$22, $C$13, 100%, $E$13)</f>
        <v>12.6821</v>
      </c>
      <c r="F675" s="64">
        <f>12.6821 * CHOOSE(CONTROL!$C$22, $C$13, 100%, $E$13)</f>
        <v>12.6821</v>
      </c>
      <c r="G675" s="64">
        <f>12.6822 * CHOOSE(CONTROL!$C$22, $C$13, 100%, $E$13)</f>
        <v>12.6822</v>
      </c>
      <c r="H675" s="64">
        <f>20.7291* CHOOSE(CONTROL!$C$22, $C$13, 100%, $E$13)</f>
        <v>20.729099999999999</v>
      </c>
      <c r="I675" s="64">
        <f>20.7292 * CHOOSE(CONTROL!$C$22, $C$13, 100%, $E$13)</f>
        <v>20.729199999999999</v>
      </c>
      <c r="J675" s="64">
        <f>12.6821 * CHOOSE(CONTROL!$C$22, $C$13, 100%, $E$13)</f>
        <v>12.6821</v>
      </c>
      <c r="K675" s="64">
        <f>12.6822 * CHOOSE(CONTROL!$C$22, $C$13, 100%, $E$13)</f>
        <v>12.6822</v>
      </c>
    </row>
    <row r="676" spans="1:11" ht="15">
      <c r="A676" s="13">
        <v>62063</v>
      </c>
      <c r="B676" s="63">
        <f>10.9742 * CHOOSE(CONTROL!$C$22, $C$13, 100%, $E$13)</f>
        <v>10.9742</v>
      </c>
      <c r="C676" s="63">
        <f>10.9742 * CHOOSE(CONTROL!$C$22, $C$13, 100%, $E$13)</f>
        <v>10.9742</v>
      </c>
      <c r="D676" s="63">
        <f>10.9742 * CHOOSE(CONTROL!$C$22, $C$13, 100%, $E$13)</f>
        <v>10.9742</v>
      </c>
      <c r="E676" s="64">
        <f>12.5681 * CHOOSE(CONTROL!$C$22, $C$13, 100%, $E$13)</f>
        <v>12.568099999999999</v>
      </c>
      <c r="F676" s="64">
        <f>12.5681 * CHOOSE(CONTROL!$C$22, $C$13, 100%, $E$13)</f>
        <v>12.568099999999999</v>
      </c>
      <c r="G676" s="64">
        <f>12.5682 * CHOOSE(CONTROL!$C$22, $C$13, 100%, $E$13)</f>
        <v>12.568199999999999</v>
      </c>
      <c r="H676" s="64">
        <f>20.7723* CHOOSE(CONTROL!$C$22, $C$13, 100%, $E$13)</f>
        <v>20.772300000000001</v>
      </c>
      <c r="I676" s="64">
        <f>20.7724 * CHOOSE(CONTROL!$C$22, $C$13, 100%, $E$13)</f>
        <v>20.772400000000001</v>
      </c>
      <c r="J676" s="64">
        <f>12.5681 * CHOOSE(CONTROL!$C$22, $C$13, 100%, $E$13)</f>
        <v>12.568099999999999</v>
      </c>
      <c r="K676" s="64">
        <f>12.5682 * CHOOSE(CONTROL!$C$22, $C$13, 100%, $E$13)</f>
        <v>12.568199999999999</v>
      </c>
    </row>
    <row r="677" spans="1:11" ht="15">
      <c r="A677" s="13">
        <v>62094</v>
      </c>
      <c r="B677" s="63">
        <f>11.0163 * CHOOSE(CONTROL!$C$22, $C$13, 100%, $E$13)</f>
        <v>11.016299999999999</v>
      </c>
      <c r="C677" s="63">
        <f>11.0163 * CHOOSE(CONTROL!$C$22, $C$13, 100%, $E$13)</f>
        <v>11.016299999999999</v>
      </c>
      <c r="D677" s="63">
        <f>11.0163 * CHOOSE(CONTROL!$C$22, $C$13, 100%, $E$13)</f>
        <v>11.016299999999999</v>
      </c>
      <c r="E677" s="64">
        <f>12.7015 * CHOOSE(CONTROL!$C$22, $C$13, 100%, $E$13)</f>
        <v>12.701499999999999</v>
      </c>
      <c r="F677" s="64">
        <f>12.7015 * CHOOSE(CONTROL!$C$22, $C$13, 100%, $E$13)</f>
        <v>12.701499999999999</v>
      </c>
      <c r="G677" s="64">
        <f>12.7016 * CHOOSE(CONTROL!$C$22, $C$13, 100%, $E$13)</f>
        <v>12.701599999999999</v>
      </c>
      <c r="H677" s="64">
        <f>20.7292* CHOOSE(CONTROL!$C$22, $C$13, 100%, $E$13)</f>
        <v>20.729199999999999</v>
      </c>
      <c r="I677" s="64">
        <f>20.7293 * CHOOSE(CONTROL!$C$22, $C$13, 100%, $E$13)</f>
        <v>20.729299999999999</v>
      </c>
      <c r="J677" s="64">
        <f>12.7015 * CHOOSE(CONTROL!$C$22, $C$13, 100%, $E$13)</f>
        <v>12.701499999999999</v>
      </c>
      <c r="K677" s="64">
        <f>12.7016 * CHOOSE(CONTROL!$C$22, $C$13, 100%, $E$13)</f>
        <v>12.701599999999999</v>
      </c>
    </row>
    <row r="678" spans="1:11" ht="15">
      <c r="A678" s="13">
        <v>62125</v>
      </c>
      <c r="B678" s="63">
        <f>11.0133 * CHOOSE(CONTROL!$C$22, $C$13, 100%, $E$13)</f>
        <v>11.013299999999999</v>
      </c>
      <c r="C678" s="63">
        <f>11.0133 * CHOOSE(CONTROL!$C$22, $C$13, 100%, $E$13)</f>
        <v>11.013299999999999</v>
      </c>
      <c r="D678" s="63">
        <f>11.0133 * CHOOSE(CONTROL!$C$22, $C$13, 100%, $E$13)</f>
        <v>11.013299999999999</v>
      </c>
      <c r="E678" s="64">
        <f>12.479 * CHOOSE(CONTROL!$C$22, $C$13, 100%, $E$13)</f>
        <v>12.478999999999999</v>
      </c>
      <c r="F678" s="64">
        <f>12.479 * CHOOSE(CONTROL!$C$22, $C$13, 100%, $E$13)</f>
        <v>12.478999999999999</v>
      </c>
      <c r="G678" s="64">
        <f>12.4791 * CHOOSE(CONTROL!$C$22, $C$13, 100%, $E$13)</f>
        <v>12.479100000000001</v>
      </c>
      <c r="H678" s="64">
        <f>20.7724* CHOOSE(CONTROL!$C$22, $C$13, 100%, $E$13)</f>
        <v>20.772400000000001</v>
      </c>
      <c r="I678" s="64">
        <f>20.7725 * CHOOSE(CONTROL!$C$22, $C$13, 100%, $E$13)</f>
        <v>20.772500000000001</v>
      </c>
      <c r="J678" s="64">
        <f>12.479 * CHOOSE(CONTROL!$C$22, $C$13, 100%, $E$13)</f>
        <v>12.478999999999999</v>
      </c>
      <c r="K678" s="64">
        <f>12.4791 * CHOOSE(CONTROL!$C$22, $C$13, 100%, $E$13)</f>
        <v>12.479100000000001</v>
      </c>
    </row>
    <row r="679" spans="1:11" ht="15">
      <c r="A679" s="13">
        <v>62153</v>
      </c>
      <c r="B679" s="63">
        <f>11.0102 * CHOOSE(CONTROL!$C$22, $C$13, 100%, $E$13)</f>
        <v>11.010199999999999</v>
      </c>
      <c r="C679" s="63">
        <f>11.0102 * CHOOSE(CONTROL!$C$22, $C$13, 100%, $E$13)</f>
        <v>11.010199999999999</v>
      </c>
      <c r="D679" s="63">
        <f>11.0102 * CHOOSE(CONTROL!$C$22, $C$13, 100%, $E$13)</f>
        <v>11.010199999999999</v>
      </c>
      <c r="E679" s="64">
        <f>12.6507 * CHOOSE(CONTROL!$C$22, $C$13, 100%, $E$13)</f>
        <v>12.650700000000001</v>
      </c>
      <c r="F679" s="64">
        <f>12.6507 * CHOOSE(CONTROL!$C$22, $C$13, 100%, $E$13)</f>
        <v>12.650700000000001</v>
      </c>
      <c r="G679" s="64">
        <f>12.6507 * CHOOSE(CONTROL!$C$22, $C$13, 100%, $E$13)</f>
        <v>12.650700000000001</v>
      </c>
      <c r="H679" s="64">
        <f>20.8157* CHOOSE(CONTROL!$C$22, $C$13, 100%, $E$13)</f>
        <v>20.8157</v>
      </c>
      <c r="I679" s="64">
        <f>20.8157 * CHOOSE(CONTROL!$C$22, $C$13, 100%, $E$13)</f>
        <v>20.8157</v>
      </c>
      <c r="J679" s="64">
        <f>12.6507 * CHOOSE(CONTROL!$C$22, $C$13, 100%, $E$13)</f>
        <v>12.650700000000001</v>
      </c>
      <c r="K679" s="64">
        <f>12.6507 * CHOOSE(CONTROL!$C$22, $C$13, 100%, $E$13)</f>
        <v>12.650700000000001</v>
      </c>
    </row>
    <row r="680" spans="1:11" ht="15">
      <c r="A680" s="13">
        <v>62184</v>
      </c>
      <c r="B680" s="63">
        <f>11.0138 * CHOOSE(CONTROL!$C$22, $C$13, 100%, $E$13)</f>
        <v>11.0138</v>
      </c>
      <c r="C680" s="63">
        <f>11.0138 * CHOOSE(CONTROL!$C$22, $C$13, 100%, $E$13)</f>
        <v>11.0138</v>
      </c>
      <c r="D680" s="63">
        <f>11.0138 * CHOOSE(CONTROL!$C$22, $C$13, 100%, $E$13)</f>
        <v>11.0138</v>
      </c>
      <c r="E680" s="64">
        <f>12.833 * CHOOSE(CONTROL!$C$22, $C$13, 100%, $E$13)</f>
        <v>12.833</v>
      </c>
      <c r="F680" s="64">
        <f>12.833 * CHOOSE(CONTROL!$C$22, $C$13, 100%, $E$13)</f>
        <v>12.833</v>
      </c>
      <c r="G680" s="64">
        <f>12.8331 * CHOOSE(CONTROL!$C$22, $C$13, 100%, $E$13)</f>
        <v>12.8331</v>
      </c>
      <c r="H680" s="64">
        <f>20.859* CHOOSE(CONTROL!$C$22, $C$13, 100%, $E$13)</f>
        <v>20.859000000000002</v>
      </c>
      <c r="I680" s="64">
        <f>20.8591 * CHOOSE(CONTROL!$C$22, $C$13, 100%, $E$13)</f>
        <v>20.859100000000002</v>
      </c>
      <c r="J680" s="64">
        <f>12.833 * CHOOSE(CONTROL!$C$22, $C$13, 100%, $E$13)</f>
        <v>12.833</v>
      </c>
      <c r="K680" s="64">
        <f>12.8331 * CHOOSE(CONTROL!$C$22, $C$13, 100%, $E$13)</f>
        <v>12.8331</v>
      </c>
    </row>
    <row r="681" spans="1:11" ht="15">
      <c r="A681" s="13">
        <v>62214</v>
      </c>
      <c r="B681" s="63">
        <f>11.0138 * CHOOSE(CONTROL!$C$22, $C$13, 100%, $E$13)</f>
        <v>11.0138</v>
      </c>
      <c r="C681" s="63">
        <f>11.0138 * CHOOSE(CONTROL!$C$22, $C$13, 100%, $E$13)</f>
        <v>11.0138</v>
      </c>
      <c r="D681" s="63">
        <f>11.0268 * CHOOSE(CONTROL!$C$22, $C$13, 100%, $E$13)</f>
        <v>11.0268</v>
      </c>
      <c r="E681" s="64">
        <f>12.903 * CHOOSE(CONTROL!$C$22, $C$13, 100%, $E$13)</f>
        <v>12.903</v>
      </c>
      <c r="F681" s="64">
        <f>12.903 * CHOOSE(CONTROL!$C$22, $C$13, 100%, $E$13)</f>
        <v>12.903</v>
      </c>
      <c r="G681" s="64">
        <f>12.9187 * CHOOSE(CONTROL!$C$22, $C$13, 100%, $E$13)</f>
        <v>12.918699999999999</v>
      </c>
      <c r="H681" s="64">
        <f>20.9025* CHOOSE(CONTROL!$C$22, $C$13, 100%, $E$13)</f>
        <v>20.9025</v>
      </c>
      <c r="I681" s="64">
        <f>20.9182 * CHOOSE(CONTROL!$C$22, $C$13, 100%, $E$13)</f>
        <v>20.918199999999999</v>
      </c>
      <c r="J681" s="64">
        <f>12.903 * CHOOSE(CONTROL!$C$22, $C$13, 100%, $E$13)</f>
        <v>12.903</v>
      </c>
      <c r="K681" s="64">
        <f>12.9187 * CHOOSE(CONTROL!$C$22, $C$13, 100%, $E$13)</f>
        <v>12.918699999999999</v>
      </c>
    </row>
    <row r="682" spans="1:11" ht="15">
      <c r="A682" s="13">
        <v>62245</v>
      </c>
      <c r="B682" s="63">
        <f>11.0199 * CHOOSE(CONTROL!$C$22, $C$13, 100%, $E$13)</f>
        <v>11.0199</v>
      </c>
      <c r="C682" s="63">
        <f>11.0199 * CHOOSE(CONTROL!$C$22, $C$13, 100%, $E$13)</f>
        <v>11.0199</v>
      </c>
      <c r="D682" s="63">
        <f>11.0328 * CHOOSE(CONTROL!$C$22, $C$13, 100%, $E$13)</f>
        <v>11.0328</v>
      </c>
      <c r="E682" s="64">
        <f>12.8373 * CHOOSE(CONTROL!$C$22, $C$13, 100%, $E$13)</f>
        <v>12.837300000000001</v>
      </c>
      <c r="F682" s="64">
        <f>12.8373 * CHOOSE(CONTROL!$C$22, $C$13, 100%, $E$13)</f>
        <v>12.837300000000001</v>
      </c>
      <c r="G682" s="64">
        <f>12.8529 * CHOOSE(CONTROL!$C$22, $C$13, 100%, $E$13)</f>
        <v>12.8529</v>
      </c>
      <c r="H682" s="64">
        <f>20.946* CHOOSE(CONTROL!$C$22, $C$13, 100%, $E$13)</f>
        <v>20.946000000000002</v>
      </c>
      <c r="I682" s="64">
        <f>20.9617 * CHOOSE(CONTROL!$C$22, $C$13, 100%, $E$13)</f>
        <v>20.9617</v>
      </c>
      <c r="J682" s="64">
        <f>12.8373 * CHOOSE(CONTROL!$C$22, $C$13, 100%, $E$13)</f>
        <v>12.837300000000001</v>
      </c>
      <c r="K682" s="64">
        <f>12.8529 * CHOOSE(CONTROL!$C$22, $C$13, 100%, $E$13)</f>
        <v>12.8529</v>
      </c>
    </row>
    <row r="683" spans="1:11" ht="15">
      <c r="A683" s="13">
        <v>62275</v>
      </c>
      <c r="B683" s="63">
        <f>11.1891 * CHOOSE(CONTROL!$C$22, $C$13, 100%, $E$13)</f>
        <v>11.1891</v>
      </c>
      <c r="C683" s="63">
        <f>11.1891 * CHOOSE(CONTROL!$C$22, $C$13, 100%, $E$13)</f>
        <v>11.1891</v>
      </c>
      <c r="D683" s="63">
        <f>11.2021 * CHOOSE(CONTROL!$C$22, $C$13, 100%, $E$13)</f>
        <v>11.2021</v>
      </c>
      <c r="E683" s="64">
        <f>13.0438 * CHOOSE(CONTROL!$C$22, $C$13, 100%, $E$13)</f>
        <v>13.043799999999999</v>
      </c>
      <c r="F683" s="64">
        <f>13.0438 * CHOOSE(CONTROL!$C$22, $C$13, 100%, $E$13)</f>
        <v>13.043799999999999</v>
      </c>
      <c r="G683" s="64">
        <f>13.0595 * CHOOSE(CONTROL!$C$22, $C$13, 100%, $E$13)</f>
        <v>13.0595</v>
      </c>
      <c r="H683" s="64">
        <f>20.9897* CHOOSE(CONTROL!$C$22, $C$13, 100%, $E$13)</f>
        <v>20.989699999999999</v>
      </c>
      <c r="I683" s="64">
        <f>21.0053 * CHOOSE(CONTROL!$C$22, $C$13, 100%, $E$13)</f>
        <v>21.005299999999998</v>
      </c>
      <c r="J683" s="64">
        <f>13.0438 * CHOOSE(CONTROL!$C$22, $C$13, 100%, $E$13)</f>
        <v>13.043799999999999</v>
      </c>
      <c r="K683" s="64">
        <f>13.0595 * CHOOSE(CONTROL!$C$22, $C$13, 100%, $E$13)</f>
        <v>13.0595</v>
      </c>
    </row>
    <row r="684" spans="1:11" ht="15">
      <c r="A684" s="13">
        <v>62306</v>
      </c>
      <c r="B684" s="63">
        <f>11.1958 * CHOOSE(CONTROL!$C$22, $C$13, 100%, $E$13)</f>
        <v>11.1958</v>
      </c>
      <c r="C684" s="63">
        <f>11.1958 * CHOOSE(CONTROL!$C$22, $C$13, 100%, $E$13)</f>
        <v>11.1958</v>
      </c>
      <c r="D684" s="63">
        <f>11.2088 * CHOOSE(CONTROL!$C$22, $C$13, 100%, $E$13)</f>
        <v>11.2088</v>
      </c>
      <c r="E684" s="64">
        <f>12.8386 * CHOOSE(CONTROL!$C$22, $C$13, 100%, $E$13)</f>
        <v>12.8386</v>
      </c>
      <c r="F684" s="64">
        <f>12.8386 * CHOOSE(CONTROL!$C$22, $C$13, 100%, $E$13)</f>
        <v>12.8386</v>
      </c>
      <c r="G684" s="64">
        <f>12.8542 * CHOOSE(CONTROL!$C$22, $C$13, 100%, $E$13)</f>
        <v>12.854200000000001</v>
      </c>
      <c r="H684" s="64">
        <f>21.0334* CHOOSE(CONTROL!$C$22, $C$13, 100%, $E$13)</f>
        <v>21.0334</v>
      </c>
      <c r="I684" s="64">
        <f>21.0491 * CHOOSE(CONTROL!$C$22, $C$13, 100%, $E$13)</f>
        <v>21.049099999999999</v>
      </c>
      <c r="J684" s="64">
        <f>12.8386 * CHOOSE(CONTROL!$C$22, $C$13, 100%, $E$13)</f>
        <v>12.8386</v>
      </c>
      <c r="K684" s="64">
        <f>12.8542 * CHOOSE(CONTROL!$C$22, $C$13, 100%, $E$13)</f>
        <v>12.854200000000001</v>
      </c>
    </row>
    <row r="685" spans="1:11" ht="15">
      <c r="A685" s="13">
        <v>62337</v>
      </c>
      <c r="B685" s="63">
        <f>11.1927 * CHOOSE(CONTROL!$C$22, $C$13, 100%, $E$13)</f>
        <v>11.1927</v>
      </c>
      <c r="C685" s="63">
        <f>11.1927 * CHOOSE(CONTROL!$C$22, $C$13, 100%, $E$13)</f>
        <v>11.1927</v>
      </c>
      <c r="D685" s="63">
        <f>11.2057 * CHOOSE(CONTROL!$C$22, $C$13, 100%, $E$13)</f>
        <v>11.2057</v>
      </c>
      <c r="E685" s="64">
        <f>12.8131 * CHOOSE(CONTROL!$C$22, $C$13, 100%, $E$13)</f>
        <v>12.8131</v>
      </c>
      <c r="F685" s="64">
        <f>12.8131 * CHOOSE(CONTROL!$C$22, $C$13, 100%, $E$13)</f>
        <v>12.8131</v>
      </c>
      <c r="G685" s="64">
        <f>12.8288 * CHOOSE(CONTROL!$C$22, $C$13, 100%, $E$13)</f>
        <v>12.828799999999999</v>
      </c>
      <c r="H685" s="64">
        <f>21.0772* CHOOSE(CONTROL!$C$22, $C$13, 100%, $E$13)</f>
        <v>21.077200000000001</v>
      </c>
      <c r="I685" s="64">
        <f>21.0929 * CHOOSE(CONTROL!$C$22, $C$13, 100%, $E$13)</f>
        <v>21.0929</v>
      </c>
      <c r="J685" s="64">
        <f>12.8131 * CHOOSE(CONTROL!$C$22, $C$13, 100%, $E$13)</f>
        <v>12.8131</v>
      </c>
      <c r="K685" s="64">
        <f>12.8288 * CHOOSE(CONTROL!$C$22, $C$13, 100%, $E$13)</f>
        <v>12.828799999999999</v>
      </c>
    </row>
    <row r="686" spans="1:11" ht="15">
      <c r="A686" s="13">
        <v>62367</v>
      </c>
      <c r="B686" s="63">
        <f>11.2111 * CHOOSE(CONTROL!$C$22, $C$13, 100%, $E$13)</f>
        <v>11.2111</v>
      </c>
      <c r="C686" s="63">
        <f>11.2111 * CHOOSE(CONTROL!$C$22, $C$13, 100%, $E$13)</f>
        <v>11.2111</v>
      </c>
      <c r="D686" s="63">
        <f>11.2111 * CHOOSE(CONTROL!$C$22, $C$13, 100%, $E$13)</f>
        <v>11.2111</v>
      </c>
      <c r="E686" s="64">
        <f>12.893 * CHOOSE(CONTROL!$C$22, $C$13, 100%, $E$13)</f>
        <v>12.893000000000001</v>
      </c>
      <c r="F686" s="64">
        <f>12.893 * CHOOSE(CONTROL!$C$22, $C$13, 100%, $E$13)</f>
        <v>12.893000000000001</v>
      </c>
      <c r="G686" s="64">
        <f>12.8931 * CHOOSE(CONTROL!$C$22, $C$13, 100%, $E$13)</f>
        <v>12.8931</v>
      </c>
      <c r="H686" s="64">
        <f>21.1211* CHOOSE(CONTROL!$C$22, $C$13, 100%, $E$13)</f>
        <v>21.121099999999998</v>
      </c>
      <c r="I686" s="64">
        <f>21.1212 * CHOOSE(CONTROL!$C$22, $C$13, 100%, $E$13)</f>
        <v>21.121200000000002</v>
      </c>
      <c r="J686" s="64">
        <f>12.893 * CHOOSE(CONTROL!$C$22, $C$13, 100%, $E$13)</f>
        <v>12.893000000000001</v>
      </c>
      <c r="K686" s="64">
        <f>12.8931 * CHOOSE(CONTROL!$C$22, $C$13, 100%, $E$13)</f>
        <v>12.8931</v>
      </c>
    </row>
    <row r="687" spans="1:11" ht="15">
      <c r="A687" s="13">
        <v>62398</v>
      </c>
      <c r="B687" s="63">
        <f>11.2141 * CHOOSE(CONTROL!$C$22, $C$13, 100%, $E$13)</f>
        <v>11.2141</v>
      </c>
      <c r="C687" s="63">
        <f>11.2141 * CHOOSE(CONTROL!$C$22, $C$13, 100%, $E$13)</f>
        <v>11.2141</v>
      </c>
      <c r="D687" s="63">
        <f>11.2141 * CHOOSE(CONTROL!$C$22, $C$13, 100%, $E$13)</f>
        <v>11.2141</v>
      </c>
      <c r="E687" s="64">
        <f>12.9418 * CHOOSE(CONTROL!$C$22, $C$13, 100%, $E$13)</f>
        <v>12.941800000000001</v>
      </c>
      <c r="F687" s="64">
        <f>12.9418 * CHOOSE(CONTROL!$C$22, $C$13, 100%, $E$13)</f>
        <v>12.941800000000001</v>
      </c>
      <c r="G687" s="64">
        <f>12.9419 * CHOOSE(CONTROL!$C$22, $C$13, 100%, $E$13)</f>
        <v>12.9419</v>
      </c>
      <c r="H687" s="64">
        <f>21.1651* CHOOSE(CONTROL!$C$22, $C$13, 100%, $E$13)</f>
        <v>21.165099999999999</v>
      </c>
      <c r="I687" s="64">
        <f>21.1652 * CHOOSE(CONTROL!$C$22, $C$13, 100%, $E$13)</f>
        <v>21.165199999999999</v>
      </c>
      <c r="J687" s="64">
        <f>12.9418 * CHOOSE(CONTROL!$C$22, $C$13, 100%, $E$13)</f>
        <v>12.941800000000001</v>
      </c>
      <c r="K687" s="64">
        <f>12.9419 * CHOOSE(CONTROL!$C$22, $C$13, 100%, $E$13)</f>
        <v>12.9419</v>
      </c>
    </row>
    <row r="688" spans="1:11" ht="15">
      <c r="A688" s="13">
        <v>62428</v>
      </c>
      <c r="B688" s="63">
        <f>11.2141 * CHOOSE(CONTROL!$C$22, $C$13, 100%, $E$13)</f>
        <v>11.2141</v>
      </c>
      <c r="C688" s="63">
        <f>11.2141 * CHOOSE(CONTROL!$C$22, $C$13, 100%, $E$13)</f>
        <v>11.2141</v>
      </c>
      <c r="D688" s="63">
        <f>11.2141 * CHOOSE(CONTROL!$C$22, $C$13, 100%, $E$13)</f>
        <v>11.2141</v>
      </c>
      <c r="E688" s="64">
        <f>12.8252 * CHOOSE(CONTROL!$C$22, $C$13, 100%, $E$13)</f>
        <v>12.825200000000001</v>
      </c>
      <c r="F688" s="64">
        <f>12.8252 * CHOOSE(CONTROL!$C$22, $C$13, 100%, $E$13)</f>
        <v>12.825200000000001</v>
      </c>
      <c r="G688" s="64">
        <f>12.8252 * CHOOSE(CONTROL!$C$22, $C$13, 100%, $E$13)</f>
        <v>12.825200000000001</v>
      </c>
      <c r="H688" s="64">
        <f>21.2092* CHOOSE(CONTROL!$C$22, $C$13, 100%, $E$13)</f>
        <v>21.209199999999999</v>
      </c>
      <c r="I688" s="64">
        <f>21.2093 * CHOOSE(CONTROL!$C$22, $C$13, 100%, $E$13)</f>
        <v>21.209299999999999</v>
      </c>
      <c r="J688" s="64">
        <f>12.8252 * CHOOSE(CONTROL!$C$22, $C$13, 100%, $E$13)</f>
        <v>12.825200000000001</v>
      </c>
      <c r="K688" s="64">
        <f>12.8252 * CHOOSE(CONTROL!$C$22, $C$13, 100%, $E$13)</f>
        <v>12.825200000000001</v>
      </c>
    </row>
    <row r="689" spans="1:11" ht="15">
      <c r="A689" s="13">
        <v>62459</v>
      </c>
      <c r="B689" s="63">
        <f>11.2519 * CHOOSE(CONTROL!$C$22, $C$13, 100%, $E$13)</f>
        <v>11.251899999999999</v>
      </c>
      <c r="C689" s="63">
        <f>11.2519 * CHOOSE(CONTROL!$C$22, $C$13, 100%, $E$13)</f>
        <v>11.251899999999999</v>
      </c>
      <c r="D689" s="63">
        <f>11.2519 * CHOOSE(CONTROL!$C$22, $C$13, 100%, $E$13)</f>
        <v>11.251899999999999</v>
      </c>
      <c r="E689" s="64">
        <f>12.9563 * CHOOSE(CONTROL!$C$22, $C$13, 100%, $E$13)</f>
        <v>12.956300000000001</v>
      </c>
      <c r="F689" s="64">
        <f>12.9563 * CHOOSE(CONTROL!$C$22, $C$13, 100%, $E$13)</f>
        <v>12.956300000000001</v>
      </c>
      <c r="G689" s="64">
        <f>12.9563 * CHOOSE(CONTROL!$C$22, $C$13, 100%, $E$13)</f>
        <v>12.956300000000001</v>
      </c>
      <c r="H689" s="64">
        <f>21.1562* CHOOSE(CONTROL!$C$22, $C$13, 100%, $E$13)</f>
        <v>21.156199999999998</v>
      </c>
      <c r="I689" s="64">
        <f>21.1563 * CHOOSE(CONTROL!$C$22, $C$13, 100%, $E$13)</f>
        <v>21.156300000000002</v>
      </c>
      <c r="J689" s="64">
        <f>12.9563 * CHOOSE(CONTROL!$C$22, $C$13, 100%, $E$13)</f>
        <v>12.956300000000001</v>
      </c>
      <c r="K689" s="64">
        <f>12.9563 * CHOOSE(CONTROL!$C$22, $C$13, 100%, $E$13)</f>
        <v>12.956300000000001</v>
      </c>
    </row>
    <row r="690" spans="1:11" ht="15">
      <c r="A690" s="13">
        <v>62490</v>
      </c>
      <c r="B690" s="63">
        <f>11.2488 * CHOOSE(CONTROL!$C$22, $C$13, 100%, $E$13)</f>
        <v>11.248799999999999</v>
      </c>
      <c r="C690" s="63">
        <f>11.2488 * CHOOSE(CONTROL!$C$22, $C$13, 100%, $E$13)</f>
        <v>11.248799999999999</v>
      </c>
      <c r="D690" s="63">
        <f>11.2489 * CHOOSE(CONTROL!$C$22, $C$13, 100%, $E$13)</f>
        <v>11.248900000000001</v>
      </c>
      <c r="E690" s="64">
        <f>12.7288 * CHOOSE(CONTROL!$C$22, $C$13, 100%, $E$13)</f>
        <v>12.7288</v>
      </c>
      <c r="F690" s="64">
        <f>12.7288 * CHOOSE(CONTROL!$C$22, $C$13, 100%, $E$13)</f>
        <v>12.7288</v>
      </c>
      <c r="G690" s="64">
        <f>12.7289 * CHOOSE(CONTROL!$C$22, $C$13, 100%, $E$13)</f>
        <v>12.728899999999999</v>
      </c>
      <c r="H690" s="64">
        <f>21.2003* CHOOSE(CONTROL!$C$22, $C$13, 100%, $E$13)</f>
        <v>21.200299999999999</v>
      </c>
      <c r="I690" s="64">
        <f>21.2004 * CHOOSE(CONTROL!$C$22, $C$13, 100%, $E$13)</f>
        <v>21.200399999999998</v>
      </c>
      <c r="J690" s="64">
        <f>12.7288 * CHOOSE(CONTROL!$C$22, $C$13, 100%, $E$13)</f>
        <v>12.7288</v>
      </c>
      <c r="K690" s="64">
        <f>12.7289 * CHOOSE(CONTROL!$C$22, $C$13, 100%, $E$13)</f>
        <v>12.728899999999999</v>
      </c>
    </row>
    <row r="691" spans="1:11" ht="15">
      <c r="A691" s="13">
        <v>62518</v>
      </c>
      <c r="B691" s="63">
        <f>11.2458 * CHOOSE(CONTROL!$C$22, $C$13, 100%, $E$13)</f>
        <v>11.245799999999999</v>
      </c>
      <c r="C691" s="63">
        <f>11.2458 * CHOOSE(CONTROL!$C$22, $C$13, 100%, $E$13)</f>
        <v>11.245799999999999</v>
      </c>
      <c r="D691" s="63">
        <f>11.2458 * CHOOSE(CONTROL!$C$22, $C$13, 100%, $E$13)</f>
        <v>11.245799999999999</v>
      </c>
      <c r="E691" s="64">
        <f>12.9043 * CHOOSE(CONTROL!$C$22, $C$13, 100%, $E$13)</f>
        <v>12.904299999999999</v>
      </c>
      <c r="F691" s="64">
        <f>12.9043 * CHOOSE(CONTROL!$C$22, $C$13, 100%, $E$13)</f>
        <v>12.904299999999999</v>
      </c>
      <c r="G691" s="64">
        <f>12.9044 * CHOOSE(CONTROL!$C$22, $C$13, 100%, $E$13)</f>
        <v>12.904400000000001</v>
      </c>
      <c r="H691" s="64">
        <f>21.2445* CHOOSE(CONTROL!$C$22, $C$13, 100%, $E$13)</f>
        <v>21.244499999999999</v>
      </c>
      <c r="I691" s="64">
        <f>21.2445 * CHOOSE(CONTROL!$C$22, $C$13, 100%, $E$13)</f>
        <v>21.244499999999999</v>
      </c>
      <c r="J691" s="64">
        <f>12.9043 * CHOOSE(CONTROL!$C$22, $C$13, 100%, $E$13)</f>
        <v>12.904299999999999</v>
      </c>
      <c r="K691" s="64">
        <f>12.9044 * CHOOSE(CONTROL!$C$22, $C$13, 100%, $E$13)</f>
        <v>12.904400000000001</v>
      </c>
    </row>
    <row r="692" spans="1:11" ht="15">
      <c r="A692" s="13">
        <v>62549</v>
      </c>
      <c r="B692" s="63">
        <f>11.2496 * CHOOSE(CONTROL!$C$22, $C$13, 100%, $E$13)</f>
        <v>11.249599999999999</v>
      </c>
      <c r="C692" s="63">
        <f>11.2496 * CHOOSE(CONTROL!$C$22, $C$13, 100%, $E$13)</f>
        <v>11.249599999999999</v>
      </c>
      <c r="D692" s="63">
        <f>11.2496 * CHOOSE(CONTROL!$C$22, $C$13, 100%, $E$13)</f>
        <v>11.249599999999999</v>
      </c>
      <c r="E692" s="64">
        <f>13.0909 * CHOOSE(CONTROL!$C$22, $C$13, 100%, $E$13)</f>
        <v>13.0909</v>
      </c>
      <c r="F692" s="64">
        <f>13.0909 * CHOOSE(CONTROL!$C$22, $C$13, 100%, $E$13)</f>
        <v>13.0909</v>
      </c>
      <c r="G692" s="64">
        <f>13.091 * CHOOSE(CONTROL!$C$22, $C$13, 100%, $E$13)</f>
        <v>13.090999999999999</v>
      </c>
      <c r="H692" s="64">
        <f>21.2887* CHOOSE(CONTROL!$C$22, $C$13, 100%, $E$13)</f>
        <v>21.288699999999999</v>
      </c>
      <c r="I692" s="64">
        <f>21.2888 * CHOOSE(CONTROL!$C$22, $C$13, 100%, $E$13)</f>
        <v>21.288799999999998</v>
      </c>
      <c r="J692" s="64">
        <f>13.0909 * CHOOSE(CONTROL!$C$22, $C$13, 100%, $E$13)</f>
        <v>13.0909</v>
      </c>
      <c r="K692" s="64">
        <f>13.091 * CHOOSE(CONTROL!$C$22, $C$13, 100%, $E$13)</f>
        <v>13.090999999999999</v>
      </c>
    </row>
    <row r="693" spans="1:11" ht="15">
      <c r="A693" s="13">
        <v>62579</v>
      </c>
      <c r="B693" s="63">
        <f>11.2496 * CHOOSE(CONTROL!$C$22, $C$13, 100%, $E$13)</f>
        <v>11.249599999999999</v>
      </c>
      <c r="C693" s="63">
        <f>11.2496 * CHOOSE(CONTROL!$C$22, $C$13, 100%, $E$13)</f>
        <v>11.249599999999999</v>
      </c>
      <c r="D693" s="63">
        <f>11.2625 * CHOOSE(CONTROL!$C$22, $C$13, 100%, $E$13)</f>
        <v>11.262499999999999</v>
      </c>
      <c r="E693" s="64">
        <f>13.1624 * CHOOSE(CONTROL!$C$22, $C$13, 100%, $E$13)</f>
        <v>13.1624</v>
      </c>
      <c r="F693" s="64">
        <f>13.1624 * CHOOSE(CONTROL!$C$22, $C$13, 100%, $E$13)</f>
        <v>13.1624</v>
      </c>
      <c r="G693" s="64">
        <f>13.1781 * CHOOSE(CONTROL!$C$22, $C$13, 100%, $E$13)</f>
        <v>13.178100000000001</v>
      </c>
      <c r="H693" s="64">
        <f>21.3331* CHOOSE(CONTROL!$C$22, $C$13, 100%, $E$13)</f>
        <v>21.333100000000002</v>
      </c>
      <c r="I693" s="64">
        <f>21.3487 * CHOOSE(CONTROL!$C$22, $C$13, 100%, $E$13)</f>
        <v>21.348700000000001</v>
      </c>
      <c r="J693" s="64">
        <f>13.1624 * CHOOSE(CONTROL!$C$22, $C$13, 100%, $E$13)</f>
        <v>13.1624</v>
      </c>
      <c r="K693" s="64">
        <f>13.1781 * CHOOSE(CONTROL!$C$22, $C$13, 100%, $E$13)</f>
        <v>13.178100000000001</v>
      </c>
    </row>
    <row r="694" spans="1:11" ht="15">
      <c r="A694" s="13">
        <v>62610</v>
      </c>
      <c r="B694" s="63">
        <f>11.2556 * CHOOSE(CONTROL!$C$22, $C$13, 100%, $E$13)</f>
        <v>11.255599999999999</v>
      </c>
      <c r="C694" s="63">
        <f>11.2556 * CHOOSE(CONTROL!$C$22, $C$13, 100%, $E$13)</f>
        <v>11.255599999999999</v>
      </c>
      <c r="D694" s="63">
        <f>11.2686 * CHOOSE(CONTROL!$C$22, $C$13, 100%, $E$13)</f>
        <v>11.268599999999999</v>
      </c>
      <c r="E694" s="64">
        <f>13.0951 * CHOOSE(CONTROL!$C$22, $C$13, 100%, $E$13)</f>
        <v>13.0951</v>
      </c>
      <c r="F694" s="64">
        <f>13.0951 * CHOOSE(CONTROL!$C$22, $C$13, 100%, $E$13)</f>
        <v>13.0951</v>
      </c>
      <c r="G694" s="64">
        <f>13.1108 * CHOOSE(CONTROL!$C$22, $C$13, 100%, $E$13)</f>
        <v>13.110799999999999</v>
      </c>
      <c r="H694" s="64">
        <f>21.3775* CHOOSE(CONTROL!$C$22, $C$13, 100%, $E$13)</f>
        <v>21.377500000000001</v>
      </c>
      <c r="I694" s="64">
        <f>21.3932 * CHOOSE(CONTROL!$C$22, $C$13, 100%, $E$13)</f>
        <v>21.3932</v>
      </c>
      <c r="J694" s="64">
        <f>13.0951 * CHOOSE(CONTROL!$C$22, $C$13, 100%, $E$13)</f>
        <v>13.0951</v>
      </c>
      <c r="K694" s="64">
        <f>13.1108 * CHOOSE(CONTROL!$C$22, $C$13, 100%, $E$13)</f>
        <v>13.110799999999999</v>
      </c>
    </row>
    <row r="695" spans="1:11" ht="15">
      <c r="A695" s="13">
        <v>62640</v>
      </c>
      <c r="B695" s="63">
        <f>11.4283 * CHOOSE(CONTROL!$C$22, $C$13, 100%, $E$13)</f>
        <v>11.4283</v>
      </c>
      <c r="C695" s="63">
        <f>11.4283 * CHOOSE(CONTROL!$C$22, $C$13, 100%, $E$13)</f>
        <v>11.4283</v>
      </c>
      <c r="D695" s="63">
        <f>11.4412 * CHOOSE(CONTROL!$C$22, $C$13, 100%, $E$13)</f>
        <v>11.4412</v>
      </c>
      <c r="E695" s="64">
        <f>13.3056 * CHOOSE(CONTROL!$C$22, $C$13, 100%, $E$13)</f>
        <v>13.3056</v>
      </c>
      <c r="F695" s="64">
        <f>13.3056 * CHOOSE(CONTROL!$C$22, $C$13, 100%, $E$13)</f>
        <v>13.3056</v>
      </c>
      <c r="G695" s="64">
        <f>13.3213 * CHOOSE(CONTROL!$C$22, $C$13, 100%, $E$13)</f>
        <v>13.321300000000001</v>
      </c>
      <c r="H695" s="64">
        <f>21.422* CHOOSE(CONTROL!$C$22, $C$13, 100%, $E$13)</f>
        <v>21.422000000000001</v>
      </c>
      <c r="I695" s="64">
        <f>21.4377 * CHOOSE(CONTROL!$C$22, $C$13, 100%, $E$13)</f>
        <v>21.4377</v>
      </c>
      <c r="J695" s="64">
        <f>13.3056 * CHOOSE(CONTROL!$C$22, $C$13, 100%, $E$13)</f>
        <v>13.3056</v>
      </c>
      <c r="K695" s="64">
        <f>13.3213 * CHOOSE(CONTROL!$C$22, $C$13, 100%, $E$13)</f>
        <v>13.321300000000001</v>
      </c>
    </row>
    <row r="696" spans="1:11" ht="15">
      <c r="A696" s="13">
        <v>62671</v>
      </c>
      <c r="B696" s="63">
        <f>11.435 * CHOOSE(CONTROL!$C$22, $C$13, 100%, $E$13)</f>
        <v>11.435</v>
      </c>
      <c r="C696" s="63">
        <f>11.435 * CHOOSE(CONTROL!$C$22, $C$13, 100%, $E$13)</f>
        <v>11.435</v>
      </c>
      <c r="D696" s="63">
        <f>11.4479 * CHOOSE(CONTROL!$C$22, $C$13, 100%, $E$13)</f>
        <v>11.447900000000001</v>
      </c>
      <c r="E696" s="64">
        <f>13.0956 * CHOOSE(CONTROL!$C$22, $C$13, 100%, $E$13)</f>
        <v>13.095599999999999</v>
      </c>
      <c r="F696" s="64">
        <f>13.0956 * CHOOSE(CONTROL!$C$22, $C$13, 100%, $E$13)</f>
        <v>13.095599999999999</v>
      </c>
      <c r="G696" s="64">
        <f>13.1113 * CHOOSE(CONTROL!$C$22, $C$13, 100%, $E$13)</f>
        <v>13.1113</v>
      </c>
      <c r="H696" s="64">
        <f>21.4667* CHOOSE(CONTROL!$C$22, $C$13, 100%, $E$13)</f>
        <v>21.466699999999999</v>
      </c>
      <c r="I696" s="64">
        <f>21.4824 * CHOOSE(CONTROL!$C$22, $C$13, 100%, $E$13)</f>
        <v>21.482399999999998</v>
      </c>
      <c r="J696" s="64">
        <f>13.0956 * CHOOSE(CONTROL!$C$22, $C$13, 100%, $E$13)</f>
        <v>13.095599999999999</v>
      </c>
      <c r="K696" s="64">
        <f>13.1113 * CHOOSE(CONTROL!$C$22, $C$13, 100%, $E$13)</f>
        <v>13.1113</v>
      </c>
    </row>
    <row r="697" spans="1:11" ht="15">
      <c r="A697" s="13">
        <v>62702</v>
      </c>
      <c r="B697" s="63">
        <f>11.4319 * CHOOSE(CONTROL!$C$22, $C$13, 100%, $E$13)</f>
        <v>11.431900000000001</v>
      </c>
      <c r="C697" s="63">
        <f>11.4319 * CHOOSE(CONTROL!$C$22, $C$13, 100%, $E$13)</f>
        <v>11.431900000000001</v>
      </c>
      <c r="D697" s="63">
        <f>11.4449 * CHOOSE(CONTROL!$C$22, $C$13, 100%, $E$13)</f>
        <v>11.444900000000001</v>
      </c>
      <c r="E697" s="64">
        <f>13.0697 * CHOOSE(CONTROL!$C$22, $C$13, 100%, $E$13)</f>
        <v>13.069699999999999</v>
      </c>
      <c r="F697" s="64">
        <f>13.0697 * CHOOSE(CONTROL!$C$22, $C$13, 100%, $E$13)</f>
        <v>13.069699999999999</v>
      </c>
      <c r="G697" s="64">
        <f>13.0854 * CHOOSE(CONTROL!$C$22, $C$13, 100%, $E$13)</f>
        <v>13.0854</v>
      </c>
      <c r="H697" s="64">
        <f>21.5114* CHOOSE(CONTROL!$C$22, $C$13, 100%, $E$13)</f>
        <v>21.511399999999998</v>
      </c>
      <c r="I697" s="64">
        <f>21.5271 * CHOOSE(CONTROL!$C$22, $C$13, 100%, $E$13)</f>
        <v>21.527100000000001</v>
      </c>
      <c r="J697" s="64">
        <f>13.0697 * CHOOSE(CONTROL!$C$22, $C$13, 100%, $E$13)</f>
        <v>13.069699999999999</v>
      </c>
      <c r="K697" s="64">
        <f>13.0854 * CHOOSE(CONTROL!$C$22, $C$13, 100%, $E$13)</f>
        <v>13.0854</v>
      </c>
    </row>
    <row r="698" spans="1:11" ht="15">
      <c r="A698" s="13">
        <v>62732</v>
      </c>
      <c r="B698" s="63">
        <f>11.451 * CHOOSE(CONTROL!$C$22, $C$13, 100%, $E$13)</f>
        <v>11.451000000000001</v>
      </c>
      <c r="C698" s="63">
        <f>11.451 * CHOOSE(CONTROL!$C$22, $C$13, 100%, $E$13)</f>
        <v>11.451000000000001</v>
      </c>
      <c r="D698" s="63">
        <f>11.451 * CHOOSE(CONTROL!$C$22, $C$13, 100%, $E$13)</f>
        <v>11.451000000000001</v>
      </c>
      <c r="E698" s="64">
        <f>13.1516 * CHOOSE(CONTROL!$C$22, $C$13, 100%, $E$13)</f>
        <v>13.1516</v>
      </c>
      <c r="F698" s="64">
        <f>13.1516 * CHOOSE(CONTROL!$C$22, $C$13, 100%, $E$13)</f>
        <v>13.1516</v>
      </c>
      <c r="G698" s="64">
        <f>13.1517 * CHOOSE(CONTROL!$C$22, $C$13, 100%, $E$13)</f>
        <v>13.1517</v>
      </c>
      <c r="H698" s="64">
        <f>21.5562* CHOOSE(CONTROL!$C$22, $C$13, 100%, $E$13)</f>
        <v>21.5562</v>
      </c>
      <c r="I698" s="64">
        <f>21.5563 * CHOOSE(CONTROL!$C$22, $C$13, 100%, $E$13)</f>
        <v>21.5563</v>
      </c>
      <c r="J698" s="64">
        <f>13.1516 * CHOOSE(CONTROL!$C$22, $C$13, 100%, $E$13)</f>
        <v>13.1516</v>
      </c>
      <c r="K698" s="64">
        <f>13.1517 * CHOOSE(CONTROL!$C$22, $C$13, 100%, $E$13)</f>
        <v>13.1517</v>
      </c>
    </row>
    <row r="699" spans="1:11" ht="15">
      <c r="A699" s="13">
        <v>62763</v>
      </c>
      <c r="B699" s="63">
        <f>11.4541 * CHOOSE(CONTROL!$C$22, $C$13, 100%, $E$13)</f>
        <v>11.4541</v>
      </c>
      <c r="C699" s="63">
        <f>11.4541 * CHOOSE(CONTROL!$C$22, $C$13, 100%, $E$13)</f>
        <v>11.4541</v>
      </c>
      <c r="D699" s="63">
        <f>11.4541 * CHOOSE(CONTROL!$C$22, $C$13, 100%, $E$13)</f>
        <v>11.4541</v>
      </c>
      <c r="E699" s="64">
        <f>13.2015 * CHOOSE(CONTROL!$C$22, $C$13, 100%, $E$13)</f>
        <v>13.201499999999999</v>
      </c>
      <c r="F699" s="64">
        <f>13.2015 * CHOOSE(CONTROL!$C$22, $C$13, 100%, $E$13)</f>
        <v>13.201499999999999</v>
      </c>
      <c r="G699" s="64">
        <f>13.2015 * CHOOSE(CONTROL!$C$22, $C$13, 100%, $E$13)</f>
        <v>13.201499999999999</v>
      </c>
      <c r="H699" s="64">
        <f>21.6011* CHOOSE(CONTROL!$C$22, $C$13, 100%, $E$13)</f>
        <v>21.601099999999999</v>
      </c>
      <c r="I699" s="64">
        <f>21.6012 * CHOOSE(CONTROL!$C$22, $C$13, 100%, $E$13)</f>
        <v>21.601199999999999</v>
      </c>
      <c r="J699" s="64">
        <f>13.2015 * CHOOSE(CONTROL!$C$22, $C$13, 100%, $E$13)</f>
        <v>13.201499999999999</v>
      </c>
      <c r="K699" s="64">
        <f>13.2015 * CHOOSE(CONTROL!$C$22, $C$13, 100%, $E$13)</f>
        <v>13.201499999999999</v>
      </c>
    </row>
    <row r="700" spans="1:11" ht="15">
      <c r="A700" s="13">
        <v>62793</v>
      </c>
      <c r="B700" s="63">
        <f>11.4541 * CHOOSE(CONTROL!$C$22, $C$13, 100%, $E$13)</f>
        <v>11.4541</v>
      </c>
      <c r="C700" s="63">
        <f>11.4541 * CHOOSE(CONTROL!$C$22, $C$13, 100%, $E$13)</f>
        <v>11.4541</v>
      </c>
      <c r="D700" s="63">
        <f>11.4541 * CHOOSE(CONTROL!$C$22, $C$13, 100%, $E$13)</f>
        <v>11.4541</v>
      </c>
      <c r="E700" s="64">
        <f>13.0822 * CHOOSE(CONTROL!$C$22, $C$13, 100%, $E$13)</f>
        <v>13.0822</v>
      </c>
      <c r="F700" s="64">
        <f>13.0822 * CHOOSE(CONTROL!$C$22, $C$13, 100%, $E$13)</f>
        <v>13.0822</v>
      </c>
      <c r="G700" s="64">
        <f>13.0823 * CHOOSE(CONTROL!$C$22, $C$13, 100%, $E$13)</f>
        <v>13.0823</v>
      </c>
      <c r="H700" s="64">
        <f>21.6461* CHOOSE(CONTROL!$C$22, $C$13, 100%, $E$13)</f>
        <v>21.646100000000001</v>
      </c>
      <c r="I700" s="64">
        <f>21.6462 * CHOOSE(CONTROL!$C$22, $C$13, 100%, $E$13)</f>
        <v>21.6462</v>
      </c>
      <c r="J700" s="64">
        <f>13.0822 * CHOOSE(CONTROL!$C$22, $C$13, 100%, $E$13)</f>
        <v>13.0822</v>
      </c>
      <c r="K700" s="64">
        <f>13.0823 * CHOOSE(CONTROL!$C$22, $C$13, 100%, $E$13)</f>
        <v>13.0823</v>
      </c>
    </row>
    <row r="701" spans="1:11" ht="15">
      <c r="A701" s="13">
        <v>62824</v>
      </c>
      <c r="B701" s="63">
        <f>11.4875 * CHOOSE(CONTROL!$C$22, $C$13, 100%, $E$13)</f>
        <v>11.487500000000001</v>
      </c>
      <c r="C701" s="63">
        <f>11.4875 * CHOOSE(CONTROL!$C$22, $C$13, 100%, $E$13)</f>
        <v>11.487500000000001</v>
      </c>
      <c r="D701" s="63">
        <f>11.4875 * CHOOSE(CONTROL!$C$22, $C$13, 100%, $E$13)</f>
        <v>11.487500000000001</v>
      </c>
      <c r="E701" s="64">
        <f>13.211 * CHOOSE(CONTROL!$C$22, $C$13, 100%, $E$13)</f>
        <v>13.211</v>
      </c>
      <c r="F701" s="64">
        <f>13.211 * CHOOSE(CONTROL!$C$22, $C$13, 100%, $E$13)</f>
        <v>13.211</v>
      </c>
      <c r="G701" s="64">
        <f>13.2111 * CHOOSE(CONTROL!$C$22, $C$13, 100%, $E$13)</f>
        <v>13.2111</v>
      </c>
      <c r="H701" s="64">
        <f>21.5832* CHOOSE(CONTROL!$C$22, $C$13, 100%, $E$13)</f>
        <v>21.583200000000001</v>
      </c>
      <c r="I701" s="64">
        <f>21.5833 * CHOOSE(CONTROL!$C$22, $C$13, 100%, $E$13)</f>
        <v>21.583300000000001</v>
      </c>
      <c r="J701" s="64">
        <f>13.211 * CHOOSE(CONTROL!$C$22, $C$13, 100%, $E$13)</f>
        <v>13.211</v>
      </c>
      <c r="K701" s="64">
        <f>13.2111 * CHOOSE(CONTROL!$C$22, $C$13, 100%, $E$13)</f>
        <v>13.2111</v>
      </c>
    </row>
    <row r="702" spans="1:11" ht="15">
      <c r="A702" s="13">
        <v>62855</v>
      </c>
      <c r="B702" s="63">
        <f>11.4844 * CHOOSE(CONTROL!$C$22, $C$13, 100%, $E$13)</f>
        <v>11.484400000000001</v>
      </c>
      <c r="C702" s="63">
        <f>11.4844 * CHOOSE(CONTROL!$C$22, $C$13, 100%, $E$13)</f>
        <v>11.484400000000001</v>
      </c>
      <c r="D702" s="63">
        <f>11.4844 * CHOOSE(CONTROL!$C$22, $C$13, 100%, $E$13)</f>
        <v>11.484400000000001</v>
      </c>
      <c r="E702" s="64">
        <f>12.9786 * CHOOSE(CONTROL!$C$22, $C$13, 100%, $E$13)</f>
        <v>12.9786</v>
      </c>
      <c r="F702" s="64">
        <f>12.9786 * CHOOSE(CONTROL!$C$22, $C$13, 100%, $E$13)</f>
        <v>12.9786</v>
      </c>
      <c r="G702" s="64">
        <f>12.9787 * CHOOSE(CONTROL!$C$22, $C$13, 100%, $E$13)</f>
        <v>12.9787</v>
      </c>
      <c r="H702" s="64">
        <f>21.6282* CHOOSE(CONTROL!$C$22, $C$13, 100%, $E$13)</f>
        <v>21.6282</v>
      </c>
      <c r="I702" s="64">
        <f>21.6283 * CHOOSE(CONTROL!$C$22, $C$13, 100%, $E$13)</f>
        <v>21.628299999999999</v>
      </c>
      <c r="J702" s="64">
        <f>12.9786 * CHOOSE(CONTROL!$C$22, $C$13, 100%, $E$13)</f>
        <v>12.9786</v>
      </c>
      <c r="K702" s="64">
        <f>12.9787 * CHOOSE(CONTROL!$C$22, $C$13, 100%, $E$13)</f>
        <v>12.9787</v>
      </c>
    </row>
    <row r="703" spans="1:11" ht="15">
      <c r="A703" s="13">
        <v>62884</v>
      </c>
      <c r="B703" s="63">
        <f>11.4814 * CHOOSE(CONTROL!$C$22, $C$13, 100%, $E$13)</f>
        <v>11.481400000000001</v>
      </c>
      <c r="C703" s="63">
        <f>11.4814 * CHOOSE(CONTROL!$C$22, $C$13, 100%, $E$13)</f>
        <v>11.481400000000001</v>
      </c>
      <c r="D703" s="63">
        <f>11.4814 * CHOOSE(CONTROL!$C$22, $C$13, 100%, $E$13)</f>
        <v>11.481400000000001</v>
      </c>
      <c r="E703" s="64">
        <f>13.158 * CHOOSE(CONTROL!$C$22, $C$13, 100%, $E$13)</f>
        <v>13.157999999999999</v>
      </c>
      <c r="F703" s="64">
        <f>13.158 * CHOOSE(CONTROL!$C$22, $C$13, 100%, $E$13)</f>
        <v>13.157999999999999</v>
      </c>
      <c r="G703" s="64">
        <f>13.1581 * CHOOSE(CONTROL!$C$22, $C$13, 100%, $E$13)</f>
        <v>13.158099999999999</v>
      </c>
      <c r="H703" s="64">
        <f>21.6733* CHOOSE(CONTROL!$C$22, $C$13, 100%, $E$13)</f>
        <v>21.673300000000001</v>
      </c>
      <c r="I703" s="64">
        <f>21.6733 * CHOOSE(CONTROL!$C$22, $C$13, 100%, $E$13)</f>
        <v>21.673300000000001</v>
      </c>
      <c r="J703" s="64">
        <f>13.158 * CHOOSE(CONTROL!$C$22, $C$13, 100%, $E$13)</f>
        <v>13.157999999999999</v>
      </c>
      <c r="K703" s="64">
        <f>13.1581 * CHOOSE(CONTROL!$C$22, $C$13, 100%, $E$13)</f>
        <v>13.158099999999999</v>
      </c>
    </row>
    <row r="704" spans="1:11" ht="15">
      <c r="A704" s="13">
        <v>62915</v>
      </c>
      <c r="B704" s="63">
        <f>11.4853 * CHOOSE(CONTROL!$C$22, $C$13, 100%, $E$13)</f>
        <v>11.485300000000001</v>
      </c>
      <c r="C704" s="63">
        <f>11.4853 * CHOOSE(CONTROL!$C$22, $C$13, 100%, $E$13)</f>
        <v>11.485300000000001</v>
      </c>
      <c r="D704" s="63">
        <f>11.4853 * CHOOSE(CONTROL!$C$22, $C$13, 100%, $E$13)</f>
        <v>11.485300000000001</v>
      </c>
      <c r="E704" s="64">
        <f>13.3487 * CHOOSE(CONTROL!$C$22, $C$13, 100%, $E$13)</f>
        <v>13.348699999999999</v>
      </c>
      <c r="F704" s="64">
        <f>13.3487 * CHOOSE(CONTROL!$C$22, $C$13, 100%, $E$13)</f>
        <v>13.348699999999999</v>
      </c>
      <c r="G704" s="64">
        <f>13.3488 * CHOOSE(CONTROL!$C$22, $C$13, 100%, $E$13)</f>
        <v>13.348800000000001</v>
      </c>
      <c r="H704" s="64">
        <f>21.7184* CHOOSE(CONTROL!$C$22, $C$13, 100%, $E$13)</f>
        <v>21.718399999999999</v>
      </c>
      <c r="I704" s="64">
        <f>21.7185 * CHOOSE(CONTROL!$C$22, $C$13, 100%, $E$13)</f>
        <v>21.718499999999999</v>
      </c>
      <c r="J704" s="64">
        <f>13.3487 * CHOOSE(CONTROL!$C$22, $C$13, 100%, $E$13)</f>
        <v>13.348699999999999</v>
      </c>
      <c r="K704" s="64">
        <f>13.3488 * CHOOSE(CONTROL!$C$22, $C$13, 100%, $E$13)</f>
        <v>13.348800000000001</v>
      </c>
    </row>
    <row r="705" spans="1:11" ht="15">
      <c r="A705" s="13">
        <v>62945</v>
      </c>
      <c r="B705" s="63">
        <f>11.4853 * CHOOSE(CONTROL!$C$22, $C$13, 100%, $E$13)</f>
        <v>11.485300000000001</v>
      </c>
      <c r="C705" s="63">
        <f>11.4853 * CHOOSE(CONTROL!$C$22, $C$13, 100%, $E$13)</f>
        <v>11.485300000000001</v>
      </c>
      <c r="D705" s="63">
        <f>11.4983 * CHOOSE(CONTROL!$C$22, $C$13, 100%, $E$13)</f>
        <v>11.4983</v>
      </c>
      <c r="E705" s="64">
        <f>13.4219 * CHOOSE(CONTROL!$C$22, $C$13, 100%, $E$13)</f>
        <v>13.421900000000001</v>
      </c>
      <c r="F705" s="64">
        <f>13.4219 * CHOOSE(CONTROL!$C$22, $C$13, 100%, $E$13)</f>
        <v>13.421900000000001</v>
      </c>
      <c r="G705" s="64">
        <f>13.4375 * CHOOSE(CONTROL!$C$22, $C$13, 100%, $E$13)</f>
        <v>13.4375</v>
      </c>
      <c r="H705" s="64">
        <f>21.7637* CHOOSE(CONTROL!$C$22, $C$13, 100%, $E$13)</f>
        <v>21.7637</v>
      </c>
      <c r="I705" s="64">
        <f>21.7793 * CHOOSE(CONTROL!$C$22, $C$13, 100%, $E$13)</f>
        <v>21.779299999999999</v>
      </c>
      <c r="J705" s="64">
        <f>13.4219 * CHOOSE(CONTROL!$C$22, $C$13, 100%, $E$13)</f>
        <v>13.421900000000001</v>
      </c>
      <c r="K705" s="64">
        <f>13.4375 * CHOOSE(CONTROL!$C$22, $C$13, 100%, $E$13)</f>
        <v>13.4375</v>
      </c>
    </row>
    <row r="706" spans="1:11" ht="15">
      <c r="A706" s="13">
        <v>62976</v>
      </c>
      <c r="B706" s="63">
        <f>11.4914 * CHOOSE(CONTROL!$C$22, $C$13, 100%, $E$13)</f>
        <v>11.491400000000001</v>
      </c>
      <c r="C706" s="63">
        <f>11.4914 * CHOOSE(CONTROL!$C$22, $C$13, 100%, $E$13)</f>
        <v>11.491400000000001</v>
      </c>
      <c r="D706" s="63">
        <f>11.5044 * CHOOSE(CONTROL!$C$22, $C$13, 100%, $E$13)</f>
        <v>11.5044</v>
      </c>
      <c r="E706" s="64">
        <f>13.353 * CHOOSE(CONTROL!$C$22, $C$13, 100%, $E$13)</f>
        <v>13.353</v>
      </c>
      <c r="F706" s="64">
        <f>13.353 * CHOOSE(CONTROL!$C$22, $C$13, 100%, $E$13)</f>
        <v>13.353</v>
      </c>
      <c r="G706" s="64">
        <f>13.3687 * CHOOSE(CONTROL!$C$22, $C$13, 100%, $E$13)</f>
        <v>13.3687</v>
      </c>
      <c r="H706" s="64">
        <f>21.809* CHOOSE(CONTROL!$C$22, $C$13, 100%, $E$13)</f>
        <v>21.809000000000001</v>
      </c>
      <c r="I706" s="64">
        <f>21.8247 * CHOOSE(CONTROL!$C$22, $C$13, 100%, $E$13)</f>
        <v>21.8247</v>
      </c>
      <c r="J706" s="64">
        <f>13.353 * CHOOSE(CONTROL!$C$22, $C$13, 100%, $E$13)</f>
        <v>13.353</v>
      </c>
      <c r="K706" s="64">
        <f>13.3687 * CHOOSE(CONTROL!$C$22, $C$13, 100%, $E$13)</f>
        <v>13.3687</v>
      </c>
    </row>
    <row r="707" spans="1:11" ht="15">
      <c r="A707" s="13">
        <v>63006</v>
      </c>
      <c r="B707" s="63">
        <f>11.6674 * CHOOSE(CONTROL!$C$22, $C$13, 100%, $E$13)</f>
        <v>11.667400000000001</v>
      </c>
      <c r="C707" s="63">
        <f>11.6674 * CHOOSE(CONTROL!$C$22, $C$13, 100%, $E$13)</f>
        <v>11.667400000000001</v>
      </c>
      <c r="D707" s="63">
        <f>11.6804 * CHOOSE(CONTROL!$C$22, $C$13, 100%, $E$13)</f>
        <v>11.680400000000001</v>
      </c>
      <c r="E707" s="64">
        <f>13.5674 * CHOOSE(CONTROL!$C$22, $C$13, 100%, $E$13)</f>
        <v>13.567399999999999</v>
      </c>
      <c r="F707" s="64">
        <f>13.5674 * CHOOSE(CONTROL!$C$22, $C$13, 100%, $E$13)</f>
        <v>13.567399999999999</v>
      </c>
      <c r="G707" s="64">
        <f>13.5831 * CHOOSE(CONTROL!$C$22, $C$13, 100%, $E$13)</f>
        <v>13.5831</v>
      </c>
      <c r="H707" s="64">
        <f>21.8544* CHOOSE(CONTROL!$C$22, $C$13, 100%, $E$13)</f>
        <v>21.854399999999998</v>
      </c>
      <c r="I707" s="64">
        <f>21.8701 * CHOOSE(CONTROL!$C$22, $C$13, 100%, $E$13)</f>
        <v>21.870100000000001</v>
      </c>
      <c r="J707" s="64">
        <f>13.5674 * CHOOSE(CONTROL!$C$22, $C$13, 100%, $E$13)</f>
        <v>13.567399999999999</v>
      </c>
      <c r="K707" s="64">
        <f>13.5831 * CHOOSE(CONTROL!$C$22, $C$13, 100%, $E$13)</f>
        <v>13.5831</v>
      </c>
    </row>
    <row r="708" spans="1:11" ht="15">
      <c r="A708" s="13">
        <v>63037</v>
      </c>
      <c r="B708" s="63">
        <f>11.6741 * CHOOSE(CONTROL!$C$22, $C$13, 100%, $E$13)</f>
        <v>11.674099999999999</v>
      </c>
      <c r="C708" s="63">
        <f>11.6741 * CHOOSE(CONTROL!$C$22, $C$13, 100%, $E$13)</f>
        <v>11.674099999999999</v>
      </c>
      <c r="D708" s="63">
        <f>11.6871 * CHOOSE(CONTROL!$C$22, $C$13, 100%, $E$13)</f>
        <v>11.687099999999999</v>
      </c>
      <c r="E708" s="64">
        <f>13.3527 * CHOOSE(CONTROL!$C$22, $C$13, 100%, $E$13)</f>
        <v>13.3527</v>
      </c>
      <c r="F708" s="64">
        <f>13.3527 * CHOOSE(CONTROL!$C$22, $C$13, 100%, $E$13)</f>
        <v>13.3527</v>
      </c>
      <c r="G708" s="64">
        <f>13.3684 * CHOOSE(CONTROL!$C$22, $C$13, 100%, $E$13)</f>
        <v>13.368399999999999</v>
      </c>
      <c r="H708" s="64">
        <f>21.9* CHOOSE(CONTROL!$C$22, $C$13, 100%, $E$13)</f>
        <v>21.9</v>
      </c>
      <c r="I708" s="64">
        <f>21.9156 * CHOOSE(CONTROL!$C$22, $C$13, 100%, $E$13)</f>
        <v>21.915600000000001</v>
      </c>
      <c r="J708" s="64">
        <f>13.3527 * CHOOSE(CONTROL!$C$22, $C$13, 100%, $E$13)</f>
        <v>13.3527</v>
      </c>
      <c r="K708" s="64">
        <f>13.3684 * CHOOSE(CONTROL!$C$22, $C$13, 100%, $E$13)</f>
        <v>13.368399999999999</v>
      </c>
    </row>
    <row r="709" spans="1:11" ht="15">
      <c r="A709" s="13">
        <v>63068</v>
      </c>
      <c r="B709" s="63">
        <f>11.6711 * CHOOSE(CONTROL!$C$22, $C$13, 100%, $E$13)</f>
        <v>11.671099999999999</v>
      </c>
      <c r="C709" s="63">
        <f>11.6711 * CHOOSE(CONTROL!$C$22, $C$13, 100%, $E$13)</f>
        <v>11.671099999999999</v>
      </c>
      <c r="D709" s="63">
        <f>11.6841 * CHOOSE(CONTROL!$C$22, $C$13, 100%, $E$13)</f>
        <v>11.684100000000001</v>
      </c>
      <c r="E709" s="64">
        <f>13.3262 * CHOOSE(CONTROL!$C$22, $C$13, 100%, $E$13)</f>
        <v>13.3262</v>
      </c>
      <c r="F709" s="64">
        <f>13.3262 * CHOOSE(CONTROL!$C$22, $C$13, 100%, $E$13)</f>
        <v>13.3262</v>
      </c>
      <c r="G709" s="64">
        <f>13.3419 * CHOOSE(CONTROL!$C$22, $C$13, 100%, $E$13)</f>
        <v>13.341900000000001</v>
      </c>
      <c r="H709" s="64">
        <f>21.9456* CHOOSE(CONTROL!$C$22, $C$13, 100%, $E$13)</f>
        <v>21.945599999999999</v>
      </c>
      <c r="I709" s="64">
        <f>21.9613 * CHOOSE(CONTROL!$C$22, $C$13, 100%, $E$13)</f>
        <v>21.961300000000001</v>
      </c>
      <c r="J709" s="64">
        <f>13.3262 * CHOOSE(CONTROL!$C$22, $C$13, 100%, $E$13)</f>
        <v>13.3262</v>
      </c>
      <c r="K709" s="64">
        <f>13.3419 * CHOOSE(CONTROL!$C$22, $C$13, 100%, $E$13)</f>
        <v>13.341900000000001</v>
      </c>
    </row>
    <row r="710" spans="1:11" ht="15">
      <c r="A710" s="13">
        <v>63098</v>
      </c>
      <c r="B710" s="63">
        <f>11.691 * CHOOSE(CONTROL!$C$22, $C$13, 100%, $E$13)</f>
        <v>11.691000000000001</v>
      </c>
      <c r="C710" s="63">
        <f>11.691 * CHOOSE(CONTROL!$C$22, $C$13, 100%, $E$13)</f>
        <v>11.691000000000001</v>
      </c>
      <c r="D710" s="63">
        <f>11.691 * CHOOSE(CONTROL!$C$22, $C$13, 100%, $E$13)</f>
        <v>11.691000000000001</v>
      </c>
      <c r="E710" s="64">
        <f>13.4103 * CHOOSE(CONTROL!$C$22, $C$13, 100%, $E$13)</f>
        <v>13.410299999999999</v>
      </c>
      <c r="F710" s="64">
        <f>13.4103 * CHOOSE(CONTROL!$C$22, $C$13, 100%, $E$13)</f>
        <v>13.410299999999999</v>
      </c>
      <c r="G710" s="64">
        <f>13.4104 * CHOOSE(CONTROL!$C$22, $C$13, 100%, $E$13)</f>
        <v>13.410399999999999</v>
      </c>
      <c r="H710" s="64">
        <f>21.9913* CHOOSE(CONTROL!$C$22, $C$13, 100%, $E$13)</f>
        <v>21.991299999999999</v>
      </c>
      <c r="I710" s="64">
        <f>21.9914 * CHOOSE(CONTROL!$C$22, $C$13, 100%, $E$13)</f>
        <v>21.991399999999999</v>
      </c>
      <c r="J710" s="64">
        <f>13.4103 * CHOOSE(CONTROL!$C$22, $C$13, 100%, $E$13)</f>
        <v>13.410299999999999</v>
      </c>
      <c r="K710" s="64">
        <f>13.4104 * CHOOSE(CONTROL!$C$22, $C$13, 100%, $E$13)</f>
        <v>13.410399999999999</v>
      </c>
    </row>
    <row r="711" spans="1:11" ht="15">
      <c r="A711" s="13">
        <v>63129</v>
      </c>
      <c r="B711" s="63">
        <f>11.694 * CHOOSE(CONTROL!$C$22, $C$13, 100%, $E$13)</f>
        <v>11.694000000000001</v>
      </c>
      <c r="C711" s="63">
        <f>11.694 * CHOOSE(CONTROL!$C$22, $C$13, 100%, $E$13)</f>
        <v>11.694000000000001</v>
      </c>
      <c r="D711" s="63">
        <f>11.694 * CHOOSE(CONTROL!$C$22, $C$13, 100%, $E$13)</f>
        <v>11.694000000000001</v>
      </c>
      <c r="E711" s="64">
        <f>13.4611 * CHOOSE(CONTROL!$C$22, $C$13, 100%, $E$13)</f>
        <v>13.4611</v>
      </c>
      <c r="F711" s="64">
        <f>13.4611 * CHOOSE(CONTROL!$C$22, $C$13, 100%, $E$13)</f>
        <v>13.4611</v>
      </c>
      <c r="G711" s="64">
        <f>13.4612 * CHOOSE(CONTROL!$C$22, $C$13, 100%, $E$13)</f>
        <v>13.4612</v>
      </c>
      <c r="H711" s="64">
        <f>22.0371* CHOOSE(CONTROL!$C$22, $C$13, 100%, $E$13)</f>
        <v>22.037099999999999</v>
      </c>
      <c r="I711" s="64">
        <f>22.0372 * CHOOSE(CONTROL!$C$22, $C$13, 100%, $E$13)</f>
        <v>22.037199999999999</v>
      </c>
      <c r="J711" s="64">
        <f>13.4611 * CHOOSE(CONTROL!$C$22, $C$13, 100%, $E$13)</f>
        <v>13.4611</v>
      </c>
      <c r="K711" s="64">
        <f>13.4612 * CHOOSE(CONTROL!$C$22, $C$13, 100%, $E$13)</f>
        <v>13.4612</v>
      </c>
    </row>
    <row r="712" spans="1:11" ht="15">
      <c r="A712" s="13">
        <v>63159</v>
      </c>
      <c r="B712" s="63">
        <f>11.694 * CHOOSE(CONTROL!$C$22, $C$13, 100%, $E$13)</f>
        <v>11.694000000000001</v>
      </c>
      <c r="C712" s="63">
        <f>11.694 * CHOOSE(CONTROL!$C$22, $C$13, 100%, $E$13)</f>
        <v>11.694000000000001</v>
      </c>
      <c r="D712" s="63">
        <f>11.694 * CHOOSE(CONTROL!$C$22, $C$13, 100%, $E$13)</f>
        <v>11.694000000000001</v>
      </c>
      <c r="E712" s="64">
        <f>13.3393 * CHOOSE(CONTROL!$C$22, $C$13, 100%, $E$13)</f>
        <v>13.3393</v>
      </c>
      <c r="F712" s="64">
        <f>13.3393 * CHOOSE(CONTROL!$C$22, $C$13, 100%, $E$13)</f>
        <v>13.3393</v>
      </c>
      <c r="G712" s="64">
        <f>13.3394 * CHOOSE(CONTROL!$C$22, $C$13, 100%, $E$13)</f>
        <v>13.339399999999999</v>
      </c>
      <c r="H712" s="64">
        <f>22.083* CHOOSE(CONTROL!$C$22, $C$13, 100%, $E$13)</f>
        <v>22.082999999999998</v>
      </c>
      <c r="I712" s="64">
        <f>22.0831 * CHOOSE(CONTROL!$C$22, $C$13, 100%, $E$13)</f>
        <v>22.083100000000002</v>
      </c>
      <c r="J712" s="64">
        <f>13.3393 * CHOOSE(CONTROL!$C$22, $C$13, 100%, $E$13)</f>
        <v>13.3393</v>
      </c>
      <c r="K712" s="64">
        <f>13.3394 * CHOOSE(CONTROL!$C$22, $C$13, 100%, $E$13)</f>
        <v>13.339399999999999</v>
      </c>
    </row>
    <row r="713" spans="1:11" ht="15">
      <c r="A713" s="13">
        <v>63190</v>
      </c>
      <c r="B713" s="63">
        <f>11.723 * CHOOSE(CONTROL!$C$22, $C$13, 100%, $E$13)</f>
        <v>11.723000000000001</v>
      </c>
      <c r="C713" s="63">
        <f>11.723 * CHOOSE(CONTROL!$C$22, $C$13, 100%, $E$13)</f>
        <v>11.723000000000001</v>
      </c>
      <c r="D713" s="63">
        <f>11.723 * CHOOSE(CONTROL!$C$22, $C$13, 100%, $E$13)</f>
        <v>11.723000000000001</v>
      </c>
      <c r="E713" s="64">
        <f>13.4657 * CHOOSE(CONTROL!$C$22, $C$13, 100%, $E$13)</f>
        <v>13.4657</v>
      </c>
      <c r="F713" s="64">
        <f>13.4657 * CHOOSE(CONTROL!$C$22, $C$13, 100%, $E$13)</f>
        <v>13.4657</v>
      </c>
      <c r="G713" s="64">
        <f>13.4658 * CHOOSE(CONTROL!$C$22, $C$13, 100%, $E$13)</f>
        <v>13.4658</v>
      </c>
      <c r="H713" s="64">
        <f>22.0103* CHOOSE(CONTROL!$C$22, $C$13, 100%, $E$13)</f>
        <v>22.010300000000001</v>
      </c>
      <c r="I713" s="64">
        <f>22.0103 * CHOOSE(CONTROL!$C$22, $C$13, 100%, $E$13)</f>
        <v>22.010300000000001</v>
      </c>
      <c r="J713" s="64">
        <f>13.4657 * CHOOSE(CONTROL!$C$22, $C$13, 100%, $E$13)</f>
        <v>13.4657</v>
      </c>
      <c r="K713" s="64">
        <f>13.4658 * CHOOSE(CONTROL!$C$22, $C$13, 100%, $E$13)</f>
        <v>13.4658</v>
      </c>
    </row>
    <row r="714" spans="1:11" ht="15">
      <c r="A714" s="13">
        <v>63221</v>
      </c>
      <c r="B714" s="63">
        <f>11.72 * CHOOSE(CONTROL!$C$22, $C$13, 100%, $E$13)</f>
        <v>11.72</v>
      </c>
      <c r="C714" s="63">
        <f>11.72 * CHOOSE(CONTROL!$C$22, $C$13, 100%, $E$13)</f>
        <v>11.72</v>
      </c>
      <c r="D714" s="63">
        <f>11.72 * CHOOSE(CONTROL!$C$22, $C$13, 100%, $E$13)</f>
        <v>11.72</v>
      </c>
      <c r="E714" s="64">
        <f>13.2284 * CHOOSE(CONTROL!$C$22, $C$13, 100%, $E$13)</f>
        <v>13.228400000000001</v>
      </c>
      <c r="F714" s="64">
        <f>13.2284 * CHOOSE(CONTROL!$C$22, $C$13, 100%, $E$13)</f>
        <v>13.228400000000001</v>
      </c>
      <c r="G714" s="64">
        <f>13.2285 * CHOOSE(CONTROL!$C$22, $C$13, 100%, $E$13)</f>
        <v>13.2285</v>
      </c>
      <c r="H714" s="64">
        <f>22.0561* CHOOSE(CONTROL!$C$22, $C$13, 100%, $E$13)</f>
        <v>22.056100000000001</v>
      </c>
      <c r="I714" s="64">
        <f>22.0562 * CHOOSE(CONTROL!$C$22, $C$13, 100%, $E$13)</f>
        <v>22.0562</v>
      </c>
      <c r="J714" s="64">
        <f>13.2284 * CHOOSE(CONTROL!$C$22, $C$13, 100%, $E$13)</f>
        <v>13.228400000000001</v>
      </c>
      <c r="K714" s="64">
        <f>13.2285 * CHOOSE(CONTROL!$C$22, $C$13, 100%, $E$13)</f>
        <v>13.2285</v>
      </c>
    </row>
    <row r="715" spans="1:11" ht="15">
      <c r="A715" s="13">
        <v>63249</v>
      </c>
      <c r="B715" s="63">
        <f>11.717 * CHOOSE(CONTROL!$C$22, $C$13, 100%, $E$13)</f>
        <v>11.717000000000001</v>
      </c>
      <c r="C715" s="63">
        <f>11.717 * CHOOSE(CONTROL!$C$22, $C$13, 100%, $E$13)</f>
        <v>11.717000000000001</v>
      </c>
      <c r="D715" s="63">
        <f>11.717 * CHOOSE(CONTROL!$C$22, $C$13, 100%, $E$13)</f>
        <v>11.717000000000001</v>
      </c>
      <c r="E715" s="64">
        <f>13.4117 * CHOOSE(CONTROL!$C$22, $C$13, 100%, $E$13)</f>
        <v>13.4117</v>
      </c>
      <c r="F715" s="64">
        <f>13.4117 * CHOOSE(CONTROL!$C$22, $C$13, 100%, $E$13)</f>
        <v>13.4117</v>
      </c>
      <c r="G715" s="64">
        <f>13.4118 * CHOOSE(CONTROL!$C$22, $C$13, 100%, $E$13)</f>
        <v>13.411799999999999</v>
      </c>
      <c r="H715" s="64">
        <f>22.1021* CHOOSE(CONTROL!$C$22, $C$13, 100%, $E$13)</f>
        <v>22.1021</v>
      </c>
      <c r="I715" s="64">
        <f>22.1021 * CHOOSE(CONTROL!$C$22, $C$13, 100%, $E$13)</f>
        <v>22.1021</v>
      </c>
      <c r="J715" s="64">
        <f>13.4117 * CHOOSE(CONTROL!$C$22, $C$13, 100%, $E$13)</f>
        <v>13.4117</v>
      </c>
      <c r="K715" s="64">
        <f>13.4118 * CHOOSE(CONTROL!$C$22, $C$13, 100%, $E$13)</f>
        <v>13.411799999999999</v>
      </c>
    </row>
    <row r="716" spans="1:11" ht="15">
      <c r="A716" s="13">
        <v>63280</v>
      </c>
      <c r="B716" s="63">
        <f>11.7211 * CHOOSE(CONTROL!$C$22, $C$13, 100%, $E$13)</f>
        <v>11.7211</v>
      </c>
      <c r="C716" s="63">
        <f>11.7211 * CHOOSE(CONTROL!$C$22, $C$13, 100%, $E$13)</f>
        <v>11.7211</v>
      </c>
      <c r="D716" s="63">
        <f>11.7211 * CHOOSE(CONTROL!$C$22, $C$13, 100%, $E$13)</f>
        <v>11.7211</v>
      </c>
      <c r="E716" s="64">
        <f>13.6066 * CHOOSE(CONTROL!$C$22, $C$13, 100%, $E$13)</f>
        <v>13.6066</v>
      </c>
      <c r="F716" s="64">
        <f>13.6066 * CHOOSE(CONTROL!$C$22, $C$13, 100%, $E$13)</f>
        <v>13.6066</v>
      </c>
      <c r="G716" s="64">
        <f>13.6067 * CHOOSE(CONTROL!$C$22, $C$13, 100%, $E$13)</f>
        <v>13.6067</v>
      </c>
      <c r="H716" s="64">
        <f>22.1481* CHOOSE(CONTROL!$C$22, $C$13, 100%, $E$13)</f>
        <v>22.148099999999999</v>
      </c>
      <c r="I716" s="64">
        <f>22.1482 * CHOOSE(CONTROL!$C$22, $C$13, 100%, $E$13)</f>
        <v>22.148199999999999</v>
      </c>
      <c r="J716" s="64">
        <f>13.6066 * CHOOSE(CONTROL!$C$22, $C$13, 100%, $E$13)</f>
        <v>13.6066</v>
      </c>
      <c r="K716" s="64">
        <f>13.6067 * CHOOSE(CONTROL!$C$22, $C$13, 100%, $E$13)</f>
        <v>13.6067</v>
      </c>
    </row>
    <row r="717" spans="1:11" ht="15">
      <c r="A717" s="13">
        <v>63310</v>
      </c>
      <c r="B717" s="63">
        <f>11.7211 * CHOOSE(CONTROL!$C$22, $C$13, 100%, $E$13)</f>
        <v>11.7211</v>
      </c>
      <c r="C717" s="63">
        <f>11.7211 * CHOOSE(CONTROL!$C$22, $C$13, 100%, $E$13)</f>
        <v>11.7211</v>
      </c>
      <c r="D717" s="63">
        <f>11.7341 * CHOOSE(CONTROL!$C$22, $C$13, 100%, $E$13)</f>
        <v>11.7341</v>
      </c>
      <c r="E717" s="64">
        <f>13.6813 * CHOOSE(CONTROL!$C$22, $C$13, 100%, $E$13)</f>
        <v>13.6813</v>
      </c>
      <c r="F717" s="64">
        <f>13.6813 * CHOOSE(CONTROL!$C$22, $C$13, 100%, $E$13)</f>
        <v>13.6813</v>
      </c>
      <c r="G717" s="64">
        <f>13.697 * CHOOSE(CONTROL!$C$22, $C$13, 100%, $E$13)</f>
        <v>13.696999999999999</v>
      </c>
      <c r="H717" s="64">
        <f>22.1942* CHOOSE(CONTROL!$C$22, $C$13, 100%, $E$13)</f>
        <v>22.194199999999999</v>
      </c>
      <c r="I717" s="64">
        <f>22.2099 * CHOOSE(CONTROL!$C$22, $C$13, 100%, $E$13)</f>
        <v>22.209900000000001</v>
      </c>
      <c r="J717" s="64">
        <f>13.6813 * CHOOSE(CONTROL!$C$22, $C$13, 100%, $E$13)</f>
        <v>13.6813</v>
      </c>
      <c r="K717" s="64">
        <f>13.697 * CHOOSE(CONTROL!$C$22, $C$13, 100%, $E$13)</f>
        <v>13.696999999999999</v>
      </c>
    </row>
    <row r="718" spans="1:11" ht="15">
      <c r="A718" s="13">
        <v>63341</v>
      </c>
      <c r="B718" s="63">
        <f>11.7272 * CHOOSE(CONTROL!$C$22, $C$13, 100%, $E$13)</f>
        <v>11.7272</v>
      </c>
      <c r="C718" s="63">
        <f>11.7272 * CHOOSE(CONTROL!$C$22, $C$13, 100%, $E$13)</f>
        <v>11.7272</v>
      </c>
      <c r="D718" s="63">
        <f>11.7401 * CHOOSE(CONTROL!$C$22, $C$13, 100%, $E$13)</f>
        <v>11.7401</v>
      </c>
      <c r="E718" s="64">
        <f>13.6108 * CHOOSE(CONTROL!$C$22, $C$13, 100%, $E$13)</f>
        <v>13.610799999999999</v>
      </c>
      <c r="F718" s="64">
        <f>13.6108 * CHOOSE(CONTROL!$C$22, $C$13, 100%, $E$13)</f>
        <v>13.610799999999999</v>
      </c>
      <c r="G718" s="64">
        <f>13.6265 * CHOOSE(CONTROL!$C$22, $C$13, 100%, $E$13)</f>
        <v>13.6265</v>
      </c>
      <c r="H718" s="64">
        <f>22.2405* CHOOSE(CONTROL!$C$22, $C$13, 100%, $E$13)</f>
        <v>22.240500000000001</v>
      </c>
      <c r="I718" s="64">
        <f>22.2562 * CHOOSE(CONTROL!$C$22, $C$13, 100%, $E$13)</f>
        <v>22.2562</v>
      </c>
      <c r="J718" s="64">
        <f>13.6108 * CHOOSE(CONTROL!$C$22, $C$13, 100%, $E$13)</f>
        <v>13.610799999999999</v>
      </c>
      <c r="K718" s="64">
        <f>13.6265 * CHOOSE(CONTROL!$C$22, $C$13, 100%, $E$13)</f>
        <v>13.6265</v>
      </c>
    </row>
    <row r="719" spans="1:11" ht="15">
      <c r="A719" s="13">
        <v>63371</v>
      </c>
      <c r="B719" s="63">
        <f>11.9066 * CHOOSE(CONTROL!$C$22, $C$13, 100%, $E$13)</f>
        <v>11.906599999999999</v>
      </c>
      <c r="C719" s="63">
        <f>11.9066 * CHOOSE(CONTROL!$C$22, $C$13, 100%, $E$13)</f>
        <v>11.906599999999999</v>
      </c>
      <c r="D719" s="63">
        <f>11.9196 * CHOOSE(CONTROL!$C$22, $C$13, 100%, $E$13)</f>
        <v>11.919600000000001</v>
      </c>
      <c r="E719" s="64">
        <f>13.8292 * CHOOSE(CONTROL!$C$22, $C$13, 100%, $E$13)</f>
        <v>13.8292</v>
      </c>
      <c r="F719" s="64">
        <f>13.8292 * CHOOSE(CONTROL!$C$22, $C$13, 100%, $E$13)</f>
        <v>13.8292</v>
      </c>
      <c r="G719" s="64">
        <f>13.8448 * CHOOSE(CONTROL!$C$22, $C$13, 100%, $E$13)</f>
        <v>13.844799999999999</v>
      </c>
      <c r="H719" s="64">
        <f>22.2868* CHOOSE(CONTROL!$C$22, $C$13, 100%, $E$13)</f>
        <v>22.286799999999999</v>
      </c>
      <c r="I719" s="64">
        <f>22.3025 * CHOOSE(CONTROL!$C$22, $C$13, 100%, $E$13)</f>
        <v>22.302499999999998</v>
      </c>
      <c r="J719" s="64">
        <f>13.8292 * CHOOSE(CONTROL!$C$22, $C$13, 100%, $E$13)</f>
        <v>13.8292</v>
      </c>
      <c r="K719" s="64">
        <f>13.8448 * CHOOSE(CONTROL!$C$22, $C$13, 100%, $E$13)</f>
        <v>13.844799999999999</v>
      </c>
    </row>
    <row r="720" spans="1:11" ht="15">
      <c r="A720" s="13">
        <v>63402</v>
      </c>
      <c r="B720" s="63">
        <f>11.9133 * CHOOSE(CONTROL!$C$22, $C$13, 100%, $E$13)</f>
        <v>11.9133</v>
      </c>
      <c r="C720" s="63">
        <f>11.9133 * CHOOSE(CONTROL!$C$22, $C$13, 100%, $E$13)</f>
        <v>11.9133</v>
      </c>
      <c r="D720" s="63">
        <f>11.9263 * CHOOSE(CONTROL!$C$22, $C$13, 100%, $E$13)</f>
        <v>11.926299999999999</v>
      </c>
      <c r="E720" s="64">
        <f>13.6098 * CHOOSE(CONTROL!$C$22, $C$13, 100%, $E$13)</f>
        <v>13.6098</v>
      </c>
      <c r="F720" s="64">
        <f>13.6098 * CHOOSE(CONTROL!$C$22, $C$13, 100%, $E$13)</f>
        <v>13.6098</v>
      </c>
      <c r="G720" s="64">
        <f>13.6255 * CHOOSE(CONTROL!$C$22, $C$13, 100%, $E$13)</f>
        <v>13.625500000000001</v>
      </c>
      <c r="H720" s="64">
        <f>22.3332* CHOOSE(CONTROL!$C$22, $C$13, 100%, $E$13)</f>
        <v>22.333200000000001</v>
      </c>
      <c r="I720" s="64">
        <f>22.3489 * CHOOSE(CONTROL!$C$22, $C$13, 100%, $E$13)</f>
        <v>22.3489</v>
      </c>
      <c r="J720" s="64">
        <f>13.6098 * CHOOSE(CONTROL!$C$22, $C$13, 100%, $E$13)</f>
        <v>13.6098</v>
      </c>
      <c r="K720" s="64">
        <f>13.6255 * CHOOSE(CONTROL!$C$22, $C$13, 100%, $E$13)</f>
        <v>13.625500000000001</v>
      </c>
    </row>
    <row r="721" spans="1:11" ht="15">
      <c r="A721" s="13">
        <v>63433</v>
      </c>
      <c r="B721" s="63">
        <f>11.9103 * CHOOSE(CONTROL!$C$22, $C$13, 100%, $E$13)</f>
        <v>11.910299999999999</v>
      </c>
      <c r="C721" s="63">
        <f>11.9103 * CHOOSE(CONTROL!$C$22, $C$13, 100%, $E$13)</f>
        <v>11.910299999999999</v>
      </c>
      <c r="D721" s="63">
        <f>11.9233 * CHOOSE(CONTROL!$C$22, $C$13, 100%, $E$13)</f>
        <v>11.923299999999999</v>
      </c>
      <c r="E721" s="64">
        <f>13.5828 * CHOOSE(CONTROL!$C$22, $C$13, 100%, $E$13)</f>
        <v>13.582800000000001</v>
      </c>
      <c r="F721" s="64">
        <f>13.5828 * CHOOSE(CONTROL!$C$22, $C$13, 100%, $E$13)</f>
        <v>13.582800000000001</v>
      </c>
      <c r="G721" s="64">
        <f>13.5984 * CHOOSE(CONTROL!$C$22, $C$13, 100%, $E$13)</f>
        <v>13.5984</v>
      </c>
      <c r="H721" s="64">
        <f>22.3798* CHOOSE(CONTROL!$C$22, $C$13, 100%, $E$13)</f>
        <v>22.379799999999999</v>
      </c>
      <c r="I721" s="64">
        <f>22.3955 * CHOOSE(CONTROL!$C$22, $C$13, 100%, $E$13)</f>
        <v>22.395499999999998</v>
      </c>
      <c r="J721" s="64">
        <f>13.5828 * CHOOSE(CONTROL!$C$22, $C$13, 100%, $E$13)</f>
        <v>13.582800000000001</v>
      </c>
      <c r="K721" s="64">
        <f>13.5984 * CHOOSE(CONTROL!$C$22, $C$13, 100%, $E$13)</f>
        <v>13.5984</v>
      </c>
    </row>
    <row r="722" spans="1:11" ht="15">
      <c r="A722" s="13">
        <v>63463</v>
      </c>
      <c r="B722" s="63">
        <f>11.9309 * CHOOSE(CONTROL!$C$22, $C$13, 100%, $E$13)</f>
        <v>11.930899999999999</v>
      </c>
      <c r="C722" s="63">
        <f>11.9309 * CHOOSE(CONTROL!$C$22, $C$13, 100%, $E$13)</f>
        <v>11.930899999999999</v>
      </c>
      <c r="D722" s="63">
        <f>11.9309 * CHOOSE(CONTROL!$C$22, $C$13, 100%, $E$13)</f>
        <v>11.930899999999999</v>
      </c>
      <c r="E722" s="64">
        <f>13.6689 * CHOOSE(CONTROL!$C$22, $C$13, 100%, $E$13)</f>
        <v>13.668900000000001</v>
      </c>
      <c r="F722" s="64">
        <f>13.6689 * CHOOSE(CONTROL!$C$22, $C$13, 100%, $E$13)</f>
        <v>13.668900000000001</v>
      </c>
      <c r="G722" s="64">
        <f>13.669 * CHOOSE(CONTROL!$C$22, $C$13, 100%, $E$13)</f>
        <v>13.669</v>
      </c>
      <c r="H722" s="64">
        <f>22.4264* CHOOSE(CONTROL!$C$22, $C$13, 100%, $E$13)</f>
        <v>22.426400000000001</v>
      </c>
      <c r="I722" s="64">
        <f>22.4265 * CHOOSE(CONTROL!$C$22, $C$13, 100%, $E$13)</f>
        <v>22.426500000000001</v>
      </c>
      <c r="J722" s="64">
        <f>13.6689 * CHOOSE(CONTROL!$C$22, $C$13, 100%, $E$13)</f>
        <v>13.668900000000001</v>
      </c>
      <c r="K722" s="64">
        <f>13.669 * CHOOSE(CONTROL!$C$22, $C$13, 100%, $E$13)</f>
        <v>13.669</v>
      </c>
    </row>
    <row r="723" spans="1:11" ht="15">
      <c r="A723" s="13">
        <v>63494</v>
      </c>
      <c r="B723" s="63">
        <f>11.9339 * CHOOSE(CONTROL!$C$22, $C$13, 100%, $E$13)</f>
        <v>11.9339</v>
      </c>
      <c r="C723" s="63">
        <f>11.9339 * CHOOSE(CONTROL!$C$22, $C$13, 100%, $E$13)</f>
        <v>11.9339</v>
      </c>
      <c r="D723" s="63">
        <f>11.9339 * CHOOSE(CONTROL!$C$22, $C$13, 100%, $E$13)</f>
        <v>11.9339</v>
      </c>
      <c r="E723" s="64">
        <f>13.7208 * CHOOSE(CONTROL!$C$22, $C$13, 100%, $E$13)</f>
        <v>13.720800000000001</v>
      </c>
      <c r="F723" s="64">
        <f>13.7208 * CHOOSE(CONTROL!$C$22, $C$13, 100%, $E$13)</f>
        <v>13.720800000000001</v>
      </c>
      <c r="G723" s="64">
        <f>13.7209 * CHOOSE(CONTROL!$C$22, $C$13, 100%, $E$13)</f>
        <v>13.7209</v>
      </c>
      <c r="H723" s="64">
        <f>22.4731* CHOOSE(CONTROL!$C$22, $C$13, 100%, $E$13)</f>
        <v>22.473099999999999</v>
      </c>
      <c r="I723" s="64">
        <f>22.4732 * CHOOSE(CONTROL!$C$22, $C$13, 100%, $E$13)</f>
        <v>22.473199999999999</v>
      </c>
      <c r="J723" s="64">
        <f>13.7208 * CHOOSE(CONTROL!$C$22, $C$13, 100%, $E$13)</f>
        <v>13.720800000000001</v>
      </c>
      <c r="K723" s="64">
        <f>13.7209 * CHOOSE(CONTROL!$C$22, $C$13, 100%, $E$13)</f>
        <v>13.7209</v>
      </c>
    </row>
    <row r="724" spans="1:11" ht="15">
      <c r="A724" s="13">
        <v>63524</v>
      </c>
      <c r="B724" s="63">
        <f>11.9339 * CHOOSE(CONTROL!$C$22, $C$13, 100%, $E$13)</f>
        <v>11.9339</v>
      </c>
      <c r="C724" s="63">
        <f>11.9339 * CHOOSE(CONTROL!$C$22, $C$13, 100%, $E$13)</f>
        <v>11.9339</v>
      </c>
      <c r="D724" s="63">
        <f>11.9339 * CHOOSE(CONTROL!$C$22, $C$13, 100%, $E$13)</f>
        <v>11.9339</v>
      </c>
      <c r="E724" s="64">
        <f>13.5964 * CHOOSE(CONTROL!$C$22, $C$13, 100%, $E$13)</f>
        <v>13.596399999999999</v>
      </c>
      <c r="F724" s="64">
        <f>13.5964 * CHOOSE(CONTROL!$C$22, $C$13, 100%, $E$13)</f>
        <v>13.596399999999999</v>
      </c>
      <c r="G724" s="64">
        <f>13.5964 * CHOOSE(CONTROL!$C$22, $C$13, 100%, $E$13)</f>
        <v>13.596399999999999</v>
      </c>
      <c r="H724" s="64">
        <f>22.5199* CHOOSE(CONTROL!$C$22, $C$13, 100%, $E$13)</f>
        <v>22.5199</v>
      </c>
      <c r="I724" s="64">
        <f>22.52 * CHOOSE(CONTROL!$C$22, $C$13, 100%, $E$13)</f>
        <v>22.52</v>
      </c>
      <c r="J724" s="64">
        <f>13.5964 * CHOOSE(CONTROL!$C$22, $C$13, 100%, $E$13)</f>
        <v>13.596399999999999</v>
      </c>
      <c r="K724" s="64">
        <f>13.5964 * CHOOSE(CONTROL!$C$22, $C$13, 100%, $E$13)</f>
        <v>13.596399999999999</v>
      </c>
    </row>
    <row r="725" spans="1:11" ht="15">
      <c r="A725" s="13">
        <v>63555</v>
      </c>
      <c r="B725" s="63">
        <f>11.9586 * CHOOSE(CONTROL!$C$22, $C$13, 100%, $E$13)</f>
        <v>11.958600000000001</v>
      </c>
      <c r="C725" s="63">
        <f>11.9586 * CHOOSE(CONTROL!$C$22, $C$13, 100%, $E$13)</f>
        <v>11.958600000000001</v>
      </c>
      <c r="D725" s="63">
        <f>11.9586 * CHOOSE(CONTROL!$C$22, $C$13, 100%, $E$13)</f>
        <v>11.958600000000001</v>
      </c>
      <c r="E725" s="64">
        <f>13.7204 * CHOOSE(CONTROL!$C$22, $C$13, 100%, $E$13)</f>
        <v>13.7204</v>
      </c>
      <c r="F725" s="64">
        <f>13.7204 * CHOOSE(CONTROL!$C$22, $C$13, 100%, $E$13)</f>
        <v>13.7204</v>
      </c>
      <c r="G725" s="64">
        <f>13.7205 * CHOOSE(CONTROL!$C$22, $C$13, 100%, $E$13)</f>
        <v>13.720499999999999</v>
      </c>
      <c r="H725" s="64">
        <f>22.4373* CHOOSE(CONTROL!$C$22, $C$13, 100%, $E$13)</f>
        <v>22.4373</v>
      </c>
      <c r="I725" s="64">
        <f>22.4374 * CHOOSE(CONTROL!$C$22, $C$13, 100%, $E$13)</f>
        <v>22.4374</v>
      </c>
      <c r="J725" s="64">
        <f>13.7204 * CHOOSE(CONTROL!$C$22, $C$13, 100%, $E$13)</f>
        <v>13.7204</v>
      </c>
      <c r="K725" s="64">
        <f>13.7205 * CHOOSE(CONTROL!$C$22, $C$13, 100%, $E$13)</f>
        <v>13.720499999999999</v>
      </c>
    </row>
    <row r="726" spans="1:11" ht="15">
      <c r="A726" s="13">
        <v>63586</v>
      </c>
      <c r="B726" s="63">
        <f>11.9556 * CHOOSE(CONTROL!$C$22, $C$13, 100%, $E$13)</f>
        <v>11.9556</v>
      </c>
      <c r="C726" s="63">
        <f>11.9556 * CHOOSE(CONTROL!$C$22, $C$13, 100%, $E$13)</f>
        <v>11.9556</v>
      </c>
      <c r="D726" s="63">
        <f>11.9556 * CHOOSE(CONTROL!$C$22, $C$13, 100%, $E$13)</f>
        <v>11.9556</v>
      </c>
      <c r="E726" s="64">
        <f>13.4782 * CHOOSE(CONTROL!$C$22, $C$13, 100%, $E$13)</f>
        <v>13.478199999999999</v>
      </c>
      <c r="F726" s="64">
        <f>13.4782 * CHOOSE(CONTROL!$C$22, $C$13, 100%, $E$13)</f>
        <v>13.478199999999999</v>
      </c>
      <c r="G726" s="64">
        <f>13.4782 * CHOOSE(CONTROL!$C$22, $C$13, 100%, $E$13)</f>
        <v>13.478199999999999</v>
      </c>
      <c r="H726" s="64">
        <f>22.484* CHOOSE(CONTROL!$C$22, $C$13, 100%, $E$13)</f>
        <v>22.484000000000002</v>
      </c>
      <c r="I726" s="64">
        <f>22.4841 * CHOOSE(CONTROL!$C$22, $C$13, 100%, $E$13)</f>
        <v>22.484100000000002</v>
      </c>
      <c r="J726" s="64">
        <f>13.4782 * CHOOSE(CONTROL!$C$22, $C$13, 100%, $E$13)</f>
        <v>13.478199999999999</v>
      </c>
      <c r="K726" s="64">
        <f>13.4782 * CHOOSE(CONTROL!$C$22, $C$13, 100%, $E$13)</f>
        <v>13.478199999999999</v>
      </c>
    </row>
    <row r="727" spans="1:11" ht="15">
      <c r="A727" s="13">
        <v>63614</v>
      </c>
      <c r="B727" s="63">
        <f>11.9525 * CHOOSE(CONTROL!$C$22, $C$13, 100%, $E$13)</f>
        <v>11.952500000000001</v>
      </c>
      <c r="C727" s="63">
        <f>11.9525 * CHOOSE(CONTROL!$C$22, $C$13, 100%, $E$13)</f>
        <v>11.952500000000001</v>
      </c>
      <c r="D727" s="63">
        <f>11.9525 * CHOOSE(CONTROL!$C$22, $C$13, 100%, $E$13)</f>
        <v>11.952500000000001</v>
      </c>
      <c r="E727" s="64">
        <f>13.6654 * CHOOSE(CONTROL!$C$22, $C$13, 100%, $E$13)</f>
        <v>13.6654</v>
      </c>
      <c r="F727" s="64">
        <f>13.6654 * CHOOSE(CONTROL!$C$22, $C$13, 100%, $E$13)</f>
        <v>13.6654</v>
      </c>
      <c r="G727" s="64">
        <f>13.6655 * CHOOSE(CONTROL!$C$22, $C$13, 100%, $E$13)</f>
        <v>13.6655</v>
      </c>
      <c r="H727" s="64">
        <f>22.5309* CHOOSE(CONTROL!$C$22, $C$13, 100%, $E$13)</f>
        <v>22.530899999999999</v>
      </c>
      <c r="I727" s="64">
        <f>22.5309 * CHOOSE(CONTROL!$C$22, $C$13, 100%, $E$13)</f>
        <v>22.530899999999999</v>
      </c>
      <c r="J727" s="64">
        <f>13.6654 * CHOOSE(CONTROL!$C$22, $C$13, 100%, $E$13)</f>
        <v>13.6654</v>
      </c>
      <c r="K727" s="64">
        <f>13.6655 * CHOOSE(CONTROL!$C$22, $C$13, 100%, $E$13)</f>
        <v>13.6655</v>
      </c>
    </row>
    <row r="728" spans="1:11" ht="15">
      <c r="A728" s="13">
        <v>63645</v>
      </c>
      <c r="B728" s="63">
        <f>11.9569 * CHOOSE(CONTROL!$C$22, $C$13, 100%, $E$13)</f>
        <v>11.956899999999999</v>
      </c>
      <c r="C728" s="63">
        <f>11.9569 * CHOOSE(CONTROL!$C$22, $C$13, 100%, $E$13)</f>
        <v>11.956899999999999</v>
      </c>
      <c r="D728" s="63">
        <f>11.9569 * CHOOSE(CONTROL!$C$22, $C$13, 100%, $E$13)</f>
        <v>11.956899999999999</v>
      </c>
      <c r="E728" s="64">
        <f>13.8645 * CHOOSE(CONTROL!$C$22, $C$13, 100%, $E$13)</f>
        <v>13.8645</v>
      </c>
      <c r="F728" s="64">
        <f>13.8645 * CHOOSE(CONTROL!$C$22, $C$13, 100%, $E$13)</f>
        <v>13.8645</v>
      </c>
      <c r="G728" s="64">
        <f>13.8645 * CHOOSE(CONTROL!$C$22, $C$13, 100%, $E$13)</f>
        <v>13.8645</v>
      </c>
      <c r="H728" s="64">
        <f>22.5778* CHOOSE(CONTROL!$C$22, $C$13, 100%, $E$13)</f>
        <v>22.5778</v>
      </c>
      <c r="I728" s="64">
        <f>22.5779 * CHOOSE(CONTROL!$C$22, $C$13, 100%, $E$13)</f>
        <v>22.5779</v>
      </c>
      <c r="J728" s="64">
        <f>13.8645 * CHOOSE(CONTROL!$C$22, $C$13, 100%, $E$13)</f>
        <v>13.8645</v>
      </c>
      <c r="K728" s="64">
        <f>13.8645 * CHOOSE(CONTROL!$C$22, $C$13, 100%, $E$13)</f>
        <v>13.8645</v>
      </c>
    </row>
    <row r="729" spans="1:11" ht="15">
      <c r="A729" s="13">
        <v>63675</v>
      </c>
      <c r="B729" s="63">
        <f>11.9569 * CHOOSE(CONTROL!$C$22, $C$13, 100%, $E$13)</f>
        <v>11.956899999999999</v>
      </c>
      <c r="C729" s="63">
        <f>11.9569 * CHOOSE(CONTROL!$C$22, $C$13, 100%, $E$13)</f>
        <v>11.956899999999999</v>
      </c>
      <c r="D729" s="63">
        <f>11.9698 * CHOOSE(CONTROL!$C$22, $C$13, 100%, $E$13)</f>
        <v>11.969799999999999</v>
      </c>
      <c r="E729" s="64">
        <f>13.9407 * CHOOSE(CONTROL!$C$22, $C$13, 100%, $E$13)</f>
        <v>13.9407</v>
      </c>
      <c r="F729" s="64">
        <f>13.9407 * CHOOSE(CONTROL!$C$22, $C$13, 100%, $E$13)</f>
        <v>13.9407</v>
      </c>
      <c r="G729" s="64">
        <f>13.9564 * CHOOSE(CONTROL!$C$22, $C$13, 100%, $E$13)</f>
        <v>13.9564</v>
      </c>
      <c r="H729" s="64">
        <f>22.6248* CHOOSE(CONTROL!$C$22, $C$13, 100%, $E$13)</f>
        <v>22.6248</v>
      </c>
      <c r="I729" s="64">
        <f>22.6405 * CHOOSE(CONTROL!$C$22, $C$13, 100%, $E$13)</f>
        <v>22.640499999999999</v>
      </c>
      <c r="J729" s="64">
        <f>13.9407 * CHOOSE(CONTROL!$C$22, $C$13, 100%, $E$13)</f>
        <v>13.9407</v>
      </c>
      <c r="K729" s="64">
        <f>13.9564 * CHOOSE(CONTROL!$C$22, $C$13, 100%, $E$13)</f>
        <v>13.9564</v>
      </c>
    </row>
    <row r="730" spans="1:11" ht="15">
      <c r="A730" s="13">
        <v>63706</v>
      </c>
      <c r="B730" s="63">
        <f>11.9629 * CHOOSE(CONTROL!$C$22, $C$13, 100%, $E$13)</f>
        <v>11.962899999999999</v>
      </c>
      <c r="C730" s="63">
        <f>11.9629 * CHOOSE(CONTROL!$C$22, $C$13, 100%, $E$13)</f>
        <v>11.962899999999999</v>
      </c>
      <c r="D730" s="63">
        <f>11.9759 * CHOOSE(CONTROL!$C$22, $C$13, 100%, $E$13)</f>
        <v>11.975899999999999</v>
      </c>
      <c r="E730" s="64">
        <f>13.8687 * CHOOSE(CONTROL!$C$22, $C$13, 100%, $E$13)</f>
        <v>13.8687</v>
      </c>
      <c r="F730" s="64">
        <f>13.8687 * CHOOSE(CONTROL!$C$22, $C$13, 100%, $E$13)</f>
        <v>13.8687</v>
      </c>
      <c r="G730" s="64">
        <f>13.8844 * CHOOSE(CONTROL!$C$22, $C$13, 100%, $E$13)</f>
        <v>13.884399999999999</v>
      </c>
      <c r="H730" s="64">
        <f>22.672* CHOOSE(CONTROL!$C$22, $C$13, 100%, $E$13)</f>
        <v>22.672000000000001</v>
      </c>
      <c r="I730" s="64">
        <f>22.6877 * CHOOSE(CONTROL!$C$22, $C$13, 100%, $E$13)</f>
        <v>22.6877</v>
      </c>
      <c r="J730" s="64">
        <f>13.8687 * CHOOSE(CONTROL!$C$22, $C$13, 100%, $E$13)</f>
        <v>13.8687</v>
      </c>
      <c r="K730" s="64">
        <f>13.8844 * CHOOSE(CONTROL!$C$22, $C$13, 100%, $E$13)</f>
        <v>13.884399999999999</v>
      </c>
    </row>
    <row r="731" spans="1:11" ht="15">
      <c r="A731" s="13">
        <v>63736</v>
      </c>
      <c r="B731" s="63">
        <f>12.1458 * CHOOSE(CONTROL!$C$22, $C$13, 100%, $E$13)</f>
        <v>12.145799999999999</v>
      </c>
      <c r="C731" s="63">
        <f>12.1458 * CHOOSE(CONTROL!$C$22, $C$13, 100%, $E$13)</f>
        <v>12.145799999999999</v>
      </c>
      <c r="D731" s="63">
        <f>12.1588 * CHOOSE(CONTROL!$C$22, $C$13, 100%, $E$13)</f>
        <v>12.158799999999999</v>
      </c>
      <c r="E731" s="64">
        <f>14.0909 * CHOOSE(CONTROL!$C$22, $C$13, 100%, $E$13)</f>
        <v>14.0909</v>
      </c>
      <c r="F731" s="64">
        <f>14.0909 * CHOOSE(CONTROL!$C$22, $C$13, 100%, $E$13)</f>
        <v>14.0909</v>
      </c>
      <c r="G731" s="64">
        <f>14.1066 * CHOOSE(CONTROL!$C$22, $C$13, 100%, $E$13)</f>
        <v>14.1066</v>
      </c>
      <c r="H731" s="64">
        <f>22.7192* CHOOSE(CONTROL!$C$22, $C$13, 100%, $E$13)</f>
        <v>22.719200000000001</v>
      </c>
      <c r="I731" s="64">
        <f>22.7349 * CHOOSE(CONTROL!$C$22, $C$13, 100%, $E$13)</f>
        <v>22.7349</v>
      </c>
      <c r="J731" s="64">
        <f>14.0909 * CHOOSE(CONTROL!$C$22, $C$13, 100%, $E$13)</f>
        <v>14.0909</v>
      </c>
      <c r="K731" s="64">
        <f>14.1066 * CHOOSE(CONTROL!$C$22, $C$13, 100%, $E$13)</f>
        <v>14.1066</v>
      </c>
    </row>
    <row r="732" spans="1:11" ht="15">
      <c r="A732" s="13">
        <v>63767</v>
      </c>
      <c r="B732" s="63">
        <f>12.1525 * CHOOSE(CONTROL!$C$22, $C$13, 100%, $E$13)</f>
        <v>12.1525</v>
      </c>
      <c r="C732" s="63">
        <f>12.1525 * CHOOSE(CONTROL!$C$22, $C$13, 100%, $E$13)</f>
        <v>12.1525</v>
      </c>
      <c r="D732" s="63">
        <f>12.1655 * CHOOSE(CONTROL!$C$22, $C$13, 100%, $E$13)</f>
        <v>12.1655</v>
      </c>
      <c r="E732" s="64">
        <f>13.8668 * CHOOSE(CONTROL!$C$22, $C$13, 100%, $E$13)</f>
        <v>13.8668</v>
      </c>
      <c r="F732" s="64">
        <f>13.8668 * CHOOSE(CONTROL!$C$22, $C$13, 100%, $E$13)</f>
        <v>13.8668</v>
      </c>
      <c r="G732" s="64">
        <f>13.8825 * CHOOSE(CONTROL!$C$22, $C$13, 100%, $E$13)</f>
        <v>13.8825</v>
      </c>
      <c r="H732" s="64">
        <f>22.7665* CHOOSE(CONTROL!$C$22, $C$13, 100%, $E$13)</f>
        <v>22.766500000000001</v>
      </c>
      <c r="I732" s="64">
        <f>22.7822 * CHOOSE(CONTROL!$C$22, $C$13, 100%, $E$13)</f>
        <v>22.7822</v>
      </c>
      <c r="J732" s="64">
        <f>13.8668 * CHOOSE(CONTROL!$C$22, $C$13, 100%, $E$13)</f>
        <v>13.8668</v>
      </c>
      <c r="K732" s="64">
        <f>13.8825 * CHOOSE(CONTROL!$C$22, $C$13, 100%, $E$13)</f>
        <v>13.8825</v>
      </c>
    </row>
    <row r="733" spans="1:11" ht="15">
      <c r="A733" s="13">
        <v>63798</v>
      </c>
      <c r="B733" s="63">
        <f>12.1495 * CHOOSE(CONTROL!$C$22, $C$13, 100%, $E$13)</f>
        <v>12.1495</v>
      </c>
      <c r="C733" s="63">
        <f>12.1495 * CHOOSE(CONTROL!$C$22, $C$13, 100%, $E$13)</f>
        <v>12.1495</v>
      </c>
      <c r="D733" s="63">
        <f>12.1624 * CHOOSE(CONTROL!$C$22, $C$13, 100%, $E$13)</f>
        <v>12.1624</v>
      </c>
      <c r="E733" s="64">
        <f>13.8393 * CHOOSE(CONTROL!$C$22, $C$13, 100%, $E$13)</f>
        <v>13.8393</v>
      </c>
      <c r="F733" s="64">
        <f>13.8393 * CHOOSE(CONTROL!$C$22, $C$13, 100%, $E$13)</f>
        <v>13.8393</v>
      </c>
      <c r="G733" s="64">
        <f>13.855 * CHOOSE(CONTROL!$C$22, $C$13, 100%, $E$13)</f>
        <v>13.855</v>
      </c>
      <c r="H733" s="64">
        <f>22.814* CHOOSE(CONTROL!$C$22, $C$13, 100%, $E$13)</f>
        <v>22.814</v>
      </c>
      <c r="I733" s="64">
        <f>22.8296 * CHOOSE(CONTROL!$C$22, $C$13, 100%, $E$13)</f>
        <v>22.829599999999999</v>
      </c>
      <c r="J733" s="64">
        <f>13.8393 * CHOOSE(CONTROL!$C$22, $C$13, 100%, $E$13)</f>
        <v>13.8393</v>
      </c>
      <c r="K733" s="64">
        <f>13.855 * CHOOSE(CONTROL!$C$22, $C$13, 100%, $E$13)</f>
        <v>13.855</v>
      </c>
    </row>
    <row r="734" spans="1:11" ht="15">
      <c r="A734" s="13">
        <v>63828</v>
      </c>
      <c r="B734" s="63">
        <f>12.1708 * CHOOSE(CONTROL!$C$22, $C$13, 100%, $E$13)</f>
        <v>12.1708</v>
      </c>
      <c r="C734" s="63">
        <f>12.1708 * CHOOSE(CONTROL!$C$22, $C$13, 100%, $E$13)</f>
        <v>12.1708</v>
      </c>
      <c r="D734" s="63">
        <f>12.1708 * CHOOSE(CONTROL!$C$22, $C$13, 100%, $E$13)</f>
        <v>12.1708</v>
      </c>
      <c r="E734" s="64">
        <f>13.9276 * CHOOSE(CONTROL!$C$22, $C$13, 100%, $E$13)</f>
        <v>13.9276</v>
      </c>
      <c r="F734" s="64">
        <f>13.9276 * CHOOSE(CONTROL!$C$22, $C$13, 100%, $E$13)</f>
        <v>13.9276</v>
      </c>
      <c r="G734" s="64">
        <f>13.9276 * CHOOSE(CONTROL!$C$22, $C$13, 100%, $E$13)</f>
        <v>13.9276</v>
      </c>
      <c r="H734" s="64">
        <f>22.8615* CHOOSE(CONTROL!$C$22, $C$13, 100%, $E$13)</f>
        <v>22.861499999999999</v>
      </c>
      <c r="I734" s="64">
        <f>22.8616 * CHOOSE(CONTROL!$C$22, $C$13, 100%, $E$13)</f>
        <v>22.861599999999999</v>
      </c>
      <c r="J734" s="64">
        <f>13.9276 * CHOOSE(CONTROL!$C$22, $C$13, 100%, $E$13)</f>
        <v>13.9276</v>
      </c>
      <c r="K734" s="64">
        <f>13.9276 * CHOOSE(CONTROL!$C$22, $C$13, 100%, $E$13)</f>
        <v>13.9276</v>
      </c>
    </row>
    <row r="735" spans="1:11" ht="15">
      <c r="A735" s="13">
        <v>63859</v>
      </c>
      <c r="B735" s="63">
        <f>12.1739 * CHOOSE(CONTROL!$C$22, $C$13, 100%, $E$13)</f>
        <v>12.1739</v>
      </c>
      <c r="C735" s="63">
        <f>12.1739 * CHOOSE(CONTROL!$C$22, $C$13, 100%, $E$13)</f>
        <v>12.1739</v>
      </c>
      <c r="D735" s="63">
        <f>12.1739 * CHOOSE(CONTROL!$C$22, $C$13, 100%, $E$13)</f>
        <v>12.1739</v>
      </c>
      <c r="E735" s="64">
        <f>13.9805 * CHOOSE(CONTROL!$C$22, $C$13, 100%, $E$13)</f>
        <v>13.980499999999999</v>
      </c>
      <c r="F735" s="64">
        <f>13.9805 * CHOOSE(CONTROL!$C$22, $C$13, 100%, $E$13)</f>
        <v>13.980499999999999</v>
      </c>
      <c r="G735" s="64">
        <f>13.9806 * CHOOSE(CONTROL!$C$22, $C$13, 100%, $E$13)</f>
        <v>13.980600000000001</v>
      </c>
      <c r="H735" s="64">
        <f>22.9091* CHOOSE(CONTROL!$C$22, $C$13, 100%, $E$13)</f>
        <v>22.909099999999999</v>
      </c>
      <c r="I735" s="64">
        <f>22.9092 * CHOOSE(CONTROL!$C$22, $C$13, 100%, $E$13)</f>
        <v>22.909199999999998</v>
      </c>
      <c r="J735" s="64">
        <f>13.9805 * CHOOSE(CONTROL!$C$22, $C$13, 100%, $E$13)</f>
        <v>13.980499999999999</v>
      </c>
      <c r="K735" s="64">
        <f>13.9806 * CHOOSE(CONTROL!$C$22, $C$13, 100%, $E$13)</f>
        <v>13.980600000000001</v>
      </c>
    </row>
    <row r="736" spans="1:11" ht="15">
      <c r="A736" s="13">
        <v>63889</v>
      </c>
      <c r="B736" s="63">
        <f>12.1739 * CHOOSE(CONTROL!$C$22, $C$13, 100%, $E$13)</f>
        <v>12.1739</v>
      </c>
      <c r="C736" s="63">
        <f>12.1739 * CHOOSE(CONTROL!$C$22, $C$13, 100%, $E$13)</f>
        <v>12.1739</v>
      </c>
      <c r="D736" s="63">
        <f>12.1739 * CHOOSE(CONTROL!$C$22, $C$13, 100%, $E$13)</f>
        <v>12.1739</v>
      </c>
      <c r="E736" s="64">
        <f>13.8534 * CHOOSE(CONTROL!$C$22, $C$13, 100%, $E$13)</f>
        <v>13.853400000000001</v>
      </c>
      <c r="F736" s="64">
        <f>13.8534 * CHOOSE(CONTROL!$C$22, $C$13, 100%, $E$13)</f>
        <v>13.853400000000001</v>
      </c>
      <c r="G736" s="64">
        <f>13.8535 * CHOOSE(CONTROL!$C$22, $C$13, 100%, $E$13)</f>
        <v>13.8535</v>
      </c>
      <c r="H736" s="64">
        <f>22.9569* CHOOSE(CONTROL!$C$22, $C$13, 100%, $E$13)</f>
        <v>22.956900000000001</v>
      </c>
      <c r="I736" s="64">
        <f>22.9569 * CHOOSE(CONTROL!$C$22, $C$13, 100%, $E$13)</f>
        <v>22.956900000000001</v>
      </c>
      <c r="J736" s="64">
        <f>13.8534 * CHOOSE(CONTROL!$C$22, $C$13, 100%, $E$13)</f>
        <v>13.853400000000001</v>
      </c>
      <c r="K736" s="64">
        <f>13.8535 * CHOOSE(CONTROL!$C$22, $C$13, 100%, $E$13)</f>
        <v>13.8535</v>
      </c>
    </row>
    <row r="737" spans="1:11" ht="15">
      <c r="A737" s="13">
        <v>63920</v>
      </c>
      <c r="B737" s="63">
        <f>12.1942 * CHOOSE(CONTROL!$C$22, $C$13, 100%, $E$13)</f>
        <v>12.1942</v>
      </c>
      <c r="C737" s="63">
        <f>12.1942 * CHOOSE(CONTROL!$C$22, $C$13, 100%, $E$13)</f>
        <v>12.1942</v>
      </c>
      <c r="D737" s="63">
        <f>12.1942 * CHOOSE(CONTROL!$C$22, $C$13, 100%, $E$13)</f>
        <v>12.1942</v>
      </c>
      <c r="E737" s="64">
        <f>13.9752 * CHOOSE(CONTROL!$C$22, $C$13, 100%, $E$13)</f>
        <v>13.975199999999999</v>
      </c>
      <c r="F737" s="64">
        <f>13.9752 * CHOOSE(CONTROL!$C$22, $C$13, 100%, $E$13)</f>
        <v>13.975199999999999</v>
      </c>
      <c r="G737" s="64">
        <f>13.9752 * CHOOSE(CONTROL!$C$22, $C$13, 100%, $E$13)</f>
        <v>13.975199999999999</v>
      </c>
      <c r="H737" s="64">
        <f>22.8643* CHOOSE(CONTROL!$C$22, $C$13, 100%, $E$13)</f>
        <v>22.8643</v>
      </c>
      <c r="I737" s="64">
        <f>22.8644 * CHOOSE(CONTROL!$C$22, $C$13, 100%, $E$13)</f>
        <v>22.8644</v>
      </c>
      <c r="J737" s="64">
        <f>13.9752 * CHOOSE(CONTROL!$C$22, $C$13, 100%, $E$13)</f>
        <v>13.975199999999999</v>
      </c>
      <c r="K737" s="64">
        <f>13.9752 * CHOOSE(CONTROL!$C$22, $C$13, 100%, $E$13)</f>
        <v>13.975199999999999</v>
      </c>
    </row>
    <row r="738" spans="1:11" ht="15">
      <c r="A738" s="13">
        <v>63951</v>
      </c>
      <c r="B738" s="63">
        <f>12.1911 * CHOOSE(CONTROL!$C$22, $C$13, 100%, $E$13)</f>
        <v>12.1911</v>
      </c>
      <c r="C738" s="63">
        <f>12.1911 * CHOOSE(CONTROL!$C$22, $C$13, 100%, $E$13)</f>
        <v>12.1911</v>
      </c>
      <c r="D738" s="63">
        <f>12.1911 * CHOOSE(CONTROL!$C$22, $C$13, 100%, $E$13)</f>
        <v>12.1911</v>
      </c>
      <c r="E738" s="64">
        <f>13.728 * CHOOSE(CONTROL!$C$22, $C$13, 100%, $E$13)</f>
        <v>13.728</v>
      </c>
      <c r="F738" s="64">
        <f>13.728 * CHOOSE(CONTROL!$C$22, $C$13, 100%, $E$13)</f>
        <v>13.728</v>
      </c>
      <c r="G738" s="64">
        <f>13.728 * CHOOSE(CONTROL!$C$22, $C$13, 100%, $E$13)</f>
        <v>13.728</v>
      </c>
      <c r="H738" s="64">
        <f>22.9119* CHOOSE(CONTROL!$C$22, $C$13, 100%, $E$13)</f>
        <v>22.911899999999999</v>
      </c>
      <c r="I738" s="64">
        <f>22.912 * CHOOSE(CONTROL!$C$22, $C$13, 100%, $E$13)</f>
        <v>22.911999999999999</v>
      </c>
      <c r="J738" s="64">
        <f>13.728 * CHOOSE(CONTROL!$C$22, $C$13, 100%, $E$13)</f>
        <v>13.728</v>
      </c>
      <c r="K738" s="64">
        <f>13.728 * CHOOSE(CONTROL!$C$22, $C$13, 100%, $E$13)</f>
        <v>13.728</v>
      </c>
    </row>
    <row r="739" spans="1:11" ht="15">
      <c r="A739" s="13">
        <v>63979</v>
      </c>
      <c r="B739" s="63">
        <f>12.1881 * CHOOSE(CONTROL!$C$22, $C$13, 100%, $E$13)</f>
        <v>12.1881</v>
      </c>
      <c r="C739" s="63">
        <f>12.1881 * CHOOSE(CONTROL!$C$22, $C$13, 100%, $E$13)</f>
        <v>12.1881</v>
      </c>
      <c r="D739" s="63">
        <f>12.1881 * CHOOSE(CONTROL!$C$22, $C$13, 100%, $E$13)</f>
        <v>12.1881</v>
      </c>
      <c r="E739" s="64">
        <f>13.9191 * CHOOSE(CONTROL!$C$22, $C$13, 100%, $E$13)</f>
        <v>13.9191</v>
      </c>
      <c r="F739" s="64">
        <f>13.9191 * CHOOSE(CONTROL!$C$22, $C$13, 100%, $E$13)</f>
        <v>13.9191</v>
      </c>
      <c r="G739" s="64">
        <f>13.9191 * CHOOSE(CONTROL!$C$22, $C$13, 100%, $E$13)</f>
        <v>13.9191</v>
      </c>
      <c r="H739" s="64">
        <f>22.9597* CHOOSE(CONTROL!$C$22, $C$13, 100%, $E$13)</f>
        <v>22.959700000000002</v>
      </c>
      <c r="I739" s="64">
        <f>22.9597 * CHOOSE(CONTROL!$C$22, $C$13, 100%, $E$13)</f>
        <v>22.959700000000002</v>
      </c>
      <c r="J739" s="64">
        <f>13.9191 * CHOOSE(CONTROL!$C$22, $C$13, 100%, $E$13)</f>
        <v>13.9191</v>
      </c>
      <c r="K739" s="64">
        <f>13.9191 * CHOOSE(CONTROL!$C$22, $C$13, 100%, $E$13)</f>
        <v>13.9191</v>
      </c>
    </row>
    <row r="740" spans="1:11" ht="15">
      <c r="A740" s="13">
        <v>64010</v>
      </c>
      <c r="B740" s="63">
        <f>12.1926 * CHOOSE(CONTROL!$C$22, $C$13, 100%, $E$13)</f>
        <v>12.192600000000001</v>
      </c>
      <c r="C740" s="63">
        <f>12.1926 * CHOOSE(CONTROL!$C$22, $C$13, 100%, $E$13)</f>
        <v>12.192600000000001</v>
      </c>
      <c r="D740" s="63">
        <f>12.1926 * CHOOSE(CONTROL!$C$22, $C$13, 100%, $E$13)</f>
        <v>12.192600000000001</v>
      </c>
      <c r="E740" s="64">
        <f>14.1223 * CHOOSE(CONTROL!$C$22, $C$13, 100%, $E$13)</f>
        <v>14.122299999999999</v>
      </c>
      <c r="F740" s="64">
        <f>14.1223 * CHOOSE(CONTROL!$C$22, $C$13, 100%, $E$13)</f>
        <v>14.122299999999999</v>
      </c>
      <c r="G740" s="64">
        <f>14.1224 * CHOOSE(CONTROL!$C$22, $C$13, 100%, $E$13)</f>
        <v>14.122400000000001</v>
      </c>
      <c r="H740" s="64">
        <f>23.0075* CHOOSE(CONTROL!$C$22, $C$13, 100%, $E$13)</f>
        <v>23.0075</v>
      </c>
      <c r="I740" s="64">
        <f>23.0076 * CHOOSE(CONTROL!$C$22, $C$13, 100%, $E$13)</f>
        <v>23.0076</v>
      </c>
      <c r="J740" s="64">
        <f>14.1223 * CHOOSE(CONTROL!$C$22, $C$13, 100%, $E$13)</f>
        <v>14.122299999999999</v>
      </c>
      <c r="K740" s="64">
        <f>14.1224 * CHOOSE(CONTROL!$C$22, $C$13, 100%, $E$13)</f>
        <v>14.122400000000001</v>
      </c>
    </row>
    <row r="741" spans="1:11" ht="15">
      <c r="A741" s="13">
        <v>64040</v>
      </c>
      <c r="B741" s="63">
        <f>12.1926 * CHOOSE(CONTROL!$C$22, $C$13, 100%, $E$13)</f>
        <v>12.192600000000001</v>
      </c>
      <c r="C741" s="63">
        <f>12.1926 * CHOOSE(CONTROL!$C$22, $C$13, 100%, $E$13)</f>
        <v>12.192600000000001</v>
      </c>
      <c r="D741" s="63">
        <f>12.2056 * CHOOSE(CONTROL!$C$22, $C$13, 100%, $E$13)</f>
        <v>12.2056</v>
      </c>
      <c r="E741" s="64">
        <f>14.2001 * CHOOSE(CONTROL!$C$22, $C$13, 100%, $E$13)</f>
        <v>14.200100000000001</v>
      </c>
      <c r="F741" s="64">
        <f>14.2001 * CHOOSE(CONTROL!$C$22, $C$13, 100%, $E$13)</f>
        <v>14.200100000000001</v>
      </c>
      <c r="G741" s="64">
        <f>14.2158 * CHOOSE(CONTROL!$C$22, $C$13, 100%, $E$13)</f>
        <v>14.2158</v>
      </c>
      <c r="H741" s="64">
        <f>23.0554* CHOOSE(CONTROL!$C$22, $C$13, 100%, $E$13)</f>
        <v>23.055399999999999</v>
      </c>
      <c r="I741" s="64">
        <f>23.0711 * CHOOSE(CONTROL!$C$22, $C$13, 100%, $E$13)</f>
        <v>23.071100000000001</v>
      </c>
      <c r="J741" s="64">
        <f>14.2001 * CHOOSE(CONTROL!$C$22, $C$13, 100%, $E$13)</f>
        <v>14.200100000000001</v>
      </c>
      <c r="K741" s="64">
        <f>14.2158 * CHOOSE(CONTROL!$C$22, $C$13, 100%, $E$13)</f>
        <v>14.2158</v>
      </c>
    </row>
    <row r="742" spans="1:11" ht="15">
      <c r="A742" s="13">
        <v>64071</v>
      </c>
      <c r="B742" s="63">
        <f>12.1987 * CHOOSE(CONTROL!$C$22, $C$13, 100%, $E$13)</f>
        <v>12.198700000000001</v>
      </c>
      <c r="C742" s="63">
        <f>12.1987 * CHOOSE(CONTROL!$C$22, $C$13, 100%, $E$13)</f>
        <v>12.198700000000001</v>
      </c>
      <c r="D742" s="63">
        <f>12.2117 * CHOOSE(CONTROL!$C$22, $C$13, 100%, $E$13)</f>
        <v>12.2117</v>
      </c>
      <c r="E742" s="64">
        <f>14.1266 * CHOOSE(CONTROL!$C$22, $C$13, 100%, $E$13)</f>
        <v>14.1266</v>
      </c>
      <c r="F742" s="64">
        <f>14.1266 * CHOOSE(CONTROL!$C$22, $C$13, 100%, $E$13)</f>
        <v>14.1266</v>
      </c>
      <c r="G742" s="64">
        <f>14.1422 * CHOOSE(CONTROL!$C$22, $C$13, 100%, $E$13)</f>
        <v>14.142200000000001</v>
      </c>
      <c r="H742" s="64">
        <f>23.1035* CHOOSE(CONTROL!$C$22, $C$13, 100%, $E$13)</f>
        <v>23.1035</v>
      </c>
      <c r="I742" s="64">
        <f>23.1191 * CHOOSE(CONTROL!$C$22, $C$13, 100%, $E$13)</f>
        <v>23.1191</v>
      </c>
      <c r="J742" s="64">
        <f>14.1266 * CHOOSE(CONTROL!$C$22, $C$13, 100%, $E$13)</f>
        <v>14.1266</v>
      </c>
      <c r="K742" s="64">
        <f>14.1422 * CHOOSE(CONTROL!$C$22, $C$13, 100%, $E$13)</f>
        <v>14.142200000000001</v>
      </c>
    </row>
    <row r="743" spans="1:11" ht="15">
      <c r="A743" s="13">
        <v>64101</v>
      </c>
      <c r="B743" s="63">
        <f>12.385 * CHOOSE(CONTROL!$C$22, $C$13, 100%, $E$13)</f>
        <v>12.385</v>
      </c>
      <c r="C743" s="63">
        <f>12.385 * CHOOSE(CONTROL!$C$22, $C$13, 100%, $E$13)</f>
        <v>12.385</v>
      </c>
      <c r="D743" s="63">
        <f>12.398 * CHOOSE(CONTROL!$C$22, $C$13, 100%, $E$13)</f>
        <v>12.398</v>
      </c>
      <c r="E743" s="64">
        <f>14.3527 * CHOOSE(CONTROL!$C$22, $C$13, 100%, $E$13)</f>
        <v>14.3527</v>
      </c>
      <c r="F743" s="64">
        <f>14.3527 * CHOOSE(CONTROL!$C$22, $C$13, 100%, $E$13)</f>
        <v>14.3527</v>
      </c>
      <c r="G743" s="64">
        <f>14.3684 * CHOOSE(CONTROL!$C$22, $C$13, 100%, $E$13)</f>
        <v>14.368399999999999</v>
      </c>
      <c r="H743" s="64">
        <f>23.1516* CHOOSE(CONTROL!$C$22, $C$13, 100%, $E$13)</f>
        <v>23.151599999999998</v>
      </c>
      <c r="I743" s="64">
        <f>23.1673 * CHOOSE(CONTROL!$C$22, $C$13, 100%, $E$13)</f>
        <v>23.167300000000001</v>
      </c>
      <c r="J743" s="64">
        <f>14.3527 * CHOOSE(CONTROL!$C$22, $C$13, 100%, $E$13)</f>
        <v>14.3527</v>
      </c>
      <c r="K743" s="64">
        <f>14.3684 * CHOOSE(CONTROL!$C$22, $C$13, 100%, $E$13)</f>
        <v>14.368399999999999</v>
      </c>
    </row>
    <row r="744" spans="1:11" ht="15">
      <c r="A744" s="13">
        <v>64132</v>
      </c>
      <c r="B744" s="63">
        <f>12.3917 * CHOOSE(CONTROL!$C$22, $C$13, 100%, $E$13)</f>
        <v>12.3917</v>
      </c>
      <c r="C744" s="63">
        <f>12.3917 * CHOOSE(CONTROL!$C$22, $C$13, 100%, $E$13)</f>
        <v>12.3917</v>
      </c>
      <c r="D744" s="63">
        <f>12.4046 * CHOOSE(CONTROL!$C$22, $C$13, 100%, $E$13)</f>
        <v>12.4046</v>
      </c>
      <c r="E744" s="64">
        <f>14.1239 * CHOOSE(CONTROL!$C$22, $C$13, 100%, $E$13)</f>
        <v>14.123900000000001</v>
      </c>
      <c r="F744" s="64">
        <f>14.1239 * CHOOSE(CONTROL!$C$22, $C$13, 100%, $E$13)</f>
        <v>14.123900000000001</v>
      </c>
      <c r="G744" s="64">
        <f>14.1396 * CHOOSE(CONTROL!$C$22, $C$13, 100%, $E$13)</f>
        <v>14.1396</v>
      </c>
      <c r="H744" s="64">
        <f>23.1998* CHOOSE(CONTROL!$C$22, $C$13, 100%, $E$13)</f>
        <v>23.1998</v>
      </c>
      <c r="I744" s="64">
        <f>23.2155 * CHOOSE(CONTROL!$C$22, $C$13, 100%, $E$13)</f>
        <v>23.215499999999999</v>
      </c>
      <c r="J744" s="64">
        <f>14.1239 * CHOOSE(CONTROL!$C$22, $C$13, 100%, $E$13)</f>
        <v>14.123900000000001</v>
      </c>
      <c r="K744" s="64">
        <f>14.1396 * CHOOSE(CONTROL!$C$22, $C$13, 100%, $E$13)</f>
        <v>14.1396</v>
      </c>
    </row>
    <row r="745" spans="1:11" ht="15">
      <c r="A745" s="13">
        <v>64163</v>
      </c>
      <c r="B745" s="63">
        <f>12.3886 * CHOOSE(CONTROL!$C$22, $C$13, 100%, $E$13)</f>
        <v>12.3886</v>
      </c>
      <c r="C745" s="63">
        <f>12.3886 * CHOOSE(CONTROL!$C$22, $C$13, 100%, $E$13)</f>
        <v>12.3886</v>
      </c>
      <c r="D745" s="63">
        <f>12.4016 * CHOOSE(CONTROL!$C$22, $C$13, 100%, $E$13)</f>
        <v>12.4016</v>
      </c>
      <c r="E745" s="64">
        <f>14.0959 * CHOOSE(CONTROL!$C$22, $C$13, 100%, $E$13)</f>
        <v>14.0959</v>
      </c>
      <c r="F745" s="64">
        <f>14.0959 * CHOOSE(CONTROL!$C$22, $C$13, 100%, $E$13)</f>
        <v>14.0959</v>
      </c>
      <c r="G745" s="64">
        <f>14.1115 * CHOOSE(CONTROL!$C$22, $C$13, 100%, $E$13)</f>
        <v>14.111499999999999</v>
      </c>
      <c r="H745" s="64">
        <f>23.2482* CHOOSE(CONTROL!$C$22, $C$13, 100%, $E$13)</f>
        <v>23.248200000000001</v>
      </c>
      <c r="I745" s="64">
        <f>23.2638 * CHOOSE(CONTROL!$C$22, $C$13, 100%, $E$13)</f>
        <v>23.2638</v>
      </c>
      <c r="J745" s="64">
        <f>14.0959 * CHOOSE(CONTROL!$C$22, $C$13, 100%, $E$13)</f>
        <v>14.0959</v>
      </c>
      <c r="K745" s="64">
        <f>14.1115 * CHOOSE(CONTROL!$C$22, $C$13, 100%, $E$13)</f>
        <v>14.111499999999999</v>
      </c>
    </row>
    <row r="746" spans="1:11" ht="15">
      <c r="A746" s="13">
        <v>64193</v>
      </c>
      <c r="B746" s="63">
        <f>12.4108 * CHOOSE(CONTROL!$C$22, $C$13, 100%, $E$13)</f>
        <v>12.4108</v>
      </c>
      <c r="C746" s="63">
        <f>12.4108 * CHOOSE(CONTROL!$C$22, $C$13, 100%, $E$13)</f>
        <v>12.4108</v>
      </c>
      <c r="D746" s="63">
        <f>12.4108 * CHOOSE(CONTROL!$C$22, $C$13, 100%, $E$13)</f>
        <v>12.4108</v>
      </c>
      <c r="E746" s="64">
        <f>14.1862 * CHOOSE(CONTROL!$C$22, $C$13, 100%, $E$13)</f>
        <v>14.186199999999999</v>
      </c>
      <c r="F746" s="64">
        <f>14.1862 * CHOOSE(CONTROL!$C$22, $C$13, 100%, $E$13)</f>
        <v>14.186199999999999</v>
      </c>
      <c r="G746" s="64">
        <f>14.1863 * CHOOSE(CONTROL!$C$22, $C$13, 100%, $E$13)</f>
        <v>14.186299999999999</v>
      </c>
      <c r="H746" s="64">
        <f>23.2966* CHOOSE(CONTROL!$C$22, $C$13, 100%, $E$13)</f>
        <v>23.296600000000002</v>
      </c>
      <c r="I746" s="64">
        <f>23.2967 * CHOOSE(CONTROL!$C$22, $C$13, 100%, $E$13)</f>
        <v>23.296700000000001</v>
      </c>
      <c r="J746" s="64">
        <f>14.1862 * CHOOSE(CONTROL!$C$22, $C$13, 100%, $E$13)</f>
        <v>14.186199999999999</v>
      </c>
      <c r="K746" s="64">
        <f>14.1863 * CHOOSE(CONTROL!$C$22, $C$13, 100%, $E$13)</f>
        <v>14.186299999999999</v>
      </c>
    </row>
    <row r="747" spans="1:11" ht="15">
      <c r="A747" s="13">
        <v>64224</v>
      </c>
      <c r="B747" s="63">
        <f>12.4138 * CHOOSE(CONTROL!$C$22, $C$13, 100%, $E$13)</f>
        <v>12.4138</v>
      </c>
      <c r="C747" s="63">
        <f>12.4138 * CHOOSE(CONTROL!$C$22, $C$13, 100%, $E$13)</f>
        <v>12.4138</v>
      </c>
      <c r="D747" s="63">
        <f>12.4138 * CHOOSE(CONTROL!$C$22, $C$13, 100%, $E$13)</f>
        <v>12.4138</v>
      </c>
      <c r="E747" s="64">
        <f>14.2402 * CHOOSE(CONTROL!$C$22, $C$13, 100%, $E$13)</f>
        <v>14.2402</v>
      </c>
      <c r="F747" s="64">
        <f>14.2402 * CHOOSE(CONTROL!$C$22, $C$13, 100%, $E$13)</f>
        <v>14.2402</v>
      </c>
      <c r="G747" s="64">
        <f>14.2403 * CHOOSE(CONTROL!$C$22, $C$13, 100%, $E$13)</f>
        <v>14.2403</v>
      </c>
      <c r="H747" s="64">
        <f>23.3451* CHOOSE(CONTROL!$C$22, $C$13, 100%, $E$13)</f>
        <v>23.345099999999999</v>
      </c>
      <c r="I747" s="64">
        <f>23.3452 * CHOOSE(CONTROL!$C$22, $C$13, 100%, $E$13)</f>
        <v>23.345199999999998</v>
      </c>
      <c r="J747" s="64">
        <f>14.2402 * CHOOSE(CONTROL!$C$22, $C$13, 100%, $E$13)</f>
        <v>14.2402</v>
      </c>
      <c r="K747" s="64">
        <f>14.2403 * CHOOSE(CONTROL!$C$22, $C$13, 100%, $E$13)</f>
        <v>14.2403</v>
      </c>
    </row>
    <row r="748" spans="1:11" ht="15">
      <c r="A748" s="13">
        <v>64254</v>
      </c>
      <c r="B748" s="63">
        <f>12.4138 * CHOOSE(CONTROL!$C$22, $C$13, 100%, $E$13)</f>
        <v>12.4138</v>
      </c>
      <c r="C748" s="63">
        <f>12.4138 * CHOOSE(CONTROL!$C$22, $C$13, 100%, $E$13)</f>
        <v>12.4138</v>
      </c>
      <c r="D748" s="63">
        <f>12.4138 * CHOOSE(CONTROL!$C$22, $C$13, 100%, $E$13)</f>
        <v>12.4138</v>
      </c>
      <c r="E748" s="64">
        <f>14.1105 * CHOOSE(CONTROL!$C$22, $C$13, 100%, $E$13)</f>
        <v>14.1105</v>
      </c>
      <c r="F748" s="64">
        <f>14.1105 * CHOOSE(CONTROL!$C$22, $C$13, 100%, $E$13)</f>
        <v>14.1105</v>
      </c>
      <c r="G748" s="64">
        <f>14.1106 * CHOOSE(CONTROL!$C$22, $C$13, 100%, $E$13)</f>
        <v>14.1106</v>
      </c>
      <c r="H748" s="64">
        <f>23.3938* CHOOSE(CONTROL!$C$22, $C$13, 100%, $E$13)</f>
        <v>23.393799999999999</v>
      </c>
      <c r="I748" s="64">
        <f>23.3938 * CHOOSE(CONTROL!$C$22, $C$13, 100%, $E$13)</f>
        <v>23.393799999999999</v>
      </c>
      <c r="J748" s="64">
        <f>14.1105 * CHOOSE(CONTROL!$C$22, $C$13, 100%, $E$13)</f>
        <v>14.1105</v>
      </c>
      <c r="K748" s="64">
        <f>14.1106 * CHOOSE(CONTROL!$C$22, $C$13, 100%, $E$13)</f>
        <v>14.1106</v>
      </c>
    </row>
    <row r="749" spans="1:11" ht="15">
      <c r="A749" s="13">
        <v>64285</v>
      </c>
      <c r="B749" s="63">
        <f>12.4297 * CHOOSE(CONTROL!$C$22, $C$13, 100%, $E$13)</f>
        <v>12.4297</v>
      </c>
      <c r="C749" s="63">
        <f>12.4297 * CHOOSE(CONTROL!$C$22, $C$13, 100%, $E$13)</f>
        <v>12.4297</v>
      </c>
      <c r="D749" s="63">
        <f>12.4297 * CHOOSE(CONTROL!$C$22, $C$13, 100%, $E$13)</f>
        <v>12.4297</v>
      </c>
      <c r="E749" s="64">
        <f>14.2299 * CHOOSE(CONTROL!$C$22, $C$13, 100%, $E$13)</f>
        <v>14.229900000000001</v>
      </c>
      <c r="F749" s="64">
        <f>14.2299 * CHOOSE(CONTROL!$C$22, $C$13, 100%, $E$13)</f>
        <v>14.229900000000001</v>
      </c>
      <c r="G749" s="64">
        <f>14.23 * CHOOSE(CONTROL!$C$22, $C$13, 100%, $E$13)</f>
        <v>14.23</v>
      </c>
      <c r="H749" s="64">
        <f>23.2913* CHOOSE(CONTROL!$C$22, $C$13, 100%, $E$13)</f>
        <v>23.2913</v>
      </c>
      <c r="I749" s="64">
        <f>23.2914 * CHOOSE(CONTROL!$C$22, $C$13, 100%, $E$13)</f>
        <v>23.291399999999999</v>
      </c>
      <c r="J749" s="64">
        <f>14.2299 * CHOOSE(CONTROL!$C$22, $C$13, 100%, $E$13)</f>
        <v>14.229900000000001</v>
      </c>
      <c r="K749" s="64">
        <f>14.23 * CHOOSE(CONTROL!$C$22, $C$13, 100%, $E$13)</f>
        <v>14.23</v>
      </c>
    </row>
    <row r="750" spans="1:11" ht="15">
      <c r="A750" s="13">
        <v>64316</v>
      </c>
      <c r="B750" s="63">
        <f>12.4267 * CHOOSE(CONTROL!$C$22, $C$13, 100%, $E$13)</f>
        <v>12.4267</v>
      </c>
      <c r="C750" s="63">
        <f>12.4267 * CHOOSE(CONTROL!$C$22, $C$13, 100%, $E$13)</f>
        <v>12.4267</v>
      </c>
      <c r="D750" s="63">
        <f>12.4267 * CHOOSE(CONTROL!$C$22, $C$13, 100%, $E$13)</f>
        <v>12.4267</v>
      </c>
      <c r="E750" s="64">
        <f>13.9777 * CHOOSE(CONTROL!$C$22, $C$13, 100%, $E$13)</f>
        <v>13.9777</v>
      </c>
      <c r="F750" s="64">
        <f>13.9777 * CHOOSE(CONTROL!$C$22, $C$13, 100%, $E$13)</f>
        <v>13.9777</v>
      </c>
      <c r="G750" s="64">
        <f>13.9778 * CHOOSE(CONTROL!$C$22, $C$13, 100%, $E$13)</f>
        <v>13.9778</v>
      </c>
      <c r="H750" s="64">
        <f>23.3398* CHOOSE(CONTROL!$C$22, $C$13, 100%, $E$13)</f>
        <v>23.3398</v>
      </c>
      <c r="I750" s="64">
        <f>23.3399 * CHOOSE(CONTROL!$C$22, $C$13, 100%, $E$13)</f>
        <v>23.3399</v>
      </c>
      <c r="J750" s="64">
        <f>13.9777 * CHOOSE(CONTROL!$C$22, $C$13, 100%, $E$13)</f>
        <v>13.9777</v>
      </c>
      <c r="K750" s="64">
        <f>13.9778 * CHOOSE(CONTROL!$C$22, $C$13, 100%, $E$13)</f>
        <v>13.9778</v>
      </c>
    </row>
    <row r="751" spans="1:11" ht="15">
      <c r="A751" s="13">
        <v>64345</v>
      </c>
      <c r="B751" s="63">
        <f>12.4237 * CHOOSE(CONTROL!$C$22, $C$13, 100%, $E$13)</f>
        <v>12.4237</v>
      </c>
      <c r="C751" s="63">
        <f>12.4237 * CHOOSE(CONTROL!$C$22, $C$13, 100%, $E$13)</f>
        <v>12.4237</v>
      </c>
      <c r="D751" s="63">
        <f>12.4237 * CHOOSE(CONTROL!$C$22, $C$13, 100%, $E$13)</f>
        <v>12.4237</v>
      </c>
      <c r="E751" s="64">
        <f>14.1727 * CHOOSE(CONTROL!$C$22, $C$13, 100%, $E$13)</f>
        <v>14.172700000000001</v>
      </c>
      <c r="F751" s="64">
        <f>14.1727 * CHOOSE(CONTROL!$C$22, $C$13, 100%, $E$13)</f>
        <v>14.172700000000001</v>
      </c>
      <c r="G751" s="64">
        <f>14.1728 * CHOOSE(CONTROL!$C$22, $C$13, 100%, $E$13)</f>
        <v>14.172800000000001</v>
      </c>
      <c r="H751" s="64">
        <f>23.3885* CHOOSE(CONTROL!$C$22, $C$13, 100%, $E$13)</f>
        <v>23.388500000000001</v>
      </c>
      <c r="I751" s="64">
        <f>23.3885 * CHOOSE(CONTROL!$C$22, $C$13, 100%, $E$13)</f>
        <v>23.388500000000001</v>
      </c>
      <c r="J751" s="64">
        <f>14.1727 * CHOOSE(CONTROL!$C$22, $C$13, 100%, $E$13)</f>
        <v>14.172700000000001</v>
      </c>
      <c r="K751" s="64">
        <f>14.1728 * CHOOSE(CONTROL!$C$22, $C$13, 100%, $E$13)</f>
        <v>14.172800000000001</v>
      </c>
    </row>
    <row r="752" spans="1:11" ht="15">
      <c r="A752" s="13">
        <v>64376</v>
      </c>
      <c r="B752" s="63">
        <f>12.4284 * CHOOSE(CONTROL!$C$22, $C$13, 100%, $E$13)</f>
        <v>12.4284</v>
      </c>
      <c r="C752" s="63">
        <f>12.4284 * CHOOSE(CONTROL!$C$22, $C$13, 100%, $E$13)</f>
        <v>12.4284</v>
      </c>
      <c r="D752" s="63">
        <f>12.4284 * CHOOSE(CONTROL!$C$22, $C$13, 100%, $E$13)</f>
        <v>12.4284</v>
      </c>
      <c r="E752" s="64">
        <f>14.3802 * CHOOSE(CONTROL!$C$22, $C$13, 100%, $E$13)</f>
        <v>14.3802</v>
      </c>
      <c r="F752" s="64">
        <f>14.3802 * CHOOSE(CONTROL!$C$22, $C$13, 100%, $E$13)</f>
        <v>14.3802</v>
      </c>
      <c r="G752" s="64">
        <f>14.3803 * CHOOSE(CONTROL!$C$22, $C$13, 100%, $E$13)</f>
        <v>14.3803</v>
      </c>
      <c r="H752" s="64">
        <f>23.4372* CHOOSE(CONTROL!$C$22, $C$13, 100%, $E$13)</f>
        <v>23.437200000000001</v>
      </c>
      <c r="I752" s="64">
        <f>23.4373 * CHOOSE(CONTROL!$C$22, $C$13, 100%, $E$13)</f>
        <v>23.4373</v>
      </c>
      <c r="J752" s="64">
        <f>14.3802 * CHOOSE(CONTROL!$C$22, $C$13, 100%, $E$13)</f>
        <v>14.3802</v>
      </c>
      <c r="K752" s="64">
        <f>14.3803 * CHOOSE(CONTROL!$C$22, $C$13, 100%, $E$13)</f>
        <v>14.3803</v>
      </c>
    </row>
    <row r="753" spans="1:11" ht="15">
      <c r="A753" s="13">
        <v>64406</v>
      </c>
      <c r="B753" s="63">
        <f>12.4284 * CHOOSE(CONTROL!$C$22, $C$13, 100%, $E$13)</f>
        <v>12.4284</v>
      </c>
      <c r="C753" s="63">
        <f>12.4284 * CHOOSE(CONTROL!$C$22, $C$13, 100%, $E$13)</f>
        <v>12.4284</v>
      </c>
      <c r="D753" s="63">
        <f>12.4414 * CHOOSE(CONTROL!$C$22, $C$13, 100%, $E$13)</f>
        <v>12.4414</v>
      </c>
      <c r="E753" s="64">
        <f>14.4596 * CHOOSE(CONTROL!$C$22, $C$13, 100%, $E$13)</f>
        <v>14.4596</v>
      </c>
      <c r="F753" s="64">
        <f>14.4596 * CHOOSE(CONTROL!$C$22, $C$13, 100%, $E$13)</f>
        <v>14.4596</v>
      </c>
      <c r="G753" s="64">
        <f>14.4752 * CHOOSE(CONTROL!$C$22, $C$13, 100%, $E$13)</f>
        <v>14.475199999999999</v>
      </c>
      <c r="H753" s="64">
        <f>23.486* CHOOSE(CONTROL!$C$22, $C$13, 100%, $E$13)</f>
        <v>23.486000000000001</v>
      </c>
      <c r="I753" s="64">
        <f>23.5017 * CHOOSE(CONTROL!$C$22, $C$13, 100%, $E$13)</f>
        <v>23.5017</v>
      </c>
      <c r="J753" s="64">
        <f>14.4596 * CHOOSE(CONTROL!$C$22, $C$13, 100%, $E$13)</f>
        <v>14.4596</v>
      </c>
      <c r="K753" s="64">
        <f>14.4752 * CHOOSE(CONTROL!$C$22, $C$13, 100%, $E$13)</f>
        <v>14.475199999999999</v>
      </c>
    </row>
    <row r="754" spans="1:11" ht="15">
      <c r="A754" s="13">
        <v>64437</v>
      </c>
      <c r="B754" s="63">
        <f>12.4345 * CHOOSE(CONTROL!$C$22, $C$13, 100%, $E$13)</f>
        <v>12.4345</v>
      </c>
      <c r="C754" s="63">
        <f>12.4345 * CHOOSE(CONTROL!$C$22, $C$13, 100%, $E$13)</f>
        <v>12.4345</v>
      </c>
      <c r="D754" s="63">
        <f>12.4474 * CHOOSE(CONTROL!$C$22, $C$13, 100%, $E$13)</f>
        <v>12.4474</v>
      </c>
      <c r="E754" s="64">
        <f>14.3844 * CHOOSE(CONTROL!$C$22, $C$13, 100%, $E$13)</f>
        <v>14.384399999999999</v>
      </c>
      <c r="F754" s="64">
        <f>14.3844 * CHOOSE(CONTROL!$C$22, $C$13, 100%, $E$13)</f>
        <v>14.384399999999999</v>
      </c>
      <c r="G754" s="64">
        <f>14.4001 * CHOOSE(CONTROL!$C$22, $C$13, 100%, $E$13)</f>
        <v>14.4001</v>
      </c>
      <c r="H754" s="64">
        <f>23.5349* CHOOSE(CONTROL!$C$22, $C$13, 100%, $E$13)</f>
        <v>23.5349</v>
      </c>
      <c r="I754" s="64">
        <f>23.5506 * CHOOSE(CONTROL!$C$22, $C$13, 100%, $E$13)</f>
        <v>23.550599999999999</v>
      </c>
      <c r="J754" s="64">
        <f>14.3844 * CHOOSE(CONTROL!$C$22, $C$13, 100%, $E$13)</f>
        <v>14.384399999999999</v>
      </c>
      <c r="K754" s="64">
        <f>14.4001 * CHOOSE(CONTROL!$C$22, $C$13, 100%, $E$13)</f>
        <v>14.4001</v>
      </c>
    </row>
    <row r="755" spans="1:11" ht="15">
      <c r="A755" s="13">
        <v>64467</v>
      </c>
      <c r="B755" s="63">
        <f>12.6242 * CHOOSE(CONTROL!$C$22, $C$13, 100%, $E$13)</f>
        <v>12.6242</v>
      </c>
      <c r="C755" s="63">
        <f>12.6242 * CHOOSE(CONTROL!$C$22, $C$13, 100%, $E$13)</f>
        <v>12.6242</v>
      </c>
      <c r="D755" s="63">
        <f>12.6371 * CHOOSE(CONTROL!$C$22, $C$13, 100%, $E$13)</f>
        <v>12.6371</v>
      </c>
      <c r="E755" s="64">
        <f>14.6145 * CHOOSE(CONTROL!$C$22, $C$13, 100%, $E$13)</f>
        <v>14.6145</v>
      </c>
      <c r="F755" s="64">
        <f>14.6145 * CHOOSE(CONTROL!$C$22, $C$13, 100%, $E$13)</f>
        <v>14.6145</v>
      </c>
      <c r="G755" s="64">
        <f>14.6302 * CHOOSE(CONTROL!$C$22, $C$13, 100%, $E$13)</f>
        <v>14.6302</v>
      </c>
      <c r="H755" s="64">
        <f>23.584* CHOOSE(CONTROL!$C$22, $C$13, 100%, $E$13)</f>
        <v>23.584</v>
      </c>
      <c r="I755" s="64">
        <f>23.5997 * CHOOSE(CONTROL!$C$22, $C$13, 100%, $E$13)</f>
        <v>23.599699999999999</v>
      </c>
      <c r="J755" s="64">
        <f>14.6145 * CHOOSE(CONTROL!$C$22, $C$13, 100%, $E$13)</f>
        <v>14.6145</v>
      </c>
      <c r="K755" s="64">
        <f>14.6302 * CHOOSE(CONTROL!$C$22, $C$13, 100%, $E$13)</f>
        <v>14.6302</v>
      </c>
    </row>
    <row r="756" spans="1:11" ht="15">
      <c r="A756" s="13">
        <v>64498</v>
      </c>
      <c r="B756" s="63">
        <f>12.6309 * CHOOSE(CONTROL!$C$22, $C$13, 100%, $E$13)</f>
        <v>12.6309</v>
      </c>
      <c r="C756" s="63">
        <f>12.6309 * CHOOSE(CONTROL!$C$22, $C$13, 100%, $E$13)</f>
        <v>12.6309</v>
      </c>
      <c r="D756" s="63">
        <f>12.6438 * CHOOSE(CONTROL!$C$22, $C$13, 100%, $E$13)</f>
        <v>12.643800000000001</v>
      </c>
      <c r="E756" s="64">
        <f>14.381 * CHOOSE(CONTROL!$C$22, $C$13, 100%, $E$13)</f>
        <v>14.381</v>
      </c>
      <c r="F756" s="64">
        <f>14.381 * CHOOSE(CONTROL!$C$22, $C$13, 100%, $E$13)</f>
        <v>14.381</v>
      </c>
      <c r="G756" s="64">
        <f>14.3967 * CHOOSE(CONTROL!$C$22, $C$13, 100%, $E$13)</f>
        <v>14.396699999999999</v>
      </c>
      <c r="H756" s="64">
        <f>23.6331* CHOOSE(CONTROL!$C$22, $C$13, 100%, $E$13)</f>
        <v>23.633099999999999</v>
      </c>
      <c r="I756" s="64">
        <f>23.6488 * CHOOSE(CONTROL!$C$22, $C$13, 100%, $E$13)</f>
        <v>23.648800000000001</v>
      </c>
      <c r="J756" s="64">
        <f>14.381 * CHOOSE(CONTROL!$C$22, $C$13, 100%, $E$13)</f>
        <v>14.381</v>
      </c>
      <c r="K756" s="64">
        <f>14.3967 * CHOOSE(CONTROL!$C$22, $C$13, 100%, $E$13)</f>
        <v>14.396699999999999</v>
      </c>
    </row>
    <row r="757" spans="1:11" ht="15">
      <c r="A757" s="13">
        <v>64529</v>
      </c>
      <c r="B757" s="63">
        <f>12.6278 * CHOOSE(CONTROL!$C$22, $C$13, 100%, $E$13)</f>
        <v>12.627800000000001</v>
      </c>
      <c r="C757" s="63">
        <f>12.6278 * CHOOSE(CONTROL!$C$22, $C$13, 100%, $E$13)</f>
        <v>12.627800000000001</v>
      </c>
      <c r="D757" s="63">
        <f>12.6408 * CHOOSE(CONTROL!$C$22, $C$13, 100%, $E$13)</f>
        <v>12.6408</v>
      </c>
      <c r="E757" s="64">
        <f>14.3524 * CHOOSE(CONTROL!$C$22, $C$13, 100%, $E$13)</f>
        <v>14.352399999999999</v>
      </c>
      <c r="F757" s="64">
        <f>14.3524 * CHOOSE(CONTROL!$C$22, $C$13, 100%, $E$13)</f>
        <v>14.352399999999999</v>
      </c>
      <c r="G757" s="64">
        <f>14.3681 * CHOOSE(CONTROL!$C$22, $C$13, 100%, $E$13)</f>
        <v>14.3681</v>
      </c>
      <c r="H757" s="64">
        <f>23.6823* CHOOSE(CONTROL!$C$22, $C$13, 100%, $E$13)</f>
        <v>23.682300000000001</v>
      </c>
      <c r="I757" s="64">
        <f>23.698 * CHOOSE(CONTROL!$C$22, $C$13, 100%, $E$13)</f>
        <v>23.698</v>
      </c>
      <c r="J757" s="64">
        <f>14.3524 * CHOOSE(CONTROL!$C$22, $C$13, 100%, $E$13)</f>
        <v>14.352399999999999</v>
      </c>
      <c r="K757" s="64">
        <f>14.3681 * CHOOSE(CONTROL!$C$22, $C$13, 100%, $E$13)</f>
        <v>14.3681</v>
      </c>
    </row>
    <row r="758" spans="1:11" ht="15">
      <c r="A758" s="13">
        <v>64559</v>
      </c>
      <c r="B758" s="63">
        <f>12.6507 * CHOOSE(CONTROL!$C$22, $C$13, 100%, $E$13)</f>
        <v>12.650700000000001</v>
      </c>
      <c r="C758" s="63">
        <f>12.6507 * CHOOSE(CONTROL!$C$22, $C$13, 100%, $E$13)</f>
        <v>12.650700000000001</v>
      </c>
      <c r="D758" s="63">
        <f>12.6507 * CHOOSE(CONTROL!$C$22, $C$13, 100%, $E$13)</f>
        <v>12.650700000000001</v>
      </c>
      <c r="E758" s="64">
        <f>14.4448 * CHOOSE(CONTROL!$C$22, $C$13, 100%, $E$13)</f>
        <v>14.444800000000001</v>
      </c>
      <c r="F758" s="64">
        <f>14.4448 * CHOOSE(CONTROL!$C$22, $C$13, 100%, $E$13)</f>
        <v>14.444800000000001</v>
      </c>
      <c r="G758" s="64">
        <f>14.4449 * CHOOSE(CONTROL!$C$22, $C$13, 100%, $E$13)</f>
        <v>14.444900000000001</v>
      </c>
      <c r="H758" s="64">
        <f>23.7317* CHOOSE(CONTROL!$C$22, $C$13, 100%, $E$13)</f>
        <v>23.7317</v>
      </c>
      <c r="I758" s="64">
        <f>23.7318 * CHOOSE(CONTROL!$C$22, $C$13, 100%, $E$13)</f>
        <v>23.7318</v>
      </c>
      <c r="J758" s="64">
        <f>14.4448 * CHOOSE(CONTROL!$C$22, $C$13, 100%, $E$13)</f>
        <v>14.444800000000001</v>
      </c>
      <c r="K758" s="64">
        <f>14.4449 * CHOOSE(CONTROL!$C$22, $C$13, 100%, $E$13)</f>
        <v>14.444900000000001</v>
      </c>
    </row>
    <row r="759" spans="1:11" ht="15">
      <c r="A759" s="13">
        <v>64590</v>
      </c>
      <c r="B759" s="63">
        <f>12.6538 * CHOOSE(CONTROL!$C$22, $C$13, 100%, $E$13)</f>
        <v>12.6538</v>
      </c>
      <c r="C759" s="63">
        <f>12.6538 * CHOOSE(CONTROL!$C$22, $C$13, 100%, $E$13)</f>
        <v>12.6538</v>
      </c>
      <c r="D759" s="63">
        <f>12.6538 * CHOOSE(CONTROL!$C$22, $C$13, 100%, $E$13)</f>
        <v>12.6538</v>
      </c>
      <c r="E759" s="64">
        <f>14.4999 * CHOOSE(CONTROL!$C$22, $C$13, 100%, $E$13)</f>
        <v>14.4999</v>
      </c>
      <c r="F759" s="64">
        <f>14.4999 * CHOOSE(CONTROL!$C$22, $C$13, 100%, $E$13)</f>
        <v>14.4999</v>
      </c>
      <c r="G759" s="64">
        <f>14.5 * CHOOSE(CONTROL!$C$22, $C$13, 100%, $E$13)</f>
        <v>14.5</v>
      </c>
      <c r="H759" s="64">
        <f>23.7811* CHOOSE(CONTROL!$C$22, $C$13, 100%, $E$13)</f>
        <v>23.781099999999999</v>
      </c>
      <c r="I759" s="64">
        <f>23.7812 * CHOOSE(CONTROL!$C$22, $C$13, 100%, $E$13)</f>
        <v>23.781199999999998</v>
      </c>
      <c r="J759" s="64">
        <f>14.4999 * CHOOSE(CONTROL!$C$22, $C$13, 100%, $E$13)</f>
        <v>14.4999</v>
      </c>
      <c r="K759" s="64">
        <f>14.5 * CHOOSE(CONTROL!$C$22, $C$13, 100%, $E$13)</f>
        <v>14.5</v>
      </c>
    </row>
    <row r="760" spans="1:11" ht="15">
      <c r="A760" s="13">
        <v>64620</v>
      </c>
      <c r="B760" s="63">
        <f>12.6538 * CHOOSE(CONTROL!$C$22, $C$13, 100%, $E$13)</f>
        <v>12.6538</v>
      </c>
      <c r="C760" s="63">
        <f>12.6538 * CHOOSE(CONTROL!$C$22, $C$13, 100%, $E$13)</f>
        <v>12.6538</v>
      </c>
      <c r="D760" s="63">
        <f>12.6538 * CHOOSE(CONTROL!$C$22, $C$13, 100%, $E$13)</f>
        <v>12.6538</v>
      </c>
      <c r="E760" s="64">
        <f>14.3676 * CHOOSE(CONTROL!$C$22, $C$13, 100%, $E$13)</f>
        <v>14.367599999999999</v>
      </c>
      <c r="F760" s="64">
        <f>14.3676 * CHOOSE(CONTROL!$C$22, $C$13, 100%, $E$13)</f>
        <v>14.367599999999999</v>
      </c>
      <c r="G760" s="64">
        <f>14.3677 * CHOOSE(CONTROL!$C$22, $C$13, 100%, $E$13)</f>
        <v>14.367699999999999</v>
      </c>
      <c r="H760" s="64">
        <f>23.8307* CHOOSE(CONTROL!$C$22, $C$13, 100%, $E$13)</f>
        <v>23.8307</v>
      </c>
      <c r="I760" s="64">
        <f>23.8308 * CHOOSE(CONTROL!$C$22, $C$13, 100%, $E$13)</f>
        <v>23.8308</v>
      </c>
      <c r="J760" s="64">
        <f>14.3676 * CHOOSE(CONTROL!$C$22, $C$13, 100%, $E$13)</f>
        <v>14.367599999999999</v>
      </c>
      <c r="K760" s="64">
        <f>14.3677 * CHOOSE(CONTROL!$C$22, $C$13, 100%, $E$13)</f>
        <v>14.367699999999999</v>
      </c>
    </row>
    <row r="761" spans="1:11" ht="15">
      <c r="A761" s="13">
        <v>64651</v>
      </c>
      <c r="B761" s="63">
        <f>12.6653 * CHOOSE(CONTROL!$C$22, $C$13, 100%, $E$13)</f>
        <v>12.6653</v>
      </c>
      <c r="C761" s="63">
        <f>12.6653 * CHOOSE(CONTROL!$C$22, $C$13, 100%, $E$13)</f>
        <v>12.6653</v>
      </c>
      <c r="D761" s="63">
        <f>12.6653 * CHOOSE(CONTROL!$C$22, $C$13, 100%, $E$13)</f>
        <v>12.6653</v>
      </c>
      <c r="E761" s="64">
        <f>14.4846 * CHOOSE(CONTROL!$C$22, $C$13, 100%, $E$13)</f>
        <v>14.4846</v>
      </c>
      <c r="F761" s="64">
        <f>14.4846 * CHOOSE(CONTROL!$C$22, $C$13, 100%, $E$13)</f>
        <v>14.4846</v>
      </c>
      <c r="G761" s="64">
        <f>14.4847 * CHOOSE(CONTROL!$C$22, $C$13, 100%, $E$13)</f>
        <v>14.4847</v>
      </c>
      <c r="H761" s="64">
        <f>23.7183* CHOOSE(CONTROL!$C$22, $C$13, 100%, $E$13)</f>
        <v>23.718299999999999</v>
      </c>
      <c r="I761" s="64">
        <f>23.7184 * CHOOSE(CONTROL!$C$22, $C$13, 100%, $E$13)</f>
        <v>23.718399999999999</v>
      </c>
      <c r="J761" s="64">
        <f>14.4846 * CHOOSE(CONTROL!$C$22, $C$13, 100%, $E$13)</f>
        <v>14.4846</v>
      </c>
      <c r="K761" s="64">
        <f>14.4847 * CHOOSE(CONTROL!$C$22, $C$13, 100%, $E$13)</f>
        <v>14.4847</v>
      </c>
    </row>
    <row r="762" spans="1:11" ht="15">
      <c r="A762" s="13">
        <v>64682</v>
      </c>
      <c r="B762" s="63">
        <f>12.6623 * CHOOSE(CONTROL!$C$22, $C$13, 100%, $E$13)</f>
        <v>12.6623</v>
      </c>
      <c r="C762" s="63">
        <f>12.6623 * CHOOSE(CONTROL!$C$22, $C$13, 100%, $E$13)</f>
        <v>12.6623</v>
      </c>
      <c r="D762" s="63">
        <f>12.6623 * CHOOSE(CONTROL!$C$22, $C$13, 100%, $E$13)</f>
        <v>12.6623</v>
      </c>
      <c r="E762" s="64">
        <f>14.2275 * CHOOSE(CONTROL!$C$22, $C$13, 100%, $E$13)</f>
        <v>14.227499999999999</v>
      </c>
      <c r="F762" s="64">
        <f>14.2275 * CHOOSE(CONTROL!$C$22, $C$13, 100%, $E$13)</f>
        <v>14.227499999999999</v>
      </c>
      <c r="G762" s="64">
        <f>14.2276 * CHOOSE(CONTROL!$C$22, $C$13, 100%, $E$13)</f>
        <v>14.227600000000001</v>
      </c>
      <c r="H762" s="64">
        <f>23.7678* CHOOSE(CONTROL!$C$22, $C$13, 100%, $E$13)</f>
        <v>23.767800000000001</v>
      </c>
      <c r="I762" s="64">
        <f>23.7678 * CHOOSE(CONTROL!$C$22, $C$13, 100%, $E$13)</f>
        <v>23.767800000000001</v>
      </c>
      <c r="J762" s="64">
        <f>14.2275 * CHOOSE(CONTROL!$C$22, $C$13, 100%, $E$13)</f>
        <v>14.227499999999999</v>
      </c>
      <c r="K762" s="64">
        <f>14.2276 * CHOOSE(CONTROL!$C$22, $C$13, 100%, $E$13)</f>
        <v>14.227600000000001</v>
      </c>
    </row>
    <row r="763" spans="1:11" ht="15">
      <c r="A763" s="13">
        <v>64710</v>
      </c>
      <c r="B763" s="63">
        <f>12.6592 * CHOOSE(CONTROL!$C$22, $C$13, 100%, $E$13)</f>
        <v>12.6592</v>
      </c>
      <c r="C763" s="63">
        <f>12.6592 * CHOOSE(CONTROL!$C$22, $C$13, 100%, $E$13)</f>
        <v>12.6592</v>
      </c>
      <c r="D763" s="63">
        <f>12.6592 * CHOOSE(CONTROL!$C$22, $C$13, 100%, $E$13)</f>
        <v>12.6592</v>
      </c>
      <c r="E763" s="64">
        <f>14.4264 * CHOOSE(CONTROL!$C$22, $C$13, 100%, $E$13)</f>
        <v>14.426399999999999</v>
      </c>
      <c r="F763" s="64">
        <f>14.4264 * CHOOSE(CONTROL!$C$22, $C$13, 100%, $E$13)</f>
        <v>14.426399999999999</v>
      </c>
      <c r="G763" s="64">
        <f>14.4265 * CHOOSE(CONTROL!$C$22, $C$13, 100%, $E$13)</f>
        <v>14.426500000000001</v>
      </c>
      <c r="H763" s="64">
        <f>23.8173* CHOOSE(CONTROL!$C$22, $C$13, 100%, $E$13)</f>
        <v>23.817299999999999</v>
      </c>
      <c r="I763" s="64">
        <f>23.8173 * CHOOSE(CONTROL!$C$22, $C$13, 100%, $E$13)</f>
        <v>23.817299999999999</v>
      </c>
      <c r="J763" s="64">
        <f>14.4264 * CHOOSE(CONTROL!$C$22, $C$13, 100%, $E$13)</f>
        <v>14.426399999999999</v>
      </c>
      <c r="K763" s="64">
        <f>14.4265 * CHOOSE(CONTROL!$C$22, $C$13, 100%, $E$13)</f>
        <v>14.426500000000001</v>
      </c>
    </row>
    <row r="764" spans="1:11" ht="15">
      <c r="A764" s="13">
        <v>64741</v>
      </c>
      <c r="B764" s="63">
        <f>12.6642 * CHOOSE(CONTROL!$C$22, $C$13, 100%, $E$13)</f>
        <v>12.664199999999999</v>
      </c>
      <c r="C764" s="63">
        <f>12.6642 * CHOOSE(CONTROL!$C$22, $C$13, 100%, $E$13)</f>
        <v>12.664199999999999</v>
      </c>
      <c r="D764" s="63">
        <f>12.6642 * CHOOSE(CONTROL!$C$22, $C$13, 100%, $E$13)</f>
        <v>12.664199999999999</v>
      </c>
      <c r="E764" s="64">
        <f>14.638 * CHOOSE(CONTROL!$C$22, $C$13, 100%, $E$13)</f>
        <v>14.638</v>
      </c>
      <c r="F764" s="64">
        <f>14.638 * CHOOSE(CONTROL!$C$22, $C$13, 100%, $E$13)</f>
        <v>14.638</v>
      </c>
      <c r="G764" s="64">
        <f>14.6381 * CHOOSE(CONTROL!$C$22, $C$13, 100%, $E$13)</f>
        <v>14.6381</v>
      </c>
      <c r="H764" s="64">
        <f>23.8669* CHOOSE(CONTROL!$C$22, $C$13, 100%, $E$13)</f>
        <v>23.866900000000001</v>
      </c>
      <c r="I764" s="64">
        <f>23.867 * CHOOSE(CONTROL!$C$22, $C$13, 100%, $E$13)</f>
        <v>23.867000000000001</v>
      </c>
      <c r="J764" s="64">
        <f>14.638 * CHOOSE(CONTROL!$C$22, $C$13, 100%, $E$13)</f>
        <v>14.638</v>
      </c>
      <c r="K764" s="64">
        <f>14.6381 * CHOOSE(CONTROL!$C$22, $C$13, 100%, $E$13)</f>
        <v>14.6381</v>
      </c>
    </row>
    <row r="765" spans="1:11" ht="15">
      <c r="A765" s="13">
        <v>64771</v>
      </c>
      <c r="B765" s="63">
        <f>12.6642 * CHOOSE(CONTROL!$C$22, $C$13, 100%, $E$13)</f>
        <v>12.664199999999999</v>
      </c>
      <c r="C765" s="63">
        <f>12.6642 * CHOOSE(CONTROL!$C$22, $C$13, 100%, $E$13)</f>
        <v>12.664199999999999</v>
      </c>
      <c r="D765" s="63">
        <f>12.6771 * CHOOSE(CONTROL!$C$22, $C$13, 100%, $E$13)</f>
        <v>12.677099999999999</v>
      </c>
      <c r="E765" s="64">
        <f>14.719 * CHOOSE(CONTROL!$C$22, $C$13, 100%, $E$13)</f>
        <v>14.718999999999999</v>
      </c>
      <c r="F765" s="64">
        <f>14.719 * CHOOSE(CONTROL!$C$22, $C$13, 100%, $E$13)</f>
        <v>14.718999999999999</v>
      </c>
      <c r="G765" s="64">
        <f>14.7347 * CHOOSE(CONTROL!$C$22, $C$13, 100%, $E$13)</f>
        <v>14.7347</v>
      </c>
      <c r="H765" s="64">
        <f>23.9166* CHOOSE(CONTROL!$C$22, $C$13, 100%, $E$13)</f>
        <v>23.916599999999999</v>
      </c>
      <c r="I765" s="64">
        <f>23.9323 * CHOOSE(CONTROL!$C$22, $C$13, 100%, $E$13)</f>
        <v>23.932300000000001</v>
      </c>
      <c r="J765" s="64">
        <f>14.719 * CHOOSE(CONTROL!$C$22, $C$13, 100%, $E$13)</f>
        <v>14.718999999999999</v>
      </c>
      <c r="K765" s="64">
        <f>14.7347 * CHOOSE(CONTROL!$C$22, $C$13, 100%, $E$13)</f>
        <v>14.7347</v>
      </c>
    </row>
    <row r="766" spans="1:11" ht="15">
      <c r="A766" s="13">
        <v>64802</v>
      </c>
      <c r="B766" s="63">
        <f>12.6702 * CHOOSE(CONTROL!$C$22, $C$13, 100%, $E$13)</f>
        <v>12.670199999999999</v>
      </c>
      <c r="C766" s="63">
        <f>12.6702 * CHOOSE(CONTROL!$C$22, $C$13, 100%, $E$13)</f>
        <v>12.670199999999999</v>
      </c>
      <c r="D766" s="63">
        <f>12.6832 * CHOOSE(CONTROL!$C$22, $C$13, 100%, $E$13)</f>
        <v>12.683199999999999</v>
      </c>
      <c r="E766" s="64">
        <f>14.6423 * CHOOSE(CONTROL!$C$22, $C$13, 100%, $E$13)</f>
        <v>14.642300000000001</v>
      </c>
      <c r="F766" s="64">
        <f>14.6423 * CHOOSE(CONTROL!$C$22, $C$13, 100%, $E$13)</f>
        <v>14.642300000000001</v>
      </c>
      <c r="G766" s="64">
        <f>14.658 * CHOOSE(CONTROL!$C$22, $C$13, 100%, $E$13)</f>
        <v>14.657999999999999</v>
      </c>
      <c r="H766" s="64">
        <f>23.9664* CHOOSE(CONTROL!$C$22, $C$13, 100%, $E$13)</f>
        <v>23.9664</v>
      </c>
      <c r="I766" s="64">
        <f>23.9821 * CHOOSE(CONTROL!$C$22, $C$13, 100%, $E$13)</f>
        <v>23.982099999999999</v>
      </c>
      <c r="J766" s="64">
        <f>14.6423 * CHOOSE(CONTROL!$C$22, $C$13, 100%, $E$13)</f>
        <v>14.642300000000001</v>
      </c>
      <c r="K766" s="64">
        <f>14.658 * CHOOSE(CONTROL!$C$22, $C$13, 100%, $E$13)</f>
        <v>14.657999999999999</v>
      </c>
    </row>
    <row r="767" spans="1:11" ht="15">
      <c r="A767" s="13">
        <v>64832</v>
      </c>
      <c r="B767" s="63">
        <f>12.8633 * CHOOSE(CONTROL!$C$22, $C$13, 100%, $E$13)</f>
        <v>12.863300000000001</v>
      </c>
      <c r="C767" s="63">
        <f>12.8633 * CHOOSE(CONTROL!$C$22, $C$13, 100%, $E$13)</f>
        <v>12.863300000000001</v>
      </c>
      <c r="D767" s="63">
        <f>12.8763 * CHOOSE(CONTROL!$C$22, $C$13, 100%, $E$13)</f>
        <v>12.876300000000001</v>
      </c>
      <c r="E767" s="64">
        <f>14.8762 * CHOOSE(CONTROL!$C$22, $C$13, 100%, $E$13)</f>
        <v>14.876200000000001</v>
      </c>
      <c r="F767" s="64">
        <f>14.8762 * CHOOSE(CONTROL!$C$22, $C$13, 100%, $E$13)</f>
        <v>14.876200000000001</v>
      </c>
      <c r="G767" s="64">
        <f>14.8919 * CHOOSE(CONTROL!$C$22, $C$13, 100%, $E$13)</f>
        <v>14.8919</v>
      </c>
      <c r="H767" s="64">
        <f>24.0164* CHOOSE(CONTROL!$C$22, $C$13, 100%, $E$13)</f>
        <v>24.016400000000001</v>
      </c>
      <c r="I767" s="64">
        <f>24.032 * CHOOSE(CONTROL!$C$22, $C$13, 100%, $E$13)</f>
        <v>24.032</v>
      </c>
      <c r="J767" s="64">
        <f>14.8762 * CHOOSE(CONTROL!$C$22, $C$13, 100%, $E$13)</f>
        <v>14.876200000000001</v>
      </c>
      <c r="K767" s="64">
        <f>14.8919 * CHOOSE(CONTROL!$C$22, $C$13, 100%, $E$13)</f>
        <v>14.8919</v>
      </c>
    </row>
    <row r="768" spans="1:11" ht="15">
      <c r="A768" s="13">
        <v>64863</v>
      </c>
      <c r="B768" s="63">
        <f>12.87 * CHOOSE(CONTROL!$C$22, $C$13, 100%, $E$13)</f>
        <v>12.87</v>
      </c>
      <c r="C768" s="63">
        <f>12.87 * CHOOSE(CONTROL!$C$22, $C$13, 100%, $E$13)</f>
        <v>12.87</v>
      </c>
      <c r="D768" s="63">
        <f>12.883 * CHOOSE(CONTROL!$C$22, $C$13, 100%, $E$13)</f>
        <v>12.882999999999999</v>
      </c>
      <c r="E768" s="64">
        <f>14.6381 * CHOOSE(CONTROL!$C$22, $C$13, 100%, $E$13)</f>
        <v>14.6381</v>
      </c>
      <c r="F768" s="64">
        <f>14.6381 * CHOOSE(CONTROL!$C$22, $C$13, 100%, $E$13)</f>
        <v>14.6381</v>
      </c>
      <c r="G768" s="64">
        <f>14.6537 * CHOOSE(CONTROL!$C$22, $C$13, 100%, $E$13)</f>
        <v>14.653700000000001</v>
      </c>
      <c r="H768" s="64">
        <f>24.0664* CHOOSE(CONTROL!$C$22, $C$13, 100%, $E$13)</f>
        <v>24.066400000000002</v>
      </c>
      <c r="I768" s="64">
        <f>24.0821 * CHOOSE(CONTROL!$C$22, $C$13, 100%, $E$13)</f>
        <v>24.082100000000001</v>
      </c>
      <c r="J768" s="64">
        <f>14.6381 * CHOOSE(CONTROL!$C$22, $C$13, 100%, $E$13)</f>
        <v>14.6381</v>
      </c>
      <c r="K768" s="64">
        <f>14.6537 * CHOOSE(CONTROL!$C$22, $C$13, 100%, $E$13)</f>
        <v>14.653700000000001</v>
      </c>
    </row>
    <row r="769" spans="1:11" ht="15">
      <c r="A769" s="13">
        <v>64894</v>
      </c>
      <c r="B769" s="63">
        <f>12.867 * CHOOSE(CONTROL!$C$22, $C$13, 100%, $E$13)</f>
        <v>12.867000000000001</v>
      </c>
      <c r="C769" s="63">
        <f>12.867 * CHOOSE(CONTROL!$C$22, $C$13, 100%, $E$13)</f>
        <v>12.867000000000001</v>
      </c>
      <c r="D769" s="63">
        <f>12.88 * CHOOSE(CONTROL!$C$22, $C$13, 100%, $E$13)</f>
        <v>12.88</v>
      </c>
      <c r="E769" s="64">
        <f>14.609 * CHOOSE(CONTROL!$C$22, $C$13, 100%, $E$13)</f>
        <v>14.609</v>
      </c>
      <c r="F769" s="64">
        <f>14.609 * CHOOSE(CONTROL!$C$22, $C$13, 100%, $E$13)</f>
        <v>14.609</v>
      </c>
      <c r="G769" s="64">
        <f>14.6246 * CHOOSE(CONTROL!$C$22, $C$13, 100%, $E$13)</f>
        <v>14.624599999999999</v>
      </c>
      <c r="H769" s="64">
        <f>24.1165* CHOOSE(CONTROL!$C$22, $C$13, 100%, $E$13)</f>
        <v>24.116499999999998</v>
      </c>
      <c r="I769" s="64">
        <f>24.1322 * CHOOSE(CONTROL!$C$22, $C$13, 100%, $E$13)</f>
        <v>24.132200000000001</v>
      </c>
      <c r="J769" s="64">
        <f>14.609 * CHOOSE(CONTROL!$C$22, $C$13, 100%, $E$13)</f>
        <v>14.609</v>
      </c>
      <c r="K769" s="64">
        <f>14.6246 * CHOOSE(CONTROL!$C$22, $C$13, 100%, $E$13)</f>
        <v>14.624599999999999</v>
      </c>
    </row>
    <row r="770" spans="1:11" ht="15">
      <c r="A770" s="13">
        <v>64924</v>
      </c>
      <c r="B770" s="63">
        <f>12.8907 * CHOOSE(CONTROL!$C$22, $C$13, 100%, $E$13)</f>
        <v>12.890700000000001</v>
      </c>
      <c r="C770" s="63">
        <f>12.8907 * CHOOSE(CONTROL!$C$22, $C$13, 100%, $E$13)</f>
        <v>12.890700000000001</v>
      </c>
      <c r="D770" s="63">
        <f>12.8907 * CHOOSE(CONTROL!$C$22, $C$13, 100%, $E$13)</f>
        <v>12.890700000000001</v>
      </c>
      <c r="E770" s="64">
        <f>14.7035 * CHOOSE(CONTROL!$C$22, $C$13, 100%, $E$13)</f>
        <v>14.7035</v>
      </c>
      <c r="F770" s="64">
        <f>14.7035 * CHOOSE(CONTROL!$C$22, $C$13, 100%, $E$13)</f>
        <v>14.7035</v>
      </c>
      <c r="G770" s="64">
        <f>14.7036 * CHOOSE(CONTROL!$C$22, $C$13, 100%, $E$13)</f>
        <v>14.7036</v>
      </c>
      <c r="H770" s="64">
        <f>24.1668* CHOOSE(CONTROL!$C$22, $C$13, 100%, $E$13)</f>
        <v>24.166799999999999</v>
      </c>
      <c r="I770" s="64">
        <f>24.1669 * CHOOSE(CONTROL!$C$22, $C$13, 100%, $E$13)</f>
        <v>24.166899999999998</v>
      </c>
      <c r="J770" s="64">
        <f>14.7035 * CHOOSE(CONTROL!$C$22, $C$13, 100%, $E$13)</f>
        <v>14.7035</v>
      </c>
      <c r="K770" s="64">
        <f>14.7036 * CHOOSE(CONTROL!$C$22, $C$13, 100%, $E$13)</f>
        <v>14.7036</v>
      </c>
    </row>
    <row r="771" spans="1:11" ht="15">
      <c r="A771" s="13">
        <v>64955</v>
      </c>
      <c r="B771" s="63">
        <f>12.8937 * CHOOSE(CONTROL!$C$22, $C$13, 100%, $E$13)</f>
        <v>12.893700000000001</v>
      </c>
      <c r="C771" s="63">
        <f>12.8937 * CHOOSE(CONTROL!$C$22, $C$13, 100%, $E$13)</f>
        <v>12.893700000000001</v>
      </c>
      <c r="D771" s="63">
        <f>12.8937 * CHOOSE(CONTROL!$C$22, $C$13, 100%, $E$13)</f>
        <v>12.893700000000001</v>
      </c>
      <c r="E771" s="64">
        <f>14.7596 * CHOOSE(CONTROL!$C$22, $C$13, 100%, $E$13)</f>
        <v>14.759600000000001</v>
      </c>
      <c r="F771" s="64">
        <f>14.7596 * CHOOSE(CONTROL!$C$22, $C$13, 100%, $E$13)</f>
        <v>14.759600000000001</v>
      </c>
      <c r="G771" s="64">
        <f>14.7596 * CHOOSE(CONTROL!$C$22, $C$13, 100%, $E$13)</f>
        <v>14.759600000000001</v>
      </c>
      <c r="H771" s="64">
        <f>24.2171* CHOOSE(CONTROL!$C$22, $C$13, 100%, $E$13)</f>
        <v>24.217099999999999</v>
      </c>
      <c r="I771" s="64">
        <f>24.2172 * CHOOSE(CONTROL!$C$22, $C$13, 100%, $E$13)</f>
        <v>24.217199999999998</v>
      </c>
      <c r="J771" s="64">
        <f>14.7596 * CHOOSE(CONTROL!$C$22, $C$13, 100%, $E$13)</f>
        <v>14.759600000000001</v>
      </c>
      <c r="K771" s="64">
        <f>14.7596 * CHOOSE(CONTROL!$C$22, $C$13, 100%, $E$13)</f>
        <v>14.759600000000001</v>
      </c>
    </row>
    <row r="772" spans="1:11" ht="15">
      <c r="A772" s="13">
        <v>64985</v>
      </c>
      <c r="B772" s="63">
        <f>12.8937 * CHOOSE(CONTROL!$C$22, $C$13, 100%, $E$13)</f>
        <v>12.893700000000001</v>
      </c>
      <c r="C772" s="63">
        <f>12.8937 * CHOOSE(CONTROL!$C$22, $C$13, 100%, $E$13)</f>
        <v>12.893700000000001</v>
      </c>
      <c r="D772" s="63">
        <f>12.8937 * CHOOSE(CONTROL!$C$22, $C$13, 100%, $E$13)</f>
        <v>12.893700000000001</v>
      </c>
      <c r="E772" s="64">
        <f>14.6246 * CHOOSE(CONTROL!$C$22, $C$13, 100%, $E$13)</f>
        <v>14.624599999999999</v>
      </c>
      <c r="F772" s="64">
        <f>14.6246 * CHOOSE(CONTROL!$C$22, $C$13, 100%, $E$13)</f>
        <v>14.624599999999999</v>
      </c>
      <c r="G772" s="64">
        <f>14.6247 * CHOOSE(CONTROL!$C$22, $C$13, 100%, $E$13)</f>
        <v>14.624700000000001</v>
      </c>
      <c r="H772" s="64">
        <f>24.2676* CHOOSE(CONTROL!$C$22, $C$13, 100%, $E$13)</f>
        <v>24.267600000000002</v>
      </c>
      <c r="I772" s="64">
        <f>24.2677 * CHOOSE(CONTROL!$C$22, $C$13, 100%, $E$13)</f>
        <v>24.267700000000001</v>
      </c>
      <c r="J772" s="64">
        <f>14.6246 * CHOOSE(CONTROL!$C$22, $C$13, 100%, $E$13)</f>
        <v>14.624599999999999</v>
      </c>
      <c r="K772" s="64">
        <f>14.6247 * CHOOSE(CONTROL!$C$22, $C$13, 100%, $E$13)</f>
        <v>14.624700000000001</v>
      </c>
    </row>
    <row r="773" spans="1:11" ht="15">
      <c r="A773" s="13">
        <v>65016</v>
      </c>
      <c r="B773" s="63">
        <f>12.9009 * CHOOSE(CONTROL!$C$22, $C$13, 100%, $E$13)</f>
        <v>12.9009</v>
      </c>
      <c r="C773" s="63">
        <f>12.9009 * CHOOSE(CONTROL!$C$22, $C$13, 100%, $E$13)</f>
        <v>12.9009</v>
      </c>
      <c r="D773" s="63">
        <f>12.9009 * CHOOSE(CONTROL!$C$22, $C$13, 100%, $E$13)</f>
        <v>12.9009</v>
      </c>
      <c r="E773" s="64">
        <f>14.7393 * CHOOSE(CONTROL!$C$22, $C$13, 100%, $E$13)</f>
        <v>14.7393</v>
      </c>
      <c r="F773" s="64">
        <f>14.7393 * CHOOSE(CONTROL!$C$22, $C$13, 100%, $E$13)</f>
        <v>14.7393</v>
      </c>
      <c r="G773" s="64">
        <f>14.7394 * CHOOSE(CONTROL!$C$22, $C$13, 100%, $E$13)</f>
        <v>14.7394</v>
      </c>
      <c r="H773" s="64">
        <f>24.1454* CHOOSE(CONTROL!$C$22, $C$13, 100%, $E$13)</f>
        <v>24.145399999999999</v>
      </c>
      <c r="I773" s="64">
        <f>24.1454 * CHOOSE(CONTROL!$C$22, $C$13, 100%, $E$13)</f>
        <v>24.145399999999999</v>
      </c>
      <c r="J773" s="64">
        <f>14.7393 * CHOOSE(CONTROL!$C$22, $C$13, 100%, $E$13)</f>
        <v>14.7393</v>
      </c>
      <c r="K773" s="64">
        <f>14.7394 * CHOOSE(CONTROL!$C$22, $C$13, 100%, $E$13)</f>
        <v>14.7394</v>
      </c>
    </row>
    <row r="774" spans="1:11" ht="15">
      <c r="A774" s="13">
        <v>65047</v>
      </c>
      <c r="B774" s="63">
        <f>12.8978 * CHOOSE(CONTROL!$C$22, $C$13, 100%, $E$13)</f>
        <v>12.8978</v>
      </c>
      <c r="C774" s="63">
        <f>12.8978 * CHOOSE(CONTROL!$C$22, $C$13, 100%, $E$13)</f>
        <v>12.8978</v>
      </c>
      <c r="D774" s="63">
        <f>12.8978 * CHOOSE(CONTROL!$C$22, $C$13, 100%, $E$13)</f>
        <v>12.8978</v>
      </c>
      <c r="E774" s="64">
        <f>14.4773 * CHOOSE(CONTROL!$C$22, $C$13, 100%, $E$13)</f>
        <v>14.4773</v>
      </c>
      <c r="F774" s="64">
        <f>14.4773 * CHOOSE(CONTROL!$C$22, $C$13, 100%, $E$13)</f>
        <v>14.4773</v>
      </c>
      <c r="G774" s="64">
        <f>14.4774 * CHOOSE(CONTROL!$C$22, $C$13, 100%, $E$13)</f>
        <v>14.477399999999999</v>
      </c>
      <c r="H774" s="64">
        <f>24.1957* CHOOSE(CONTROL!$C$22, $C$13, 100%, $E$13)</f>
        <v>24.195699999999999</v>
      </c>
      <c r="I774" s="64">
        <f>24.1957 * CHOOSE(CONTROL!$C$22, $C$13, 100%, $E$13)</f>
        <v>24.195699999999999</v>
      </c>
      <c r="J774" s="64">
        <f>14.4773 * CHOOSE(CONTROL!$C$22, $C$13, 100%, $E$13)</f>
        <v>14.4773</v>
      </c>
      <c r="K774" s="64">
        <f>14.4774 * CHOOSE(CONTROL!$C$22, $C$13, 100%, $E$13)</f>
        <v>14.477399999999999</v>
      </c>
    </row>
    <row r="775" spans="1:11" ht="15">
      <c r="A775" s="13">
        <v>65075</v>
      </c>
      <c r="B775" s="63">
        <f>12.8948 * CHOOSE(CONTROL!$C$22, $C$13, 100%, $E$13)</f>
        <v>12.8948</v>
      </c>
      <c r="C775" s="63">
        <f>12.8948 * CHOOSE(CONTROL!$C$22, $C$13, 100%, $E$13)</f>
        <v>12.8948</v>
      </c>
      <c r="D775" s="63">
        <f>12.8948 * CHOOSE(CONTROL!$C$22, $C$13, 100%, $E$13)</f>
        <v>12.8948</v>
      </c>
      <c r="E775" s="64">
        <f>14.6801 * CHOOSE(CONTROL!$C$22, $C$13, 100%, $E$13)</f>
        <v>14.680099999999999</v>
      </c>
      <c r="F775" s="64">
        <f>14.6801 * CHOOSE(CONTROL!$C$22, $C$13, 100%, $E$13)</f>
        <v>14.680099999999999</v>
      </c>
      <c r="G775" s="64">
        <f>14.6802 * CHOOSE(CONTROL!$C$22, $C$13, 100%, $E$13)</f>
        <v>14.680199999999999</v>
      </c>
      <c r="H775" s="64">
        <f>24.2461* CHOOSE(CONTROL!$C$22, $C$13, 100%, $E$13)</f>
        <v>24.246099999999998</v>
      </c>
      <c r="I775" s="64">
        <f>24.2461 * CHOOSE(CONTROL!$C$22, $C$13, 100%, $E$13)</f>
        <v>24.246099999999998</v>
      </c>
      <c r="J775" s="64">
        <f>14.6801 * CHOOSE(CONTROL!$C$22, $C$13, 100%, $E$13)</f>
        <v>14.680099999999999</v>
      </c>
      <c r="K775" s="64">
        <f>14.6802 * CHOOSE(CONTROL!$C$22, $C$13, 100%, $E$13)</f>
        <v>14.680199999999999</v>
      </c>
    </row>
    <row r="776" spans="1:11" ht="15">
      <c r="A776" s="13">
        <v>65106</v>
      </c>
      <c r="B776" s="63">
        <f>12.8999 * CHOOSE(CONTROL!$C$22, $C$13, 100%, $E$13)</f>
        <v>12.899900000000001</v>
      </c>
      <c r="C776" s="63">
        <f>12.8999 * CHOOSE(CONTROL!$C$22, $C$13, 100%, $E$13)</f>
        <v>12.899900000000001</v>
      </c>
      <c r="D776" s="63">
        <f>12.8999 * CHOOSE(CONTROL!$C$22, $C$13, 100%, $E$13)</f>
        <v>12.899900000000001</v>
      </c>
      <c r="E776" s="64">
        <f>14.8959 * CHOOSE(CONTROL!$C$22, $C$13, 100%, $E$13)</f>
        <v>14.895899999999999</v>
      </c>
      <c r="F776" s="64">
        <f>14.8959 * CHOOSE(CONTROL!$C$22, $C$13, 100%, $E$13)</f>
        <v>14.895899999999999</v>
      </c>
      <c r="G776" s="64">
        <f>14.896 * CHOOSE(CONTROL!$C$22, $C$13, 100%, $E$13)</f>
        <v>14.896000000000001</v>
      </c>
      <c r="H776" s="64">
        <f>24.2966* CHOOSE(CONTROL!$C$22, $C$13, 100%, $E$13)</f>
        <v>24.296600000000002</v>
      </c>
      <c r="I776" s="64">
        <f>24.2967 * CHOOSE(CONTROL!$C$22, $C$13, 100%, $E$13)</f>
        <v>24.296700000000001</v>
      </c>
      <c r="J776" s="64">
        <f>14.8959 * CHOOSE(CONTROL!$C$22, $C$13, 100%, $E$13)</f>
        <v>14.895899999999999</v>
      </c>
      <c r="K776" s="64">
        <f>14.896 * CHOOSE(CONTROL!$C$22, $C$13, 100%, $E$13)</f>
        <v>14.896000000000001</v>
      </c>
    </row>
    <row r="777" spans="1:11" ht="15">
      <c r="A777" s="13">
        <v>65136</v>
      </c>
      <c r="B777" s="63">
        <f>12.8999 * CHOOSE(CONTROL!$C$22, $C$13, 100%, $E$13)</f>
        <v>12.899900000000001</v>
      </c>
      <c r="C777" s="63">
        <f>12.8999 * CHOOSE(CONTROL!$C$22, $C$13, 100%, $E$13)</f>
        <v>12.899900000000001</v>
      </c>
      <c r="D777" s="63">
        <f>12.9129 * CHOOSE(CONTROL!$C$22, $C$13, 100%, $E$13)</f>
        <v>12.9129</v>
      </c>
      <c r="E777" s="64">
        <f>14.9784 * CHOOSE(CONTROL!$C$22, $C$13, 100%, $E$13)</f>
        <v>14.978400000000001</v>
      </c>
      <c r="F777" s="64">
        <f>14.9784 * CHOOSE(CONTROL!$C$22, $C$13, 100%, $E$13)</f>
        <v>14.978400000000001</v>
      </c>
      <c r="G777" s="64">
        <f>14.9941 * CHOOSE(CONTROL!$C$22, $C$13, 100%, $E$13)</f>
        <v>14.9941</v>
      </c>
      <c r="H777" s="64">
        <f>24.3472* CHOOSE(CONTROL!$C$22, $C$13, 100%, $E$13)</f>
        <v>24.347200000000001</v>
      </c>
      <c r="I777" s="64">
        <f>24.3629 * CHOOSE(CONTROL!$C$22, $C$13, 100%, $E$13)</f>
        <v>24.3629</v>
      </c>
      <c r="J777" s="64">
        <f>14.9784 * CHOOSE(CONTROL!$C$22, $C$13, 100%, $E$13)</f>
        <v>14.978400000000001</v>
      </c>
      <c r="K777" s="64">
        <f>14.9941 * CHOOSE(CONTROL!$C$22, $C$13, 100%, $E$13)</f>
        <v>14.9941</v>
      </c>
    </row>
    <row r="778" spans="1:11" ht="15">
      <c r="A778" s="13">
        <v>65167</v>
      </c>
      <c r="B778" s="63">
        <f>12.906 * CHOOSE(CONTROL!$C$22, $C$13, 100%, $E$13)</f>
        <v>12.906000000000001</v>
      </c>
      <c r="C778" s="63">
        <f>12.906 * CHOOSE(CONTROL!$C$22, $C$13, 100%, $E$13)</f>
        <v>12.906000000000001</v>
      </c>
      <c r="D778" s="63">
        <f>12.919 * CHOOSE(CONTROL!$C$22, $C$13, 100%, $E$13)</f>
        <v>12.919</v>
      </c>
      <c r="E778" s="64">
        <f>14.9001 * CHOOSE(CONTROL!$C$22, $C$13, 100%, $E$13)</f>
        <v>14.9001</v>
      </c>
      <c r="F778" s="64">
        <f>14.9001 * CHOOSE(CONTROL!$C$22, $C$13, 100%, $E$13)</f>
        <v>14.9001</v>
      </c>
      <c r="G778" s="64">
        <f>14.9158 * CHOOSE(CONTROL!$C$22, $C$13, 100%, $E$13)</f>
        <v>14.915800000000001</v>
      </c>
      <c r="H778" s="64">
        <f>24.3979* CHOOSE(CONTROL!$C$22, $C$13, 100%, $E$13)</f>
        <v>24.3979</v>
      </c>
      <c r="I778" s="64">
        <f>24.4136 * CHOOSE(CONTROL!$C$22, $C$13, 100%, $E$13)</f>
        <v>24.413599999999999</v>
      </c>
      <c r="J778" s="64">
        <f>14.9001 * CHOOSE(CONTROL!$C$22, $C$13, 100%, $E$13)</f>
        <v>14.9001</v>
      </c>
      <c r="K778" s="64">
        <f>14.9158 * CHOOSE(CONTROL!$C$22, $C$13, 100%, $E$13)</f>
        <v>14.915800000000001</v>
      </c>
    </row>
    <row r="779" spans="1:11" ht="15">
      <c r="A779" s="13">
        <v>65197</v>
      </c>
      <c r="B779" s="63">
        <f>13.1025 * CHOOSE(CONTROL!$C$22, $C$13, 100%, $E$13)</f>
        <v>13.102499999999999</v>
      </c>
      <c r="C779" s="63">
        <f>13.1025 * CHOOSE(CONTROL!$C$22, $C$13, 100%, $E$13)</f>
        <v>13.102499999999999</v>
      </c>
      <c r="D779" s="63">
        <f>13.1155 * CHOOSE(CONTROL!$C$22, $C$13, 100%, $E$13)</f>
        <v>13.115500000000001</v>
      </c>
      <c r="E779" s="64">
        <f>15.138 * CHOOSE(CONTROL!$C$22, $C$13, 100%, $E$13)</f>
        <v>15.138</v>
      </c>
      <c r="F779" s="64">
        <f>15.138 * CHOOSE(CONTROL!$C$22, $C$13, 100%, $E$13)</f>
        <v>15.138</v>
      </c>
      <c r="G779" s="64">
        <f>15.1537 * CHOOSE(CONTROL!$C$22, $C$13, 100%, $E$13)</f>
        <v>15.153700000000001</v>
      </c>
      <c r="H779" s="64">
        <f>24.4488* CHOOSE(CONTROL!$C$22, $C$13, 100%, $E$13)</f>
        <v>24.448799999999999</v>
      </c>
      <c r="I779" s="64">
        <f>24.4644 * CHOOSE(CONTROL!$C$22, $C$13, 100%, $E$13)</f>
        <v>24.464400000000001</v>
      </c>
      <c r="J779" s="64">
        <f>15.138 * CHOOSE(CONTROL!$C$22, $C$13, 100%, $E$13)</f>
        <v>15.138</v>
      </c>
      <c r="K779" s="64">
        <f>15.1537 * CHOOSE(CONTROL!$C$22, $C$13, 100%, $E$13)</f>
        <v>15.153700000000001</v>
      </c>
    </row>
    <row r="780" spans="1:11" ht="15">
      <c r="A780" s="13">
        <v>65228</v>
      </c>
      <c r="B780" s="63">
        <f>13.1092 * CHOOSE(CONTROL!$C$22, $C$13, 100%, $E$13)</f>
        <v>13.1092</v>
      </c>
      <c r="C780" s="63">
        <f>13.1092 * CHOOSE(CONTROL!$C$22, $C$13, 100%, $E$13)</f>
        <v>13.1092</v>
      </c>
      <c r="D780" s="63">
        <f>13.1222 * CHOOSE(CONTROL!$C$22, $C$13, 100%, $E$13)</f>
        <v>13.122199999999999</v>
      </c>
      <c r="E780" s="64">
        <f>14.8951 * CHOOSE(CONTROL!$C$22, $C$13, 100%, $E$13)</f>
        <v>14.895099999999999</v>
      </c>
      <c r="F780" s="64">
        <f>14.8951 * CHOOSE(CONTROL!$C$22, $C$13, 100%, $E$13)</f>
        <v>14.895099999999999</v>
      </c>
      <c r="G780" s="64">
        <f>14.9108 * CHOOSE(CONTROL!$C$22, $C$13, 100%, $E$13)</f>
        <v>14.9108</v>
      </c>
      <c r="H780" s="64">
        <f>24.4997* CHOOSE(CONTROL!$C$22, $C$13, 100%, $E$13)</f>
        <v>24.499700000000001</v>
      </c>
      <c r="I780" s="64">
        <f>24.5154 * CHOOSE(CONTROL!$C$22, $C$13, 100%, $E$13)</f>
        <v>24.5154</v>
      </c>
      <c r="J780" s="64">
        <f>14.8951 * CHOOSE(CONTROL!$C$22, $C$13, 100%, $E$13)</f>
        <v>14.895099999999999</v>
      </c>
      <c r="K780" s="64">
        <f>14.9108 * CHOOSE(CONTROL!$C$22, $C$13, 100%, $E$13)</f>
        <v>14.9108</v>
      </c>
    </row>
    <row r="781" spans="1:11" ht="15">
      <c r="A781" s="13">
        <v>65259</v>
      </c>
      <c r="B781" s="63">
        <f>13.1062 * CHOOSE(CONTROL!$C$22, $C$13, 100%, $E$13)</f>
        <v>13.106199999999999</v>
      </c>
      <c r="C781" s="63">
        <f>13.1062 * CHOOSE(CONTROL!$C$22, $C$13, 100%, $E$13)</f>
        <v>13.106199999999999</v>
      </c>
      <c r="D781" s="63">
        <f>13.1191 * CHOOSE(CONTROL!$C$22, $C$13, 100%, $E$13)</f>
        <v>13.1191</v>
      </c>
      <c r="E781" s="64">
        <f>14.8655 * CHOOSE(CONTROL!$C$22, $C$13, 100%, $E$13)</f>
        <v>14.865500000000001</v>
      </c>
      <c r="F781" s="64">
        <f>14.8655 * CHOOSE(CONTROL!$C$22, $C$13, 100%, $E$13)</f>
        <v>14.865500000000001</v>
      </c>
      <c r="G781" s="64">
        <f>14.8812 * CHOOSE(CONTROL!$C$22, $C$13, 100%, $E$13)</f>
        <v>14.8812</v>
      </c>
      <c r="H781" s="64">
        <f>24.5507* CHOOSE(CONTROL!$C$22, $C$13, 100%, $E$13)</f>
        <v>24.550699999999999</v>
      </c>
      <c r="I781" s="64">
        <f>24.5664 * CHOOSE(CONTROL!$C$22, $C$13, 100%, $E$13)</f>
        <v>24.566400000000002</v>
      </c>
      <c r="J781" s="64">
        <f>14.8655 * CHOOSE(CONTROL!$C$22, $C$13, 100%, $E$13)</f>
        <v>14.865500000000001</v>
      </c>
      <c r="K781" s="64">
        <f>14.8812 * CHOOSE(CONTROL!$C$22, $C$13, 100%, $E$13)</f>
        <v>14.8812</v>
      </c>
    </row>
    <row r="782" spans="1:11" ht="15">
      <c r="A782" s="13">
        <v>65289</v>
      </c>
      <c r="B782" s="63">
        <f>13.1306 * CHOOSE(CONTROL!$C$22, $C$13, 100%, $E$13)</f>
        <v>13.130599999999999</v>
      </c>
      <c r="C782" s="63">
        <f>13.1306 * CHOOSE(CONTROL!$C$22, $C$13, 100%, $E$13)</f>
        <v>13.130599999999999</v>
      </c>
      <c r="D782" s="63">
        <f>13.1306 * CHOOSE(CONTROL!$C$22, $C$13, 100%, $E$13)</f>
        <v>13.130599999999999</v>
      </c>
      <c r="E782" s="64">
        <f>14.9621 * CHOOSE(CONTROL!$C$22, $C$13, 100%, $E$13)</f>
        <v>14.9621</v>
      </c>
      <c r="F782" s="64">
        <f>14.9621 * CHOOSE(CONTROL!$C$22, $C$13, 100%, $E$13)</f>
        <v>14.9621</v>
      </c>
      <c r="G782" s="64">
        <f>14.9622 * CHOOSE(CONTROL!$C$22, $C$13, 100%, $E$13)</f>
        <v>14.962199999999999</v>
      </c>
      <c r="H782" s="64">
        <f>24.6019* CHOOSE(CONTROL!$C$22, $C$13, 100%, $E$13)</f>
        <v>24.601900000000001</v>
      </c>
      <c r="I782" s="64">
        <f>24.602 * CHOOSE(CONTROL!$C$22, $C$13, 100%, $E$13)</f>
        <v>24.602</v>
      </c>
      <c r="J782" s="64">
        <f>14.9621 * CHOOSE(CONTROL!$C$22, $C$13, 100%, $E$13)</f>
        <v>14.9621</v>
      </c>
      <c r="K782" s="64">
        <f>14.9622 * CHOOSE(CONTROL!$C$22, $C$13, 100%, $E$13)</f>
        <v>14.962199999999999</v>
      </c>
    </row>
    <row r="783" spans="1:11" ht="15">
      <c r="A783" s="13">
        <v>65320</v>
      </c>
      <c r="B783" s="63">
        <f>13.1336 * CHOOSE(CONTROL!$C$22, $C$13, 100%, $E$13)</f>
        <v>13.133599999999999</v>
      </c>
      <c r="C783" s="63">
        <f>13.1336 * CHOOSE(CONTROL!$C$22, $C$13, 100%, $E$13)</f>
        <v>13.133599999999999</v>
      </c>
      <c r="D783" s="63">
        <f>13.1336 * CHOOSE(CONTROL!$C$22, $C$13, 100%, $E$13)</f>
        <v>13.133599999999999</v>
      </c>
      <c r="E783" s="64">
        <f>15.0192 * CHOOSE(CONTROL!$C$22, $C$13, 100%, $E$13)</f>
        <v>15.0192</v>
      </c>
      <c r="F783" s="64">
        <f>15.0192 * CHOOSE(CONTROL!$C$22, $C$13, 100%, $E$13)</f>
        <v>15.0192</v>
      </c>
      <c r="G783" s="64">
        <f>15.0193 * CHOOSE(CONTROL!$C$22, $C$13, 100%, $E$13)</f>
        <v>15.019299999999999</v>
      </c>
      <c r="H783" s="64">
        <f>24.6531* CHOOSE(CONTROL!$C$22, $C$13, 100%, $E$13)</f>
        <v>24.653099999999998</v>
      </c>
      <c r="I783" s="64">
        <f>24.6532 * CHOOSE(CONTROL!$C$22, $C$13, 100%, $E$13)</f>
        <v>24.653199999999998</v>
      </c>
      <c r="J783" s="64">
        <f>15.0192 * CHOOSE(CONTROL!$C$22, $C$13, 100%, $E$13)</f>
        <v>15.0192</v>
      </c>
      <c r="K783" s="64">
        <f>15.0193 * CHOOSE(CONTROL!$C$22, $C$13, 100%, $E$13)</f>
        <v>15.019299999999999</v>
      </c>
    </row>
    <row r="784" spans="1:11" ht="15">
      <c r="A784" s="13">
        <v>65350</v>
      </c>
      <c r="B784" s="63">
        <f>13.1336 * CHOOSE(CONTROL!$C$22, $C$13, 100%, $E$13)</f>
        <v>13.133599999999999</v>
      </c>
      <c r="C784" s="63">
        <f>13.1336 * CHOOSE(CONTROL!$C$22, $C$13, 100%, $E$13)</f>
        <v>13.133599999999999</v>
      </c>
      <c r="D784" s="63">
        <f>13.1336 * CHOOSE(CONTROL!$C$22, $C$13, 100%, $E$13)</f>
        <v>13.133599999999999</v>
      </c>
      <c r="E784" s="64">
        <f>14.8817 * CHOOSE(CONTROL!$C$22, $C$13, 100%, $E$13)</f>
        <v>14.8817</v>
      </c>
      <c r="F784" s="64">
        <f>14.8817 * CHOOSE(CONTROL!$C$22, $C$13, 100%, $E$13)</f>
        <v>14.8817</v>
      </c>
      <c r="G784" s="64">
        <f>14.8818 * CHOOSE(CONTROL!$C$22, $C$13, 100%, $E$13)</f>
        <v>14.8818</v>
      </c>
      <c r="H784" s="64">
        <f>24.7045* CHOOSE(CONTROL!$C$22, $C$13, 100%, $E$13)</f>
        <v>24.704499999999999</v>
      </c>
      <c r="I784" s="64">
        <f>24.7046 * CHOOSE(CONTROL!$C$22, $C$13, 100%, $E$13)</f>
        <v>24.704599999999999</v>
      </c>
      <c r="J784" s="64">
        <f>14.8817 * CHOOSE(CONTROL!$C$22, $C$13, 100%, $E$13)</f>
        <v>14.8817</v>
      </c>
      <c r="K784" s="64">
        <f>14.8818 * CHOOSE(CONTROL!$C$22, $C$13, 100%, $E$13)</f>
        <v>14.8818</v>
      </c>
    </row>
    <row r="785" spans="1:11" ht="15">
      <c r="A785" s="13">
        <v>65381</v>
      </c>
      <c r="B785" s="63">
        <f>13.1365 * CHOOSE(CONTROL!$C$22, $C$13, 100%, $E$13)</f>
        <v>13.1365</v>
      </c>
      <c r="C785" s="63">
        <f>13.1365 * CHOOSE(CONTROL!$C$22, $C$13, 100%, $E$13)</f>
        <v>13.1365</v>
      </c>
      <c r="D785" s="63">
        <f>13.1365 * CHOOSE(CONTROL!$C$22, $C$13, 100%, $E$13)</f>
        <v>13.1365</v>
      </c>
      <c r="E785" s="64">
        <f>14.9941 * CHOOSE(CONTROL!$C$22, $C$13, 100%, $E$13)</f>
        <v>14.9941</v>
      </c>
      <c r="F785" s="64">
        <f>14.9941 * CHOOSE(CONTROL!$C$22, $C$13, 100%, $E$13)</f>
        <v>14.9941</v>
      </c>
      <c r="G785" s="64">
        <f>14.9941 * CHOOSE(CONTROL!$C$22, $C$13, 100%, $E$13)</f>
        <v>14.9941</v>
      </c>
      <c r="H785" s="64">
        <f>24.5724* CHOOSE(CONTROL!$C$22, $C$13, 100%, $E$13)</f>
        <v>24.572399999999998</v>
      </c>
      <c r="I785" s="64">
        <f>24.5725 * CHOOSE(CONTROL!$C$22, $C$13, 100%, $E$13)</f>
        <v>24.572500000000002</v>
      </c>
      <c r="J785" s="64">
        <f>14.9941 * CHOOSE(CONTROL!$C$22, $C$13, 100%, $E$13)</f>
        <v>14.9941</v>
      </c>
      <c r="K785" s="64">
        <f>14.9941 * CHOOSE(CONTROL!$C$22, $C$13, 100%, $E$13)</f>
        <v>14.9941</v>
      </c>
    </row>
    <row r="786" spans="1:11" ht="15">
      <c r="A786" s="13">
        <v>65412</v>
      </c>
      <c r="B786" s="63">
        <f>13.1334 * CHOOSE(CONTROL!$C$22, $C$13, 100%, $E$13)</f>
        <v>13.1334</v>
      </c>
      <c r="C786" s="63">
        <f>13.1334 * CHOOSE(CONTROL!$C$22, $C$13, 100%, $E$13)</f>
        <v>13.1334</v>
      </c>
      <c r="D786" s="63">
        <f>13.1334 * CHOOSE(CONTROL!$C$22, $C$13, 100%, $E$13)</f>
        <v>13.1334</v>
      </c>
      <c r="E786" s="64">
        <f>14.7271 * CHOOSE(CONTROL!$C$22, $C$13, 100%, $E$13)</f>
        <v>14.7271</v>
      </c>
      <c r="F786" s="64">
        <f>14.7271 * CHOOSE(CONTROL!$C$22, $C$13, 100%, $E$13)</f>
        <v>14.7271</v>
      </c>
      <c r="G786" s="64">
        <f>14.7272 * CHOOSE(CONTROL!$C$22, $C$13, 100%, $E$13)</f>
        <v>14.7272</v>
      </c>
      <c r="H786" s="64">
        <f>24.6236* CHOOSE(CONTROL!$C$22, $C$13, 100%, $E$13)</f>
        <v>24.6236</v>
      </c>
      <c r="I786" s="64">
        <f>24.6237 * CHOOSE(CONTROL!$C$22, $C$13, 100%, $E$13)</f>
        <v>24.623699999999999</v>
      </c>
      <c r="J786" s="64">
        <f>14.7271 * CHOOSE(CONTROL!$C$22, $C$13, 100%, $E$13)</f>
        <v>14.7271</v>
      </c>
      <c r="K786" s="64">
        <f>14.7272 * CHOOSE(CONTROL!$C$22, $C$13, 100%, $E$13)</f>
        <v>14.7272</v>
      </c>
    </row>
    <row r="787" spans="1:11" ht="15">
      <c r="A787" s="13">
        <v>65440</v>
      </c>
      <c r="B787" s="63">
        <f>13.1304 * CHOOSE(CONTROL!$C$22, $C$13, 100%, $E$13)</f>
        <v>13.1304</v>
      </c>
      <c r="C787" s="63">
        <f>13.1304 * CHOOSE(CONTROL!$C$22, $C$13, 100%, $E$13)</f>
        <v>13.1304</v>
      </c>
      <c r="D787" s="63">
        <f>13.1304 * CHOOSE(CONTROL!$C$22, $C$13, 100%, $E$13)</f>
        <v>13.1304</v>
      </c>
      <c r="E787" s="64">
        <f>14.9338 * CHOOSE(CONTROL!$C$22, $C$13, 100%, $E$13)</f>
        <v>14.9338</v>
      </c>
      <c r="F787" s="64">
        <f>14.9338 * CHOOSE(CONTROL!$C$22, $C$13, 100%, $E$13)</f>
        <v>14.9338</v>
      </c>
      <c r="G787" s="64">
        <f>14.9338 * CHOOSE(CONTROL!$C$22, $C$13, 100%, $E$13)</f>
        <v>14.9338</v>
      </c>
      <c r="H787" s="64">
        <f>24.6749* CHOOSE(CONTROL!$C$22, $C$13, 100%, $E$13)</f>
        <v>24.674900000000001</v>
      </c>
      <c r="I787" s="64">
        <f>24.675 * CHOOSE(CONTROL!$C$22, $C$13, 100%, $E$13)</f>
        <v>24.675000000000001</v>
      </c>
      <c r="J787" s="64">
        <f>14.9338 * CHOOSE(CONTROL!$C$22, $C$13, 100%, $E$13)</f>
        <v>14.9338</v>
      </c>
      <c r="K787" s="64">
        <f>14.9338 * CHOOSE(CONTROL!$C$22, $C$13, 100%, $E$13)</f>
        <v>14.9338</v>
      </c>
    </row>
    <row r="788" spans="1:11" ht="15">
      <c r="A788" s="13">
        <v>65471</v>
      </c>
      <c r="B788" s="63">
        <f>13.1357 * CHOOSE(CONTROL!$C$22, $C$13, 100%, $E$13)</f>
        <v>13.1357</v>
      </c>
      <c r="C788" s="63">
        <f>13.1357 * CHOOSE(CONTROL!$C$22, $C$13, 100%, $E$13)</f>
        <v>13.1357</v>
      </c>
      <c r="D788" s="63">
        <f>13.1357 * CHOOSE(CONTROL!$C$22, $C$13, 100%, $E$13)</f>
        <v>13.1357</v>
      </c>
      <c r="E788" s="64">
        <f>15.1538 * CHOOSE(CONTROL!$C$22, $C$13, 100%, $E$13)</f>
        <v>15.1538</v>
      </c>
      <c r="F788" s="64">
        <f>15.1538 * CHOOSE(CONTROL!$C$22, $C$13, 100%, $E$13)</f>
        <v>15.1538</v>
      </c>
      <c r="G788" s="64">
        <f>15.1538 * CHOOSE(CONTROL!$C$22, $C$13, 100%, $E$13)</f>
        <v>15.1538</v>
      </c>
      <c r="H788" s="64">
        <f>24.7263* CHOOSE(CONTROL!$C$22, $C$13, 100%, $E$13)</f>
        <v>24.726299999999998</v>
      </c>
      <c r="I788" s="64">
        <f>24.7264 * CHOOSE(CONTROL!$C$22, $C$13, 100%, $E$13)</f>
        <v>24.726400000000002</v>
      </c>
      <c r="J788" s="64">
        <f>15.1538 * CHOOSE(CONTROL!$C$22, $C$13, 100%, $E$13)</f>
        <v>15.1538</v>
      </c>
      <c r="K788" s="64">
        <f>15.1538 * CHOOSE(CONTROL!$C$22, $C$13, 100%, $E$13)</f>
        <v>15.1538</v>
      </c>
    </row>
    <row r="789" spans="1:11" ht="15">
      <c r="A789" s="13">
        <v>65501</v>
      </c>
      <c r="B789" s="63">
        <f>13.1357 * CHOOSE(CONTROL!$C$22, $C$13, 100%, $E$13)</f>
        <v>13.1357</v>
      </c>
      <c r="C789" s="63">
        <f>13.1357 * CHOOSE(CONTROL!$C$22, $C$13, 100%, $E$13)</f>
        <v>13.1357</v>
      </c>
      <c r="D789" s="63">
        <f>13.1487 * CHOOSE(CONTROL!$C$22, $C$13, 100%, $E$13)</f>
        <v>13.1487</v>
      </c>
      <c r="E789" s="64">
        <f>15.2378 * CHOOSE(CONTROL!$C$22, $C$13, 100%, $E$13)</f>
        <v>15.2378</v>
      </c>
      <c r="F789" s="64">
        <f>15.2378 * CHOOSE(CONTROL!$C$22, $C$13, 100%, $E$13)</f>
        <v>15.2378</v>
      </c>
      <c r="G789" s="64">
        <f>15.2535 * CHOOSE(CONTROL!$C$22, $C$13, 100%, $E$13)</f>
        <v>15.253500000000001</v>
      </c>
      <c r="H789" s="64">
        <f>24.7778* CHOOSE(CONTROL!$C$22, $C$13, 100%, $E$13)</f>
        <v>24.777799999999999</v>
      </c>
      <c r="I789" s="64">
        <f>24.7935 * CHOOSE(CONTROL!$C$22, $C$13, 100%, $E$13)</f>
        <v>24.793500000000002</v>
      </c>
      <c r="J789" s="64">
        <f>15.2378 * CHOOSE(CONTROL!$C$22, $C$13, 100%, $E$13)</f>
        <v>15.2378</v>
      </c>
      <c r="K789" s="64">
        <f>15.2535 * CHOOSE(CONTROL!$C$22, $C$13, 100%, $E$13)</f>
        <v>15.253500000000001</v>
      </c>
    </row>
    <row r="790" spans="1:11" ht="15">
      <c r="A790" s="13">
        <v>65532</v>
      </c>
      <c r="B790" s="63">
        <f>13.1418 * CHOOSE(CONTROL!$C$22, $C$13, 100%, $E$13)</f>
        <v>13.1418</v>
      </c>
      <c r="C790" s="63">
        <f>13.1418 * CHOOSE(CONTROL!$C$22, $C$13, 100%, $E$13)</f>
        <v>13.1418</v>
      </c>
      <c r="D790" s="63">
        <f>13.1547 * CHOOSE(CONTROL!$C$22, $C$13, 100%, $E$13)</f>
        <v>13.1547</v>
      </c>
      <c r="E790" s="64">
        <f>15.158 * CHOOSE(CONTROL!$C$22, $C$13, 100%, $E$13)</f>
        <v>15.157999999999999</v>
      </c>
      <c r="F790" s="64">
        <f>15.158 * CHOOSE(CONTROL!$C$22, $C$13, 100%, $E$13)</f>
        <v>15.157999999999999</v>
      </c>
      <c r="G790" s="64">
        <f>15.1737 * CHOOSE(CONTROL!$C$22, $C$13, 100%, $E$13)</f>
        <v>15.1737</v>
      </c>
      <c r="H790" s="64">
        <f>24.8294* CHOOSE(CONTROL!$C$22, $C$13, 100%, $E$13)</f>
        <v>24.8294</v>
      </c>
      <c r="I790" s="64">
        <f>24.8451 * CHOOSE(CONTROL!$C$22, $C$13, 100%, $E$13)</f>
        <v>24.845099999999999</v>
      </c>
      <c r="J790" s="64">
        <f>15.158 * CHOOSE(CONTROL!$C$22, $C$13, 100%, $E$13)</f>
        <v>15.157999999999999</v>
      </c>
      <c r="K790" s="64">
        <f>15.1737 * CHOOSE(CONTROL!$C$22, $C$13, 100%, $E$13)</f>
        <v>15.1737</v>
      </c>
    </row>
    <row r="791" spans="1:11" ht="15">
      <c r="A791" s="13">
        <v>65562</v>
      </c>
      <c r="B791" s="63">
        <f>13.3417 * CHOOSE(CONTROL!$C$22, $C$13, 100%, $E$13)</f>
        <v>13.341699999999999</v>
      </c>
      <c r="C791" s="63">
        <f>13.3417 * CHOOSE(CONTROL!$C$22, $C$13, 100%, $E$13)</f>
        <v>13.341699999999999</v>
      </c>
      <c r="D791" s="63">
        <f>13.3547 * CHOOSE(CONTROL!$C$22, $C$13, 100%, $E$13)</f>
        <v>13.354699999999999</v>
      </c>
      <c r="E791" s="64">
        <f>15.3998 * CHOOSE(CONTROL!$C$22, $C$13, 100%, $E$13)</f>
        <v>15.399800000000001</v>
      </c>
      <c r="F791" s="64">
        <f>15.3998 * CHOOSE(CONTROL!$C$22, $C$13, 100%, $E$13)</f>
        <v>15.399800000000001</v>
      </c>
      <c r="G791" s="64">
        <f>15.4155 * CHOOSE(CONTROL!$C$22, $C$13, 100%, $E$13)</f>
        <v>15.4155</v>
      </c>
      <c r="H791" s="64">
        <f>24.8811* CHOOSE(CONTROL!$C$22, $C$13, 100%, $E$13)</f>
        <v>24.8811</v>
      </c>
      <c r="I791" s="64">
        <f>24.8968 * CHOOSE(CONTROL!$C$22, $C$13, 100%, $E$13)</f>
        <v>24.896799999999999</v>
      </c>
      <c r="J791" s="64">
        <f>15.3998 * CHOOSE(CONTROL!$C$22, $C$13, 100%, $E$13)</f>
        <v>15.399800000000001</v>
      </c>
      <c r="K791" s="64">
        <f>15.4155 * CHOOSE(CONTROL!$C$22, $C$13, 100%, $E$13)</f>
        <v>15.4155</v>
      </c>
    </row>
    <row r="792" spans="1:11" ht="15">
      <c r="A792" s="13">
        <v>65593</v>
      </c>
      <c r="B792" s="63">
        <f>13.3484 * CHOOSE(CONTROL!$C$22, $C$13, 100%, $E$13)</f>
        <v>13.3484</v>
      </c>
      <c r="C792" s="63">
        <f>13.3484 * CHOOSE(CONTROL!$C$22, $C$13, 100%, $E$13)</f>
        <v>13.3484</v>
      </c>
      <c r="D792" s="63">
        <f>13.3614 * CHOOSE(CONTROL!$C$22, $C$13, 100%, $E$13)</f>
        <v>13.3614</v>
      </c>
      <c r="E792" s="64">
        <f>15.1522 * CHOOSE(CONTROL!$C$22, $C$13, 100%, $E$13)</f>
        <v>15.152200000000001</v>
      </c>
      <c r="F792" s="64">
        <f>15.1522 * CHOOSE(CONTROL!$C$22, $C$13, 100%, $E$13)</f>
        <v>15.152200000000001</v>
      </c>
      <c r="G792" s="64">
        <f>15.1679 * CHOOSE(CONTROL!$C$22, $C$13, 100%, $E$13)</f>
        <v>15.167899999999999</v>
      </c>
      <c r="H792" s="64">
        <f>24.933* CHOOSE(CONTROL!$C$22, $C$13, 100%, $E$13)</f>
        <v>24.933</v>
      </c>
      <c r="I792" s="64">
        <f>24.9487 * CHOOSE(CONTROL!$C$22, $C$13, 100%, $E$13)</f>
        <v>24.948699999999999</v>
      </c>
      <c r="J792" s="64">
        <f>15.1522 * CHOOSE(CONTROL!$C$22, $C$13, 100%, $E$13)</f>
        <v>15.152200000000001</v>
      </c>
      <c r="K792" s="64">
        <f>15.1679 * CHOOSE(CONTROL!$C$22, $C$13, 100%, $E$13)</f>
        <v>15.167899999999999</v>
      </c>
    </row>
    <row r="793" spans="1:11" ht="15">
      <c r="A793" s="13">
        <v>65624</v>
      </c>
      <c r="B793" s="63">
        <f>13.3454 * CHOOSE(CONTROL!$C$22, $C$13, 100%, $E$13)</f>
        <v>13.3454</v>
      </c>
      <c r="C793" s="63">
        <f>13.3454 * CHOOSE(CONTROL!$C$22, $C$13, 100%, $E$13)</f>
        <v>13.3454</v>
      </c>
      <c r="D793" s="63">
        <f>13.3583 * CHOOSE(CONTROL!$C$22, $C$13, 100%, $E$13)</f>
        <v>13.3583</v>
      </c>
      <c r="E793" s="64">
        <f>15.1221 * CHOOSE(CONTROL!$C$22, $C$13, 100%, $E$13)</f>
        <v>15.1221</v>
      </c>
      <c r="F793" s="64">
        <f>15.1221 * CHOOSE(CONTROL!$C$22, $C$13, 100%, $E$13)</f>
        <v>15.1221</v>
      </c>
      <c r="G793" s="64">
        <f>15.1377 * CHOOSE(CONTROL!$C$22, $C$13, 100%, $E$13)</f>
        <v>15.137700000000001</v>
      </c>
      <c r="H793" s="64">
        <f>24.9849* CHOOSE(CONTROL!$C$22, $C$13, 100%, $E$13)</f>
        <v>24.9849</v>
      </c>
      <c r="I793" s="64">
        <f>25.0006 * CHOOSE(CONTROL!$C$22, $C$13, 100%, $E$13)</f>
        <v>25.000599999999999</v>
      </c>
      <c r="J793" s="64">
        <f>15.1221 * CHOOSE(CONTROL!$C$22, $C$13, 100%, $E$13)</f>
        <v>15.1221</v>
      </c>
      <c r="K793" s="64">
        <f>15.1377 * CHOOSE(CONTROL!$C$22, $C$13, 100%, $E$13)</f>
        <v>15.137700000000001</v>
      </c>
    </row>
    <row r="794" spans="1:11" ht="15">
      <c r="A794" s="13">
        <v>65654</v>
      </c>
      <c r="B794" s="63">
        <f>13.3705 * CHOOSE(CONTROL!$C$22, $C$13, 100%, $E$13)</f>
        <v>13.3705</v>
      </c>
      <c r="C794" s="63">
        <f>13.3705 * CHOOSE(CONTROL!$C$22, $C$13, 100%, $E$13)</f>
        <v>13.3705</v>
      </c>
      <c r="D794" s="63">
        <f>13.3705 * CHOOSE(CONTROL!$C$22, $C$13, 100%, $E$13)</f>
        <v>13.3705</v>
      </c>
      <c r="E794" s="64">
        <f>15.2207 * CHOOSE(CONTROL!$C$22, $C$13, 100%, $E$13)</f>
        <v>15.220700000000001</v>
      </c>
      <c r="F794" s="64">
        <f>15.2207 * CHOOSE(CONTROL!$C$22, $C$13, 100%, $E$13)</f>
        <v>15.220700000000001</v>
      </c>
      <c r="G794" s="64">
        <f>15.2208 * CHOOSE(CONTROL!$C$22, $C$13, 100%, $E$13)</f>
        <v>15.220800000000001</v>
      </c>
      <c r="H794" s="64">
        <f>25.037* CHOOSE(CONTROL!$C$22, $C$13, 100%, $E$13)</f>
        <v>25.036999999999999</v>
      </c>
      <c r="I794" s="64">
        <f>25.037 * CHOOSE(CONTROL!$C$22, $C$13, 100%, $E$13)</f>
        <v>25.036999999999999</v>
      </c>
      <c r="J794" s="64">
        <f>15.2207 * CHOOSE(CONTROL!$C$22, $C$13, 100%, $E$13)</f>
        <v>15.220700000000001</v>
      </c>
      <c r="K794" s="64">
        <f>15.2208 * CHOOSE(CONTROL!$C$22, $C$13, 100%, $E$13)</f>
        <v>15.220800000000001</v>
      </c>
    </row>
    <row r="795" spans="1:11" ht="15">
      <c r="A795" s="13">
        <v>65685</v>
      </c>
      <c r="B795" s="63">
        <f>13.3736 * CHOOSE(CONTROL!$C$22, $C$13, 100%, $E$13)</f>
        <v>13.3736</v>
      </c>
      <c r="C795" s="63">
        <f>13.3736 * CHOOSE(CONTROL!$C$22, $C$13, 100%, $E$13)</f>
        <v>13.3736</v>
      </c>
      <c r="D795" s="63">
        <f>13.3736 * CHOOSE(CONTROL!$C$22, $C$13, 100%, $E$13)</f>
        <v>13.3736</v>
      </c>
      <c r="E795" s="64">
        <f>15.2789 * CHOOSE(CONTROL!$C$22, $C$13, 100%, $E$13)</f>
        <v>15.2789</v>
      </c>
      <c r="F795" s="64">
        <f>15.2789 * CHOOSE(CONTROL!$C$22, $C$13, 100%, $E$13)</f>
        <v>15.2789</v>
      </c>
      <c r="G795" s="64">
        <f>15.279 * CHOOSE(CONTROL!$C$22, $C$13, 100%, $E$13)</f>
        <v>15.279</v>
      </c>
      <c r="H795" s="64">
        <f>25.0891* CHOOSE(CONTROL!$C$22, $C$13, 100%, $E$13)</f>
        <v>25.089099999999998</v>
      </c>
      <c r="I795" s="64">
        <f>25.0892 * CHOOSE(CONTROL!$C$22, $C$13, 100%, $E$13)</f>
        <v>25.089200000000002</v>
      </c>
      <c r="J795" s="64">
        <f>15.2789 * CHOOSE(CONTROL!$C$22, $C$13, 100%, $E$13)</f>
        <v>15.2789</v>
      </c>
      <c r="K795" s="64">
        <f>15.279 * CHOOSE(CONTROL!$C$22, $C$13, 100%, $E$13)</f>
        <v>15.279</v>
      </c>
    </row>
    <row r="796" spans="1:11" ht="15">
      <c r="A796" s="13">
        <v>65715</v>
      </c>
      <c r="B796" s="63">
        <f>13.3736 * CHOOSE(CONTROL!$C$22, $C$13, 100%, $E$13)</f>
        <v>13.3736</v>
      </c>
      <c r="C796" s="63">
        <f>13.3736 * CHOOSE(CONTROL!$C$22, $C$13, 100%, $E$13)</f>
        <v>13.3736</v>
      </c>
      <c r="D796" s="63">
        <f>13.3736 * CHOOSE(CONTROL!$C$22, $C$13, 100%, $E$13)</f>
        <v>13.3736</v>
      </c>
      <c r="E796" s="64">
        <f>15.1388 * CHOOSE(CONTROL!$C$22, $C$13, 100%, $E$13)</f>
        <v>15.1388</v>
      </c>
      <c r="F796" s="64">
        <f>15.1388 * CHOOSE(CONTROL!$C$22, $C$13, 100%, $E$13)</f>
        <v>15.1388</v>
      </c>
      <c r="G796" s="64">
        <f>15.1389 * CHOOSE(CONTROL!$C$22, $C$13, 100%, $E$13)</f>
        <v>15.1389</v>
      </c>
      <c r="H796" s="64">
        <f>25.1414* CHOOSE(CONTROL!$C$22, $C$13, 100%, $E$13)</f>
        <v>25.141400000000001</v>
      </c>
      <c r="I796" s="64">
        <f>25.1415 * CHOOSE(CONTROL!$C$22, $C$13, 100%, $E$13)</f>
        <v>25.141500000000001</v>
      </c>
      <c r="J796" s="64">
        <f>15.1388 * CHOOSE(CONTROL!$C$22, $C$13, 100%, $E$13)</f>
        <v>15.1388</v>
      </c>
      <c r="K796" s="64">
        <f>15.1389 * CHOOSE(CONTROL!$C$22, $C$13, 100%, $E$13)</f>
        <v>15.1389</v>
      </c>
    </row>
    <row r="797" spans="1:11" ht="15">
      <c r="A797" s="13">
        <v>65746</v>
      </c>
      <c r="B797" s="63">
        <f>13.372 * CHOOSE(CONTROL!$C$22, $C$13, 100%, $E$13)</f>
        <v>13.372</v>
      </c>
      <c r="C797" s="63">
        <f>13.372 * CHOOSE(CONTROL!$C$22, $C$13, 100%, $E$13)</f>
        <v>13.372</v>
      </c>
      <c r="D797" s="63">
        <f>13.372 * CHOOSE(CONTROL!$C$22, $C$13, 100%, $E$13)</f>
        <v>13.372</v>
      </c>
      <c r="E797" s="64">
        <f>15.2488 * CHOOSE(CONTROL!$C$22, $C$13, 100%, $E$13)</f>
        <v>15.248799999999999</v>
      </c>
      <c r="F797" s="64">
        <f>15.2488 * CHOOSE(CONTROL!$C$22, $C$13, 100%, $E$13)</f>
        <v>15.248799999999999</v>
      </c>
      <c r="G797" s="64">
        <f>15.2489 * CHOOSE(CONTROL!$C$22, $C$13, 100%, $E$13)</f>
        <v>15.248900000000001</v>
      </c>
      <c r="H797" s="64">
        <f>24.9994* CHOOSE(CONTROL!$C$22, $C$13, 100%, $E$13)</f>
        <v>24.999400000000001</v>
      </c>
      <c r="I797" s="64">
        <f>24.9995 * CHOOSE(CONTROL!$C$22, $C$13, 100%, $E$13)</f>
        <v>24.999500000000001</v>
      </c>
      <c r="J797" s="64">
        <f>15.2488 * CHOOSE(CONTROL!$C$22, $C$13, 100%, $E$13)</f>
        <v>15.248799999999999</v>
      </c>
      <c r="K797" s="64">
        <f>15.2489 * CHOOSE(CONTROL!$C$22, $C$13, 100%, $E$13)</f>
        <v>15.248900000000001</v>
      </c>
    </row>
    <row r="798" spans="1:11" ht="15">
      <c r="A798" s="13">
        <v>65777</v>
      </c>
      <c r="B798" s="63">
        <f>13.369 * CHOOSE(CONTROL!$C$22, $C$13, 100%, $E$13)</f>
        <v>13.369</v>
      </c>
      <c r="C798" s="63">
        <f>13.369 * CHOOSE(CONTROL!$C$22, $C$13, 100%, $E$13)</f>
        <v>13.369</v>
      </c>
      <c r="D798" s="63">
        <f>13.369 * CHOOSE(CONTROL!$C$22, $C$13, 100%, $E$13)</f>
        <v>13.369</v>
      </c>
      <c r="E798" s="64">
        <f>14.9769 * CHOOSE(CONTROL!$C$22, $C$13, 100%, $E$13)</f>
        <v>14.976900000000001</v>
      </c>
      <c r="F798" s="64">
        <f>14.9769 * CHOOSE(CONTROL!$C$22, $C$13, 100%, $E$13)</f>
        <v>14.976900000000001</v>
      </c>
      <c r="G798" s="64">
        <f>14.977 * CHOOSE(CONTROL!$C$22, $C$13, 100%, $E$13)</f>
        <v>14.977</v>
      </c>
      <c r="H798" s="64">
        <f>25.0515* CHOOSE(CONTROL!$C$22, $C$13, 100%, $E$13)</f>
        <v>25.051500000000001</v>
      </c>
      <c r="I798" s="64">
        <f>25.0516 * CHOOSE(CONTROL!$C$22, $C$13, 100%, $E$13)</f>
        <v>25.051600000000001</v>
      </c>
      <c r="J798" s="64">
        <f>14.9769 * CHOOSE(CONTROL!$C$22, $C$13, 100%, $E$13)</f>
        <v>14.976900000000001</v>
      </c>
      <c r="K798" s="64">
        <f>14.977 * CHOOSE(CONTROL!$C$22, $C$13, 100%, $E$13)</f>
        <v>14.977</v>
      </c>
    </row>
    <row r="799" spans="1:11" ht="15">
      <c r="A799" s="13">
        <v>65806</v>
      </c>
      <c r="B799" s="63">
        <f>13.3659 * CHOOSE(CONTROL!$C$22, $C$13, 100%, $E$13)</f>
        <v>13.3659</v>
      </c>
      <c r="C799" s="63">
        <f>13.3659 * CHOOSE(CONTROL!$C$22, $C$13, 100%, $E$13)</f>
        <v>13.3659</v>
      </c>
      <c r="D799" s="63">
        <f>13.366 * CHOOSE(CONTROL!$C$22, $C$13, 100%, $E$13)</f>
        <v>13.366</v>
      </c>
      <c r="E799" s="64">
        <f>15.1874 * CHOOSE(CONTROL!$C$22, $C$13, 100%, $E$13)</f>
        <v>15.1874</v>
      </c>
      <c r="F799" s="64">
        <f>15.1874 * CHOOSE(CONTROL!$C$22, $C$13, 100%, $E$13)</f>
        <v>15.1874</v>
      </c>
      <c r="G799" s="64">
        <f>15.1875 * CHOOSE(CONTROL!$C$22, $C$13, 100%, $E$13)</f>
        <v>15.1875</v>
      </c>
      <c r="H799" s="64">
        <f>25.1037* CHOOSE(CONTROL!$C$22, $C$13, 100%, $E$13)</f>
        <v>25.1037</v>
      </c>
      <c r="I799" s="64">
        <f>25.1038 * CHOOSE(CONTROL!$C$22, $C$13, 100%, $E$13)</f>
        <v>25.1038</v>
      </c>
      <c r="J799" s="64">
        <f>15.1874 * CHOOSE(CONTROL!$C$22, $C$13, 100%, $E$13)</f>
        <v>15.1874</v>
      </c>
      <c r="K799" s="64">
        <f>15.1875 * CHOOSE(CONTROL!$C$22, $C$13, 100%, $E$13)</f>
        <v>15.1875</v>
      </c>
    </row>
    <row r="800" spans="1:11" ht="15">
      <c r="A800" s="13">
        <v>65837</v>
      </c>
      <c r="B800" s="63">
        <f>13.3715 * CHOOSE(CONTROL!$C$22, $C$13, 100%, $E$13)</f>
        <v>13.371499999999999</v>
      </c>
      <c r="C800" s="63">
        <f>13.3715 * CHOOSE(CONTROL!$C$22, $C$13, 100%, $E$13)</f>
        <v>13.371499999999999</v>
      </c>
      <c r="D800" s="63">
        <f>13.3715 * CHOOSE(CONTROL!$C$22, $C$13, 100%, $E$13)</f>
        <v>13.371499999999999</v>
      </c>
      <c r="E800" s="64">
        <f>15.4116 * CHOOSE(CONTROL!$C$22, $C$13, 100%, $E$13)</f>
        <v>15.4116</v>
      </c>
      <c r="F800" s="64">
        <f>15.4116 * CHOOSE(CONTROL!$C$22, $C$13, 100%, $E$13)</f>
        <v>15.4116</v>
      </c>
      <c r="G800" s="64">
        <f>15.4117 * CHOOSE(CONTROL!$C$22, $C$13, 100%, $E$13)</f>
        <v>15.4117</v>
      </c>
      <c r="H800" s="64">
        <f>25.156* CHOOSE(CONTROL!$C$22, $C$13, 100%, $E$13)</f>
        <v>25.155999999999999</v>
      </c>
      <c r="I800" s="64">
        <f>25.1561 * CHOOSE(CONTROL!$C$22, $C$13, 100%, $E$13)</f>
        <v>25.156099999999999</v>
      </c>
      <c r="J800" s="64">
        <f>15.4116 * CHOOSE(CONTROL!$C$22, $C$13, 100%, $E$13)</f>
        <v>15.4116</v>
      </c>
      <c r="K800" s="64">
        <f>15.4117 * CHOOSE(CONTROL!$C$22, $C$13, 100%, $E$13)</f>
        <v>15.4117</v>
      </c>
    </row>
    <row r="801" spans="1:11" ht="15">
      <c r="A801" s="13">
        <v>65867</v>
      </c>
      <c r="B801" s="63">
        <f>13.3715 * CHOOSE(CONTROL!$C$22, $C$13, 100%, $E$13)</f>
        <v>13.371499999999999</v>
      </c>
      <c r="C801" s="63">
        <f>13.3715 * CHOOSE(CONTROL!$C$22, $C$13, 100%, $E$13)</f>
        <v>13.371499999999999</v>
      </c>
      <c r="D801" s="63">
        <f>13.3844 * CHOOSE(CONTROL!$C$22, $C$13, 100%, $E$13)</f>
        <v>13.384399999999999</v>
      </c>
      <c r="E801" s="64">
        <f>15.4973 * CHOOSE(CONTROL!$C$22, $C$13, 100%, $E$13)</f>
        <v>15.497299999999999</v>
      </c>
      <c r="F801" s="64">
        <f>15.4973 * CHOOSE(CONTROL!$C$22, $C$13, 100%, $E$13)</f>
        <v>15.497299999999999</v>
      </c>
      <c r="G801" s="64">
        <f>15.513 * CHOOSE(CONTROL!$C$22, $C$13, 100%, $E$13)</f>
        <v>15.513</v>
      </c>
      <c r="H801" s="64">
        <f>25.2084* CHOOSE(CONTROL!$C$22, $C$13, 100%, $E$13)</f>
        <v>25.208400000000001</v>
      </c>
      <c r="I801" s="64">
        <f>25.2241 * CHOOSE(CONTROL!$C$22, $C$13, 100%, $E$13)</f>
        <v>25.2241</v>
      </c>
      <c r="J801" s="64">
        <f>15.4973 * CHOOSE(CONTROL!$C$22, $C$13, 100%, $E$13)</f>
        <v>15.497299999999999</v>
      </c>
      <c r="K801" s="64">
        <f>15.513 * CHOOSE(CONTROL!$C$22, $C$13, 100%, $E$13)</f>
        <v>15.513</v>
      </c>
    </row>
    <row r="802" spans="1:11" ht="15">
      <c r="A802" s="13">
        <v>65898</v>
      </c>
      <c r="B802" s="63">
        <f>13.3775 * CHOOSE(CONTROL!$C$22, $C$13, 100%, $E$13)</f>
        <v>13.3775</v>
      </c>
      <c r="C802" s="63">
        <f>13.3775 * CHOOSE(CONTROL!$C$22, $C$13, 100%, $E$13)</f>
        <v>13.3775</v>
      </c>
      <c r="D802" s="63">
        <f>13.3905 * CHOOSE(CONTROL!$C$22, $C$13, 100%, $E$13)</f>
        <v>13.390499999999999</v>
      </c>
      <c r="E802" s="64">
        <f>15.4159 * CHOOSE(CONTROL!$C$22, $C$13, 100%, $E$13)</f>
        <v>15.415900000000001</v>
      </c>
      <c r="F802" s="64">
        <f>15.4159 * CHOOSE(CONTROL!$C$22, $C$13, 100%, $E$13)</f>
        <v>15.415900000000001</v>
      </c>
      <c r="G802" s="64">
        <f>15.4315 * CHOOSE(CONTROL!$C$22, $C$13, 100%, $E$13)</f>
        <v>15.4315</v>
      </c>
      <c r="H802" s="64">
        <f>25.2609* CHOOSE(CONTROL!$C$22, $C$13, 100%, $E$13)</f>
        <v>25.260899999999999</v>
      </c>
      <c r="I802" s="64">
        <f>25.2766 * CHOOSE(CONTROL!$C$22, $C$13, 100%, $E$13)</f>
        <v>25.276599999999998</v>
      </c>
      <c r="J802" s="64">
        <f>15.4159 * CHOOSE(CONTROL!$C$22, $C$13, 100%, $E$13)</f>
        <v>15.415900000000001</v>
      </c>
      <c r="K802" s="64">
        <f>15.4315 * CHOOSE(CONTROL!$C$22, $C$13, 100%, $E$13)</f>
        <v>15.4315</v>
      </c>
    </row>
    <row r="803" spans="1:11" ht="15">
      <c r="A803" s="13">
        <v>65928</v>
      </c>
      <c r="B803" s="63">
        <f>13.5809 * CHOOSE(CONTROL!$C$22, $C$13, 100%, $E$13)</f>
        <v>13.5809</v>
      </c>
      <c r="C803" s="63">
        <f>13.5809 * CHOOSE(CONTROL!$C$22, $C$13, 100%, $E$13)</f>
        <v>13.5809</v>
      </c>
      <c r="D803" s="63">
        <f>13.5939 * CHOOSE(CONTROL!$C$22, $C$13, 100%, $E$13)</f>
        <v>13.5939</v>
      </c>
      <c r="E803" s="64">
        <f>15.6616 * CHOOSE(CONTROL!$C$22, $C$13, 100%, $E$13)</f>
        <v>15.6616</v>
      </c>
      <c r="F803" s="64">
        <f>15.6616 * CHOOSE(CONTROL!$C$22, $C$13, 100%, $E$13)</f>
        <v>15.6616</v>
      </c>
      <c r="G803" s="64">
        <f>15.6773 * CHOOSE(CONTROL!$C$22, $C$13, 100%, $E$13)</f>
        <v>15.677300000000001</v>
      </c>
      <c r="H803" s="64">
        <f>25.3135* CHOOSE(CONTROL!$C$22, $C$13, 100%, $E$13)</f>
        <v>25.313500000000001</v>
      </c>
      <c r="I803" s="64">
        <f>25.3292 * CHOOSE(CONTROL!$C$22, $C$13, 100%, $E$13)</f>
        <v>25.3292</v>
      </c>
      <c r="J803" s="64">
        <f>15.6616 * CHOOSE(CONTROL!$C$22, $C$13, 100%, $E$13)</f>
        <v>15.6616</v>
      </c>
      <c r="K803" s="64">
        <f>15.6773 * CHOOSE(CONTROL!$C$22, $C$13, 100%, $E$13)</f>
        <v>15.677300000000001</v>
      </c>
    </row>
    <row r="804" spans="1:11" ht="15">
      <c r="A804" s="13">
        <v>65959</v>
      </c>
      <c r="B804" s="63">
        <f>13.5876 * CHOOSE(CONTROL!$C$22, $C$13, 100%, $E$13)</f>
        <v>13.5876</v>
      </c>
      <c r="C804" s="63">
        <f>13.5876 * CHOOSE(CONTROL!$C$22, $C$13, 100%, $E$13)</f>
        <v>13.5876</v>
      </c>
      <c r="D804" s="63">
        <f>13.6005 * CHOOSE(CONTROL!$C$22, $C$13, 100%, $E$13)</f>
        <v>13.6005</v>
      </c>
      <c r="E804" s="64">
        <f>15.4093 * CHOOSE(CONTROL!$C$22, $C$13, 100%, $E$13)</f>
        <v>15.4093</v>
      </c>
      <c r="F804" s="64">
        <f>15.4093 * CHOOSE(CONTROL!$C$22, $C$13, 100%, $E$13)</f>
        <v>15.4093</v>
      </c>
      <c r="G804" s="64">
        <f>15.4249 * CHOOSE(CONTROL!$C$22, $C$13, 100%, $E$13)</f>
        <v>15.424899999999999</v>
      </c>
      <c r="H804" s="64">
        <f>25.3663* CHOOSE(CONTROL!$C$22, $C$13, 100%, $E$13)</f>
        <v>25.366299999999999</v>
      </c>
      <c r="I804" s="64">
        <f>25.3819 * CHOOSE(CONTROL!$C$22, $C$13, 100%, $E$13)</f>
        <v>25.381900000000002</v>
      </c>
      <c r="J804" s="64">
        <f>15.4093 * CHOOSE(CONTROL!$C$22, $C$13, 100%, $E$13)</f>
        <v>15.4093</v>
      </c>
      <c r="K804" s="64">
        <f>15.4249 * CHOOSE(CONTROL!$C$22, $C$13, 100%, $E$13)</f>
        <v>15.424899999999999</v>
      </c>
    </row>
    <row r="805" spans="1:11" ht="15">
      <c r="A805" s="13">
        <v>65990</v>
      </c>
      <c r="B805" s="63">
        <f>13.5845 * CHOOSE(CONTROL!$C$22, $C$13, 100%, $E$13)</f>
        <v>13.5845</v>
      </c>
      <c r="C805" s="63">
        <f>13.5845 * CHOOSE(CONTROL!$C$22, $C$13, 100%, $E$13)</f>
        <v>13.5845</v>
      </c>
      <c r="D805" s="63">
        <f>13.5975 * CHOOSE(CONTROL!$C$22, $C$13, 100%, $E$13)</f>
        <v>13.5975</v>
      </c>
      <c r="E805" s="64">
        <f>15.3786 * CHOOSE(CONTROL!$C$22, $C$13, 100%, $E$13)</f>
        <v>15.3786</v>
      </c>
      <c r="F805" s="64">
        <f>15.3786 * CHOOSE(CONTROL!$C$22, $C$13, 100%, $E$13)</f>
        <v>15.3786</v>
      </c>
      <c r="G805" s="64">
        <f>15.3943 * CHOOSE(CONTROL!$C$22, $C$13, 100%, $E$13)</f>
        <v>15.394299999999999</v>
      </c>
      <c r="H805" s="64">
        <f>25.4191* CHOOSE(CONTROL!$C$22, $C$13, 100%, $E$13)</f>
        <v>25.4191</v>
      </c>
      <c r="I805" s="64">
        <f>25.4348 * CHOOSE(CONTROL!$C$22, $C$13, 100%, $E$13)</f>
        <v>25.434799999999999</v>
      </c>
      <c r="J805" s="64">
        <f>15.3786 * CHOOSE(CONTROL!$C$22, $C$13, 100%, $E$13)</f>
        <v>15.3786</v>
      </c>
      <c r="K805" s="64">
        <f>15.3943 * CHOOSE(CONTROL!$C$22, $C$13, 100%, $E$13)</f>
        <v>15.394299999999999</v>
      </c>
    </row>
    <row r="806" spans="1:11" ht="15">
      <c r="A806" s="13">
        <v>66020</v>
      </c>
      <c r="B806" s="63">
        <f>13.6105 * CHOOSE(CONTROL!$C$22, $C$13, 100%, $E$13)</f>
        <v>13.6105</v>
      </c>
      <c r="C806" s="63">
        <f>13.6105 * CHOOSE(CONTROL!$C$22, $C$13, 100%, $E$13)</f>
        <v>13.6105</v>
      </c>
      <c r="D806" s="63">
        <f>13.6105 * CHOOSE(CONTROL!$C$22, $C$13, 100%, $E$13)</f>
        <v>13.6105</v>
      </c>
      <c r="E806" s="64">
        <f>15.4794 * CHOOSE(CONTROL!$C$22, $C$13, 100%, $E$13)</f>
        <v>15.4794</v>
      </c>
      <c r="F806" s="64">
        <f>15.4794 * CHOOSE(CONTROL!$C$22, $C$13, 100%, $E$13)</f>
        <v>15.4794</v>
      </c>
      <c r="G806" s="64">
        <f>15.4795 * CHOOSE(CONTROL!$C$22, $C$13, 100%, $E$13)</f>
        <v>15.4795</v>
      </c>
      <c r="H806" s="64">
        <f>25.4721* CHOOSE(CONTROL!$C$22, $C$13, 100%, $E$13)</f>
        <v>25.472100000000001</v>
      </c>
      <c r="I806" s="64">
        <f>25.4721 * CHOOSE(CONTROL!$C$22, $C$13, 100%, $E$13)</f>
        <v>25.472100000000001</v>
      </c>
      <c r="J806" s="64">
        <f>15.4794 * CHOOSE(CONTROL!$C$22, $C$13, 100%, $E$13)</f>
        <v>15.4794</v>
      </c>
      <c r="K806" s="64">
        <f>15.4795 * CHOOSE(CONTROL!$C$22, $C$13, 100%, $E$13)</f>
        <v>15.4795</v>
      </c>
    </row>
    <row r="807" spans="1:11" ht="15">
      <c r="A807" s="13">
        <v>66051</v>
      </c>
      <c r="B807" s="63">
        <f>13.6135 * CHOOSE(CONTROL!$C$22, $C$13, 100%, $E$13)</f>
        <v>13.6135</v>
      </c>
      <c r="C807" s="63">
        <f>13.6135 * CHOOSE(CONTROL!$C$22, $C$13, 100%, $E$13)</f>
        <v>13.6135</v>
      </c>
      <c r="D807" s="63">
        <f>13.6135 * CHOOSE(CONTROL!$C$22, $C$13, 100%, $E$13)</f>
        <v>13.6135</v>
      </c>
      <c r="E807" s="64">
        <f>15.5386 * CHOOSE(CONTROL!$C$22, $C$13, 100%, $E$13)</f>
        <v>15.538600000000001</v>
      </c>
      <c r="F807" s="64">
        <f>15.5386 * CHOOSE(CONTROL!$C$22, $C$13, 100%, $E$13)</f>
        <v>15.538600000000001</v>
      </c>
      <c r="G807" s="64">
        <f>15.5387 * CHOOSE(CONTROL!$C$22, $C$13, 100%, $E$13)</f>
        <v>15.5387</v>
      </c>
      <c r="H807" s="64">
        <f>25.5251* CHOOSE(CONTROL!$C$22, $C$13, 100%, $E$13)</f>
        <v>25.525099999999998</v>
      </c>
      <c r="I807" s="64">
        <f>25.5252 * CHOOSE(CONTROL!$C$22, $C$13, 100%, $E$13)</f>
        <v>25.525200000000002</v>
      </c>
      <c r="J807" s="64">
        <f>15.5386 * CHOOSE(CONTROL!$C$22, $C$13, 100%, $E$13)</f>
        <v>15.538600000000001</v>
      </c>
      <c r="K807" s="64">
        <f>15.5387 * CHOOSE(CONTROL!$C$22, $C$13, 100%, $E$13)</f>
        <v>15.5387</v>
      </c>
    </row>
    <row r="808" spans="1:11" ht="15">
      <c r="A808" s="13">
        <v>66081</v>
      </c>
      <c r="B808" s="63">
        <f>13.6135 * CHOOSE(CONTROL!$C$22, $C$13, 100%, $E$13)</f>
        <v>13.6135</v>
      </c>
      <c r="C808" s="63">
        <f>13.6135 * CHOOSE(CONTROL!$C$22, $C$13, 100%, $E$13)</f>
        <v>13.6135</v>
      </c>
      <c r="D808" s="63">
        <f>13.6135 * CHOOSE(CONTROL!$C$22, $C$13, 100%, $E$13)</f>
        <v>13.6135</v>
      </c>
      <c r="E808" s="64">
        <f>15.3959 * CHOOSE(CONTROL!$C$22, $C$13, 100%, $E$13)</f>
        <v>15.395899999999999</v>
      </c>
      <c r="F808" s="64">
        <f>15.3959 * CHOOSE(CONTROL!$C$22, $C$13, 100%, $E$13)</f>
        <v>15.395899999999999</v>
      </c>
      <c r="G808" s="64">
        <f>15.3959 * CHOOSE(CONTROL!$C$22, $C$13, 100%, $E$13)</f>
        <v>15.395899999999999</v>
      </c>
      <c r="H808" s="64">
        <f>25.5783* CHOOSE(CONTROL!$C$22, $C$13, 100%, $E$13)</f>
        <v>25.578299999999999</v>
      </c>
      <c r="I808" s="64">
        <f>25.5784 * CHOOSE(CONTROL!$C$22, $C$13, 100%, $E$13)</f>
        <v>25.578399999999998</v>
      </c>
      <c r="J808" s="64">
        <f>15.3959 * CHOOSE(CONTROL!$C$22, $C$13, 100%, $E$13)</f>
        <v>15.395899999999999</v>
      </c>
      <c r="K808" s="64">
        <f>15.3959 * CHOOSE(CONTROL!$C$22, $C$13, 100%, $E$13)</f>
        <v>15.395899999999999</v>
      </c>
    </row>
    <row r="809" spans="1:11" ht="15">
      <c r="A809" s="13">
        <v>66112</v>
      </c>
      <c r="B809" s="63">
        <f>13.6076 * CHOOSE(CONTROL!$C$22, $C$13, 100%, $E$13)</f>
        <v>13.6076</v>
      </c>
      <c r="C809" s="63">
        <f>13.6076 * CHOOSE(CONTROL!$C$22, $C$13, 100%, $E$13)</f>
        <v>13.6076</v>
      </c>
      <c r="D809" s="63">
        <f>13.6076 * CHOOSE(CONTROL!$C$22, $C$13, 100%, $E$13)</f>
        <v>13.6076</v>
      </c>
      <c r="E809" s="64">
        <f>15.5035 * CHOOSE(CONTROL!$C$22, $C$13, 100%, $E$13)</f>
        <v>15.503500000000001</v>
      </c>
      <c r="F809" s="64">
        <f>15.5035 * CHOOSE(CONTROL!$C$22, $C$13, 100%, $E$13)</f>
        <v>15.503500000000001</v>
      </c>
      <c r="G809" s="64">
        <f>15.5036 * CHOOSE(CONTROL!$C$22, $C$13, 100%, $E$13)</f>
        <v>15.5036</v>
      </c>
      <c r="H809" s="64">
        <f>25.4264* CHOOSE(CONTROL!$C$22, $C$13, 100%, $E$13)</f>
        <v>25.426400000000001</v>
      </c>
      <c r="I809" s="64">
        <f>25.4265 * CHOOSE(CONTROL!$C$22, $C$13, 100%, $E$13)</f>
        <v>25.426500000000001</v>
      </c>
      <c r="J809" s="64">
        <f>15.5035 * CHOOSE(CONTROL!$C$22, $C$13, 100%, $E$13)</f>
        <v>15.503500000000001</v>
      </c>
      <c r="K809" s="64">
        <f>15.5036 * CHOOSE(CONTROL!$C$22, $C$13, 100%, $E$13)</f>
        <v>15.5036</v>
      </c>
    </row>
    <row r="810" spans="1:11" ht="15">
      <c r="A810" s="13">
        <v>66143</v>
      </c>
      <c r="B810" s="63">
        <f>13.6046 * CHOOSE(CONTROL!$C$22, $C$13, 100%, $E$13)</f>
        <v>13.6046</v>
      </c>
      <c r="C810" s="63">
        <f>13.6046 * CHOOSE(CONTROL!$C$22, $C$13, 100%, $E$13)</f>
        <v>13.6046</v>
      </c>
      <c r="D810" s="63">
        <f>13.6046 * CHOOSE(CONTROL!$C$22, $C$13, 100%, $E$13)</f>
        <v>13.6046</v>
      </c>
      <c r="E810" s="64">
        <f>15.2267 * CHOOSE(CONTROL!$C$22, $C$13, 100%, $E$13)</f>
        <v>15.226699999999999</v>
      </c>
      <c r="F810" s="64">
        <f>15.2267 * CHOOSE(CONTROL!$C$22, $C$13, 100%, $E$13)</f>
        <v>15.226699999999999</v>
      </c>
      <c r="G810" s="64">
        <f>15.2268 * CHOOSE(CONTROL!$C$22, $C$13, 100%, $E$13)</f>
        <v>15.226800000000001</v>
      </c>
      <c r="H810" s="64">
        <f>25.4794* CHOOSE(CONTROL!$C$22, $C$13, 100%, $E$13)</f>
        <v>25.479399999999998</v>
      </c>
      <c r="I810" s="64">
        <f>25.4795 * CHOOSE(CONTROL!$C$22, $C$13, 100%, $E$13)</f>
        <v>25.479500000000002</v>
      </c>
      <c r="J810" s="64">
        <f>15.2267 * CHOOSE(CONTROL!$C$22, $C$13, 100%, $E$13)</f>
        <v>15.226699999999999</v>
      </c>
      <c r="K810" s="64">
        <f>15.2268 * CHOOSE(CONTROL!$C$22, $C$13, 100%, $E$13)</f>
        <v>15.226800000000001</v>
      </c>
    </row>
    <row r="811" spans="1:11" ht="15">
      <c r="A811" s="13">
        <v>66171</v>
      </c>
      <c r="B811" s="63">
        <f>13.6015 * CHOOSE(CONTROL!$C$22, $C$13, 100%, $E$13)</f>
        <v>13.6015</v>
      </c>
      <c r="C811" s="63">
        <f>13.6015 * CHOOSE(CONTROL!$C$22, $C$13, 100%, $E$13)</f>
        <v>13.6015</v>
      </c>
      <c r="D811" s="63">
        <f>13.6015 * CHOOSE(CONTROL!$C$22, $C$13, 100%, $E$13)</f>
        <v>13.6015</v>
      </c>
      <c r="E811" s="64">
        <f>15.4411 * CHOOSE(CONTROL!$C$22, $C$13, 100%, $E$13)</f>
        <v>15.4411</v>
      </c>
      <c r="F811" s="64">
        <f>15.4411 * CHOOSE(CONTROL!$C$22, $C$13, 100%, $E$13)</f>
        <v>15.4411</v>
      </c>
      <c r="G811" s="64">
        <f>15.4412 * CHOOSE(CONTROL!$C$22, $C$13, 100%, $E$13)</f>
        <v>15.4412</v>
      </c>
      <c r="H811" s="64">
        <f>25.5325* CHOOSE(CONTROL!$C$22, $C$13, 100%, $E$13)</f>
        <v>25.532499999999999</v>
      </c>
      <c r="I811" s="64">
        <f>25.5326 * CHOOSE(CONTROL!$C$22, $C$13, 100%, $E$13)</f>
        <v>25.532599999999999</v>
      </c>
      <c r="J811" s="64">
        <f>15.4411 * CHOOSE(CONTROL!$C$22, $C$13, 100%, $E$13)</f>
        <v>15.4411</v>
      </c>
      <c r="K811" s="64">
        <f>15.4412 * CHOOSE(CONTROL!$C$22, $C$13, 100%, $E$13)</f>
        <v>15.4412</v>
      </c>
    </row>
    <row r="812" spans="1:11" ht="15">
      <c r="A812" s="13">
        <v>66202</v>
      </c>
      <c r="B812" s="63">
        <f>13.6072 * CHOOSE(CONTROL!$C$22, $C$13, 100%, $E$13)</f>
        <v>13.607200000000001</v>
      </c>
      <c r="C812" s="63">
        <f>13.6072 * CHOOSE(CONTROL!$C$22, $C$13, 100%, $E$13)</f>
        <v>13.607200000000001</v>
      </c>
      <c r="D812" s="63">
        <f>13.6072 * CHOOSE(CONTROL!$C$22, $C$13, 100%, $E$13)</f>
        <v>13.607200000000001</v>
      </c>
      <c r="E812" s="64">
        <f>15.6695 * CHOOSE(CONTROL!$C$22, $C$13, 100%, $E$13)</f>
        <v>15.669499999999999</v>
      </c>
      <c r="F812" s="64">
        <f>15.6695 * CHOOSE(CONTROL!$C$22, $C$13, 100%, $E$13)</f>
        <v>15.669499999999999</v>
      </c>
      <c r="G812" s="64">
        <f>15.6696 * CHOOSE(CONTROL!$C$22, $C$13, 100%, $E$13)</f>
        <v>15.669600000000001</v>
      </c>
      <c r="H812" s="64">
        <f>25.5857* CHOOSE(CONTROL!$C$22, $C$13, 100%, $E$13)</f>
        <v>25.585699999999999</v>
      </c>
      <c r="I812" s="64">
        <f>25.5857 * CHOOSE(CONTROL!$C$22, $C$13, 100%, $E$13)</f>
        <v>25.585699999999999</v>
      </c>
      <c r="J812" s="64">
        <f>15.6695 * CHOOSE(CONTROL!$C$22, $C$13, 100%, $E$13)</f>
        <v>15.669499999999999</v>
      </c>
      <c r="K812" s="64">
        <f>15.6696 * CHOOSE(CONTROL!$C$22, $C$13, 100%, $E$13)</f>
        <v>15.669600000000001</v>
      </c>
    </row>
    <row r="813" spans="1:11" ht="15">
      <c r="A813" s="13">
        <v>66232</v>
      </c>
      <c r="B813" s="63">
        <f>13.6072 * CHOOSE(CONTROL!$C$22, $C$13, 100%, $E$13)</f>
        <v>13.607200000000001</v>
      </c>
      <c r="C813" s="63">
        <f>13.6072 * CHOOSE(CONTROL!$C$22, $C$13, 100%, $E$13)</f>
        <v>13.607200000000001</v>
      </c>
      <c r="D813" s="63">
        <f>13.6202 * CHOOSE(CONTROL!$C$22, $C$13, 100%, $E$13)</f>
        <v>13.620200000000001</v>
      </c>
      <c r="E813" s="64">
        <f>15.7567 * CHOOSE(CONTROL!$C$22, $C$13, 100%, $E$13)</f>
        <v>15.7567</v>
      </c>
      <c r="F813" s="64">
        <f>15.7567 * CHOOSE(CONTROL!$C$22, $C$13, 100%, $E$13)</f>
        <v>15.7567</v>
      </c>
      <c r="G813" s="64">
        <f>15.7724 * CHOOSE(CONTROL!$C$22, $C$13, 100%, $E$13)</f>
        <v>15.772399999999999</v>
      </c>
      <c r="H813" s="64">
        <f>25.639* CHOOSE(CONTROL!$C$22, $C$13, 100%, $E$13)</f>
        <v>25.638999999999999</v>
      </c>
      <c r="I813" s="64">
        <f>25.6547 * CHOOSE(CONTROL!$C$22, $C$13, 100%, $E$13)</f>
        <v>25.654699999999998</v>
      </c>
      <c r="J813" s="64">
        <f>15.7567 * CHOOSE(CONTROL!$C$22, $C$13, 100%, $E$13)</f>
        <v>15.7567</v>
      </c>
      <c r="K813" s="64">
        <f>15.7724 * CHOOSE(CONTROL!$C$22, $C$13, 100%, $E$13)</f>
        <v>15.772399999999999</v>
      </c>
    </row>
    <row r="814" spans="1:11" ht="15">
      <c r="A814" s="13">
        <v>66263</v>
      </c>
      <c r="B814" s="63">
        <f>13.6133 * CHOOSE(CONTROL!$C$22, $C$13, 100%, $E$13)</f>
        <v>13.613300000000001</v>
      </c>
      <c r="C814" s="63">
        <f>13.6133 * CHOOSE(CONTROL!$C$22, $C$13, 100%, $E$13)</f>
        <v>13.613300000000001</v>
      </c>
      <c r="D814" s="63">
        <f>13.6263 * CHOOSE(CONTROL!$C$22, $C$13, 100%, $E$13)</f>
        <v>13.626300000000001</v>
      </c>
      <c r="E814" s="64">
        <f>15.6737 * CHOOSE(CONTROL!$C$22, $C$13, 100%, $E$13)</f>
        <v>15.6737</v>
      </c>
      <c r="F814" s="64">
        <f>15.6737 * CHOOSE(CONTROL!$C$22, $C$13, 100%, $E$13)</f>
        <v>15.6737</v>
      </c>
      <c r="G814" s="64">
        <f>15.6894 * CHOOSE(CONTROL!$C$22, $C$13, 100%, $E$13)</f>
        <v>15.689399999999999</v>
      </c>
      <c r="H814" s="64">
        <f>25.6924* CHOOSE(CONTROL!$C$22, $C$13, 100%, $E$13)</f>
        <v>25.692399999999999</v>
      </c>
      <c r="I814" s="64">
        <f>25.7081 * CHOOSE(CONTROL!$C$22, $C$13, 100%, $E$13)</f>
        <v>25.708100000000002</v>
      </c>
      <c r="J814" s="64">
        <f>15.6737 * CHOOSE(CONTROL!$C$22, $C$13, 100%, $E$13)</f>
        <v>15.6737</v>
      </c>
      <c r="K814" s="64">
        <f>15.6894 * CHOOSE(CONTROL!$C$22, $C$13, 100%, $E$13)</f>
        <v>15.689399999999999</v>
      </c>
    </row>
    <row r="815" spans="1:11" ht="15">
      <c r="A815" s="13">
        <v>66293</v>
      </c>
      <c r="B815" s="63">
        <f>13.8201 * CHOOSE(CONTROL!$C$22, $C$13, 100%, $E$13)</f>
        <v>13.8201</v>
      </c>
      <c r="C815" s="63">
        <f>13.8201 * CHOOSE(CONTROL!$C$22, $C$13, 100%, $E$13)</f>
        <v>13.8201</v>
      </c>
      <c r="D815" s="63">
        <f>13.833 * CHOOSE(CONTROL!$C$22, $C$13, 100%, $E$13)</f>
        <v>13.833</v>
      </c>
      <c r="E815" s="64">
        <f>15.9233 * CHOOSE(CONTROL!$C$22, $C$13, 100%, $E$13)</f>
        <v>15.923299999999999</v>
      </c>
      <c r="F815" s="64">
        <f>15.9233 * CHOOSE(CONTROL!$C$22, $C$13, 100%, $E$13)</f>
        <v>15.923299999999999</v>
      </c>
      <c r="G815" s="64">
        <f>15.939 * CHOOSE(CONTROL!$C$22, $C$13, 100%, $E$13)</f>
        <v>15.939</v>
      </c>
      <c r="H815" s="64">
        <f>25.7459* CHOOSE(CONTROL!$C$22, $C$13, 100%, $E$13)</f>
        <v>25.745899999999999</v>
      </c>
      <c r="I815" s="64">
        <f>25.7616 * CHOOSE(CONTROL!$C$22, $C$13, 100%, $E$13)</f>
        <v>25.761600000000001</v>
      </c>
      <c r="J815" s="64">
        <f>15.9233 * CHOOSE(CONTROL!$C$22, $C$13, 100%, $E$13)</f>
        <v>15.923299999999999</v>
      </c>
      <c r="K815" s="64">
        <f>15.939 * CHOOSE(CONTROL!$C$22, $C$13, 100%, $E$13)</f>
        <v>15.939</v>
      </c>
    </row>
    <row r="816" spans="1:11" ht="15">
      <c r="A816" s="13">
        <v>66324</v>
      </c>
      <c r="B816" s="63">
        <f>13.8268 * CHOOSE(CONTROL!$C$22, $C$13, 100%, $E$13)</f>
        <v>13.8268</v>
      </c>
      <c r="C816" s="63">
        <f>13.8268 * CHOOSE(CONTROL!$C$22, $C$13, 100%, $E$13)</f>
        <v>13.8268</v>
      </c>
      <c r="D816" s="63">
        <f>13.8397 * CHOOSE(CONTROL!$C$22, $C$13, 100%, $E$13)</f>
        <v>13.839700000000001</v>
      </c>
      <c r="E816" s="64">
        <f>15.6663 * CHOOSE(CONTROL!$C$22, $C$13, 100%, $E$13)</f>
        <v>15.6663</v>
      </c>
      <c r="F816" s="64">
        <f>15.6663 * CHOOSE(CONTROL!$C$22, $C$13, 100%, $E$13)</f>
        <v>15.6663</v>
      </c>
      <c r="G816" s="64">
        <f>15.682 * CHOOSE(CONTROL!$C$22, $C$13, 100%, $E$13)</f>
        <v>15.682</v>
      </c>
      <c r="H816" s="64">
        <f>25.7995* CHOOSE(CONTROL!$C$22, $C$13, 100%, $E$13)</f>
        <v>25.799499999999998</v>
      </c>
      <c r="I816" s="64">
        <f>25.8152 * CHOOSE(CONTROL!$C$22, $C$13, 100%, $E$13)</f>
        <v>25.815200000000001</v>
      </c>
      <c r="J816" s="64">
        <f>15.6663 * CHOOSE(CONTROL!$C$22, $C$13, 100%, $E$13)</f>
        <v>15.6663</v>
      </c>
      <c r="K816" s="64">
        <f>15.682 * CHOOSE(CONTROL!$C$22, $C$13, 100%, $E$13)</f>
        <v>15.682</v>
      </c>
    </row>
    <row r="817" spans="1:11" ht="15">
      <c r="A817" s="13">
        <v>66355</v>
      </c>
      <c r="B817" s="63">
        <f>13.8237 * CHOOSE(CONTROL!$C$22, $C$13, 100%, $E$13)</f>
        <v>13.823700000000001</v>
      </c>
      <c r="C817" s="63">
        <f>13.8237 * CHOOSE(CONTROL!$C$22, $C$13, 100%, $E$13)</f>
        <v>13.823700000000001</v>
      </c>
      <c r="D817" s="63">
        <f>13.8367 * CHOOSE(CONTROL!$C$22, $C$13, 100%, $E$13)</f>
        <v>13.8367</v>
      </c>
      <c r="E817" s="64">
        <f>15.6351 * CHOOSE(CONTROL!$C$22, $C$13, 100%, $E$13)</f>
        <v>15.6351</v>
      </c>
      <c r="F817" s="64">
        <f>15.6351 * CHOOSE(CONTROL!$C$22, $C$13, 100%, $E$13)</f>
        <v>15.6351</v>
      </c>
      <c r="G817" s="64">
        <f>15.6508 * CHOOSE(CONTROL!$C$22, $C$13, 100%, $E$13)</f>
        <v>15.6508</v>
      </c>
      <c r="H817" s="64">
        <f>25.8533* CHOOSE(CONTROL!$C$22, $C$13, 100%, $E$13)</f>
        <v>25.853300000000001</v>
      </c>
      <c r="I817" s="64">
        <f>25.869 * CHOOSE(CONTROL!$C$22, $C$13, 100%, $E$13)</f>
        <v>25.869</v>
      </c>
      <c r="J817" s="64">
        <f>15.6351 * CHOOSE(CONTROL!$C$22, $C$13, 100%, $E$13)</f>
        <v>15.6351</v>
      </c>
      <c r="K817" s="64">
        <f>15.6508 * CHOOSE(CONTROL!$C$22, $C$13, 100%, $E$13)</f>
        <v>15.6508</v>
      </c>
    </row>
    <row r="818" spans="1:11" ht="15">
      <c r="A818" s="13">
        <v>66385</v>
      </c>
      <c r="B818" s="63">
        <f>13.8504 * CHOOSE(CONTROL!$C$22, $C$13, 100%, $E$13)</f>
        <v>13.8504</v>
      </c>
      <c r="C818" s="63">
        <f>13.8504 * CHOOSE(CONTROL!$C$22, $C$13, 100%, $E$13)</f>
        <v>13.8504</v>
      </c>
      <c r="D818" s="63">
        <f>13.8504 * CHOOSE(CONTROL!$C$22, $C$13, 100%, $E$13)</f>
        <v>13.8504</v>
      </c>
      <c r="E818" s="64">
        <f>15.738 * CHOOSE(CONTROL!$C$22, $C$13, 100%, $E$13)</f>
        <v>15.738</v>
      </c>
      <c r="F818" s="64">
        <f>15.738 * CHOOSE(CONTROL!$C$22, $C$13, 100%, $E$13)</f>
        <v>15.738</v>
      </c>
      <c r="G818" s="64">
        <f>15.7381 * CHOOSE(CONTROL!$C$22, $C$13, 100%, $E$13)</f>
        <v>15.738099999999999</v>
      </c>
      <c r="H818" s="64">
        <f>25.9072* CHOOSE(CONTROL!$C$22, $C$13, 100%, $E$13)</f>
        <v>25.9072</v>
      </c>
      <c r="I818" s="64">
        <f>25.9072 * CHOOSE(CONTROL!$C$22, $C$13, 100%, $E$13)</f>
        <v>25.9072</v>
      </c>
      <c r="J818" s="64">
        <f>15.738 * CHOOSE(CONTROL!$C$22, $C$13, 100%, $E$13)</f>
        <v>15.738</v>
      </c>
      <c r="K818" s="64">
        <f>15.7381 * CHOOSE(CONTROL!$C$22, $C$13, 100%, $E$13)</f>
        <v>15.738099999999999</v>
      </c>
    </row>
    <row r="819" spans="1:11" ht="15">
      <c r="A819" s="13">
        <v>66416</v>
      </c>
      <c r="B819" s="63">
        <f>13.8535 * CHOOSE(CONTROL!$C$22, $C$13, 100%, $E$13)</f>
        <v>13.8535</v>
      </c>
      <c r="C819" s="63">
        <f>13.8535 * CHOOSE(CONTROL!$C$22, $C$13, 100%, $E$13)</f>
        <v>13.8535</v>
      </c>
      <c r="D819" s="63">
        <f>13.8535 * CHOOSE(CONTROL!$C$22, $C$13, 100%, $E$13)</f>
        <v>13.8535</v>
      </c>
      <c r="E819" s="64">
        <f>15.7983 * CHOOSE(CONTROL!$C$22, $C$13, 100%, $E$13)</f>
        <v>15.798299999999999</v>
      </c>
      <c r="F819" s="64">
        <f>15.7983 * CHOOSE(CONTROL!$C$22, $C$13, 100%, $E$13)</f>
        <v>15.798299999999999</v>
      </c>
      <c r="G819" s="64">
        <f>15.7984 * CHOOSE(CONTROL!$C$22, $C$13, 100%, $E$13)</f>
        <v>15.798400000000001</v>
      </c>
      <c r="H819" s="64">
        <f>25.9611* CHOOSE(CONTROL!$C$22, $C$13, 100%, $E$13)</f>
        <v>25.961099999999998</v>
      </c>
      <c r="I819" s="64">
        <f>25.9612 * CHOOSE(CONTROL!$C$22, $C$13, 100%, $E$13)</f>
        <v>25.961200000000002</v>
      </c>
      <c r="J819" s="64">
        <f>15.7983 * CHOOSE(CONTROL!$C$22, $C$13, 100%, $E$13)</f>
        <v>15.798299999999999</v>
      </c>
      <c r="K819" s="64">
        <f>15.7984 * CHOOSE(CONTROL!$C$22, $C$13, 100%, $E$13)</f>
        <v>15.798400000000001</v>
      </c>
    </row>
    <row r="820" spans="1:11" ht="15">
      <c r="A820" s="13">
        <v>66446</v>
      </c>
      <c r="B820" s="63">
        <f>13.8535 * CHOOSE(CONTROL!$C$22, $C$13, 100%, $E$13)</f>
        <v>13.8535</v>
      </c>
      <c r="C820" s="63">
        <f>13.8535 * CHOOSE(CONTROL!$C$22, $C$13, 100%, $E$13)</f>
        <v>13.8535</v>
      </c>
      <c r="D820" s="63">
        <f>13.8535 * CHOOSE(CONTROL!$C$22, $C$13, 100%, $E$13)</f>
        <v>13.8535</v>
      </c>
      <c r="E820" s="64">
        <f>15.6529 * CHOOSE(CONTROL!$C$22, $C$13, 100%, $E$13)</f>
        <v>15.652900000000001</v>
      </c>
      <c r="F820" s="64">
        <f>15.6529 * CHOOSE(CONTROL!$C$22, $C$13, 100%, $E$13)</f>
        <v>15.652900000000001</v>
      </c>
      <c r="G820" s="64">
        <f>15.653 * CHOOSE(CONTROL!$C$22, $C$13, 100%, $E$13)</f>
        <v>15.653</v>
      </c>
      <c r="H820" s="64">
        <f>26.0152* CHOOSE(CONTROL!$C$22, $C$13, 100%, $E$13)</f>
        <v>26.0152</v>
      </c>
      <c r="I820" s="64">
        <f>26.0153 * CHOOSE(CONTROL!$C$22, $C$13, 100%, $E$13)</f>
        <v>26.0153</v>
      </c>
      <c r="J820" s="64">
        <f>15.6529 * CHOOSE(CONTROL!$C$22, $C$13, 100%, $E$13)</f>
        <v>15.652900000000001</v>
      </c>
      <c r="K820" s="64">
        <f>15.653 * CHOOSE(CONTROL!$C$22, $C$13, 100%, $E$13)</f>
        <v>15.653</v>
      </c>
    </row>
    <row r="821" spans="1:11" ht="15">
      <c r="A821" s="13">
        <v>66477</v>
      </c>
      <c r="B821" s="63">
        <f>13.8432 * CHOOSE(CONTROL!$C$22, $C$13, 100%, $E$13)</f>
        <v>13.8432</v>
      </c>
      <c r="C821" s="63">
        <f>13.8432 * CHOOSE(CONTROL!$C$22, $C$13, 100%, $E$13)</f>
        <v>13.8432</v>
      </c>
      <c r="D821" s="63">
        <f>13.8432 * CHOOSE(CONTROL!$C$22, $C$13, 100%, $E$13)</f>
        <v>13.8432</v>
      </c>
      <c r="E821" s="64">
        <f>15.7582 * CHOOSE(CONTROL!$C$22, $C$13, 100%, $E$13)</f>
        <v>15.7582</v>
      </c>
      <c r="F821" s="64">
        <f>15.7582 * CHOOSE(CONTROL!$C$22, $C$13, 100%, $E$13)</f>
        <v>15.7582</v>
      </c>
      <c r="G821" s="64">
        <f>15.7583 * CHOOSE(CONTROL!$C$22, $C$13, 100%, $E$13)</f>
        <v>15.7583</v>
      </c>
      <c r="H821" s="64">
        <f>25.8534* CHOOSE(CONTROL!$C$22, $C$13, 100%, $E$13)</f>
        <v>25.853400000000001</v>
      </c>
      <c r="I821" s="64">
        <f>25.8535 * CHOOSE(CONTROL!$C$22, $C$13, 100%, $E$13)</f>
        <v>25.8535</v>
      </c>
      <c r="J821" s="64">
        <f>15.7582 * CHOOSE(CONTROL!$C$22, $C$13, 100%, $E$13)</f>
        <v>15.7582</v>
      </c>
      <c r="K821" s="64">
        <f>15.7583 * CHOOSE(CONTROL!$C$22, $C$13, 100%, $E$13)</f>
        <v>15.7583</v>
      </c>
    </row>
    <row r="822" spans="1:11" ht="15">
      <c r="A822" s="13">
        <v>66508</v>
      </c>
      <c r="B822" s="63">
        <f>13.8401 * CHOOSE(CONTROL!$C$22, $C$13, 100%, $E$13)</f>
        <v>13.8401</v>
      </c>
      <c r="C822" s="63">
        <f>13.8401 * CHOOSE(CONTROL!$C$22, $C$13, 100%, $E$13)</f>
        <v>13.8401</v>
      </c>
      <c r="D822" s="63">
        <f>13.8401 * CHOOSE(CONTROL!$C$22, $C$13, 100%, $E$13)</f>
        <v>13.8401</v>
      </c>
      <c r="E822" s="64">
        <f>15.4765 * CHOOSE(CONTROL!$C$22, $C$13, 100%, $E$13)</f>
        <v>15.4765</v>
      </c>
      <c r="F822" s="64">
        <f>15.4765 * CHOOSE(CONTROL!$C$22, $C$13, 100%, $E$13)</f>
        <v>15.4765</v>
      </c>
      <c r="G822" s="64">
        <f>15.4765 * CHOOSE(CONTROL!$C$22, $C$13, 100%, $E$13)</f>
        <v>15.4765</v>
      </c>
      <c r="H822" s="64">
        <f>25.9073* CHOOSE(CONTROL!$C$22, $C$13, 100%, $E$13)</f>
        <v>25.907299999999999</v>
      </c>
      <c r="I822" s="64">
        <f>25.9074 * CHOOSE(CONTROL!$C$22, $C$13, 100%, $E$13)</f>
        <v>25.907399999999999</v>
      </c>
      <c r="J822" s="64">
        <f>15.4765 * CHOOSE(CONTROL!$C$22, $C$13, 100%, $E$13)</f>
        <v>15.4765</v>
      </c>
      <c r="K822" s="64">
        <f>15.4765 * CHOOSE(CONTROL!$C$22, $C$13, 100%, $E$13)</f>
        <v>15.4765</v>
      </c>
    </row>
    <row r="823" spans="1:11" ht="15">
      <c r="A823" s="13">
        <v>66536</v>
      </c>
      <c r="B823" s="63">
        <f>13.8371 * CHOOSE(CONTROL!$C$22, $C$13, 100%, $E$13)</f>
        <v>13.8371</v>
      </c>
      <c r="C823" s="63">
        <f>13.8371 * CHOOSE(CONTROL!$C$22, $C$13, 100%, $E$13)</f>
        <v>13.8371</v>
      </c>
      <c r="D823" s="63">
        <f>13.8371 * CHOOSE(CONTROL!$C$22, $C$13, 100%, $E$13)</f>
        <v>13.8371</v>
      </c>
      <c r="E823" s="64">
        <f>15.6948 * CHOOSE(CONTROL!$C$22, $C$13, 100%, $E$13)</f>
        <v>15.694800000000001</v>
      </c>
      <c r="F823" s="64">
        <f>15.6948 * CHOOSE(CONTROL!$C$22, $C$13, 100%, $E$13)</f>
        <v>15.694800000000001</v>
      </c>
      <c r="G823" s="64">
        <f>15.6949 * CHOOSE(CONTROL!$C$22, $C$13, 100%, $E$13)</f>
        <v>15.694900000000001</v>
      </c>
      <c r="H823" s="64">
        <f>25.9613* CHOOSE(CONTROL!$C$22, $C$13, 100%, $E$13)</f>
        <v>25.961300000000001</v>
      </c>
      <c r="I823" s="64">
        <f>25.9614 * CHOOSE(CONTROL!$C$22, $C$13, 100%, $E$13)</f>
        <v>25.961400000000001</v>
      </c>
      <c r="J823" s="64">
        <f>15.6948 * CHOOSE(CONTROL!$C$22, $C$13, 100%, $E$13)</f>
        <v>15.694800000000001</v>
      </c>
      <c r="K823" s="64">
        <f>15.6949 * CHOOSE(CONTROL!$C$22, $C$13, 100%, $E$13)</f>
        <v>15.694900000000001</v>
      </c>
    </row>
    <row r="824" spans="1:11" ht="15">
      <c r="A824" s="13">
        <v>66567</v>
      </c>
      <c r="B824" s="63">
        <f>13.843 * CHOOSE(CONTROL!$C$22, $C$13, 100%, $E$13)</f>
        <v>13.843</v>
      </c>
      <c r="C824" s="63">
        <f>13.843 * CHOOSE(CONTROL!$C$22, $C$13, 100%, $E$13)</f>
        <v>13.843</v>
      </c>
      <c r="D824" s="63">
        <f>13.843 * CHOOSE(CONTROL!$C$22, $C$13, 100%, $E$13)</f>
        <v>13.843</v>
      </c>
      <c r="E824" s="64">
        <f>15.9273 * CHOOSE(CONTROL!$C$22, $C$13, 100%, $E$13)</f>
        <v>15.927300000000001</v>
      </c>
      <c r="F824" s="64">
        <f>15.9273 * CHOOSE(CONTROL!$C$22, $C$13, 100%, $E$13)</f>
        <v>15.927300000000001</v>
      </c>
      <c r="G824" s="64">
        <f>15.9274 * CHOOSE(CONTROL!$C$22, $C$13, 100%, $E$13)</f>
        <v>15.9274</v>
      </c>
      <c r="H824" s="64">
        <f>26.0154* CHOOSE(CONTROL!$C$22, $C$13, 100%, $E$13)</f>
        <v>26.0154</v>
      </c>
      <c r="I824" s="64">
        <f>26.0154 * CHOOSE(CONTROL!$C$22, $C$13, 100%, $E$13)</f>
        <v>26.0154</v>
      </c>
      <c r="J824" s="64">
        <f>15.9273 * CHOOSE(CONTROL!$C$22, $C$13, 100%, $E$13)</f>
        <v>15.927300000000001</v>
      </c>
      <c r="K824" s="64">
        <f>15.9274 * CHOOSE(CONTROL!$C$22, $C$13, 100%, $E$13)</f>
        <v>15.9274</v>
      </c>
    </row>
    <row r="825" spans="1:11" ht="15">
      <c r="A825" s="13">
        <v>66597</v>
      </c>
      <c r="B825" s="63">
        <f>13.843 * CHOOSE(CONTROL!$C$22, $C$13, 100%, $E$13)</f>
        <v>13.843</v>
      </c>
      <c r="C825" s="63">
        <f>13.843 * CHOOSE(CONTROL!$C$22, $C$13, 100%, $E$13)</f>
        <v>13.843</v>
      </c>
      <c r="D825" s="63">
        <f>13.856 * CHOOSE(CONTROL!$C$22, $C$13, 100%, $E$13)</f>
        <v>13.856</v>
      </c>
      <c r="E825" s="64">
        <f>16.0161 * CHOOSE(CONTROL!$C$22, $C$13, 100%, $E$13)</f>
        <v>16.016100000000002</v>
      </c>
      <c r="F825" s="64">
        <f>16.0161 * CHOOSE(CONTROL!$C$22, $C$13, 100%, $E$13)</f>
        <v>16.016100000000002</v>
      </c>
      <c r="G825" s="64">
        <f>16.0318 * CHOOSE(CONTROL!$C$22, $C$13, 100%, $E$13)</f>
        <v>16.0318</v>
      </c>
      <c r="H825" s="64">
        <f>26.0696* CHOOSE(CONTROL!$C$22, $C$13, 100%, $E$13)</f>
        <v>26.069600000000001</v>
      </c>
      <c r="I825" s="64">
        <f>26.0852 * CHOOSE(CONTROL!$C$22, $C$13, 100%, $E$13)</f>
        <v>26.0852</v>
      </c>
      <c r="J825" s="64">
        <f>16.0161 * CHOOSE(CONTROL!$C$22, $C$13, 100%, $E$13)</f>
        <v>16.016100000000002</v>
      </c>
      <c r="K825" s="64">
        <f>16.0318 * CHOOSE(CONTROL!$C$22, $C$13, 100%, $E$13)</f>
        <v>16.0318</v>
      </c>
    </row>
    <row r="826" spans="1:11" ht="15">
      <c r="A826" s="13">
        <v>66628</v>
      </c>
      <c r="B826" s="63">
        <f>13.8491 * CHOOSE(CONTROL!$C$22, $C$13, 100%, $E$13)</f>
        <v>13.8491</v>
      </c>
      <c r="C826" s="63">
        <f>13.8491 * CHOOSE(CONTROL!$C$22, $C$13, 100%, $E$13)</f>
        <v>13.8491</v>
      </c>
      <c r="D826" s="63">
        <f>13.862 * CHOOSE(CONTROL!$C$22, $C$13, 100%, $E$13)</f>
        <v>13.862</v>
      </c>
      <c r="E826" s="64">
        <f>15.9316 * CHOOSE(CONTROL!$C$22, $C$13, 100%, $E$13)</f>
        <v>15.9316</v>
      </c>
      <c r="F826" s="64">
        <f>15.9316 * CHOOSE(CONTROL!$C$22, $C$13, 100%, $E$13)</f>
        <v>15.9316</v>
      </c>
      <c r="G826" s="64">
        <f>15.9473 * CHOOSE(CONTROL!$C$22, $C$13, 100%, $E$13)</f>
        <v>15.9473</v>
      </c>
      <c r="H826" s="64">
        <f>26.1239* CHOOSE(CONTROL!$C$22, $C$13, 100%, $E$13)</f>
        <v>26.123899999999999</v>
      </c>
      <c r="I826" s="64">
        <f>26.1396 * CHOOSE(CONTROL!$C$22, $C$13, 100%, $E$13)</f>
        <v>26.139600000000002</v>
      </c>
      <c r="J826" s="64">
        <f>15.9316 * CHOOSE(CONTROL!$C$22, $C$13, 100%, $E$13)</f>
        <v>15.9316</v>
      </c>
      <c r="K826" s="64">
        <f>15.9473 * CHOOSE(CONTROL!$C$22, $C$13, 100%, $E$13)</f>
        <v>15.9473</v>
      </c>
    </row>
    <row r="827" spans="1:11" ht="15">
      <c r="A827" s="13">
        <v>66658</v>
      </c>
      <c r="B827" s="63">
        <f>14.0592 * CHOOSE(CONTROL!$C$22, $C$13, 100%, $E$13)</f>
        <v>14.059200000000001</v>
      </c>
      <c r="C827" s="63">
        <f>14.0592 * CHOOSE(CONTROL!$C$22, $C$13, 100%, $E$13)</f>
        <v>14.059200000000001</v>
      </c>
      <c r="D827" s="63">
        <f>14.0722 * CHOOSE(CONTROL!$C$22, $C$13, 100%, $E$13)</f>
        <v>14.0722</v>
      </c>
      <c r="E827" s="64">
        <f>16.1851 * CHOOSE(CONTROL!$C$22, $C$13, 100%, $E$13)</f>
        <v>16.185099999999998</v>
      </c>
      <c r="F827" s="64">
        <f>16.1851 * CHOOSE(CONTROL!$C$22, $C$13, 100%, $E$13)</f>
        <v>16.185099999999998</v>
      </c>
      <c r="G827" s="64">
        <f>16.2008 * CHOOSE(CONTROL!$C$22, $C$13, 100%, $E$13)</f>
        <v>16.200800000000001</v>
      </c>
      <c r="H827" s="64">
        <f>26.1783* CHOOSE(CONTROL!$C$22, $C$13, 100%, $E$13)</f>
        <v>26.1783</v>
      </c>
      <c r="I827" s="64">
        <f>26.194 * CHOOSE(CONTROL!$C$22, $C$13, 100%, $E$13)</f>
        <v>26.193999999999999</v>
      </c>
      <c r="J827" s="64">
        <f>16.1851 * CHOOSE(CONTROL!$C$22, $C$13, 100%, $E$13)</f>
        <v>16.185099999999998</v>
      </c>
      <c r="K827" s="64">
        <f>16.2008 * CHOOSE(CONTROL!$C$22, $C$13, 100%, $E$13)</f>
        <v>16.200800000000001</v>
      </c>
    </row>
    <row r="828" spans="1:11" ht="15">
      <c r="A828" s="13">
        <v>66689</v>
      </c>
      <c r="B828" s="63">
        <f>14.0659 * CHOOSE(CONTROL!$C$22, $C$13, 100%, $E$13)</f>
        <v>14.065899999999999</v>
      </c>
      <c r="C828" s="63">
        <f>14.0659 * CHOOSE(CONTROL!$C$22, $C$13, 100%, $E$13)</f>
        <v>14.065899999999999</v>
      </c>
      <c r="D828" s="63">
        <f>14.0789 * CHOOSE(CONTROL!$C$22, $C$13, 100%, $E$13)</f>
        <v>14.078900000000001</v>
      </c>
      <c r="E828" s="64">
        <f>15.9234 * CHOOSE(CONTROL!$C$22, $C$13, 100%, $E$13)</f>
        <v>15.923400000000001</v>
      </c>
      <c r="F828" s="64">
        <f>15.9234 * CHOOSE(CONTROL!$C$22, $C$13, 100%, $E$13)</f>
        <v>15.923400000000001</v>
      </c>
      <c r="G828" s="64">
        <f>15.9391 * CHOOSE(CONTROL!$C$22, $C$13, 100%, $E$13)</f>
        <v>15.9391</v>
      </c>
      <c r="H828" s="64">
        <f>26.2328* CHOOSE(CONTROL!$C$22, $C$13, 100%, $E$13)</f>
        <v>26.232800000000001</v>
      </c>
      <c r="I828" s="64">
        <f>26.2485 * CHOOSE(CONTROL!$C$22, $C$13, 100%, $E$13)</f>
        <v>26.2485</v>
      </c>
      <c r="J828" s="64">
        <f>15.9234 * CHOOSE(CONTROL!$C$22, $C$13, 100%, $E$13)</f>
        <v>15.923400000000001</v>
      </c>
      <c r="K828" s="64">
        <f>15.9391 * CHOOSE(CONTROL!$C$22, $C$13, 100%, $E$13)</f>
        <v>15.9391</v>
      </c>
    </row>
    <row r="829" spans="1:11" ht="15">
      <c r="A829" s="13">
        <v>66720</v>
      </c>
      <c r="B829" s="63">
        <f>14.0629 * CHOOSE(CONTROL!$C$22, $C$13, 100%, $E$13)</f>
        <v>14.062900000000001</v>
      </c>
      <c r="C829" s="63">
        <f>14.0629 * CHOOSE(CONTROL!$C$22, $C$13, 100%, $E$13)</f>
        <v>14.062900000000001</v>
      </c>
      <c r="D829" s="63">
        <f>14.0759 * CHOOSE(CONTROL!$C$22, $C$13, 100%, $E$13)</f>
        <v>14.075900000000001</v>
      </c>
      <c r="E829" s="64">
        <f>15.8917 * CHOOSE(CONTROL!$C$22, $C$13, 100%, $E$13)</f>
        <v>15.8917</v>
      </c>
      <c r="F829" s="64">
        <f>15.8917 * CHOOSE(CONTROL!$C$22, $C$13, 100%, $E$13)</f>
        <v>15.8917</v>
      </c>
      <c r="G829" s="64">
        <f>15.9074 * CHOOSE(CONTROL!$C$22, $C$13, 100%, $E$13)</f>
        <v>15.907400000000001</v>
      </c>
      <c r="H829" s="64">
        <f>26.2875* CHOOSE(CONTROL!$C$22, $C$13, 100%, $E$13)</f>
        <v>26.287500000000001</v>
      </c>
      <c r="I829" s="64">
        <f>26.3032 * CHOOSE(CONTROL!$C$22, $C$13, 100%, $E$13)</f>
        <v>26.3032</v>
      </c>
      <c r="J829" s="64">
        <f>15.8917 * CHOOSE(CONTROL!$C$22, $C$13, 100%, $E$13)</f>
        <v>15.8917</v>
      </c>
      <c r="K829" s="64">
        <f>15.9074 * CHOOSE(CONTROL!$C$22, $C$13, 100%, $E$13)</f>
        <v>15.907400000000001</v>
      </c>
    </row>
    <row r="830" spans="1:11" ht="15">
      <c r="A830" s="13">
        <v>66750</v>
      </c>
      <c r="B830" s="63">
        <f>14.0904 * CHOOSE(CONTROL!$C$22, $C$13, 100%, $E$13)</f>
        <v>14.090400000000001</v>
      </c>
      <c r="C830" s="63">
        <f>14.0904 * CHOOSE(CONTROL!$C$22, $C$13, 100%, $E$13)</f>
        <v>14.090400000000001</v>
      </c>
      <c r="D830" s="63">
        <f>14.0904 * CHOOSE(CONTROL!$C$22, $C$13, 100%, $E$13)</f>
        <v>14.090400000000001</v>
      </c>
      <c r="E830" s="64">
        <f>15.9967 * CHOOSE(CONTROL!$C$22, $C$13, 100%, $E$13)</f>
        <v>15.996700000000001</v>
      </c>
      <c r="F830" s="64">
        <f>15.9967 * CHOOSE(CONTROL!$C$22, $C$13, 100%, $E$13)</f>
        <v>15.996700000000001</v>
      </c>
      <c r="G830" s="64">
        <f>15.9967 * CHOOSE(CONTROL!$C$22, $C$13, 100%, $E$13)</f>
        <v>15.996700000000001</v>
      </c>
      <c r="H830" s="64">
        <f>26.3423* CHOOSE(CONTROL!$C$22, $C$13, 100%, $E$13)</f>
        <v>26.342300000000002</v>
      </c>
      <c r="I830" s="64">
        <f>26.3423 * CHOOSE(CONTROL!$C$22, $C$13, 100%, $E$13)</f>
        <v>26.342300000000002</v>
      </c>
      <c r="J830" s="64">
        <f>15.9967 * CHOOSE(CONTROL!$C$22, $C$13, 100%, $E$13)</f>
        <v>15.996700000000001</v>
      </c>
      <c r="K830" s="64">
        <f>15.9967 * CHOOSE(CONTROL!$C$22, $C$13, 100%, $E$13)</f>
        <v>15.996700000000001</v>
      </c>
    </row>
    <row r="831" spans="1:11" ht="15">
      <c r="A831" s="13">
        <v>66781</v>
      </c>
      <c r="B831" s="63">
        <f>14.0934 * CHOOSE(CONTROL!$C$22, $C$13, 100%, $E$13)</f>
        <v>14.093400000000001</v>
      </c>
      <c r="C831" s="63">
        <f>14.0934 * CHOOSE(CONTROL!$C$22, $C$13, 100%, $E$13)</f>
        <v>14.093400000000001</v>
      </c>
      <c r="D831" s="63">
        <f>14.0934 * CHOOSE(CONTROL!$C$22, $C$13, 100%, $E$13)</f>
        <v>14.093400000000001</v>
      </c>
      <c r="E831" s="64">
        <f>16.058 * CHOOSE(CONTROL!$C$22, $C$13, 100%, $E$13)</f>
        <v>16.058</v>
      </c>
      <c r="F831" s="64">
        <f>16.058 * CHOOSE(CONTROL!$C$22, $C$13, 100%, $E$13)</f>
        <v>16.058</v>
      </c>
      <c r="G831" s="64">
        <f>16.0581 * CHOOSE(CONTROL!$C$22, $C$13, 100%, $E$13)</f>
        <v>16.0581</v>
      </c>
      <c r="H831" s="64">
        <f>26.3971* CHOOSE(CONTROL!$C$22, $C$13, 100%, $E$13)</f>
        <v>26.397099999999998</v>
      </c>
      <c r="I831" s="64">
        <f>26.3972 * CHOOSE(CONTROL!$C$22, $C$13, 100%, $E$13)</f>
        <v>26.397200000000002</v>
      </c>
      <c r="J831" s="64">
        <f>16.058 * CHOOSE(CONTROL!$C$22, $C$13, 100%, $E$13)</f>
        <v>16.058</v>
      </c>
      <c r="K831" s="64">
        <f>16.0581 * CHOOSE(CONTROL!$C$22, $C$13, 100%, $E$13)</f>
        <v>16.0581</v>
      </c>
    </row>
    <row r="832" spans="1:11" ht="15">
      <c r="A832" s="13">
        <v>66811</v>
      </c>
      <c r="B832" s="63">
        <f>14.0934 * CHOOSE(CONTROL!$C$22, $C$13, 100%, $E$13)</f>
        <v>14.093400000000001</v>
      </c>
      <c r="C832" s="63">
        <f>14.0934 * CHOOSE(CONTROL!$C$22, $C$13, 100%, $E$13)</f>
        <v>14.093400000000001</v>
      </c>
      <c r="D832" s="63">
        <f>14.0934 * CHOOSE(CONTROL!$C$22, $C$13, 100%, $E$13)</f>
        <v>14.093400000000001</v>
      </c>
      <c r="E832" s="64">
        <f>15.91 * CHOOSE(CONTROL!$C$22, $C$13, 100%, $E$13)</f>
        <v>15.91</v>
      </c>
      <c r="F832" s="64">
        <f>15.91 * CHOOSE(CONTROL!$C$22, $C$13, 100%, $E$13)</f>
        <v>15.91</v>
      </c>
      <c r="G832" s="64">
        <f>15.9101 * CHOOSE(CONTROL!$C$22, $C$13, 100%, $E$13)</f>
        <v>15.9101</v>
      </c>
      <c r="H832" s="64">
        <f>26.4521* CHOOSE(CONTROL!$C$22, $C$13, 100%, $E$13)</f>
        <v>26.452100000000002</v>
      </c>
      <c r="I832" s="64">
        <f>26.4522 * CHOOSE(CONTROL!$C$22, $C$13, 100%, $E$13)</f>
        <v>26.452200000000001</v>
      </c>
      <c r="J832" s="64">
        <f>15.91 * CHOOSE(CONTROL!$C$22, $C$13, 100%, $E$13)</f>
        <v>15.91</v>
      </c>
      <c r="K832" s="64">
        <f>15.9101 * CHOOSE(CONTROL!$C$22, $C$13, 100%, $E$13)</f>
        <v>15.9101</v>
      </c>
    </row>
    <row r="833" spans="1:11" ht="15">
      <c r="A833" s="13">
        <v>66842</v>
      </c>
      <c r="B833" s="63">
        <f>14.0787 * CHOOSE(CONTROL!$C$22, $C$13, 100%, $E$13)</f>
        <v>14.0787</v>
      </c>
      <c r="C833" s="63">
        <f>14.0787 * CHOOSE(CONTROL!$C$22, $C$13, 100%, $E$13)</f>
        <v>14.0787</v>
      </c>
      <c r="D833" s="63">
        <f>14.0787 * CHOOSE(CONTROL!$C$22, $C$13, 100%, $E$13)</f>
        <v>14.0787</v>
      </c>
      <c r="E833" s="64">
        <f>16.013 * CHOOSE(CONTROL!$C$22, $C$13, 100%, $E$13)</f>
        <v>16.013000000000002</v>
      </c>
      <c r="F833" s="64">
        <f>16.013 * CHOOSE(CONTROL!$C$22, $C$13, 100%, $E$13)</f>
        <v>16.013000000000002</v>
      </c>
      <c r="G833" s="64">
        <f>16.013 * CHOOSE(CONTROL!$C$22, $C$13, 100%, $E$13)</f>
        <v>16.013000000000002</v>
      </c>
      <c r="H833" s="64">
        <f>26.2805* CHOOSE(CONTROL!$C$22, $C$13, 100%, $E$13)</f>
        <v>26.2805</v>
      </c>
      <c r="I833" s="64">
        <f>26.2805 * CHOOSE(CONTROL!$C$22, $C$13, 100%, $E$13)</f>
        <v>26.2805</v>
      </c>
      <c r="J833" s="64">
        <f>16.013 * CHOOSE(CONTROL!$C$22, $C$13, 100%, $E$13)</f>
        <v>16.013000000000002</v>
      </c>
      <c r="K833" s="64">
        <f>16.013 * CHOOSE(CONTROL!$C$22, $C$13, 100%, $E$13)</f>
        <v>16.013000000000002</v>
      </c>
    </row>
    <row r="834" spans="1:11" ht="15">
      <c r="A834" s="13">
        <v>66873</v>
      </c>
      <c r="B834" s="63">
        <f>14.0757 * CHOOSE(CONTROL!$C$22, $C$13, 100%, $E$13)</f>
        <v>14.075699999999999</v>
      </c>
      <c r="C834" s="63">
        <f>14.0757 * CHOOSE(CONTROL!$C$22, $C$13, 100%, $E$13)</f>
        <v>14.075699999999999</v>
      </c>
      <c r="D834" s="63">
        <f>14.0757 * CHOOSE(CONTROL!$C$22, $C$13, 100%, $E$13)</f>
        <v>14.075699999999999</v>
      </c>
      <c r="E834" s="64">
        <f>15.7262 * CHOOSE(CONTROL!$C$22, $C$13, 100%, $E$13)</f>
        <v>15.7262</v>
      </c>
      <c r="F834" s="64">
        <f>15.7262 * CHOOSE(CONTROL!$C$22, $C$13, 100%, $E$13)</f>
        <v>15.7262</v>
      </c>
      <c r="G834" s="64">
        <f>15.7263 * CHOOSE(CONTROL!$C$22, $C$13, 100%, $E$13)</f>
        <v>15.7263</v>
      </c>
      <c r="H834" s="64">
        <f>26.3352* CHOOSE(CONTROL!$C$22, $C$13, 100%, $E$13)</f>
        <v>26.3352</v>
      </c>
      <c r="I834" s="64">
        <f>26.3353 * CHOOSE(CONTROL!$C$22, $C$13, 100%, $E$13)</f>
        <v>26.3353</v>
      </c>
      <c r="J834" s="64">
        <f>15.7262 * CHOOSE(CONTROL!$C$22, $C$13, 100%, $E$13)</f>
        <v>15.7262</v>
      </c>
      <c r="K834" s="64">
        <f>15.7263 * CHOOSE(CONTROL!$C$22, $C$13, 100%, $E$13)</f>
        <v>15.7263</v>
      </c>
    </row>
    <row r="835" spans="1:11" ht="15">
      <c r="A835" s="13">
        <v>66901</v>
      </c>
      <c r="B835" s="63">
        <f>14.0727 * CHOOSE(CONTROL!$C$22, $C$13, 100%, $E$13)</f>
        <v>14.072699999999999</v>
      </c>
      <c r="C835" s="63">
        <f>14.0727 * CHOOSE(CONTROL!$C$22, $C$13, 100%, $E$13)</f>
        <v>14.072699999999999</v>
      </c>
      <c r="D835" s="63">
        <f>14.0727 * CHOOSE(CONTROL!$C$22, $C$13, 100%, $E$13)</f>
        <v>14.072699999999999</v>
      </c>
      <c r="E835" s="64">
        <f>15.9485 * CHOOSE(CONTROL!$C$22, $C$13, 100%, $E$13)</f>
        <v>15.948499999999999</v>
      </c>
      <c r="F835" s="64">
        <f>15.9485 * CHOOSE(CONTROL!$C$22, $C$13, 100%, $E$13)</f>
        <v>15.948499999999999</v>
      </c>
      <c r="G835" s="64">
        <f>15.9486 * CHOOSE(CONTROL!$C$22, $C$13, 100%, $E$13)</f>
        <v>15.948600000000001</v>
      </c>
      <c r="H835" s="64">
        <f>26.3901* CHOOSE(CONTROL!$C$22, $C$13, 100%, $E$13)</f>
        <v>26.3901</v>
      </c>
      <c r="I835" s="64">
        <f>26.3902 * CHOOSE(CONTROL!$C$22, $C$13, 100%, $E$13)</f>
        <v>26.3902</v>
      </c>
      <c r="J835" s="64">
        <f>15.9485 * CHOOSE(CONTROL!$C$22, $C$13, 100%, $E$13)</f>
        <v>15.948499999999999</v>
      </c>
      <c r="K835" s="64">
        <f>15.9486 * CHOOSE(CONTROL!$C$22, $C$13, 100%, $E$13)</f>
        <v>15.948600000000001</v>
      </c>
    </row>
    <row r="836" spans="1:11" ht="15">
      <c r="A836" s="13">
        <v>66932</v>
      </c>
      <c r="B836" s="63">
        <f>14.0787 * CHOOSE(CONTROL!$C$22, $C$13, 100%, $E$13)</f>
        <v>14.0787</v>
      </c>
      <c r="C836" s="63">
        <f>14.0787 * CHOOSE(CONTROL!$C$22, $C$13, 100%, $E$13)</f>
        <v>14.0787</v>
      </c>
      <c r="D836" s="63">
        <f>14.0788 * CHOOSE(CONTROL!$C$22, $C$13, 100%, $E$13)</f>
        <v>14.078799999999999</v>
      </c>
      <c r="E836" s="64">
        <f>16.1852 * CHOOSE(CONTROL!$C$22, $C$13, 100%, $E$13)</f>
        <v>16.185199999999998</v>
      </c>
      <c r="F836" s="64">
        <f>16.1852 * CHOOSE(CONTROL!$C$22, $C$13, 100%, $E$13)</f>
        <v>16.185199999999998</v>
      </c>
      <c r="G836" s="64">
        <f>16.1853 * CHOOSE(CONTROL!$C$22, $C$13, 100%, $E$13)</f>
        <v>16.185300000000002</v>
      </c>
      <c r="H836" s="64">
        <f>26.4451* CHOOSE(CONTROL!$C$22, $C$13, 100%, $E$13)</f>
        <v>26.4451</v>
      </c>
      <c r="I836" s="64">
        <f>26.4451 * CHOOSE(CONTROL!$C$22, $C$13, 100%, $E$13)</f>
        <v>26.4451</v>
      </c>
      <c r="J836" s="64">
        <f>16.1852 * CHOOSE(CONTROL!$C$22, $C$13, 100%, $E$13)</f>
        <v>16.185199999999998</v>
      </c>
      <c r="K836" s="64">
        <f>16.1853 * CHOOSE(CONTROL!$C$22, $C$13, 100%, $E$13)</f>
        <v>16.185300000000002</v>
      </c>
    </row>
    <row r="837" spans="1:11" ht="15">
      <c r="A837" s="13">
        <v>66962</v>
      </c>
      <c r="B837" s="63">
        <f>14.0787 * CHOOSE(CONTROL!$C$22, $C$13, 100%, $E$13)</f>
        <v>14.0787</v>
      </c>
      <c r="C837" s="63">
        <f>14.0787 * CHOOSE(CONTROL!$C$22, $C$13, 100%, $E$13)</f>
        <v>14.0787</v>
      </c>
      <c r="D837" s="63">
        <f>14.0917 * CHOOSE(CONTROL!$C$22, $C$13, 100%, $E$13)</f>
        <v>14.091699999999999</v>
      </c>
      <c r="E837" s="64">
        <f>16.2756 * CHOOSE(CONTROL!$C$22, $C$13, 100%, $E$13)</f>
        <v>16.275600000000001</v>
      </c>
      <c r="F837" s="64">
        <f>16.2756 * CHOOSE(CONTROL!$C$22, $C$13, 100%, $E$13)</f>
        <v>16.275600000000001</v>
      </c>
      <c r="G837" s="64">
        <f>16.2912 * CHOOSE(CONTROL!$C$22, $C$13, 100%, $E$13)</f>
        <v>16.2912</v>
      </c>
      <c r="H837" s="64">
        <f>26.5002* CHOOSE(CONTROL!$C$22, $C$13, 100%, $E$13)</f>
        <v>26.5002</v>
      </c>
      <c r="I837" s="64">
        <f>26.5158 * CHOOSE(CONTROL!$C$22, $C$13, 100%, $E$13)</f>
        <v>26.515799999999999</v>
      </c>
      <c r="J837" s="64">
        <f>16.2756 * CHOOSE(CONTROL!$C$22, $C$13, 100%, $E$13)</f>
        <v>16.275600000000001</v>
      </c>
      <c r="K837" s="64">
        <f>16.2912 * CHOOSE(CONTROL!$C$22, $C$13, 100%, $E$13)</f>
        <v>16.2912</v>
      </c>
    </row>
    <row r="838" spans="1:11" ht="15">
      <c r="A838" s="13">
        <v>66993</v>
      </c>
      <c r="B838" s="63">
        <f>14.0848 * CHOOSE(CONTROL!$C$22, $C$13, 100%, $E$13)</f>
        <v>14.0848</v>
      </c>
      <c r="C838" s="63">
        <f>14.0848 * CHOOSE(CONTROL!$C$22, $C$13, 100%, $E$13)</f>
        <v>14.0848</v>
      </c>
      <c r="D838" s="63">
        <f>14.0978 * CHOOSE(CONTROL!$C$22, $C$13, 100%, $E$13)</f>
        <v>14.097799999999999</v>
      </c>
      <c r="E838" s="64">
        <f>16.1894 * CHOOSE(CONTROL!$C$22, $C$13, 100%, $E$13)</f>
        <v>16.189399999999999</v>
      </c>
      <c r="F838" s="64">
        <f>16.1894 * CHOOSE(CONTROL!$C$22, $C$13, 100%, $E$13)</f>
        <v>16.189399999999999</v>
      </c>
      <c r="G838" s="64">
        <f>16.2051 * CHOOSE(CONTROL!$C$22, $C$13, 100%, $E$13)</f>
        <v>16.205100000000002</v>
      </c>
      <c r="H838" s="64">
        <f>26.5554* CHOOSE(CONTROL!$C$22, $C$13, 100%, $E$13)</f>
        <v>26.555399999999999</v>
      </c>
      <c r="I838" s="64">
        <f>26.571 * CHOOSE(CONTROL!$C$22, $C$13, 100%, $E$13)</f>
        <v>26.571000000000002</v>
      </c>
      <c r="J838" s="64">
        <f>16.1894 * CHOOSE(CONTROL!$C$22, $C$13, 100%, $E$13)</f>
        <v>16.189399999999999</v>
      </c>
      <c r="K838" s="64">
        <f>16.2051 * CHOOSE(CONTROL!$C$22, $C$13, 100%, $E$13)</f>
        <v>16.205100000000002</v>
      </c>
    </row>
    <row r="839" spans="1:11" ht="15">
      <c r="A839" s="13">
        <v>67023</v>
      </c>
      <c r="B839" s="63">
        <f>14.2984 * CHOOSE(CONTROL!$C$22, $C$13, 100%, $E$13)</f>
        <v>14.298400000000001</v>
      </c>
      <c r="C839" s="63">
        <f>14.2984 * CHOOSE(CONTROL!$C$22, $C$13, 100%, $E$13)</f>
        <v>14.298400000000001</v>
      </c>
      <c r="D839" s="63">
        <f>14.3114 * CHOOSE(CONTROL!$C$22, $C$13, 100%, $E$13)</f>
        <v>14.311400000000001</v>
      </c>
      <c r="E839" s="64">
        <f>16.4469 * CHOOSE(CONTROL!$C$22, $C$13, 100%, $E$13)</f>
        <v>16.446899999999999</v>
      </c>
      <c r="F839" s="64">
        <f>16.4469 * CHOOSE(CONTROL!$C$22, $C$13, 100%, $E$13)</f>
        <v>16.446899999999999</v>
      </c>
      <c r="G839" s="64">
        <f>16.4626 * CHOOSE(CONTROL!$C$22, $C$13, 100%, $E$13)</f>
        <v>16.462599999999998</v>
      </c>
      <c r="H839" s="64">
        <f>26.6107* CHOOSE(CONTROL!$C$22, $C$13, 100%, $E$13)</f>
        <v>26.610700000000001</v>
      </c>
      <c r="I839" s="64">
        <f>26.6264 * CHOOSE(CONTROL!$C$22, $C$13, 100%, $E$13)</f>
        <v>26.6264</v>
      </c>
      <c r="J839" s="64">
        <f>16.4469 * CHOOSE(CONTROL!$C$22, $C$13, 100%, $E$13)</f>
        <v>16.446899999999999</v>
      </c>
      <c r="K839" s="64">
        <f>16.4626 * CHOOSE(CONTROL!$C$22, $C$13, 100%, $E$13)</f>
        <v>16.462599999999998</v>
      </c>
    </row>
    <row r="840" spans="1:11" ht="15">
      <c r="A840" s="13">
        <v>67054</v>
      </c>
      <c r="B840" s="63">
        <f>14.3051 * CHOOSE(CONTROL!$C$22, $C$13, 100%, $E$13)</f>
        <v>14.305099999999999</v>
      </c>
      <c r="C840" s="63">
        <f>14.3051 * CHOOSE(CONTROL!$C$22, $C$13, 100%, $E$13)</f>
        <v>14.305099999999999</v>
      </c>
      <c r="D840" s="63">
        <f>14.3181 * CHOOSE(CONTROL!$C$22, $C$13, 100%, $E$13)</f>
        <v>14.318099999999999</v>
      </c>
      <c r="E840" s="64">
        <f>16.1805 * CHOOSE(CONTROL!$C$22, $C$13, 100%, $E$13)</f>
        <v>16.180499999999999</v>
      </c>
      <c r="F840" s="64">
        <f>16.1805 * CHOOSE(CONTROL!$C$22, $C$13, 100%, $E$13)</f>
        <v>16.180499999999999</v>
      </c>
      <c r="G840" s="64">
        <f>16.1962 * CHOOSE(CONTROL!$C$22, $C$13, 100%, $E$13)</f>
        <v>16.196200000000001</v>
      </c>
      <c r="H840" s="64">
        <f>26.6661* CHOOSE(CONTROL!$C$22, $C$13, 100%, $E$13)</f>
        <v>26.6661</v>
      </c>
      <c r="I840" s="64">
        <f>26.6818 * CHOOSE(CONTROL!$C$22, $C$13, 100%, $E$13)</f>
        <v>26.681799999999999</v>
      </c>
      <c r="J840" s="64">
        <f>16.1805 * CHOOSE(CONTROL!$C$22, $C$13, 100%, $E$13)</f>
        <v>16.180499999999999</v>
      </c>
      <c r="K840" s="64">
        <f>16.1962 * CHOOSE(CONTROL!$C$22, $C$13, 100%, $E$13)</f>
        <v>16.196200000000001</v>
      </c>
    </row>
    <row r="841" spans="1:11" ht="15">
      <c r="A841" s="13">
        <v>67085</v>
      </c>
      <c r="B841" s="63">
        <f>14.3021 * CHOOSE(CONTROL!$C$22, $C$13, 100%, $E$13)</f>
        <v>14.302099999999999</v>
      </c>
      <c r="C841" s="63">
        <f>14.3021 * CHOOSE(CONTROL!$C$22, $C$13, 100%, $E$13)</f>
        <v>14.302099999999999</v>
      </c>
      <c r="D841" s="63">
        <f>14.315 * CHOOSE(CONTROL!$C$22, $C$13, 100%, $E$13)</f>
        <v>14.315</v>
      </c>
      <c r="E841" s="64">
        <f>16.1482 * CHOOSE(CONTROL!$C$22, $C$13, 100%, $E$13)</f>
        <v>16.148199999999999</v>
      </c>
      <c r="F841" s="64">
        <f>16.1482 * CHOOSE(CONTROL!$C$22, $C$13, 100%, $E$13)</f>
        <v>16.148199999999999</v>
      </c>
      <c r="G841" s="64">
        <f>16.1639 * CHOOSE(CONTROL!$C$22, $C$13, 100%, $E$13)</f>
        <v>16.163900000000002</v>
      </c>
      <c r="H841" s="64">
        <f>26.7217* CHOOSE(CONTROL!$C$22, $C$13, 100%, $E$13)</f>
        <v>26.721699999999998</v>
      </c>
      <c r="I841" s="64">
        <f>26.7374 * CHOOSE(CONTROL!$C$22, $C$13, 100%, $E$13)</f>
        <v>26.737400000000001</v>
      </c>
      <c r="J841" s="64">
        <f>16.1482 * CHOOSE(CONTROL!$C$22, $C$13, 100%, $E$13)</f>
        <v>16.148199999999999</v>
      </c>
      <c r="K841" s="64">
        <f>16.1639 * CHOOSE(CONTROL!$C$22, $C$13, 100%, $E$13)</f>
        <v>16.163900000000002</v>
      </c>
    </row>
    <row r="842" spans="1:11" ht="15">
      <c r="A842" s="13">
        <v>67115</v>
      </c>
      <c r="B842" s="63">
        <f>14.3303 * CHOOSE(CONTROL!$C$22, $C$13, 100%, $E$13)</f>
        <v>14.330299999999999</v>
      </c>
      <c r="C842" s="63">
        <f>14.3303 * CHOOSE(CONTROL!$C$22, $C$13, 100%, $E$13)</f>
        <v>14.330299999999999</v>
      </c>
      <c r="D842" s="63">
        <f>14.3303 * CHOOSE(CONTROL!$C$22, $C$13, 100%, $E$13)</f>
        <v>14.330299999999999</v>
      </c>
      <c r="E842" s="64">
        <f>16.2553 * CHOOSE(CONTROL!$C$22, $C$13, 100%, $E$13)</f>
        <v>16.255299999999998</v>
      </c>
      <c r="F842" s="64">
        <f>16.2553 * CHOOSE(CONTROL!$C$22, $C$13, 100%, $E$13)</f>
        <v>16.255299999999998</v>
      </c>
      <c r="G842" s="64">
        <f>16.2554 * CHOOSE(CONTROL!$C$22, $C$13, 100%, $E$13)</f>
        <v>16.255400000000002</v>
      </c>
      <c r="H842" s="64">
        <f>26.7773* CHOOSE(CONTROL!$C$22, $C$13, 100%, $E$13)</f>
        <v>26.7773</v>
      </c>
      <c r="I842" s="64">
        <f>26.7774 * CHOOSE(CONTROL!$C$22, $C$13, 100%, $E$13)</f>
        <v>26.7774</v>
      </c>
      <c r="J842" s="64">
        <f>16.2553 * CHOOSE(CONTROL!$C$22, $C$13, 100%, $E$13)</f>
        <v>16.255299999999998</v>
      </c>
      <c r="K842" s="64">
        <f>16.2554 * CHOOSE(CONTROL!$C$22, $C$13, 100%, $E$13)</f>
        <v>16.255400000000002</v>
      </c>
    </row>
    <row r="843" spans="1:11" ht="15">
      <c r="A843" s="13">
        <v>67146</v>
      </c>
      <c r="B843" s="63">
        <f>14.3333 * CHOOSE(CONTROL!$C$22, $C$13, 100%, $E$13)</f>
        <v>14.333299999999999</v>
      </c>
      <c r="C843" s="63">
        <f>14.3333 * CHOOSE(CONTROL!$C$22, $C$13, 100%, $E$13)</f>
        <v>14.333299999999999</v>
      </c>
      <c r="D843" s="63">
        <f>14.3333 * CHOOSE(CONTROL!$C$22, $C$13, 100%, $E$13)</f>
        <v>14.333299999999999</v>
      </c>
      <c r="E843" s="64">
        <f>16.3177 * CHOOSE(CONTROL!$C$22, $C$13, 100%, $E$13)</f>
        <v>16.317699999999999</v>
      </c>
      <c r="F843" s="64">
        <f>16.3177 * CHOOSE(CONTROL!$C$22, $C$13, 100%, $E$13)</f>
        <v>16.317699999999999</v>
      </c>
      <c r="G843" s="64">
        <f>16.3177 * CHOOSE(CONTROL!$C$22, $C$13, 100%, $E$13)</f>
        <v>16.317699999999999</v>
      </c>
      <c r="H843" s="64">
        <f>26.8331* CHOOSE(CONTROL!$C$22, $C$13, 100%, $E$13)</f>
        <v>26.833100000000002</v>
      </c>
      <c r="I843" s="64">
        <f>26.8332 * CHOOSE(CONTROL!$C$22, $C$13, 100%, $E$13)</f>
        <v>26.833200000000001</v>
      </c>
      <c r="J843" s="64">
        <f>16.3177 * CHOOSE(CONTROL!$C$22, $C$13, 100%, $E$13)</f>
        <v>16.317699999999999</v>
      </c>
      <c r="K843" s="64">
        <f>16.3177 * CHOOSE(CONTROL!$C$22, $C$13, 100%, $E$13)</f>
        <v>16.317699999999999</v>
      </c>
    </row>
    <row r="844" spans="1:11" ht="15">
      <c r="A844" s="13">
        <v>67176</v>
      </c>
      <c r="B844" s="63">
        <f>14.3333 * CHOOSE(CONTROL!$C$22, $C$13, 100%, $E$13)</f>
        <v>14.333299999999999</v>
      </c>
      <c r="C844" s="63">
        <f>14.3333 * CHOOSE(CONTROL!$C$22, $C$13, 100%, $E$13)</f>
        <v>14.333299999999999</v>
      </c>
      <c r="D844" s="63">
        <f>14.3333 * CHOOSE(CONTROL!$C$22, $C$13, 100%, $E$13)</f>
        <v>14.333299999999999</v>
      </c>
      <c r="E844" s="64">
        <f>16.1671 * CHOOSE(CONTROL!$C$22, $C$13, 100%, $E$13)</f>
        <v>16.167100000000001</v>
      </c>
      <c r="F844" s="64">
        <f>16.1671 * CHOOSE(CONTROL!$C$22, $C$13, 100%, $E$13)</f>
        <v>16.167100000000001</v>
      </c>
      <c r="G844" s="64">
        <f>16.1671 * CHOOSE(CONTROL!$C$22, $C$13, 100%, $E$13)</f>
        <v>16.167100000000001</v>
      </c>
      <c r="H844" s="64">
        <f>26.889* CHOOSE(CONTROL!$C$22, $C$13, 100%, $E$13)</f>
        <v>26.888999999999999</v>
      </c>
      <c r="I844" s="64">
        <f>26.8891 * CHOOSE(CONTROL!$C$22, $C$13, 100%, $E$13)</f>
        <v>26.889099999999999</v>
      </c>
      <c r="J844" s="64">
        <f>16.1671 * CHOOSE(CONTROL!$C$22, $C$13, 100%, $E$13)</f>
        <v>16.167100000000001</v>
      </c>
      <c r="K844" s="64">
        <f>16.1671 * CHOOSE(CONTROL!$C$22, $C$13, 100%, $E$13)</f>
        <v>16.167100000000001</v>
      </c>
    </row>
    <row r="845" spans="1:11" ht="15">
      <c r="A845" s="13">
        <v>67207</v>
      </c>
      <c r="B845" s="63">
        <f>14.3143 * CHOOSE(CONTROL!$C$22, $C$13, 100%, $E$13)</f>
        <v>14.314299999999999</v>
      </c>
      <c r="C845" s="63">
        <f>14.3143 * CHOOSE(CONTROL!$C$22, $C$13, 100%, $E$13)</f>
        <v>14.314299999999999</v>
      </c>
      <c r="D845" s="63">
        <f>14.3143 * CHOOSE(CONTROL!$C$22, $C$13, 100%, $E$13)</f>
        <v>14.314299999999999</v>
      </c>
      <c r="E845" s="64">
        <f>16.2677 * CHOOSE(CONTROL!$C$22, $C$13, 100%, $E$13)</f>
        <v>16.267700000000001</v>
      </c>
      <c r="F845" s="64">
        <f>16.2677 * CHOOSE(CONTROL!$C$22, $C$13, 100%, $E$13)</f>
        <v>16.267700000000001</v>
      </c>
      <c r="G845" s="64">
        <f>16.2678 * CHOOSE(CONTROL!$C$22, $C$13, 100%, $E$13)</f>
        <v>16.267800000000001</v>
      </c>
      <c r="H845" s="64">
        <f>26.7075* CHOOSE(CONTROL!$C$22, $C$13, 100%, $E$13)</f>
        <v>26.7075</v>
      </c>
      <c r="I845" s="64">
        <f>26.7076 * CHOOSE(CONTROL!$C$22, $C$13, 100%, $E$13)</f>
        <v>26.707599999999999</v>
      </c>
      <c r="J845" s="64">
        <f>16.2677 * CHOOSE(CONTROL!$C$22, $C$13, 100%, $E$13)</f>
        <v>16.267700000000001</v>
      </c>
      <c r="K845" s="64">
        <f>16.2678 * CHOOSE(CONTROL!$C$22, $C$13, 100%, $E$13)</f>
        <v>16.267800000000001</v>
      </c>
    </row>
    <row r="846" spans="1:11" ht="15">
      <c r="A846" s="13">
        <v>67238</v>
      </c>
      <c r="B846" s="63">
        <f>14.3113 * CHOOSE(CONTROL!$C$22, $C$13, 100%, $E$13)</f>
        <v>14.311299999999999</v>
      </c>
      <c r="C846" s="63">
        <f>14.3113 * CHOOSE(CONTROL!$C$22, $C$13, 100%, $E$13)</f>
        <v>14.311299999999999</v>
      </c>
      <c r="D846" s="63">
        <f>14.3113 * CHOOSE(CONTROL!$C$22, $C$13, 100%, $E$13)</f>
        <v>14.311299999999999</v>
      </c>
      <c r="E846" s="64">
        <f>15.976 * CHOOSE(CONTROL!$C$22, $C$13, 100%, $E$13)</f>
        <v>15.976000000000001</v>
      </c>
      <c r="F846" s="64">
        <f>15.976 * CHOOSE(CONTROL!$C$22, $C$13, 100%, $E$13)</f>
        <v>15.976000000000001</v>
      </c>
      <c r="G846" s="64">
        <f>15.9761 * CHOOSE(CONTROL!$C$22, $C$13, 100%, $E$13)</f>
        <v>15.976100000000001</v>
      </c>
      <c r="H846" s="64">
        <f>26.7631* CHOOSE(CONTROL!$C$22, $C$13, 100%, $E$13)</f>
        <v>26.763100000000001</v>
      </c>
      <c r="I846" s="64">
        <f>26.7632 * CHOOSE(CONTROL!$C$22, $C$13, 100%, $E$13)</f>
        <v>26.763200000000001</v>
      </c>
      <c r="J846" s="64">
        <f>15.976 * CHOOSE(CONTROL!$C$22, $C$13, 100%, $E$13)</f>
        <v>15.976000000000001</v>
      </c>
      <c r="K846" s="64">
        <f>15.9761 * CHOOSE(CONTROL!$C$22, $C$13, 100%, $E$13)</f>
        <v>15.976100000000001</v>
      </c>
    </row>
    <row r="847" spans="1:11" ht="15">
      <c r="A847" s="13">
        <v>67267</v>
      </c>
      <c r="B847" s="63">
        <f>14.3082 * CHOOSE(CONTROL!$C$22, $C$13, 100%, $E$13)</f>
        <v>14.308199999999999</v>
      </c>
      <c r="C847" s="63">
        <f>14.3082 * CHOOSE(CONTROL!$C$22, $C$13, 100%, $E$13)</f>
        <v>14.308199999999999</v>
      </c>
      <c r="D847" s="63">
        <f>14.3082 * CHOOSE(CONTROL!$C$22, $C$13, 100%, $E$13)</f>
        <v>14.308199999999999</v>
      </c>
      <c r="E847" s="64">
        <f>16.2022 * CHOOSE(CONTROL!$C$22, $C$13, 100%, $E$13)</f>
        <v>16.202200000000001</v>
      </c>
      <c r="F847" s="64">
        <f>16.2022 * CHOOSE(CONTROL!$C$22, $C$13, 100%, $E$13)</f>
        <v>16.202200000000001</v>
      </c>
      <c r="G847" s="64">
        <f>16.2022 * CHOOSE(CONTROL!$C$22, $C$13, 100%, $E$13)</f>
        <v>16.202200000000001</v>
      </c>
      <c r="H847" s="64">
        <f>26.8189* CHOOSE(CONTROL!$C$22, $C$13, 100%, $E$13)</f>
        <v>26.818899999999999</v>
      </c>
      <c r="I847" s="64">
        <f>26.819 * CHOOSE(CONTROL!$C$22, $C$13, 100%, $E$13)</f>
        <v>26.818999999999999</v>
      </c>
      <c r="J847" s="64">
        <f>16.2022 * CHOOSE(CONTROL!$C$22, $C$13, 100%, $E$13)</f>
        <v>16.202200000000001</v>
      </c>
      <c r="K847" s="64">
        <f>16.2022 * CHOOSE(CONTROL!$C$22, $C$13, 100%, $E$13)</f>
        <v>16.202200000000001</v>
      </c>
    </row>
    <row r="848" spans="1:11" ht="15">
      <c r="A848" s="13">
        <v>67298</v>
      </c>
      <c r="B848" s="63">
        <f>14.3145 * CHOOSE(CONTROL!$C$22, $C$13, 100%, $E$13)</f>
        <v>14.314500000000001</v>
      </c>
      <c r="C848" s="63">
        <f>14.3145 * CHOOSE(CONTROL!$C$22, $C$13, 100%, $E$13)</f>
        <v>14.314500000000001</v>
      </c>
      <c r="D848" s="63">
        <f>14.3145 * CHOOSE(CONTROL!$C$22, $C$13, 100%, $E$13)</f>
        <v>14.314500000000001</v>
      </c>
      <c r="E848" s="64">
        <f>16.4431 * CHOOSE(CONTROL!$C$22, $C$13, 100%, $E$13)</f>
        <v>16.443100000000001</v>
      </c>
      <c r="F848" s="64">
        <f>16.4431 * CHOOSE(CONTROL!$C$22, $C$13, 100%, $E$13)</f>
        <v>16.443100000000001</v>
      </c>
      <c r="G848" s="64">
        <f>16.4431 * CHOOSE(CONTROL!$C$22, $C$13, 100%, $E$13)</f>
        <v>16.443100000000001</v>
      </c>
      <c r="H848" s="64">
        <f>26.8748* CHOOSE(CONTROL!$C$22, $C$13, 100%, $E$13)</f>
        <v>26.8748</v>
      </c>
      <c r="I848" s="64">
        <f>26.8748 * CHOOSE(CONTROL!$C$22, $C$13, 100%, $E$13)</f>
        <v>26.8748</v>
      </c>
      <c r="J848" s="64">
        <f>16.4431 * CHOOSE(CONTROL!$C$22, $C$13, 100%, $E$13)</f>
        <v>16.443100000000001</v>
      </c>
      <c r="K848" s="64">
        <f>16.4431 * CHOOSE(CONTROL!$C$22, $C$13, 100%, $E$13)</f>
        <v>16.443100000000001</v>
      </c>
    </row>
    <row r="849" spans="1:11" ht="15">
      <c r="A849" s="13">
        <v>67328</v>
      </c>
      <c r="B849" s="63">
        <f>14.3145 * CHOOSE(CONTROL!$C$22, $C$13, 100%, $E$13)</f>
        <v>14.314500000000001</v>
      </c>
      <c r="C849" s="63">
        <f>14.3145 * CHOOSE(CONTROL!$C$22, $C$13, 100%, $E$13)</f>
        <v>14.314500000000001</v>
      </c>
      <c r="D849" s="63">
        <f>14.3275 * CHOOSE(CONTROL!$C$22, $C$13, 100%, $E$13)</f>
        <v>14.327500000000001</v>
      </c>
      <c r="E849" s="64">
        <f>16.535 * CHOOSE(CONTROL!$C$22, $C$13, 100%, $E$13)</f>
        <v>16.535</v>
      </c>
      <c r="F849" s="64">
        <f>16.535 * CHOOSE(CONTROL!$C$22, $C$13, 100%, $E$13)</f>
        <v>16.535</v>
      </c>
      <c r="G849" s="64">
        <f>16.5507 * CHOOSE(CONTROL!$C$22, $C$13, 100%, $E$13)</f>
        <v>16.550699999999999</v>
      </c>
      <c r="H849" s="64">
        <f>26.9307* CHOOSE(CONTROL!$C$22, $C$13, 100%, $E$13)</f>
        <v>26.930700000000002</v>
      </c>
      <c r="I849" s="64">
        <f>26.9464 * CHOOSE(CONTROL!$C$22, $C$13, 100%, $E$13)</f>
        <v>26.946400000000001</v>
      </c>
      <c r="J849" s="64">
        <f>16.535 * CHOOSE(CONTROL!$C$22, $C$13, 100%, $E$13)</f>
        <v>16.535</v>
      </c>
      <c r="K849" s="64">
        <f>16.5507 * CHOOSE(CONTROL!$C$22, $C$13, 100%, $E$13)</f>
        <v>16.550699999999999</v>
      </c>
    </row>
    <row r="850" spans="1:11" ht="15">
      <c r="A850" s="13">
        <v>67359</v>
      </c>
      <c r="B850" s="63">
        <f>14.3206 * CHOOSE(CONTROL!$C$22, $C$13, 100%, $E$13)</f>
        <v>14.320600000000001</v>
      </c>
      <c r="C850" s="63">
        <f>14.3206 * CHOOSE(CONTROL!$C$22, $C$13, 100%, $E$13)</f>
        <v>14.320600000000001</v>
      </c>
      <c r="D850" s="63">
        <f>14.3336 * CHOOSE(CONTROL!$C$22, $C$13, 100%, $E$13)</f>
        <v>14.333600000000001</v>
      </c>
      <c r="E850" s="64">
        <f>16.4473 * CHOOSE(CONTROL!$C$22, $C$13, 100%, $E$13)</f>
        <v>16.447299999999998</v>
      </c>
      <c r="F850" s="64">
        <f>16.4473 * CHOOSE(CONTROL!$C$22, $C$13, 100%, $E$13)</f>
        <v>16.447299999999998</v>
      </c>
      <c r="G850" s="64">
        <f>16.463 * CHOOSE(CONTROL!$C$22, $C$13, 100%, $E$13)</f>
        <v>16.463000000000001</v>
      </c>
      <c r="H850" s="64">
        <f>26.9868* CHOOSE(CONTROL!$C$22, $C$13, 100%, $E$13)</f>
        <v>26.986799999999999</v>
      </c>
      <c r="I850" s="64">
        <f>27.0025 * CHOOSE(CONTROL!$C$22, $C$13, 100%, $E$13)</f>
        <v>27.002500000000001</v>
      </c>
      <c r="J850" s="64">
        <f>16.4473 * CHOOSE(CONTROL!$C$22, $C$13, 100%, $E$13)</f>
        <v>16.447299999999998</v>
      </c>
      <c r="K850" s="64">
        <f>16.463 * CHOOSE(CONTROL!$C$22, $C$13, 100%, $E$13)</f>
        <v>16.463000000000001</v>
      </c>
    </row>
    <row r="851" spans="1:11" ht="15">
      <c r="A851" s="13">
        <v>67389</v>
      </c>
      <c r="B851" s="63">
        <f>14.5376 * CHOOSE(CONTROL!$C$22, $C$13, 100%, $E$13)</f>
        <v>14.537599999999999</v>
      </c>
      <c r="C851" s="63">
        <f>14.5376 * CHOOSE(CONTROL!$C$22, $C$13, 100%, $E$13)</f>
        <v>14.537599999999999</v>
      </c>
      <c r="D851" s="63">
        <f>14.5506 * CHOOSE(CONTROL!$C$22, $C$13, 100%, $E$13)</f>
        <v>14.550599999999999</v>
      </c>
      <c r="E851" s="64">
        <f>16.7087 * CHOOSE(CONTROL!$C$22, $C$13, 100%, $E$13)</f>
        <v>16.7087</v>
      </c>
      <c r="F851" s="64">
        <f>16.7087 * CHOOSE(CONTROL!$C$22, $C$13, 100%, $E$13)</f>
        <v>16.7087</v>
      </c>
      <c r="G851" s="64">
        <f>16.7243 * CHOOSE(CONTROL!$C$22, $C$13, 100%, $E$13)</f>
        <v>16.724299999999999</v>
      </c>
      <c r="H851" s="64">
        <f>27.0431* CHOOSE(CONTROL!$C$22, $C$13, 100%, $E$13)</f>
        <v>27.043099999999999</v>
      </c>
      <c r="I851" s="64">
        <f>27.0588 * CHOOSE(CONTROL!$C$22, $C$13, 100%, $E$13)</f>
        <v>27.058800000000002</v>
      </c>
      <c r="J851" s="64">
        <f>16.7087 * CHOOSE(CONTROL!$C$22, $C$13, 100%, $E$13)</f>
        <v>16.7087</v>
      </c>
      <c r="K851" s="64">
        <f>16.7243 * CHOOSE(CONTROL!$C$22, $C$13, 100%, $E$13)</f>
        <v>16.724299999999999</v>
      </c>
    </row>
    <row r="852" spans="1:11" ht="15">
      <c r="A852" s="13">
        <v>67420</v>
      </c>
      <c r="B852" s="63">
        <f>14.5443 * CHOOSE(CONTROL!$C$22, $C$13, 100%, $E$13)</f>
        <v>14.5443</v>
      </c>
      <c r="C852" s="63">
        <f>14.5443 * CHOOSE(CONTROL!$C$22, $C$13, 100%, $E$13)</f>
        <v>14.5443</v>
      </c>
      <c r="D852" s="63">
        <f>14.5573 * CHOOSE(CONTROL!$C$22, $C$13, 100%, $E$13)</f>
        <v>14.5573</v>
      </c>
      <c r="E852" s="64">
        <f>16.4375 * CHOOSE(CONTROL!$C$22, $C$13, 100%, $E$13)</f>
        <v>16.4375</v>
      </c>
      <c r="F852" s="64">
        <f>16.4375 * CHOOSE(CONTROL!$C$22, $C$13, 100%, $E$13)</f>
        <v>16.4375</v>
      </c>
      <c r="G852" s="64">
        <f>16.4532 * CHOOSE(CONTROL!$C$22, $C$13, 100%, $E$13)</f>
        <v>16.453199999999999</v>
      </c>
      <c r="H852" s="64">
        <f>27.0994* CHOOSE(CONTROL!$C$22, $C$13, 100%, $E$13)</f>
        <v>27.099399999999999</v>
      </c>
      <c r="I852" s="64">
        <f>27.1151 * CHOOSE(CONTROL!$C$22, $C$13, 100%, $E$13)</f>
        <v>27.115100000000002</v>
      </c>
      <c r="J852" s="64">
        <f>16.4375 * CHOOSE(CONTROL!$C$22, $C$13, 100%, $E$13)</f>
        <v>16.4375</v>
      </c>
      <c r="K852" s="64">
        <f>16.4532 * CHOOSE(CONTROL!$C$22, $C$13, 100%, $E$13)</f>
        <v>16.453199999999999</v>
      </c>
    </row>
    <row r="853" spans="1:11" ht="15">
      <c r="A853" s="13">
        <v>67451</v>
      </c>
      <c r="B853" s="63">
        <f>14.5412 * CHOOSE(CONTROL!$C$22, $C$13, 100%, $E$13)</f>
        <v>14.5412</v>
      </c>
      <c r="C853" s="63">
        <f>14.5412 * CHOOSE(CONTROL!$C$22, $C$13, 100%, $E$13)</f>
        <v>14.5412</v>
      </c>
      <c r="D853" s="63">
        <f>14.5542 * CHOOSE(CONTROL!$C$22, $C$13, 100%, $E$13)</f>
        <v>14.5542</v>
      </c>
      <c r="E853" s="64">
        <f>16.4048 * CHOOSE(CONTROL!$C$22, $C$13, 100%, $E$13)</f>
        <v>16.404800000000002</v>
      </c>
      <c r="F853" s="64">
        <f>16.4048 * CHOOSE(CONTROL!$C$22, $C$13, 100%, $E$13)</f>
        <v>16.404800000000002</v>
      </c>
      <c r="G853" s="64">
        <f>16.4205 * CHOOSE(CONTROL!$C$22, $C$13, 100%, $E$13)</f>
        <v>16.420500000000001</v>
      </c>
      <c r="H853" s="64">
        <f>27.1559* CHOOSE(CONTROL!$C$22, $C$13, 100%, $E$13)</f>
        <v>27.155899999999999</v>
      </c>
      <c r="I853" s="64">
        <f>27.1715 * CHOOSE(CONTROL!$C$22, $C$13, 100%, $E$13)</f>
        <v>27.171500000000002</v>
      </c>
      <c r="J853" s="64">
        <f>16.4048 * CHOOSE(CONTROL!$C$22, $C$13, 100%, $E$13)</f>
        <v>16.404800000000002</v>
      </c>
      <c r="K853" s="64">
        <f>16.4205 * CHOOSE(CONTROL!$C$22, $C$13, 100%, $E$13)</f>
        <v>16.420500000000001</v>
      </c>
    </row>
    <row r="854" spans="1:11" ht="15">
      <c r="A854" s="13">
        <v>67481</v>
      </c>
      <c r="B854" s="63">
        <f>14.5702 * CHOOSE(CONTROL!$C$22, $C$13, 100%, $E$13)</f>
        <v>14.5702</v>
      </c>
      <c r="C854" s="63">
        <f>14.5702 * CHOOSE(CONTROL!$C$22, $C$13, 100%, $E$13)</f>
        <v>14.5702</v>
      </c>
      <c r="D854" s="63">
        <f>14.5702 * CHOOSE(CONTROL!$C$22, $C$13, 100%, $E$13)</f>
        <v>14.5702</v>
      </c>
      <c r="E854" s="64">
        <f>16.5139 * CHOOSE(CONTROL!$C$22, $C$13, 100%, $E$13)</f>
        <v>16.5139</v>
      </c>
      <c r="F854" s="64">
        <f>16.5139 * CHOOSE(CONTROL!$C$22, $C$13, 100%, $E$13)</f>
        <v>16.5139</v>
      </c>
      <c r="G854" s="64">
        <f>16.514 * CHOOSE(CONTROL!$C$22, $C$13, 100%, $E$13)</f>
        <v>16.513999999999999</v>
      </c>
      <c r="H854" s="64">
        <f>27.2124* CHOOSE(CONTROL!$C$22, $C$13, 100%, $E$13)</f>
        <v>27.212399999999999</v>
      </c>
      <c r="I854" s="64">
        <f>27.2125 * CHOOSE(CONTROL!$C$22, $C$13, 100%, $E$13)</f>
        <v>27.212499999999999</v>
      </c>
      <c r="J854" s="64">
        <f>16.5139 * CHOOSE(CONTROL!$C$22, $C$13, 100%, $E$13)</f>
        <v>16.5139</v>
      </c>
      <c r="K854" s="64">
        <f>16.514 * CHOOSE(CONTROL!$C$22, $C$13, 100%, $E$13)</f>
        <v>16.513999999999999</v>
      </c>
    </row>
    <row r="855" spans="1:11" ht="15">
      <c r="A855" s="13">
        <v>67512</v>
      </c>
      <c r="B855" s="63">
        <f>14.5733 * CHOOSE(CONTROL!$C$22, $C$13, 100%, $E$13)</f>
        <v>14.5733</v>
      </c>
      <c r="C855" s="63">
        <f>14.5733 * CHOOSE(CONTROL!$C$22, $C$13, 100%, $E$13)</f>
        <v>14.5733</v>
      </c>
      <c r="D855" s="63">
        <f>14.5733 * CHOOSE(CONTROL!$C$22, $C$13, 100%, $E$13)</f>
        <v>14.5733</v>
      </c>
      <c r="E855" s="64">
        <f>16.5773 * CHOOSE(CONTROL!$C$22, $C$13, 100%, $E$13)</f>
        <v>16.577300000000001</v>
      </c>
      <c r="F855" s="64">
        <f>16.5773 * CHOOSE(CONTROL!$C$22, $C$13, 100%, $E$13)</f>
        <v>16.577300000000001</v>
      </c>
      <c r="G855" s="64">
        <f>16.5774 * CHOOSE(CONTROL!$C$22, $C$13, 100%, $E$13)</f>
        <v>16.577400000000001</v>
      </c>
      <c r="H855" s="64">
        <f>27.2691* CHOOSE(CONTROL!$C$22, $C$13, 100%, $E$13)</f>
        <v>27.269100000000002</v>
      </c>
      <c r="I855" s="64">
        <f>27.2692 * CHOOSE(CONTROL!$C$22, $C$13, 100%, $E$13)</f>
        <v>27.269200000000001</v>
      </c>
      <c r="J855" s="64">
        <f>16.5773 * CHOOSE(CONTROL!$C$22, $C$13, 100%, $E$13)</f>
        <v>16.577300000000001</v>
      </c>
      <c r="K855" s="64">
        <f>16.5774 * CHOOSE(CONTROL!$C$22, $C$13, 100%, $E$13)</f>
        <v>16.577400000000001</v>
      </c>
    </row>
    <row r="856" spans="1:11" ht="15">
      <c r="A856" s="13">
        <v>67542</v>
      </c>
      <c r="B856" s="63">
        <f>14.5733 * CHOOSE(CONTROL!$C$22, $C$13, 100%, $E$13)</f>
        <v>14.5733</v>
      </c>
      <c r="C856" s="63">
        <f>14.5733 * CHOOSE(CONTROL!$C$22, $C$13, 100%, $E$13)</f>
        <v>14.5733</v>
      </c>
      <c r="D856" s="63">
        <f>14.5733 * CHOOSE(CONTROL!$C$22, $C$13, 100%, $E$13)</f>
        <v>14.5733</v>
      </c>
      <c r="E856" s="64">
        <f>16.4241 * CHOOSE(CONTROL!$C$22, $C$13, 100%, $E$13)</f>
        <v>16.424099999999999</v>
      </c>
      <c r="F856" s="64">
        <f>16.4241 * CHOOSE(CONTROL!$C$22, $C$13, 100%, $E$13)</f>
        <v>16.424099999999999</v>
      </c>
      <c r="G856" s="64">
        <f>16.4242 * CHOOSE(CONTROL!$C$22, $C$13, 100%, $E$13)</f>
        <v>16.424199999999999</v>
      </c>
      <c r="H856" s="64">
        <f>27.3259* CHOOSE(CONTROL!$C$22, $C$13, 100%, $E$13)</f>
        <v>27.325900000000001</v>
      </c>
      <c r="I856" s="64">
        <f>27.326 * CHOOSE(CONTROL!$C$22, $C$13, 100%, $E$13)</f>
        <v>27.326000000000001</v>
      </c>
      <c r="J856" s="64">
        <f>16.4241 * CHOOSE(CONTROL!$C$22, $C$13, 100%, $E$13)</f>
        <v>16.424099999999999</v>
      </c>
      <c r="K856" s="64">
        <f>16.4242 * CHOOSE(CONTROL!$C$22, $C$13, 100%, $E$13)</f>
        <v>16.424199999999999</v>
      </c>
    </row>
    <row r="857" spans="1:11" ht="15">
      <c r="A857" s="13">
        <v>67573</v>
      </c>
      <c r="B857" s="63">
        <f>14.5499 * CHOOSE(CONTROL!$C$22, $C$13, 100%, $E$13)</f>
        <v>14.549899999999999</v>
      </c>
      <c r="C857" s="63">
        <f>14.5499 * CHOOSE(CONTROL!$C$22, $C$13, 100%, $E$13)</f>
        <v>14.549899999999999</v>
      </c>
      <c r="D857" s="63">
        <f>14.5499 * CHOOSE(CONTROL!$C$22, $C$13, 100%, $E$13)</f>
        <v>14.549899999999999</v>
      </c>
      <c r="E857" s="64">
        <f>16.5224 * CHOOSE(CONTROL!$C$22, $C$13, 100%, $E$13)</f>
        <v>16.522400000000001</v>
      </c>
      <c r="F857" s="64">
        <f>16.5224 * CHOOSE(CONTROL!$C$22, $C$13, 100%, $E$13)</f>
        <v>16.522400000000001</v>
      </c>
      <c r="G857" s="64">
        <f>16.5225 * CHOOSE(CONTROL!$C$22, $C$13, 100%, $E$13)</f>
        <v>16.522500000000001</v>
      </c>
      <c r="H857" s="64">
        <f>27.1345* CHOOSE(CONTROL!$C$22, $C$13, 100%, $E$13)</f>
        <v>27.134499999999999</v>
      </c>
      <c r="I857" s="64">
        <f>27.1346 * CHOOSE(CONTROL!$C$22, $C$13, 100%, $E$13)</f>
        <v>27.134599999999999</v>
      </c>
      <c r="J857" s="64">
        <f>16.5224 * CHOOSE(CONTROL!$C$22, $C$13, 100%, $E$13)</f>
        <v>16.522400000000001</v>
      </c>
      <c r="K857" s="64">
        <f>16.5225 * CHOOSE(CONTROL!$C$22, $C$13, 100%, $E$13)</f>
        <v>16.522500000000001</v>
      </c>
    </row>
    <row r="858" spans="1:11" ht="15">
      <c r="A858" s="13">
        <v>67604</v>
      </c>
      <c r="B858" s="63">
        <f>14.5468 * CHOOSE(CONTROL!$C$22, $C$13, 100%, $E$13)</f>
        <v>14.546799999999999</v>
      </c>
      <c r="C858" s="63">
        <f>14.5468 * CHOOSE(CONTROL!$C$22, $C$13, 100%, $E$13)</f>
        <v>14.546799999999999</v>
      </c>
      <c r="D858" s="63">
        <f>14.5468 * CHOOSE(CONTROL!$C$22, $C$13, 100%, $E$13)</f>
        <v>14.546799999999999</v>
      </c>
      <c r="E858" s="64">
        <f>16.2258 * CHOOSE(CONTROL!$C$22, $C$13, 100%, $E$13)</f>
        <v>16.2258</v>
      </c>
      <c r="F858" s="64">
        <f>16.2258 * CHOOSE(CONTROL!$C$22, $C$13, 100%, $E$13)</f>
        <v>16.2258</v>
      </c>
      <c r="G858" s="64">
        <f>16.2259 * CHOOSE(CONTROL!$C$22, $C$13, 100%, $E$13)</f>
        <v>16.225899999999999</v>
      </c>
      <c r="H858" s="64">
        <f>27.191* CHOOSE(CONTROL!$C$22, $C$13, 100%, $E$13)</f>
        <v>27.190999999999999</v>
      </c>
      <c r="I858" s="64">
        <f>27.1911 * CHOOSE(CONTROL!$C$22, $C$13, 100%, $E$13)</f>
        <v>27.191099999999999</v>
      </c>
      <c r="J858" s="64">
        <f>16.2258 * CHOOSE(CONTROL!$C$22, $C$13, 100%, $E$13)</f>
        <v>16.2258</v>
      </c>
      <c r="K858" s="64">
        <f>16.2259 * CHOOSE(CONTROL!$C$22, $C$13, 100%, $E$13)</f>
        <v>16.225899999999999</v>
      </c>
    </row>
    <row r="859" spans="1:11" ht="15">
      <c r="A859" s="13">
        <v>67632</v>
      </c>
      <c r="B859" s="63">
        <f>14.5438 * CHOOSE(CONTROL!$C$22, $C$13, 100%, $E$13)</f>
        <v>14.543799999999999</v>
      </c>
      <c r="C859" s="63">
        <f>14.5438 * CHOOSE(CONTROL!$C$22, $C$13, 100%, $E$13)</f>
        <v>14.543799999999999</v>
      </c>
      <c r="D859" s="63">
        <f>14.5438 * CHOOSE(CONTROL!$C$22, $C$13, 100%, $E$13)</f>
        <v>14.543799999999999</v>
      </c>
      <c r="E859" s="64">
        <f>16.4558 * CHOOSE(CONTROL!$C$22, $C$13, 100%, $E$13)</f>
        <v>16.4558</v>
      </c>
      <c r="F859" s="64">
        <f>16.4558 * CHOOSE(CONTROL!$C$22, $C$13, 100%, $E$13)</f>
        <v>16.4558</v>
      </c>
      <c r="G859" s="64">
        <f>16.4559 * CHOOSE(CONTROL!$C$22, $C$13, 100%, $E$13)</f>
        <v>16.4559</v>
      </c>
      <c r="H859" s="64">
        <f>27.2477* CHOOSE(CONTROL!$C$22, $C$13, 100%, $E$13)</f>
        <v>27.247699999999998</v>
      </c>
      <c r="I859" s="64">
        <f>27.2478 * CHOOSE(CONTROL!$C$22, $C$13, 100%, $E$13)</f>
        <v>27.247800000000002</v>
      </c>
      <c r="J859" s="64">
        <f>16.4558 * CHOOSE(CONTROL!$C$22, $C$13, 100%, $E$13)</f>
        <v>16.4558</v>
      </c>
      <c r="K859" s="64">
        <f>16.4559 * CHOOSE(CONTROL!$C$22, $C$13, 100%, $E$13)</f>
        <v>16.4559</v>
      </c>
    </row>
    <row r="860" spans="1:11" ht="15">
      <c r="A860" s="13">
        <v>67663</v>
      </c>
      <c r="B860" s="63">
        <f>14.5503 * CHOOSE(CONTROL!$C$22, $C$13, 100%, $E$13)</f>
        <v>14.5503</v>
      </c>
      <c r="C860" s="63">
        <f>14.5503 * CHOOSE(CONTROL!$C$22, $C$13, 100%, $E$13)</f>
        <v>14.5503</v>
      </c>
      <c r="D860" s="63">
        <f>14.5503 * CHOOSE(CONTROL!$C$22, $C$13, 100%, $E$13)</f>
        <v>14.5503</v>
      </c>
      <c r="E860" s="64">
        <f>16.7009 * CHOOSE(CONTROL!$C$22, $C$13, 100%, $E$13)</f>
        <v>16.700900000000001</v>
      </c>
      <c r="F860" s="64">
        <f>16.7009 * CHOOSE(CONTROL!$C$22, $C$13, 100%, $E$13)</f>
        <v>16.700900000000001</v>
      </c>
      <c r="G860" s="64">
        <f>16.701 * CHOOSE(CONTROL!$C$22, $C$13, 100%, $E$13)</f>
        <v>16.701000000000001</v>
      </c>
      <c r="H860" s="64">
        <f>27.3044* CHOOSE(CONTROL!$C$22, $C$13, 100%, $E$13)</f>
        <v>27.304400000000001</v>
      </c>
      <c r="I860" s="64">
        <f>27.3045 * CHOOSE(CONTROL!$C$22, $C$13, 100%, $E$13)</f>
        <v>27.304500000000001</v>
      </c>
      <c r="J860" s="64">
        <f>16.7009 * CHOOSE(CONTROL!$C$22, $C$13, 100%, $E$13)</f>
        <v>16.700900000000001</v>
      </c>
      <c r="K860" s="64">
        <f>16.701 * CHOOSE(CONTROL!$C$22, $C$13, 100%, $E$13)</f>
        <v>16.701000000000001</v>
      </c>
    </row>
    <row r="861" spans="1:11" ht="15">
      <c r="A861" s="13">
        <v>67693</v>
      </c>
      <c r="B861" s="63">
        <f>14.5503 * CHOOSE(CONTROL!$C$22, $C$13, 100%, $E$13)</f>
        <v>14.5503</v>
      </c>
      <c r="C861" s="63">
        <f>14.5503 * CHOOSE(CONTROL!$C$22, $C$13, 100%, $E$13)</f>
        <v>14.5503</v>
      </c>
      <c r="D861" s="63">
        <f>14.5633 * CHOOSE(CONTROL!$C$22, $C$13, 100%, $E$13)</f>
        <v>14.5633</v>
      </c>
      <c r="E861" s="64">
        <f>16.7944 * CHOOSE(CONTROL!$C$22, $C$13, 100%, $E$13)</f>
        <v>16.7944</v>
      </c>
      <c r="F861" s="64">
        <f>16.7944 * CHOOSE(CONTROL!$C$22, $C$13, 100%, $E$13)</f>
        <v>16.7944</v>
      </c>
      <c r="G861" s="64">
        <f>16.8101 * CHOOSE(CONTROL!$C$22, $C$13, 100%, $E$13)</f>
        <v>16.810099999999998</v>
      </c>
      <c r="H861" s="64">
        <f>27.3613* CHOOSE(CONTROL!$C$22, $C$13, 100%, $E$13)</f>
        <v>27.3613</v>
      </c>
      <c r="I861" s="64">
        <f>27.377 * CHOOSE(CONTROL!$C$22, $C$13, 100%, $E$13)</f>
        <v>27.376999999999999</v>
      </c>
      <c r="J861" s="64">
        <f>16.7944 * CHOOSE(CONTROL!$C$22, $C$13, 100%, $E$13)</f>
        <v>16.7944</v>
      </c>
      <c r="K861" s="64">
        <f>16.8101 * CHOOSE(CONTROL!$C$22, $C$13, 100%, $E$13)</f>
        <v>16.810099999999998</v>
      </c>
    </row>
    <row r="862" spans="1:11" ht="15">
      <c r="A862" s="13">
        <v>67724</v>
      </c>
      <c r="B862" s="63">
        <f>14.5564 * CHOOSE(CONTROL!$C$22, $C$13, 100%, $E$13)</f>
        <v>14.5564</v>
      </c>
      <c r="C862" s="63">
        <f>14.5564 * CHOOSE(CONTROL!$C$22, $C$13, 100%, $E$13)</f>
        <v>14.5564</v>
      </c>
      <c r="D862" s="63">
        <f>14.5693 * CHOOSE(CONTROL!$C$22, $C$13, 100%, $E$13)</f>
        <v>14.5693</v>
      </c>
      <c r="E862" s="64">
        <f>16.7052 * CHOOSE(CONTROL!$C$22, $C$13, 100%, $E$13)</f>
        <v>16.705200000000001</v>
      </c>
      <c r="F862" s="64">
        <f>16.7052 * CHOOSE(CONTROL!$C$22, $C$13, 100%, $E$13)</f>
        <v>16.705200000000001</v>
      </c>
      <c r="G862" s="64">
        <f>16.7208 * CHOOSE(CONTROL!$C$22, $C$13, 100%, $E$13)</f>
        <v>16.720800000000001</v>
      </c>
      <c r="H862" s="64">
        <f>27.4183* CHOOSE(CONTROL!$C$22, $C$13, 100%, $E$13)</f>
        <v>27.418299999999999</v>
      </c>
      <c r="I862" s="64">
        <f>27.434 * CHOOSE(CONTROL!$C$22, $C$13, 100%, $E$13)</f>
        <v>27.434000000000001</v>
      </c>
      <c r="J862" s="64">
        <f>16.7052 * CHOOSE(CONTROL!$C$22, $C$13, 100%, $E$13)</f>
        <v>16.705200000000001</v>
      </c>
      <c r="K862" s="64">
        <f>16.7208 * CHOOSE(CONTROL!$C$22, $C$13, 100%, $E$13)</f>
        <v>16.720800000000001</v>
      </c>
    </row>
    <row r="863" spans="1:11" ht="15">
      <c r="A863" s="13">
        <v>67754</v>
      </c>
      <c r="B863" s="63">
        <f>14.7768 * CHOOSE(CONTROL!$C$22, $C$13, 100%, $E$13)</f>
        <v>14.7768</v>
      </c>
      <c r="C863" s="63">
        <f>14.7768 * CHOOSE(CONTROL!$C$22, $C$13, 100%, $E$13)</f>
        <v>14.7768</v>
      </c>
      <c r="D863" s="63">
        <f>14.7898 * CHOOSE(CONTROL!$C$22, $C$13, 100%, $E$13)</f>
        <v>14.7898</v>
      </c>
      <c r="E863" s="64">
        <f>16.9704 * CHOOSE(CONTROL!$C$22, $C$13, 100%, $E$13)</f>
        <v>16.970400000000001</v>
      </c>
      <c r="F863" s="64">
        <f>16.9704 * CHOOSE(CONTROL!$C$22, $C$13, 100%, $E$13)</f>
        <v>16.970400000000001</v>
      </c>
      <c r="G863" s="64">
        <f>16.9861 * CHOOSE(CONTROL!$C$22, $C$13, 100%, $E$13)</f>
        <v>16.9861</v>
      </c>
      <c r="H863" s="64">
        <f>27.4755* CHOOSE(CONTROL!$C$22, $C$13, 100%, $E$13)</f>
        <v>27.4755</v>
      </c>
      <c r="I863" s="64">
        <f>27.4911 * CHOOSE(CONTROL!$C$22, $C$13, 100%, $E$13)</f>
        <v>27.491099999999999</v>
      </c>
      <c r="J863" s="64">
        <f>16.9704 * CHOOSE(CONTROL!$C$22, $C$13, 100%, $E$13)</f>
        <v>16.970400000000001</v>
      </c>
      <c r="K863" s="64">
        <f>16.9861 * CHOOSE(CONTROL!$C$22, $C$13, 100%, $E$13)</f>
        <v>16.9861</v>
      </c>
    </row>
    <row r="864" spans="1:11" ht="15">
      <c r="A864" s="13">
        <v>67785</v>
      </c>
      <c r="B864" s="63">
        <f>14.7835 * CHOOSE(CONTROL!$C$22, $C$13, 100%, $E$13)</f>
        <v>14.7835</v>
      </c>
      <c r="C864" s="63">
        <f>14.7835 * CHOOSE(CONTROL!$C$22, $C$13, 100%, $E$13)</f>
        <v>14.7835</v>
      </c>
      <c r="D864" s="63">
        <f>14.7964 * CHOOSE(CONTROL!$C$22, $C$13, 100%, $E$13)</f>
        <v>14.7964</v>
      </c>
      <c r="E864" s="64">
        <f>16.6946 * CHOOSE(CONTROL!$C$22, $C$13, 100%, $E$13)</f>
        <v>16.694600000000001</v>
      </c>
      <c r="F864" s="64">
        <f>16.6946 * CHOOSE(CONTROL!$C$22, $C$13, 100%, $E$13)</f>
        <v>16.694600000000001</v>
      </c>
      <c r="G864" s="64">
        <f>16.7103 * CHOOSE(CONTROL!$C$22, $C$13, 100%, $E$13)</f>
        <v>16.7103</v>
      </c>
      <c r="H864" s="64">
        <f>27.5327* CHOOSE(CONTROL!$C$22, $C$13, 100%, $E$13)</f>
        <v>27.532699999999998</v>
      </c>
      <c r="I864" s="64">
        <f>27.5484 * CHOOSE(CONTROL!$C$22, $C$13, 100%, $E$13)</f>
        <v>27.548400000000001</v>
      </c>
      <c r="J864" s="64">
        <f>16.6946 * CHOOSE(CONTROL!$C$22, $C$13, 100%, $E$13)</f>
        <v>16.694600000000001</v>
      </c>
      <c r="K864" s="64">
        <f>16.7103 * CHOOSE(CONTROL!$C$22, $C$13, 100%, $E$13)</f>
        <v>16.7103</v>
      </c>
    </row>
    <row r="865" spans="1:11" ht="15">
      <c r="A865" s="13">
        <v>67816</v>
      </c>
      <c r="B865" s="63">
        <f>14.7804 * CHOOSE(CONTROL!$C$22, $C$13, 100%, $E$13)</f>
        <v>14.7804</v>
      </c>
      <c r="C865" s="63">
        <f>14.7804 * CHOOSE(CONTROL!$C$22, $C$13, 100%, $E$13)</f>
        <v>14.7804</v>
      </c>
      <c r="D865" s="63">
        <f>14.7934 * CHOOSE(CONTROL!$C$22, $C$13, 100%, $E$13)</f>
        <v>14.7934</v>
      </c>
      <c r="E865" s="64">
        <f>16.6613 * CHOOSE(CONTROL!$C$22, $C$13, 100%, $E$13)</f>
        <v>16.661300000000001</v>
      </c>
      <c r="F865" s="64">
        <f>16.6613 * CHOOSE(CONTROL!$C$22, $C$13, 100%, $E$13)</f>
        <v>16.661300000000001</v>
      </c>
      <c r="G865" s="64">
        <f>16.677 * CHOOSE(CONTROL!$C$22, $C$13, 100%, $E$13)</f>
        <v>16.677</v>
      </c>
      <c r="H865" s="64">
        <f>27.5901* CHOOSE(CONTROL!$C$22, $C$13, 100%, $E$13)</f>
        <v>27.5901</v>
      </c>
      <c r="I865" s="64">
        <f>27.6057 * CHOOSE(CONTROL!$C$22, $C$13, 100%, $E$13)</f>
        <v>27.605699999999999</v>
      </c>
      <c r="J865" s="64">
        <f>16.6613 * CHOOSE(CONTROL!$C$22, $C$13, 100%, $E$13)</f>
        <v>16.661300000000001</v>
      </c>
      <c r="K865" s="64">
        <f>16.677 * CHOOSE(CONTROL!$C$22, $C$13, 100%, $E$13)</f>
        <v>16.677</v>
      </c>
    </row>
    <row r="866" spans="1:11" ht="15">
      <c r="A866" s="13">
        <v>67846</v>
      </c>
      <c r="B866" s="63">
        <f>14.8102 * CHOOSE(CONTROL!$C$22, $C$13, 100%, $E$13)</f>
        <v>14.8102</v>
      </c>
      <c r="C866" s="63">
        <f>14.8102 * CHOOSE(CONTROL!$C$22, $C$13, 100%, $E$13)</f>
        <v>14.8102</v>
      </c>
      <c r="D866" s="63">
        <f>14.8102 * CHOOSE(CONTROL!$C$22, $C$13, 100%, $E$13)</f>
        <v>14.8102</v>
      </c>
      <c r="E866" s="64">
        <f>16.7726 * CHOOSE(CONTROL!$C$22, $C$13, 100%, $E$13)</f>
        <v>16.772600000000001</v>
      </c>
      <c r="F866" s="64">
        <f>16.7726 * CHOOSE(CONTROL!$C$22, $C$13, 100%, $E$13)</f>
        <v>16.772600000000001</v>
      </c>
      <c r="G866" s="64">
        <f>16.7727 * CHOOSE(CONTROL!$C$22, $C$13, 100%, $E$13)</f>
        <v>16.7727</v>
      </c>
      <c r="H866" s="64">
        <f>27.6475* CHOOSE(CONTROL!$C$22, $C$13, 100%, $E$13)</f>
        <v>27.647500000000001</v>
      </c>
      <c r="I866" s="64">
        <f>27.6476 * CHOOSE(CONTROL!$C$22, $C$13, 100%, $E$13)</f>
        <v>27.647600000000001</v>
      </c>
      <c r="J866" s="64">
        <f>16.7726 * CHOOSE(CONTROL!$C$22, $C$13, 100%, $E$13)</f>
        <v>16.772600000000001</v>
      </c>
      <c r="K866" s="64">
        <f>16.7727 * CHOOSE(CONTROL!$C$22, $C$13, 100%, $E$13)</f>
        <v>16.7727</v>
      </c>
    </row>
    <row r="867" spans="1:11" ht="15">
      <c r="A867" s="13">
        <v>67877</v>
      </c>
      <c r="B867" s="63">
        <f>14.8132 * CHOOSE(CONTROL!$C$22, $C$13, 100%, $E$13)</f>
        <v>14.8132</v>
      </c>
      <c r="C867" s="63">
        <f>14.8132 * CHOOSE(CONTROL!$C$22, $C$13, 100%, $E$13)</f>
        <v>14.8132</v>
      </c>
      <c r="D867" s="63">
        <f>14.8132 * CHOOSE(CONTROL!$C$22, $C$13, 100%, $E$13)</f>
        <v>14.8132</v>
      </c>
      <c r="E867" s="64">
        <f>16.837 * CHOOSE(CONTROL!$C$22, $C$13, 100%, $E$13)</f>
        <v>16.837</v>
      </c>
      <c r="F867" s="64">
        <f>16.837 * CHOOSE(CONTROL!$C$22, $C$13, 100%, $E$13)</f>
        <v>16.837</v>
      </c>
      <c r="G867" s="64">
        <f>16.8371 * CHOOSE(CONTROL!$C$22, $C$13, 100%, $E$13)</f>
        <v>16.8371</v>
      </c>
      <c r="H867" s="64">
        <f>27.7051* CHOOSE(CONTROL!$C$22, $C$13, 100%, $E$13)</f>
        <v>27.705100000000002</v>
      </c>
      <c r="I867" s="64">
        <f>27.7052 * CHOOSE(CONTROL!$C$22, $C$13, 100%, $E$13)</f>
        <v>27.705200000000001</v>
      </c>
      <c r="J867" s="64">
        <f>16.837 * CHOOSE(CONTROL!$C$22, $C$13, 100%, $E$13)</f>
        <v>16.837</v>
      </c>
      <c r="K867" s="64">
        <f>16.8371 * CHOOSE(CONTROL!$C$22, $C$13, 100%, $E$13)</f>
        <v>16.8371</v>
      </c>
    </row>
    <row r="868" spans="1:11" ht="15">
      <c r="A868" s="13">
        <v>67907</v>
      </c>
      <c r="B868" s="63">
        <f>14.8132 * CHOOSE(CONTROL!$C$22, $C$13, 100%, $E$13)</f>
        <v>14.8132</v>
      </c>
      <c r="C868" s="63">
        <f>14.8132 * CHOOSE(CONTROL!$C$22, $C$13, 100%, $E$13)</f>
        <v>14.8132</v>
      </c>
      <c r="D868" s="63">
        <f>14.8132 * CHOOSE(CONTROL!$C$22, $C$13, 100%, $E$13)</f>
        <v>14.8132</v>
      </c>
      <c r="E868" s="64">
        <f>16.6812 * CHOOSE(CONTROL!$C$22, $C$13, 100%, $E$13)</f>
        <v>16.6812</v>
      </c>
      <c r="F868" s="64">
        <f>16.6812 * CHOOSE(CONTROL!$C$22, $C$13, 100%, $E$13)</f>
        <v>16.6812</v>
      </c>
      <c r="G868" s="64">
        <f>16.6813 * CHOOSE(CONTROL!$C$22, $C$13, 100%, $E$13)</f>
        <v>16.6813</v>
      </c>
      <c r="H868" s="64">
        <f>27.7629* CHOOSE(CONTROL!$C$22, $C$13, 100%, $E$13)</f>
        <v>27.762899999999998</v>
      </c>
      <c r="I868" s="64">
        <f>27.7629 * CHOOSE(CONTROL!$C$22, $C$13, 100%, $E$13)</f>
        <v>27.762899999999998</v>
      </c>
      <c r="J868" s="64">
        <f>16.6812 * CHOOSE(CONTROL!$C$22, $C$13, 100%, $E$13)</f>
        <v>16.6812</v>
      </c>
      <c r="K868" s="64">
        <f>16.6813 * CHOOSE(CONTROL!$C$22, $C$13, 100%, $E$13)</f>
        <v>16.6813</v>
      </c>
    </row>
    <row r="869" spans="1:11" ht="15">
      <c r="A869" s="13">
        <v>67938</v>
      </c>
      <c r="B869" s="63">
        <f>14.7854 * CHOOSE(CONTROL!$C$22, $C$13, 100%, $E$13)</f>
        <v>14.785399999999999</v>
      </c>
      <c r="C869" s="63">
        <f>14.7854 * CHOOSE(CONTROL!$C$22, $C$13, 100%, $E$13)</f>
        <v>14.785399999999999</v>
      </c>
      <c r="D869" s="63">
        <f>14.7855 * CHOOSE(CONTROL!$C$22, $C$13, 100%, $E$13)</f>
        <v>14.785500000000001</v>
      </c>
      <c r="E869" s="64">
        <f>16.7771 * CHOOSE(CONTROL!$C$22, $C$13, 100%, $E$13)</f>
        <v>16.777100000000001</v>
      </c>
      <c r="F869" s="64">
        <f>16.7771 * CHOOSE(CONTROL!$C$22, $C$13, 100%, $E$13)</f>
        <v>16.777100000000001</v>
      </c>
      <c r="G869" s="64">
        <f>16.7772 * CHOOSE(CONTROL!$C$22, $C$13, 100%, $E$13)</f>
        <v>16.777200000000001</v>
      </c>
      <c r="H869" s="64">
        <f>27.5615* CHOOSE(CONTROL!$C$22, $C$13, 100%, $E$13)</f>
        <v>27.561499999999999</v>
      </c>
      <c r="I869" s="64">
        <f>27.5616 * CHOOSE(CONTROL!$C$22, $C$13, 100%, $E$13)</f>
        <v>27.561599999999999</v>
      </c>
      <c r="J869" s="64">
        <f>16.7771 * CHOOSE(CONTROL!$C$22, $C$13, 100%, $E$13)</f>
        <v>16.777100000000001</v>
      </c>
      <c r="K869" s="64">
        <f>16.7772 * CHOOSE(CONTROL!$C$22, $C$13, 100%, $E$13)</f>
        <v>16.777200000000001</v>
      </c>
    </row>
    <row r="870" spans="1:11" ht="15">
      <c r="A870" s="13">
        <v>67969</v>
      </c>
      <c r="B870" s="63">
        <f>14.7824 * CHOOSE(CONTROL!$C$22, $C$13, 100%, $E$13)</f>
        <v>14.782400000000001</v>
      </c>
      <c r="C870" s="63">
        <f>14.7824 * CHOOSE(CONTROL!$C$22, $C$13, 100%, $E$13)</f>
        <v>14.782400000000001</v>
      </c>
      <c r="D870" s="63">
        <f>14.7824 * CHOOSE(CONTROL!$C$22, $C$13, 100%, $E$13)</f>
        <v>14.782400000000001</v>
      </c>
      <c r="E870" s="64">
        <f>16.4756 * CHOOSE(CONTROL!$C$22, $C$13, 100%, $E$13)</f>
        <v>16.4756</v>
      </c>
      <c r="F870" s="64">
        <f>16.4756 * CHOOSE(CONTROL!$C$22, $C$13, 100%, $E$13)</f>
        <v>16.4756</v>
      </c>
      <c r="G870" s="64">
        <f>16.4757 * CHOOSE(CONTROL!$C$22, $C$13, 100%, $E$13)</f>
        <v>16.4757</v>
      </c>
      <c r="H870" s="64">
        <f>27.6189* CHOOSE(CONTROL!$C$22, $C$13, 100%, $E$13)</f>
        <v>27.6189</v>
      </c>
      <c r="I870" s="64">
        <f>27.619 * CHOOSE(CONTROL!$C$22, $C$13, 100%, $E$13)</f>
        <v>27.619</v>
      </c>
      <c r="J870" s="64">
        <f>16.4756 * CHOOSE(CONTROL!$C$22, $C$13, 100%, $E$13)</f>
        <v>16.4756</v>
      </c>
      <c r="K870" s="64">
        <f>16.4757 * CHOOSE(CONTROL!$C$22, $C$13, 100%, $E$13)</f>
        <v>16.4757</v>
      </c>
    </row>
    <row r="871" spans="1:11" ht="15">
      <c r="A871" s="13">
        <v>67997</v>
      </c>
      <c r="B871" s="63">
        <f>14.7794 * CHOOSE(CONTROL!$C$22, $C$13, 100%, $E$13)</f>
        <v>14.779400000000001</v>
      </c>
      <c r="C871" s="63">
        <f>14.7794 * CHOOSE(CONTROL!$C$22, $C$13, 100%, $E$13)</f>
        <v>14.779400000000001</v>
      </c>
      <c r="D871" s="63">
        <f>14.7794 * CHOOSE(CONTROL!$C$22, $C$13, 100%, $E$13)</f>
        <v>14.779400000000001</v>
      </c>
      <c r="E871" s="64">
        <f>16.7095 * CHOOSE(CONTROL!$C$22, $C$13, 100%, $E$13)</f>
        <v>16.709499999999998</v>
      </c>
      <c r="F871" s="64">
        <f>16.7095 * CHOOSE(CONTROL!$C$22, $C$13, 100%, $E$13)</f>
        <v>16.709499999999998</v>
      </c>
      <c r="G871" s="64">
        <f>16.7096 * CHOOSE(CONTROL!$C$22, $C$13, 100%, $E$13)</f>
        <v>16.709599999999998</v>
      </c>
      <c r="H871" s="64">
        <f>27.6765* CHOOSE(CONTROL!$C$22, $C$13, 100%, $E$13)</f>
        <v>27.676500000000001</v>
      </c>
      <c r="I871" s="64">
        <f>27.6766 * CHOOSE(CONTROL!$C$22, $C$13, 100%, $E$13)</f>
        <v>27.676600000000001</v>
      </c>
      <c r="J871" s="64">
        <f>16.7095 * CHOOSE(CONTROL!$C$22, $C$13, 100%, $E$13)</f>
        <v>16.709499999999998</v>
      </c>
      <c r="K871" s="64">
        <f>16.7096 * CHOOSE(CONTROL!$C$22, $C$13, 100%, $E$13)</f>
        <v>16.709599999999998</v>
      </c>
    </row>
    <row r="872" spans="1:11" ht="15">
      <c r="A872" s="13">
        <v>68028</v>
      </c>
      <c r="B872" s="63">
        <f>14.786 * CHOOSE(CONTROL!$C$22, $C$13, 100%, $E$13)</f>
        <v>14.786</v>
      </c>
      <c r="C872" s="63">
        <f>14.786 * CHOOSE(CONTROL!$C$22, $C$13, 100%, $E$13)</f>
        <v>14.786</v>
      </c>
      <c r="D872" s="63">
        <f>14.7861 * CHOOSE(CONTROL!$C$22, $C$13, 100%, $E$13)</f>
        <v>14.786099999999999</v>
      </c>
      <c r="E872" s="64">
        <f>16.9588 * CHOOSE(CONTROL!$C$22, $C$13, 100%, $E$13)</f>
        <v>16.9588</v>
      </c>
      <c r="F872" s="64">
        <f>16.9588 * CHOOSE(CONTROL!$C$22, $C$13, 100%, $E$13)</f>
        <v>16.9588</v>
      </c>
      <c r="G872" s="64">
        <f>16.9589 * CHOOSE(CONTROL!$C$22, $C$13, 100%, $E$13)</f>
        <v>16.9589</v>
      </c>
      <c r="H872" s="64">
        <f>27.7341* CHOOSE(CONTROL!$C$22, $C$13, 100%, $E$13)</f>
        <v>27.734100000000002</v>
      </c>
      <c r="I872" s="64">
        <f>27.7342 * CHOOSE(CONTROL!$C$22, $C$13, 100%, $E$13)</f>
        <v>27.734200000000001</v>
      </c>
      <c r="J872" s="64">
        <f>16.9588 * CHOOSE(CONTROL!$C$22, $C$13, 100%, $E$13)</f>
        <v>16.9588</v>
      </c>
      <c r="K872" s="64">
        <f>16.9589 * CHOOSE(CONTROL!$C$22, $C$13, 100%, $E$13)</f>
        <v>16.9589</v>
      </c>
    </row>
    <row r="873" spans="1:11" ht="15">
      <c r="A873" s="13">
        <v>68058</v>
      </c>
      <c r="B873" s="63">
        <f>14.786 * CHOOSE(CONTROL!$C$22, $C$13, 100%, $E$13)</f>
        <v>14.786</v>
      </c>
      <c r="C873" s="63">
        <f>14.786 * CHOOSE(CONTROL!$C$22, $C$13, 100%, $E$13)</f>
        <v>14.786</v>
      </c>
      <c r="D873" s="63">
        <f>14.799 * CHOOSE(CONTROL!$C$22, $C$13, 100%, $E$13)</f>
        <v>14.798999999999999</v>
      </c>
      <c r="E873" s="64">
        <f>17.0538 * CHOOSE(CONTROL!$C$22, $C$13, 100%, $E$13)</f>
        <v>17.053799999999999</v>
      </c>
      <c r="F873" s="64">
        <f>17.0538 * CHOOSE(CONTROL!$C$22, $C$13, 100%, $E$13)</f>
        <v>17.053799999999999</v>
      </c>
      <c r="G873" s="64">
        <f>17.0695 * CHOOSE(CONTROL!$C$22, $C$13, 100%, $E$13)</f>
        <v>17.069500000000001</v>
      </c>
      <c r="H873" s="64">
        <f>27.7919* CHOOSE(CONTROL!$C$22, $C$13, 100%, $E$13)</f>
        <v>27.791899999999998</v>
      </c>
      <c r="I873" s="64">
        <f>27.8076 * CHOOSE(CONTROL!$C$22, $C$13, 100%, $E$13)</f>
        <v>27.807600000000001</v>
      </c>
      <c r="J873" s="64">
        <f>17.0538 * CHOOSE(CONTROL!$C$22, $C$13, 100%, $E$13)</f>
        <v>17.053799999999999</v>
      </c>
      <c r="K873" s="64">
        <f>17.0695 * CHOOSE(CONTROL!$C$22, $C$13, 100%, $E$13)</f>
        <v>17.069500000000001</v>
      </c>
    </row>
    <row r="874" spans="1:11" ht="15">
      <c r="A874" s="13">
        <v>68089</v>
      </c>
      <c r="B874" s="63">
        <f>14.7921 * CHOOSE(CONTROL!$C$22, $C$13, 100%, $E$13)</f>
        <v>14.7921</v>
      </c>
      <c r="C874" s="63">
        <f>14.7921 * CHOOSE(CONTROL!$C$22, $C$13, 100%, $E$13)</f>
        <v>14.7921</v>
      </c>
      <c r="D874" s="63">
        <f>14.8051 * CHOOSE(CONTROL!$C$22, $C$13, 100%, $E$13)</f>
        <v>14.805099999999999</v>
      </c>
      <c r="E874" s="64">
        <f>16.963 * CHOOSE(CONTROL!$C$22, $C$13, 100%, $E$13)</f>
        <v>16.963000000000001</v>
      </c>
      <c r="F874" s="64">
        <f>16.963 * CHOOSE(CONTROL!$C$22, $C$13, 100%, $E$13)</f>
        <v>16.963000000000001</v>
      </c>
      <c r="G874" s="64">
        <f>16.9787 * CHOOSE(CONTROL!$C$22, $C$13, 100%, $E$13)</f>
        <v>16.9787</v>
      </c>
      <c r="H874" s="64">
        <f>27.8498* CHOOSE(CONTROL!$C$22, $C$13, 100%, $E$13)</f>
        <v>27.849799999999998</v>
      </c>
      <c r="I874" s="64">
        <f>27.8655 * CHOOSE(CONTROL!$C$22, $C$13, 100%, $E$13)</f>
        <v>27.865500000000001</v>
      </c>
      <c r="J874" s="64">
        <f>16.963 * CHOOSE(CONTROL!$C$22, $C$13, 100%, $E$13)</f>
        <v>16.963000000000001</v>
      </c>
      <c r="K874" s="64">
        <f>16.9787 * CHOOSE(CONTROL!$C$22, $C$13, 100%, $E$13)</f>
        <v>16.9787</v>
      </c>
    </row>
    <row r="875" spans="1:11" ht="15">
      <c r="A875" s="13">
        <v>68119</v>
      </c>
      <c r="B875" s="63">
        <f>15.016 * CHOOSE(CONTROL!$C$22, $C$13, 100%, $E$13)</f>
        <v>15.016</v>
      </c>
      <c r="C875" s="63">
        <f>15.016 * CHOOSE(CONTROL!$C$22, $C$13, 100%, $E$13)</f>
        <v>15.016</v>
      </c>
      <c r="D875" s="63">
        <f>15.0289 * CHOOSE(CONTROL!$C$22, $C$13, 100%, $E$13)</f>
        <v>15.0289</v>
      </c>
      <c r="E875" s="64">
        <f>17.2322 * CHOOSE(CONTROL!$C$22, $C$13, 100%, $E$13)</f>
        <v>17.232199999999999</v>
      </c>
      <c r="F875" s="64">
        <f>17.2322 * CHOOSE(CONTROL!$C$22, $C$13, 100%, $E$13)</f>
        <v>17.232199999999999</v>
      </c>
      <c r="G875" s="64">
        <f>17.2479 * CHOOSE(CONTROL!$C$22, $C$13, 100%, $E$13)</f>
        <v>17.247900000000001</v>
      </c>
      <c r="H875" s="64">
        <f>27.9078* CHOOSE(CONTROL!$C$22, $C$13, 100%, $E$13)</f>
        <v>27.907800000000002</v>
      </c>
      <c r="I875" s="64">
        <f>27.9235 * CHOOSE(CONTROL!$C$22, $C$13, 100%, $E$13)</f>
        <v>27.923500000000001</v>
      </c>
      <c r="J875" s="64">
        <f>17.2322 * CHOOSE(CONTROL!$C$22, $C$13, 100%, $E$13)</f>
        <v>17.232199999999999</v>
      </c>
      <c r="K875" s="64">
        <f>17.2479 * CHOOSE(CONTROL!$C$22, $C$13, 100%, $E$13)</f>
        <v>17.247900000000001</v>
      </c>
    </row>
    <row r="876" spans="1:11" ht="15">
      <c r="A876" s="13">
        <v>68150</v>
      </c>
      <c r="B876" s="63">
        <f>15.0226 * CHOOSE(CONTROL!$C$22, $C$13, 100%, $E$13)</f>
        <v>15.022600000000001</v>
      </c>
      <c r="C876" s="63">
        <f>15.0226 * CHOOSE(CONTROL!$C$22, $C$13, 100%, $E$13)</f>
        <v>15.022600000000001</v>
      </c>
      <c r="D876" s="63">
        <f>15.0356 * CHOOSE(CONTROL!$C$22, $C$13, 100%, $E$13)</f>
        <v>15.035600000000001</v>
      </c>
      <c r="E876" s="64">
        <f>16.9517 * CHOOSE(CONTROL!$C$22, $C$13, 100%, $E$13)</f>
        <v>16.951699999999999</v>
      </c>
      <c r="F876" s="64">
        <f>16.9517 * CHOOSE(CONTROL!$C$22, $C$13, 100%, $E$13)</f>
        <v>16.951699999999999</v>
      </c>
      <c r="G876" s="64">
        <f>16.9674 * CHOOSE(CONTROL!$C$22, $C$13, 100%, $E$13)</f>
        <v>16.967400000000001</v>
      </c>
      <c r="H876" s="64">
        <f>27.966* CHOOSE(CONTROL!$C$22, $C$13, 100%, $E$13)</f>
        <v>27.966000000000001</v>
      </c>
      <c r="I876" s="64">
        <f>27.9817 * CHOOSE(CONTROL!$C$22, $C$13, 100%, $E$13)</f>
        <v>27.9817</v>
      </c>
      <c r="J876" s="64">
        <f>16.9517 * CHOOSE(CONTROL!$C$22, $C$13, 100%, $E$13)</f>
        <v>16.951699999999999</v>
      </c>
      <c r="K876" s="64">
        <f>16.9674 * CHOOSE(CONTROL!$C$22, $C$13, 100%, $E$13)</f>
        <v>16.967400000000001</v>
      </c>
    </row>
    <row r="877" spans="1:11" ht="15">
      <c r="A877" s="13">
        <v>68181</v>
      </c>
      <c r="B877" s="63">
        <f>15.0196 * CHOOSE(CONTROL!$C$22, $C$13, 100%, $E$13)</f>
        <v>15.019600000000001</v>
      </c>
      <c r="C877" s="63">
        <f>15.0196 * CHOOSE(CONTROL!$C$22, $C$13, 100%, $E$13)</f>
        <v>15.019600000000001</v>
      </c>
      <c r="D877" s="63">
        <f>15.0326 * CHOOSE(CONTROL!$C$22, $C$13, 100%, $E$13)</f>
        <v>15.0326</v>
      </c>
      <c r="E877" s="64">
        <f>16.9179 * CHOOSE(CONTROL!$C$22, $C$13, 100%, $E$13)</f>
        <v>16.917899999999999</v>
      </c>
      <c r="F877" s="64">
        <f>16.9179 * CHOOSE(CONTROL!$C$22, $C$13, 100%, $E$13)</f>
        <v>16.917899999999999</v>
      </c>
      <c r="G877" s="64">
        <f>16.9336 * CHOOSE(CONTROL!$C$22, $C$13, 100%, $E$13)</f>
        <v>16.933599999999998</v>
      </c>
      <c r="H877" s="64">
        <f>28.0242* CHOOSE(CONTROL!$C$22, $C$13, 100%, $E$13)</f>
        <v>28.0242</v>
      </c>
      <c r="I877" s="64">
        <f>28.0399 * CHOOSE(CONTROL!$C$22, $C$13, 100%, $E$13)</f>
        <v>28.039899999999999</v>
      </c>
      <c r="J877" s="64">
        <f>16.9179 * CHOOSE(CONTROL!$C$22, $C$13, 100%, $E$13)</f>
        <v>16.917899999999999</v>
      </c>
      <c r="K877" s="64">
        <f>16.9336 * CHOOSE(CONTROL!$C$22, $C$13, 100%, $E$13)</f>
        <v>16.933599999999998</v>
      </c>
    </row>
    <row r="878" spans="1:11" ht="15">
      <c r="A878" s="13">
        <v>68211</v>
      </c>
      <c r="B878" s="63">
        <f>15.0501 * CHOOSE(CONTROL!$C$22, $C$13, 100%, $E$13)</f>
        <v>15.0501</v>
      </c>
      <c r="C878" s="63">
        <f>15.0501 * CHOOSE(CONTROL!$C$22, $C$13, 100%, $E$13)</f>
        <v>15.0501</v>
      </c>
      <c r="D878" s="63">
        <f>15.0501 * CHOOSE(CONTROL!$C$22, $C$13, 100%, $E$13)</f>
        <v>15.0501</v>
      </c>
      <c r="E878" s="64">
        <f>17.0312 * CHOOSE(CONTROL!$C$22, $C$13, 100%, $E$13)</f>
        <v>17.031199999999998</v>
      </c>
      <c r="F878" s="64">
        <f>17.0312 * CHOOSE(CONTROL!$C$22, $C$13, 100%, $E$13)</f>
        <v>17.031199999999998</v>
      </c>
      <c r="G878" s="64">
        <f>17.0313 * CHOOSE(CONTROL!$C$22, $C$13, 100%, $E$13)</f>
        <v>17.031300000000002</v>
      </c>
      <c r="H878" s="64">
        <f>28.0826* CHOOSE(CONTROL!$C$22, $C$13, 100%, $E$13)</f>
        <v>28.082599999999999</v>
      </c>
      <c r="I878" s="64">
        <f>28.0827 * CHOOSE(CONTROL!$C$22, $C$13, 100%, $E$13)</f>
        <v>28.082699999999999</v>
      </c>
      <c r="J878" s="64">
        <f>17.0312 * CHOOSE(CONTROL!$C$22, $C$13, 100%, $E$13)</f>
        <v>17.031199999999998</v>
      </c>
      <c r="K878" s="64">
        <f>17.0313 * CHOOSE(CONTROL!$C$22, $C$13, 100%, $E$13)</f>
        <v>17.031300000000002</v>
      </c>
    </row>
    <row r="879" spans="1:11" ht="15">
      <c r="A879" s="13">
        <v>68242</v>
      </c>
      <c r="B879" s="63">
        <f>15.0532 * CHOOSE(CONTROL!$C$22, $C$13, 100%, $E$13)</f>
        <v>15.0532</v>
      </c>
      <c r="C879" s="63">
        <f>15.0532 * CHOOSE(CONTROL!$C$22, $C$13, 100%, $E$13)</f>
        <v>15.0532</v>
      </c>
      <c r="D879" s="63">
        <f>15.0532 * CHOOSE(CONTROL!$C$22, $C$13, 100%, $E$13)</f>
        <v>15.0532</v>
      </c>
      <c r="E879" s="64">
        <f>17.0967 * CHOOSE(CONTROL!$C$22, $C$13, 100%, $E$13)</f>
        <v>17.096699999999998</v>
      </c>
      <c r="F879" s="64">
        <f>17.0967 * CHOOSE(CONTROL!$C$22, $C$13, 100%, $E$13)</f>
        <v>17.096699999999998</v>
      </c>
      <c r="G879" s="64">
        <f>17.0968 * CHOOSE(CONTROL!$C$22, $C$13, 100%, $E$13)</f>
        <v>17.096800000000002</v>
      </c>
      <c r="H879" s="64">
        <f>28.1411* CHOOSE(CONTROL!$C$22, $C$13, 100%, $E$13)</f>
        <v>28.141100000000002</v>
      </c>
      <c r="I879" s="64">
        <f>28.1412 * CHOOSE(CONTROL!$C$22, $C$13, 100%, $E$13)</f>
        <v>28.141200000000001</v>
      </c>
      <c r="J879" s="64">
        <f>17.0967 * CHOOSE(CONTROL!$C$22, $C$13, 100%, $E$13)</f>
        <v>17.096699999999998</v>
      </c>
      <c r="K879" s="64">
        <f>17.0968 * CHOOSE(CONTROL!$C$22, $C$13, 100%, $E$13)</f>
        <v>17.096800000000002</v>
      </c>
    </row>
    <row r="880" spans="1:11" ht="15">
      <c r="A880" s="13">
        <v>68272</v>
      </c>
      <c r="B880" s="63">
        <f>15.0532 * CHOOSE(CONTROL!$C$22, $C$13, 100%, $E$13)</f>
        <v>15.0532</v>
      </c>
      <c r="C880" s="63">
        <f>15.0532 * CHOOSE(CONTROL!$C$22, $C$13, 100%, $E$13)</f>
        <v>15.0532</v>
      </c>
      <c r="D880" s="63">
        <f>15.0532 * CHOOSE(CONTROL!$C$22, $C$13, 100%, $E$13)</f>
        <v>15.0532</v>
      </c>
      <c r="E880" s="64">
        <f>16.9383 * CHOOSE(CONTROL!$C$22, $C$13, 100%, $E$13)</f>
        <v>16.938300000000002</v>
      </c>
      <c r="F880" s="64">
        <f>16.9383 * CHOOSE(CONTROL!$C$22, $C$13, 100%, $E$13)</f>
        <v>16.938300000000002</v>
      </c>
      <c r="G880" s="64">
        <f>16.9384 * CHOOSE(CONTROL!$C$22, $C$13, 100%, $E$13)</f>
        <v>16.938400000000001</v>
      </c>
      <c r="H880" s="64">
        <f>28.1998* CHOOSE(CONTROL!$C$22, $C$13, 100%, $E$13)</f>
        <v>28.1998</v>
      </c>
      <c r="I880" s="64">
        <f>28.1998 * CHOOSE(CONTROL!$C$22, $C$13, 100%, $E$13)</f>
        <v>28.1998</v>
      </c>
      <c r="J880" s="64">
        <f>16.9383 * CHOOSE(CONTROL!$C$22, $C$13, 100%, $E$13)</f>
        <v>16.938300000000002</v>
      </c>
      <c r="K880" s="64">
        <f>16.9384 * CHOOSE(CONTROL!$C$22, $C$13, 100%, $E$13)</f>
        <v>16.938400000000001</v>
      </c>
    </row>
    <row r="881" spans="1:11" ht="15">
      <c r="A881" s="13">
        <v>68303</v>
      </c>
      <c r="B881" s="63">
        <f>15.021 * CHOOSE(CONTROL!$C$22, $C$13, 100%, $E$13)</f>
        <v>15.021000000000001</v>
      </c>
      <c r="C881" s="63">
        <f>15.021 * CHOOSE(CONTROL!$C$22, $C$13, 100%, $E$13)</f>
        <v>15.021000000000001</v>
      </c>
      <c r="D881" s="63">
        <f>15.021 * CHOOSE(CONTROL!$C$22, $C$13, 100%, $E$13)</f>
        <v>15.021000000000001</v>
      </c>
      <c r="E881" s="64">
        <f>17.0319 * CHOOSE(CONTROL!$C$22, $C$13, 100%, $E$13)</f>
        <v>17.0319</v>
      </c>
      <c r="F881" s="64">
        <f>17.0319 * CHOOSE(CONTROL!$C$22, $C$13, 100%, $E$13)</f>
        <v>17.0319</v>
      </c>
      <c r="G881" s="64">
        <f>17.0319 * CHOOSE(CONTROL!$C$22, $C$13, 100%, $E$13)</f>
        <v>17.0319</v>
      </c>
      <c r="H881" s="64">
        <f>27.9885* CHOOSE(CONTROL!$C$22, $C$13, 100%, $E$13)</f>
        <v>27.988499999999998</v>
      </c>
      <c r="I881" s="64">
        <f>27.9886 * CHOOSE(CONTROL!$C$22, $C$13, 100%, $E$13)</f>
        <v>27.988600000000002</v>
      </c>
      <c r="J881" s="64">
        <f>17.0319 * CHOOSE(CONTROL!$C$22, $C$13, 100%, $E$13)</f>
        <v>17.0319</v>
      </c>
      <c r="K881" s="64">
        <f>17.0319 * CHOOSE(CONTROL!$C$22, $C$13, 100%, $E$13)</f>
        <v>17.0319</v>
      </c>
    </row>
    <row r="882" spans="1:11" ht="15">
      <c r="A882" s="13">
        <v>68334</v>
      </c>
      <c r="B882" s="63">
        <f>15.018 * CHOOSE(CONTROL!$C$22, $C$13, 100%, $E$13)</f>
        <v>15.018000000000001</v>
      </c>
      <c r="C882" s="63">
        <f>15.018 * CHOOSE(CONTROL!$C$22, $C$13, 100%, $E$13)</f>
        <v>15.018000000000001</v>
      </c>
      <c r="D882" s="63">
        <f>15.018 * CHOOSE(CONTROL!$C$22, $C$13, 100%, $E$13)</f>
        <v>15.018000000000001</v>
      </c>
      <c r="E882" s="64">
        <f>16.7254 * CHOOSE(CONTROL!$C$22, $C$13, 100%, $E$13)</f>
        <v>16.7254</v>
      </c>
      <c r="F882" s="64">
        <f>16.7254 * CHOOSE(CONTROL!$C$22, $C$13, 100%, $E$13)</f>
        <v>16.7254</v>
      </c>
      <c r="G882" s="64">
        <f>16.7255 * CHOOSE(CONTROL!$C$22, $C$13, 100%, $E$13)</f>
        <v>16.7255</v>
      </c>
      <c r="H882" s="64">
        <f>28.0469* CHOOSE(CONTROL!$C$22, $C$13, 100%, $E$13)</f>
        <v>28.046900000000001</v>
      </c>
      <c r="I882" s="64">
        <f>28.0469 * CHOOSE(CONTROL!$C$22, $C$13, 100%, $E$13)</f>
        <v>28.046900000000001</v>
      </c>
      <c r="J882" s="64">
        <f>16.7254 * CHOOSE(CONTROL!$C$22, $C$13, 100%, $E$13)</f>
        <v>16.7254</v>
      </c>
      <c r="K882" s="64">
        <f>16.7255 * CHOOSE(CONTROL!$C$22, $C$13, 100%, $E$13)</f>
        <v>16.7255</v>
      </c>
    </row>
    <row r="883" spans="1:11" ht="15">
      <c r="A883" s="13">
        <v>68362</v>
      </c>
      <c r="B883" s="63">
        <f>15.0149 * CHOOSE(CONTROL!$C$22, $C$13, 100%, $E$13)</f>
        <v>15.014900000000001</v>
      </c>
      <c r="C883" s="63">
        <f>15.0149 * CHOOSE(CONTROL!$C$22, $C$13, 100%, $E$13)</f>
        <v>15.014900000000001</v>
      </c>
      <c r="D883" s="63">
        <f>15.0149 * CHOOSE(CONTROL!$C$22, $C$13, 100%, $E$13)</f>
        <v>15.014900000000001</v>
      </c>
      <c r="E883" s="64">
        <f>16.9632 * CHOOSE(CONTROL!$C$22, $C$13, 100%, $E$13)</f>
        <v>16.963200000000001</v>
      </c>
      <c r="F883" s="64">
        <f>16.9632 * CHOOSE(CONTROL!$C$22, $C$13, 100%, $E$13)</f>
        <v>16.963200000000001</v>
      </c>
      <c r="G883" s="64">
        <f>16.9633 * CHOOSE(CONTROL!$C$22, $C$13, 100%, $E$13)</f>
        <v>16.9633</v>
      </c>
      <c r="H883" s="64">
        <f>28.1053* CHOOSE(CONTROL!$C$22, $C$13, 100%, $E$13)</f>
        <v>28.1053</v>
      </c>
      <c r="I883" s="64">
        <f>28.1054 * CHOOSE(CONTROL!$C$22, $C$13, 100%, $E$13)</f>
        <v>28.105399999999999</v>
      </c>
      <c r="J883" s="64">
        <f>16.9632 * CHOOSE(CONTROL!$C$22, $C$13, 100%, $E$13)</f>
        <v>16.963200000000001</v>
      </c>
      <c r="K883" s="64">
        <f>16.9633 * CHOOSE(CONTROL!$C$22, $C$13, 100%, $E$13)</f>
        <v>16.9633</v>
      </c>
    </row>
    <row r="884" spans="1:11" ht="15">
      <c r="A884" s="13">
        <v>68393</v>
      </c>
      <c r="B884" s="63">
        <f>15.0218 * CHOOSE(CONTROL!$C$22, $C$13, 100%, $E$13)</f>
        <v>15.021800000000001</v>
      </c>
      <c r="C884" s="63">
        <f>15.0218 * CHOOSE(CONTROL!$C$22, $C$13, 100%, $E$13)</f>
        <v>15.021800000000001</v>
      </c>
      <c r="D884" s="63">
        <f>15.0218 * CHOOSE(CONTROL!$C$22, $C$13, 100%, $E$13)</f>
        <v>15.021800000000001</v>
      </c>
      <c r="E884" s="64">
        <f>17.2166 * CHOOSE(CONTROL!$C$22, $C$13, 100%, $E$13)</f>
        <v>17.2166</v>
      </c>
      <c r="F884" s="64">
        <f>17.2166 * CHOOSE(CONTROL!$C$22, $C$13, 100%, $E$13)</f>
        <v>17.2166</v>
      </c>
      <c r="G884" s="64">
        <f>17.2167 * CHOOSE(CONTROL!$C$22, $C$13, 100%, $E$13)</f>
        <v>17.216699999999999</v>
      </c>
      <c r="H884" s="64">
        <f>28.1638* CHOOSE(CONTROL!$C$22, $C$13, 100%, $E$13)</f>
        <v>28.163799999999998</v>
      </c>
      <c r="I884" s="64">
        <f>28.1639 * CHOOSE(CONTROL!$C$22, $C$13, 100%, $E$13)</f>
        <v>28.163900000000002</v>
      </c>
      <c r="J884" s="64">
        <f>17.2166 * CHOOSE(CONTROL!$C$22, $C$13, 100%, $E$13)</f>
        <v>17.2166</v>
      </c>
      <c r="K884" s="64">
        <f>17.2167 * CHOOSE(CONTROL!$C$22, $C$13, 100%, $E$13)</f>
        <v>17.216699999999999</v>
      </c>
    </row>
    <row r="885" spans="1:11" ht="15">
      <c r="A885" s="13">
        <v>68423</v>
      </c>
      <c r="B885" s="63">
        <f>15.0218 * CHOOSE(CONTROL!$C$22, $C$13, 100%, $E$13)</f>
        <v>15.021800000000001</v>
      </c>
      <c r="C885" s="63">
        <f>15.0218 * CHOOSE(CONTROL!$C$22, $C$13, 100%, $E$13)</f>
        <v>15.021800000000001</v>
      </c>
      <c r="D885" s="63">
        <f>15.0348 * CHOOSE(CONTROL!$C$22, $C$13, 100%, $E$13)</f>
        <v>15.034800000000001</v>
      </c>
      <c r="E885" s="64">
        <f>17.3133 * CHOOSE(CONTROL!$C$22, $C$13, 100%, $E$13)</f>
        <v>17.313300000000002</v>
      </c>
      <c r="F885" s="64">
        <f>17.3133 * CHOOSE(CONTROL!$C$22, $C$13, 100%, $E$13)</f>
        <v>17.313300000000002</v>
      </c>
      <c r="G885" s="64">
        <f>17.3289 * CHOOSE(CONTROL!$C$22, $C$13, 100%, $E$13)</f>
        <v>17.328900000000001</v>
      </c>
      <c r="H885" s="64">
        <f>28.2225* CHOOSE(CONTROL!$C$22, $C$13, 100%, $E$13)</f>
        <v>28.2225</v>
      </c>
      <c r="I885" s="64">
        <f>28.2382 * CHOOSE(CONTROL!$C$22, $C$13, 100%, $E$13)</f>
        <v>28.238199999999999</v>
      </c>
      <c r="J885" s="64">
        <f>17.3133 * CHOOSE(CONTROL!$C$22, $C$13, 100%, $E$13)</f>
        <v>17.313300000000002</v>
      </c>
      <c r="K885" s="64">
        <f>17.3289 * CHOOSE(CONTROL!$C$22, $C$13, 100%, $E$13)</f>
        <v>17.328900000000001</v>
      </c>
    </row>
    <row r="886" spans="1:11" ht="15">
      <c r="A886" s="13">
        <v>68454</v>
      </c>
      <c r="B886" s="63">
        <f>15.0279 * CHOOSE(CONTROL!$C$22, $C$13, 100%, $E$13)</f>
        <v>15.027900000000001</v>
      </c>
      <c r="C886" s="63">
        <f>15.0279 * CHOOSE(CONTROL!$C$22, $C$13, 100%, $E$13)</f>
        <v>15.027900000000001</v>
      </c>
      <c r="D886" s="63">
        <f>15.0409 * CHOOSE(CONTROL!$C$22, $C$13, 100%, $E$13)</f>
        <v>15.040900000000001</v>
      </c>
      <c r="E886" s="64">
        <f>17.2209 * CHOOSE(CONTROL!$C$22, $C$13, 100%, $E$13)</f>
        <v>17.2209</v>
      </c>
      <c r="F886" s="64">
        <f>17.2209 * CHOOSE(CONTROL!$C$22, $C$13, 100%, $E$13)</f>
        <v>17.2209</v>
      </c>
      <c r="G886" s="64">
        <f>17.2366 * CHOOSE(CONTROL!$C$22, $C$13, 100%, $E$13)</f>
        <v>17.236599999999999</v>
      </c>
      <c r="H886" s="64">
        <f>28.2813* CHOOSE(CONTROL!$C$22, $C$13, 100%, $E$13)</f>
        <v>28.281300000000002</v>
      </c>
      <c r="I886" s="64">
        <f>28.297 * CHOOSE(CONTROL!$C$22, $C$13, 100%, $E$13)</f>
        <v>28.297000000000001</v>
      </c>
      <c r="J886" s="64">
        <f>17.2209 * CHOOSE(CONTROL!$C$22, $C$13, 100%, $E$13)</f>
        <v>17.2209</v>
      </c>
      <c r="K886" s="64">
        <f>17.2366 * CHOOSE(CONTROL!$C$22, $C$13, 100%, $E$13)</f>
        <v>17.236599999999999</v>
      </c>
    </row>
    <row r="887" spans="1:11" ht="15">
      <c r="A887" s="13">
        <v>68484</v>
      </c>
      <c r="B887" s="63">
        <f>15.2551 * CHOOSE(CONTROL!$C$22, $C$13, 100%, $E$13)</f>
        <v>15.255100000000001</v>
      </c>
      <c r="C887" s="63">
        <f>15.2551 * CHOOSE(CONTROL!$C$22, $C$13, 100%, $E$13)</f>
        <v>15.255100000000001</v>
      </c>
      <c r="D887" s="63">
        <f>15.2681 * CHOOSE(CONTROL!$C$22, $C$13, 100%, $E$13)</f>
        <v>15.2681</v>
      </c>
      <c r="E887" s="64">
        <f>17.494 * CHOOSE(CONTROL!$C$22, $C$13, 100%, $E$13)</f>
        <v>17.494</v>
      </c>
      <c r="F887" s="64">
        <f>17.494 * CHOOSE(CONTROL!$C$22, $C$13, 100%, $E$13)</f>
        <v>17.494</v>
      </c>
      <c r="G887" s="64">
        <f>17.5097 * CHOOSE(CONTROL!$C$22, $C$13, 100%, $E$13)</f>
        <v>17.509699999999999</v>
      </c>
      <c r="H887" s="64">
        <f>28.3402* CHOOSE(CONTROL!$C$22, $C$13, 100%, $E$13)</f>
        <v>28.340199999999999</v>
      </c>
      <c r="I887" s="64">
        <f>28.3559 * CHOOSE(CONTROL!$C$22, $C$13, 100%, $E$13)</f>
        <v>28.355899999999998</v>
      </c>
      <c r="J887" s="64">
        <f>17.494 * CHOOSE(CONTROL!$C$22, $C$13, 100%, $E$13)</f>
        <v>17.494</v>
      </c>
      <c r="K887" s="64">
        <f>17.5097 * CHOOSE(CONTROL!$C$22, $C$13, 100%, $E$13)</f>
        <v>17.509699999999999</v>
      </c>
    </row>
    <row r="888" spans="1:11" ht="15">
      <c r="A888" s="13">
        <v>68515</v>
      </c>
      <c r="B888" s="63">
        <f>15.2618 * CHOOSE(CONTROL!$C$22, $C$13, 100%, $E$13)</f>
        <v>15.261799999999999</v>
      </c>
      <c r="C888" s="63">
        <f>15.2618 * CHOOSE(CONTROL!$C$22, $C$13, 100%, $E$13)</f>
        <v>15.261799999999999</v>
      </c>
      <c r="D888" s="63">
        <f>15.2748 * CHOOSE(CONTROL!$C$22, $C$13, 100%, $E$13)</f>
        <v>15.274800000000001</v>
      </c>
      <c r="E888" s="64">
        <f>17.2088 * CHOOSE(CONTROL!$C$22, $C$13, 100%, $E$13)</f>
        <v>17.2088</v>
      </c>
      <c r="F888" s="64">
        <f>17.2088 * CHOOSE(CONTROL!$C$22, $C$13, 100%, $E$13)</f>
        <v>17.2088</v>
      </c>
      <c r="G888" s="64">
        <f>17.2244 * CHOOSE(CONTROL!$C$22, $C$13, 100%, $E$13)</f>
        <v>17.224399999999999</v>
      </c>
      <c r="H888" s="64">
        <f>28.3993* CHOOSE(CONTROL!$C$22, $C$13, 100%, $E$13)</f>
        <v>28.3993</v>
      </c>
      <c r="I888" s="64">
        <f>28.415 * CHOOSE(CONTROL!$C$22, $C$13, 100%, $E$13)</f>
        <v>28.414999999999999</v>
      </c>
      <c r="J888" s="64">
        <f>17.2088 * CHOOSE(CONTROL!$C$22, $C$13, 100%, $E$13)</f>
        <v>17.2088</v>
      </c>
      <c r="K888" s="64">
        <f>17.2244 * CHOOSE(CONTROL!$C$22, $C$13, 100%, $E$13)</f>
        <v>17.224399999999999</v>
      </c>
    </row>
    <row r="889" spans="1:11" ht="15">
      <c r="A889" s="13">
        <v>68546</v>
      </c>
      <c r="B889" s="63">
        <f>15.2588 * CHOOSE(CONTROL!$C$22, $C$13, 100%, $E$13)</f>
        <v>15.258800000000001</v>
      </c>
      <c r="C889" s="63">
        <f>15.2588 * CHOOSE(CONTROL!$C$22, $C$13, 100%, $E$13)</f>
        <v>15.258800000000001</v>
      </c>
      <c r="D889" s="63">
        <f>15.2718 * CHOOSE(CONTROL!$C$22, $C$13, 100%, $E$13)</f>
        <v>15.271800000000001</v>
      </c>
      <c r="E889" s="64">
        <f>17.1744 * CHOOSE(CONTROL!$C$22, $C$13, 100%, $E$13)</f>
        <v>17.174399999999999</v>
      </c>
      <c r="F889" s="64">
        <f>17.1744 * CHOOSE(CONTROL!$C$22, $C$13, 100%, $E$13)</f>
        <v>17.174399999999999</v>
      </c>
      <c r="G889" s="64">
        <f>17.1901 * CHOOSE(CONTROL!$C$22, $C$13, 100%, $E$13)</f>
        <v>17.190100000000001</v>
      </c>
      <c r="H889" s="64">
        <f>28.4584* CHOOSE(CONTROL!$C$22, $C$13, 100%, $E$13)</f>
        <v>28.458400000000001</v>
      </c>
      <c r="I889" s="64">
        <f>28.4741 * CHOOSE(CONTROL!$C$22, $C$13, 100%, $E$13)</f>
        <v>28.4741</v>
      </c>
      <c r="J889" s="64">
        <f>17.1744 * CHOOSE(CONTROL!$C$22, $C$13, 100%, $E$13)</f>
        <v>17.174399999999999</v>
      </c>
      <c r="K889" s="64">
        <f>17.1901 * CHOOSE(CONTROL!$C$22, $C$13, 100%, $E$13)</f>
        <v>17.190100000000001</v>
      </c>
    </row>
    <row r="890" spans="1:11" ht="15">
      <c r="A890" s="13">
        <v>68576</v>
      </c>
      <c r="B890" s="63">
        <f>15.2901 * CHOOSE(CONTROL!$C$22, $C$13, 100%, $E$13)</f>
        <v>15.290100000000001</v>
      </c>
      <c r="C890" s="63">
        <f>15.2901 * CHOOSE(CONTROL!$C$22, $C$13, 100%, $E$13)</f>
        <v>15.290100000000001</v>
      </c>
      <c r="D890" s="63">
        <f>15.2901 * CHOOSE(CONTROL!$C$22, $C$13, 100%, $E$13)</f>
        <v>15.290100000000001</v>
      </c>
      <c r="E890" s="64">
        <f>17.2899 * CHOOSE(CONTROL!$C$22, $C$13, 100%, $E$13)</f>
        <v>17.289899999999999</v>
      </c>
      <c r="F890" s="64">
        <f>17.2899 * CHOOSE(CONTROL!$C$22, $C$13, 100%, $E$13)</f>
        <v>17.289899999999999</v>
      </c>
      <c r="G890" s="64">
        <f>17.2899 * CHOOSE(CONTROL!$C$22, $C$13, 100%, $E$13)</f>
        <v>17.289899999999999</v>
      </c>
      <c r="H890" s="64">
        <f>28.5177* CHOOSE(CONTROL!$C$22, $C$13, 100%, $E$13)</f>
        <v>28.517700000000001</v>
      </c>
      <c r="I890" s="64">
        <f>28.5178 * CHOOSE(CONTROL!$C$22, $C$13, 100%, $E$13)</f>
        <v>28.517800000000001</v>
      </c>
      <c r="J890" s="64">
        <f>17.2899 * CHOOSE(CONTROL!$C$22, $C$13, 100%, $E$13)</f>
        <v>17.289899999999999</v>
      </c>
      <c r="K890" s="64">
        <f>17.2899 * CHOOSE(CONTROL!$C$22, $C$13, 100%, $E$13)</f>
        <v>17.289899999999999</v>
      </c>
    </row>
    <row r="891" spans="1:11" ht="15">
      <c r="A891" s="13">
        <v>68607</v>
      </c>
      <c r="B891" s="63">
        <f>15.2931 * CHOOSE(CONTROL!$C$22, $C$13, 100%, $E$13)</f>
        <v>15.293100000000001</v>
      </c>
      <c r="C891" s="63">
        <f>15.2931 * CHOOSE(CONTROL!$C$22, $C$13, 100%, $E$13)</f>
        <v>15.293100000000001</v>
      </c>
      <c r="D891" s="63">
        <f>15.2931 * CHOOSE(CONTROL!$C$22, $C$13, 100%, $E$13)</f>
        <v>15.293100000000001</v>
      </c>
      <c r="E891" s="64">
        <f>17.3564 * CHOOSE(CONTROL!$C$22, $C$13, 100%, $E$13)</f>
        <v>17.356400000000001</v>
      </c>
      <c r="F891" s="64">
        <f>17.3564 * CHOOSE(CONTROL!$C$22, $C$13, 100%, $E$13)</f>
        <v>17.356400000000001</v>
      </c>
      <c r="G891" s="64">
        <f>17.3565 * CHOOSE(CONTROL!$C$22, $C$13, 100%, $E$13)</f>
        <v>17.3565</v>
      </c>
      <c r="H891" s="64">
        <f>28.5771* CHOOSE(CONTROL!$C$22, $C$13, 100%, $E$13)</f>
        <v>28.577100000000002</v>
      </c>
      <c r="I891" s="64">
        <f>28.5772 * CHOOSE(CONTROL!$C$22, $C$13, 100%, $E$13)</f>
        <v>28.577200000000001</v>
      </c>
      <c r="J891" s="64">
        <f>17.3564 * CHOOSE(CONTROL!$C$22, $C$13, 100%, $E$13)</f>
        <v>17.356400000000001</v>
      </c>
      <c r="K891" s="64">
        <f>17.3565 * CHOOSE(CONTROL!$C$22, $C$13, 100%, $E$13)</f>
        <v>17.3565</v>
      </c>
    </row>
    <row r="892" spans="1:11" ht="15">
      <c r="A892" s="13">
        <v>68637</v>
      </c>
      <c r="B892" s="63">
        <f>15.2931 * CHOOSE(CONTROL!$C$22, $C$13, 100%, $E$13)</f>
        <v>15.293100000000001</v>
      </c>
      <c r="C892" s="63">
        <f>15.2931 * CHOOSE(CONTROL!$C$22, $C$13, 100%, $E$13)</f>
        <v>15.293100000000001</v>
      </c>
      <c r="D892" s="63">
        <f>15.2931 * CHOOSE(CONTROL!$C$22, $C$13, 100%, $E$13)</f>
        <v>15.293100000000001</v>
      </c>
      <c r="E892" s="64">
        <f>17.1953 * CHOOSE(CONTROL!$C$22, $C$13, 100%, $E$13)</f>
        <v>17.1953</v>
      </c>
      <c r="F892" s="64">
        <f>17.1953 * CHOOSE(CONTROL!$C$22, $C$13, 100%, $E$13)</f>
        <v>17.1953</v>
      </c>
      <c r="G892" s="64">
        <f>17.1954 * CHOOSE(CONTROL!$C$22, $C$13, 100%, $E$13)</f>
        <v>17.195399999999999</v>
      </c>
      <c r="H892" s="64">
        <f>28.6367* CHOOSE(CONTROL!$C$22, $C$13, 100%, $E$13)</f>
        <v>28.636700000000001</v>
      </c>
      <c r="I892" s="64">
        <f>28.6368 * CHOOSE(CONTROL!$C$22, $C$13, 100%, $E$13)</f>
        <v>28.636800000000001</v>
      </c>
      <c r="J892" s="64">
        <f>17.1953 * CHOOSE(CONTROL!$C$22, $C$13, 100%, $E$13)</f>
        <v>17.1953</v>
      </c>
      <c r="K892" s="64">
        <f>17.1954 * CHOOSE(CONTROL!$C$22, $C$13, 100%, $E$13)</f>
        <v>17.195399999999999</v>
      </c>
    </row>
    <row r="893" spans="1:11" ht="15">
      <c r="A893" s="13">
        <v>68668</v>
      </c>
      <c r="B893" s="63">
        <f>15.2566 * CHOOSE(CONTROL!$C$22, $C$13, 100%, $E$13)</f>
        <v>15.256600000000001</v>
      </c>
      <c r="C893" s="63">
        <f>15.2566 * CHOOSE(CONTROL!$C$22, $C$13, 100%, $E$13)</f>
        <v>15.256600000000001</v>
      </c>
      <c r="D893" s="63">
        <f>15.2566 * CHOOSE(CONTROL!$C$22, $C$13, 100%, $E$13)</f>
        <v>15.256600000000001</v>
      </c>
      <c r="E893" s="64">
        <f>17.2866 * CHOOSE(CONTROL!$C$22, $C$13, 100%, $E$13)</f>
        <v>17.2866</v>
      </c>
      <c r="F893" s="64">
        <f>17.2866 * CHOOSE(CONTROL!$C$22, $C$13, 100%, $E$13)</f>
        <v>17.2866</v>
      </c>
      <c r="G893" s="64">
        <f>17.2867 * CHOOSE(CONTROL!$C$22, $C$13, 100%, $E$13)</f>
        <v>17.2867</v>
      </c>
      <c r="H893" s="64">
        <f>28.4156* CHOOSE(CONTROL!$C$22, $C$13, 100%, $E$13)</f>
        <v>28.415600000000001</v>
      </c>
      <c r="I893" s="64">
        <f>28.4156 * CHOOSE(CONTROL!$C$22, $C$13, 100%, $E$13)</f>
        <v>28.415600000000001</v>
      </c>
      <c r="J893" s="64">
        <f>17.2866 * CHOOSE(CONTROL!$C$22, $C$13, 100%, $E$13)</f>
        <v>17.2866</v>
      </c>
      <c r="K893" s="64">
        <f>17.2867 * CHOOSE(CONTROL!$C$22, $C$13, 100%, $E$13)</f>
        <v>17.2867</v>
      </c>
    </row>
    <row r="894" spans="1:11" ht="15">
      <c r="A894" s="13">
        <v>68699</v>
      </c>
      <c r="B894" s="63">
        <f>15.2536 * CHOOSE(CONTROL!$C$22, $C$13, 100%, $E$13)</f>
        <v>15.2536</v>
      </c>
      <c r="C894" s="63">
        <f>15.2536 * CHOOSE(CONTROL!$C$22, $C$13, 100%, $E$13)</f>
        <v>15.2536</v>
      </c>
      <c r="D894" s="63">
        <f>15.2536 * CHOOSE(CONTROL!$C$22, $C$13, 100%, $E$13)</f>
        <v>15.2536</v>
      </c>
      <c r="E894" s="64">
        <f>16.9752 * CHOOSE(CONTROL!$C$22, $C$13, 100%, $E$13)</f>
        <v>16.975200000000001</v>
      </c>
      <c r="F894" s="64">
        <f>16.9752 * CHOOSE(CONTROL!$C$22, $C$13, 100%, $E$13)</f>
        <v>16.975200000000001</v>
      </c>
      <c r="G894" s="64">
        <f>16.9753 * CHOOSE(CONTROL!$C$22, $C$13, 100%, $E$13)</f>
        <v>16.975300000000001</v>
      </c>
      <c r="H894" s="64">
        <f>28.4748* CHOOSE(CONTROL!$C$22, $C$13, 100%, $E$13)</f>
        <v>28.474799999999998</v>
      </c>
      <c r="I894" s="64">
        <f>28.4748 * CHOOSE(CONTROL!$C$22, $C$13, 100%, $E$13)</f>
        <v>28.474799999999998</v>
      </c>
      <c r="J894" s="64">
        <f>16.9752 * CHOOSE(CONTROL!$C$22, $C$13, 100%, $E$13)</f>
        <v>16.975200000000001</v>
      </c>
      <c r="K894" s="64">
        <f>16.9753 * CHOOSE(CONTROL!$C$22, $C$13, 100%, $E$13)</f>
        <v>16.975300000000001</v>
      </c>
    </row>
    <row r="895" spans="1:11" ht="15">
      <c r="A895" s="13">
        <v>68728</v>
      </c>
      <c r="B895" s="63">
        <f>15.2505 * CHOOSE(CONTROL!$C$22, $C$13, 100%, $E$13)</f>
        <v>15.250500000000001</v>
      </c>
      <c r="C895" s="63">
        <f>15.2505 * CHOOSE(CONTROL!$C$22, $C$13, 100%, $E$13)</f>
        <v>15.250500000000001</v>
      </c>
      <c r="D895" s="63">
        <f>15.2505 * CHOOSE(CONTROL!$C$22, $C$13, 100%, $E$13)</f>
        <v>15.250500000000001</v>
      </c>
      <c r="E895" s="64">
        <f>17.2169 * CHOOSE(CONTROL!$C$22, $C$13, 100%, $E$13)</f>
        <v>17.216899999999999</v>
      </c>
      <c r="F895" s="64">
        <f>17.2169 * CHOOSE(CONTROL!$C$22, $C$13, 100%, $E$13)</f>
        <v>17.216899999999999</v>
      </c>
      <c r="G895" s="64">
        <f>17.217 * CHOOSE(CONTROL!$C$22, $C$13, 100%, $E$13)</f>
        <v>17.216999999999999</v>
      </c>
      <c r="H895" s="64">
        <f>28.5341* CHOOSE(CONTROL!$C$22, $C$13, 100%, $E$13)</f>
        <v>28.534099999999999</v>
      </c>
      <c r="I895" s="64">
        <f>28.5342 * CHOOSE(CONTROL!$C$22, $C$13, 100%, $E$13)</f>
        <v>28.534199999999998</v>
      </c>
      <c r="J895" s="64">
        <f>17.2169 * CHOOSE(CONTROL!$C$22, $C$13, 100%, $E$13)</f>
        <v>17.216899999999999</v>
      </c>
      <c r="K895" s="64">
        <f>17.217 * CHOOSE(CONTROL!$C$22, $C$13, 100%, $E$13)</f>
        <v>17.216999999999999</v>
      </c>
    </row>
    <row r="896" spans="1:11" ht="15">
      <c r="A896" s="13">
        <v>68759</v>
      </c>
      <c r="B896" s="63">
        <f>15.2576 * CHOOSE(CONTROL!$C$22, $C$13, 100%, $E$13)</f>
        <v>15.2576</v>
      </c>
      <c r="C896" s="63">
        <f>15.2576 * CHOOSE(CONTROL!$C$22, $C$13, 100%, $E$13)</f>
        <v>15.2576</v>
      </c>
      <c r="D896" s="63">
        <f>15.2576 * CHOOSE(CONTROL!$C$22, $C$13, 100%, $E$13)</f>
        <v>15.2576</v>
      </c>
      <c r="E896" s="64">
        <f>17.4745 * CHOOSE(CONTROL!$C$22, $C$13, 100%, $E$13)</f>
        <v>17.474499999999999</v>
      </c>
      <c r="F896" s="64">
        <f>17.4745 * CHOOSE(CONTROL!$C$22, $C$13, 100%, $E$13)</f>
        <v>17.474499999999999</v>
      </c>
      <c r="G896" s="64">
        <f>17.4746 * CHOOSE(CONTROL!$C$22, $C$13, 100%, $E$13)</f>
        <v>17.474599999999999</v>
      </c>
      <c r="H896" s="64">
        <f>28.5935* CHOOSE(CONTROL!$C$22, $C$13, 100%, $E$13)</f>
        <v>28.593499999999999</v>
      </c>
      <c r="I896" s="64">
        <f>28.5936 * CHOOSE(CONTROL!$C$22, $C$13, 100%, $E$13)</f>
        <v>28.593599999999999</v>
      </c>
      <c r="J896" s="64">
        <f>17.4745 * CHOOSE(CONTROL!$C$22, $C$13, 100%, $E$13)</f>
        <v>17.474499999999999</v>
      </c>
      <c r="K896" s="64">
        <f>17.4746 * CHOOSE(CONTROL!$C$22, $C$13, 100%, $E$13)</f>
        <v>17.474599999999999</v>
      </c>
    </row>
    <row r="897" spans="1:11" ht="15">
      <c r="A897" s="13">
        <v>68789</v>
      </c>
      <c r="B897" s="63">
        <f>15.2576 * CHOOSE(CONTROL!$C$22, $C$13, 100%, $E$13)</f>
        <v>15.2576</v>
      </c>
      <c r="C897" s="63">
        <f>15.2576 * CHOOSE(CONTROL!$C$22, $C$13, 100%, $E$13)</f>
        <v>15.2576</v>
      </c>
      <c r="D897" s="63">
        <f>15.2705 * CHOOSE(CONTROL!$C$22, $C$13, 100%, $E$13)</f>
        <v>15.2705</v>
      </c>
      <c r="E897" s="64">
        <f>17.5727 * CHOOSE(CONTROL!$C$22, $C$13, 100%, $E$13)</f>
        <v>17.572700000000001</v>
      </c>
      <c r="F897" s="64">
        <f>17.5727 * CHOOSE(CONTROL!$C$22, $C$13, 100%, $E$13)</f>
        <v>17.572700000000001</v>
      </c>
      <c r="G897" s="64">
        <f>17.5884 * CHOOSE(CONTROL!$C$22, $C$13, 100%, $E$13)</f>
        <v>17.5884</v>
      </c>
      <c r="H897" s="64">
        <f>28.6531* CHOOSE(CONTROL!$C$22, $C$13, 100%, $E$13)</f>
        <v>28.653099999999998</v>
      </c>
      <c r="I897" s="64">
        <f>28.6688 * CHOOSE(CONTROL!$C$22, $C$13, 100%, $E$13)</f>
        <v>28.668800000000001</v>
      </c>
      <c r="J897" s="64">
        <f>17.5727 * CHOOSE(CONTROL!$C$22, $C$13, 100%, $E$13)</f>
        <v>17.572700000000001</v>
      </c>
      <c r="K897" s="64">
        <f>17.5884 * CHOOSE(CONTROL!$C$22, $C$13, 100%, $E$13)</f>
        <v>17.5884</v>
      </c>
    </row>
    <row r="898" spans="1:11" ht="15">
      <c r="A898" s="13">
        <v>68820</v>
      </c>
      <c r="B898" s="63">
        <f>15.2637 * CHOOSE(CONTROL!$C$22, $C$13, 100%, $E$13)</f>
        <v>15.2637</v>
      </c>
      <c r="C898" s="63">
        <f>15.2637 * CHOOSE(CONTROL!$C$22, $C$13, 100%, $E$13)</f>
        <v>15.2637</v>
      </c>
      <c r="D898" s="63">
        <f>15.2766 * CHOOSE(CONTROL!$C$22, $C$13, 100%, $E$13)</f>
        <v>15.2766</v>
      </c>
      <c r="E898" s="64">
        <f>17.4787 * CHOOSE(CONTROL!$C$22, $C$13, 100%, $E$13)</f>
        <v>17.4787</v>
      </c>
      <c r="F898" s="64">
        <f>17.4787 * CHOOSE(CONTROL!$C$22, $C$13, 100%, $E$13)</f>
        <v>17.4787</v>
      </c>
      <c r="G898" s="64">
        <f>17.4944 * CHOOSE(CONTROL!$C$22, $C$13, 100%, $E$13)</f>
        <v>17.494399999999999</v>
      </c>
      <c r="H898" s="64">
        <f>28.7128* CHOOSE(CONTROL!$C$22, $C$13, 100%, $E$13)</f>
        <v>28.712800000000001</v>
      </c>
      <c r="I898" s="64">
        <f>28.7285 * CHOOSE(CONTROL!$C$22, $C$13, 100%, $E$13)</f>
        <v>28.7285</v>
      </c>
      <c r="J898" s="64">
        <f>17.4787 * CHOOSE(CONTROL!$C$22, $C$13, 100%, $E$13)</f>
        <v>17.4787</v>
      </c>
      <c r="K898" s="64">
        <f>17.4944 * CHOOSE(CONTROL!$C$22, $C$13, 100%, $E$13)</f>
        <v>17.494399999999999</v>
      </c>
    </row>
    <row r="899" spans="1:11" ht="15">
      <c r="A899" s="13">
        <v>68850</v>
      </c>
      <c r="B899" s="63">
        <f>15.4943 * CHOOSE(CONTROL!$C$22, $C$13, 100%, $E$13)</f>
        <v>15.494300000000001</v>
      </c>
      <c r="C899" s="63">
        <f>15.4943 * CHOOSE(CONTROL!$C$22, $C$13, 100%, $E$13)</f>
        <v>15.494300000000001</v>
      </c>
      <c r="D899" s="63">
        <f>15.5073 * CHOOSE(CONTROL!$C$22, $C$13, 100%, $E$13)</f>
        <v>15.507300000000001</v>
      </c>
      <c r="E899" s="64">
        <f>17.7558 * CHOOSE(CONTROL!$C$22, $C$13, 100%, $E$13)</f>
        <v>17.755800000000001</v>
      </c>
      <c r="F899" s="64">
        <f>17.7558 * CHOOSE(CONTROL!$C$22, $C$13, 100%, $E$13)</f>
        <v>17.755800000000001</v>
      </c>
      <c r="G899" s="64">
        <f>17.7714 * CHOOSE(CONTROL!$C$22, $C$13, 100%, $E$13)</f>
        <v>17.7714</v>
      </c>
      <c r="H899" s="64">
        <f>28.7726* CHOOSE(CONTROL!$C$22, $C$13, 100%, $E$13)</f>
        <v>28.772600000000001</v>
      </c>
      <c r="I899" s="64">
        <f>28.7883 * CHOOSE(CONTROL!$C$22, $C$13, 100%, $E$13)</f>
        <v>28.7883</v>
      </c>
      <c r="J899" s="64">
        <f>17.7558 * CHOOSE(CONTROL!$C$22, $C$13, 100%, $E$13)</f>
        <v>17.755800000000001</v>
      </c>
      <c r="K899" s="64">
        <f>17.7714 * CHOOSE(CONTROL!$C$22, $C$13, 100%, $E$13)</f>
        <v>17.7714</v>
      </c>
    </row>
    <row r="900" spans="1:11" ht="15">
      <c r="A900" s="13">
        <v>68881</v>
      </c>
      <c r="B900" s="63">
        <f>15.501 * CHOOSE(CONTROL!$C$22, $C$13, 100%, $E$13)</f>
        <v>15.500999999999999</v>
      </c>
      <c r="C900" s="63">
        <f>15.501 * CHOOSE(CONTROL!$C$22, $C$13, 100%, $E$13)</f>
        <v>15.500999999999999</v>
      </c>
      <c r="D900" s="63">
        <f>15.514 * CHOOSE(CONTROL!$C$22, $C$13, 100%, $E$13)</f>
        <v>15.513999999999999</v>
      </c>
      <c r="E900" s="64">
        <f>17.4658 * CHOOSE(CONTROL!$C$22, $C$13, 100%, $E$13)</f>
        <v>17.465800000000002</v>
      </c>
      <c r="F900" s="64">
        <f>17.4658 * CHOOSE(CONTROL!$C$22, $C$13, 100%, $E$13)</f>
        <v>17.465800000000002</v>
      </c>
      <c r="G900" s="64">
        <f>17.4815 * CHOOSE(CONTROL!$C$22, $C$13, 100%, $E$13)</f>
        <v>17.4815</v>
      </c>
      <c r="H900" s="64">
        <f>28.8326* CHOOSE(CONTROL!$C$22, $C$13, 100%, $E$13)</f>
        <v>28.832599999999999</v>
      </c>
      <c r="I900" s="64">
        <f>28.8482 * CHOOSE(CONTROL!$C$22, $C$13, 100%, $E$13)</f>
        <v>28.848199999999999</v>
      </c>
      <c r="J900" s="64">
        <f>17.4658 * CHOOSE(CONTROL!$C$22, $C$13, 100%, $E$13)</f>
        <v>17.465800000000002</v>
      </c>
      <c r="K900" s="64">
        <f>17.4815 * CHOOSE(CONTROL!$C$22, $C$13, 100%, $E$13)</f>
        <v>17.4815</v>
      </c>
    </row>
    <row r="901" spans="1:11" ht="15">
      <c r="A901" s="13">
        <v>68912</v>
      </c>
      <c r="B901" s="63">
        <f>15.498 * CHOOSE(CONTROL!$C$22, $C$13, 100%, $E$13)</f>
        <v>15.497999999999999</v>
      </c>
      <c r="C901" s="63">
        <f>15.498 * CHOOSE(CONTROL!$C$22, $C$13, 100%, $E$13)</f>
        <v>15.497999999999999</v>
      </c>
      <c r="D901" s="63">
        <f>15.5109 * CHOOSE(CONTROL!$C$22, $C$13, 100%, $E$13)</f>
        <v>15.510899999999999</v>
      </c>
      <c r="E901" s="64">
        <f>17.431 * CHOOSE(CONTROL!$C$22, $C$13, 100%, $E$13)</f>
        <v>17.431000000000001</v>
      </c>
      <c r="F901" s="64">
        <f>17.431 * CHOOSE(CONTROL!$C$22, $C$13, 100%, $E$13)</f>
        <v>17.431000000000001</v>
      </c>
      <c r="G901" s="64">
        <f>17.4467 * CHOOSE(CONTROL!$C$22, $C$13, 100%, $E$13)</f>
        <v>17.4467</v>
      </c>
      <c r="H901" s="64">
        <f>28.8926* CHOOSE(CONTROL!$C$22, $C$13, 100%, $E$13)</f>
        <v>28.892600000000002</v>
      </c>
      <c r="I901" s="64">
        <f>28.9083 * CHOOSE(CONTROL!$C$22, $C$13, 100%, $E$13)</f>
        <v>28.908300000000001</v>
      </c>
      <c r="J901" s="64">
        <f>17.431 * CHOOSE(CONTROL!$C$22, $C$13, 100%, $E$13)</f>
        <v>17.431000000000001</v>
      </c>
      <c r="K901" s="64">
        <f>17.4467 * CHOOSE(CONTROL!$C$22, $C$13, 100%, $E$13)</f>
        <v>17.4467</v>
      </c>
    </row>
    <row r="902" spans="1:11" ht="15">
      <c r="A902" s="13">
        <v>68942</v>
      </c>
      <c r="B902" s="63">
        <f>15.53 * CHOOSE(CONTROL!$C$22, $C$13, 100%, $E$13)</f>
        <v>15.53</v>
      </c>
      <c r="C902" s="63">
        <f>15.53 * CHOOSE(CONTROL!$C$22, $C$13, 100%, $E$13)</f>
        <v>15.53</v>
      </c>
      <c r="D902" s="63">
        <f>15.53 * CHOOSE(CONTROL!$C$22, $C$13, 100%, $E$13)</f>
        <v>15.53</v>
      </c>
      <c r="E902" s="64">
        <f>17.5485 * CHOOSE(CONTROL!$C$22, $C$13, 100%, $E$13)</f>
        <v>17.548500000000001</v>
      </c>
      <c r="F902" s="64">
        <f>17.5485 * CHOOSE(CONTROL!$C$22, $C$13, 100%, $E$13)</f>
        <v>17.548500000000001</v>
      </c>
      <c r="G902" s="64">
        <f>17.5486 * CHOOSE(CONTROL!$C$22, $C$13, 100%, $E$13)</f>
        <v>17.5486</v>
      </c>
      <c r="H902" s="64">
        <f>28.9528* CHOOSE(CONTROL!$C$22, $C$13, 100%, $E$13)</f>
        <v>28.9528</v>
      </c>
      <c r="I902" s="64">
        <f>28.9529 * CHOOSE(CONTROL!$C$22, $C$13, 100%, $E$13)</f>
        <v>28.9529</v>
      </c>
      <c r="J902" s="64">
        <f>17.5485 * CHOOSE(CONTROL!$C$22, $C$13, 100%, $E$13)</f>
        <v>17.548500000000001</v>
      </c>
      <c r="K902" s="64">
        <f>17.5486 * CHOOSE(CONTROL!$C$22, $C$13, 100%, $E$13)</f>
        <v>17.5486</v>
      </c>
    </row>
    <row r="903" spans="1:11" ht="15">
      <c r="A903" s="13">
        <v>68973</v>
      </c>
      <c r="B903" s="63">
        <f>15.533 * CHOOSE(CONTROL!$C$22, $C$13, 100%, $E$13)</f>
        <v>15.532999999999999</v>
      </c>
      <c r="C903" s="63">
        <f>15.533 * CHOOSE(CONTROL!$C$22, $C$13, 100%, $E$13)</f>
        <v>15.532999999999999</v>
      </c>
      <c r="D903" s="63">
        <f>15.533 * CHOOSE(CONTROL!$C$22, $C$13, 100%, $E$13)</f>
        <v>15.532999999999999</v>
      </c>
      <c r="E903" s="64">
        <f>17.6161 * CHOOSE(CONTROL!$C$22, $C$13, 100%, $E$13)</f>
        <v>17.616099999999999</v>
      </c>
      <c r="F903" s="64">
        <f>17.6161 * CHOOSE(CONTROL!$C$22, $C$13, 100%, $E$13)</f>
        <v>17.616099999999999</v>
      </c>
      <c r="G903" s="64">
        <f>17.6162 * CHOOSE(CONTROL!$C$22, $C$13, 100%, $E$13)</f>
        <v>17.616199999999999</v>
      </c>
      <c r="H903" s="64">
        <f>29.0131* CHOOSE(CONTROL!$C$22, $C$13, 100%, $E$13)</f>
        <v>29.013100000000001</v>
      </c>
      <c r="I903" s="64">
        <f>29.0132 * CHOOSE(CONTROL!$C$22, $C$13, 100%, $E$13)</f>
        <v>29.013200000000001</v>
      </c>
      <c r="J903" s="64">
        <f>17.6161 * CHOOSE(CONTROL!$C$22, $C$13, 100%, $E$13)</f>
        <v>17.616099999999999</v>
      </c>
      <c r="K903" s="64">
        <f>17.6162 * CHOOSE(CONTROL!$C$22, $C$13, 100%, $E$13)</f>
        <v>17.616199999999999</v>
      </c>
    </row>
    <row r="904" spans="1:11" ht="15">
      <c r="A904" s="13">
        <v>69003</v>
      </c>
      <c r="B904" s="63">
        <f>15.533 * CHOOSE(CONTROL!$C$22, $C$13, 100%, $E$13)</f>
        <v>15.532999999999999</v>
      </c>
      <c r="C904" s="63">
        <f>15.533 * CHOOSE(CONTROL!$C$22, $C$13, 100%, $E$13)</f>
        <v>15.532999999999999</v>
      </c>
      <c r="D904" s="63">
        <f>15.533 * CHOOSE(CONTROL!$C$22, $C$13, 100%, $E$13)</f>
        <v>15.532999999999999</v>
      </c>
      <c r="E904" s="64">
        <f>17.4524 * CHOOSE(CONTROL!$C$22, $C$13, 100%, $E$13)</f>
        <v>17.452400000000001</v>
      </c>
      <c r="F904" s="64">
        <f>17.4524 * CHOOSE(CONTROL!$C$22, $C$13, 100%, $E$13)</f>
        <v>17.452400000000001</v>
      </c>
      <c r="G904" s="64">
        <f>17.4525 * CHOOSE(CONTROL!$C$22, $C$13, 100%, $E$13)</f>
        <v>17.452500000000001</v>
      </c>
      <c r="H904" s="64">
        <f>29.0736* CHOOSE(CONTROL!$C$22, $C$13, 100%, $E$13)</f>
        <v>29.073599999999999</v>
      </c>
      <c r="I904" s="64">
        <f>29.0737 * CHOOSE(CONTROL!$C$22, $C$13, 100%, $E$13)</f>
        <v>29.073699999999999</v>
      </c>
      <c r="J904" s="64">
        <f>17.4524 * CHOOSE(CONTROL!$C$22, $C$13, 100%, $E$13)</f>
        <v>17.452400000000001</v>
      </c>
      <c r="K904" s="64">
        <f>17.4525 * CHOOSE(CONTROL!$C$22, $C$13, 100%, $E$13)</f>
        <v>17.452500000000001</v>
      </c>
    </row>
    <row r="905" spans="1:11" ht="15">
      <c r="A905" s="13">
        <v>69034</v>
      </c>
      <c r="B905" s="63">
        <f>15.4922 * CHOOSE(CONTROL!$C$22, $C$13, 100%, $E$13)</f>
        <v>15.4922</v>
      </c>
      <c r="C905" s="63">
        <f>15.4922 * CHOOSE(CONTROL!$C$22, $C$13, 100%, $E$13)</f>
        <v>15.4922</v>
      </c>
      <c r="D905" s="63">
        <f>15.4922 * CHOOSE(CONTROL!$C$22, $C$13, 100%, $E$13)</f>
        <v>15.4922</v>
      </c>
      <c r="E905" s="64">
        <f>17.5413 * CHOOSE(CONTROL!$C$22, $C$13, 100%, $E$13)</f>
        <v>17.5413</v>
      </c>
      <c r="F905" s="64">
        <f>17.5413 * CHOOSE(CONTROL!$C$22, $C$13, 100%, $E$13)</f>
        <v>17.5413</v>
      </c>
      <c r="G905" s="64">
        <f>17.5414 * CHOOSE(CONTROL!$C$22, $C$13, 100%, $E$13)</f>
        <v>17.541399999999999</v>
      </c>
      <c r="H905" s="64">
        <f>28.8426* CHOOSE(CONTROL!$C$22, $C$13, 100%, $E$13)</f>
        <v>28.842600000000001</v>
      </c>
      <c r="I905" s="64">
        <f>28.8427 * CHOOSE(CONTROL!$C$22, $C$13, 100%, $E$13)</f>
        <v>28.842700000000001</v>
      </c>
      <c r="J905" s="64">
        <f>17.5413 * CHOOSE(CONTROL!$C$22, $C$13, 100%, $E$13)</f>
        <v>17.5413</v>
      </c>
      <c r="K905" s="64">
        <f>17.5414 * CHOOSE(CONTROL!$C$22, $C$13, 100%, $E$13)</f>
        <v>17.541399999999999</v>
      </c>
    </row>
    <row r="906" spans="1:11" ht="15">
      <c r="A906" s="13">
        <v>69065</v>
      </c>
      <c r="B906" s="63">
        <f>15.4891 * CHOOSE(CONTROL!$C$22, $C$13, 100%, $E$13)</f>
        <v>15.489100000000001</v>
      </c>
      <c r="C906" s="63">
        <f>15.4891 * CHOOSE(CONTROL!$C$22, $C$13, 100%, $E$13)</f>
        <v>15.489100000000001</v>
      </c>
      <c r="D906" s="63">
        <f>15.4891 * CHOOSE(CONTROL!$C$22, $C$13, 100%, $E$13)</f>
        <v>15.489100000000001</v>
      </c>
      <c r="E906" s="64">
        <f>17.225 * CHOOSE(CONTROL!$C$22, $C$13, 100%, $E$13)</f>
        <v>17.225000000000001</v>
      </c>
      <c r="F906" s="64">
        <f>17.225 * CHOOSE(CONTROL!$C$22, $C$13, 100%, $E$13)</f>
        <v>17.225000000000001</v>
      </c>
      <c r="G906" s="64">
        <f>17.225 * CHOOSE(CONTROL!$C$22, $C$13, 100%, $E$13)</f>
        <v>17.225000000000001</v>
      </c>
      <c r="H906" s="64">
        <f>28.9027* CHOOSE(CONTROL!$C$22, $C$13, 100%, $E$13)</f>
        <v>28.902699999999999</v>
      </c>
      <c r="I906" s="64">
        <f>28.9028 * CHOOSE(CONTROL!$C$22, $C$13, 100%, $E$13)</f>
        <v>28.902799999999999</v>
      </c>
      <c r="J906" s="64">
        <f>17.225 * CHOOSE(CONTROL!$C$22, $C$13, 100%, $E$13)</f>
        <v>17.225000000000001</v>
      </c>
      <c r="K906" s="64">
        <f>17.225 * CHOOSE(CONTROL!$C$22, $C$13, 100%, $E$13)</f>
        <v>17.225000000000001</v>
      </c>
    </row>
    <row r="907" spans="1:11" ht="15">
      <c r="A907" s="13">
        <v>69093</v>
      </c>
      <c r="B907" s="63">
        <f>15.4861 * CHOOSE(CONTROL!$C$22, $C$13, 100%, $E$13)</f>
        <v>15.4861</v>
      </c>
      <c r="C907" s="63">
        <f>15.4861 * CHOOSE(CONTROL!$C$22, $C$13, 100%, $E$13)</f>
        <v>15.4861</v>
      </c>
      <c r="D907" s="63">
        <f>15.4861 * CHOOSE(CONTROL!$C$22, $C$13, 100%, $E$13)</f>
        <v>15.4861</v>
      </c>
      <c r="E907" s="64">
        <f>17.4706 * CHOOSE(CONTROL!$C$22, $C$13, 100%, $E$13)</f>
        <v>17.470600000000001</v>
      </c>
      <c r="F907" s="64">
        <f>17.4706 * CHOOSE(CONTROL!$C$22, $C$13, 100%, $E$13)</f>
        <v>17.470600000000001</v>
      </c>
      <c r="G907" s="64">
        <f>17.4706 * CHOOSE(CONTROL!$C$22, $C$13, 100%, $E$13)</f>
        <v>17.470600000000001</v>
      </c>
      <c r="H907" s="64">
        <f>28.9629* CHOOSE(CONTROL!$C$22, $C$13, 100%, $E$13)</f>
        <v>28.962900000000001</v>
      </c>
      <c r="I907" s="64">
        <f>28.963 * CHOOSE(CONTROL!$C$22, $C$13, 100%, $E$13)</f>
        <v>28.963000000000001</v>
      </c>
      <c r="J907" s="64">
        <f>17.4706 * CHOOSE(CONTROL!$C$22, $C$13, 100%, $E$13)</f>
        <v>17.470600000000001</v>
      </c>
      <c r="K907" s="64">
        <f>17.4706 * CHOOSE(CONTROL!$C$22, $C$13, 100%, $E$13)</f>
        <v>17.470600000000001</v>
      </c>
    </row>
    <row r="908" spans="1:11" ht="15">
      <c r="A908" s="13">
        <v>69124</v>
      </c>
      <c r="B908" s="63">
        <f>15.4933 * CHOOSE(CONTROL!$C$22, $C$13, 100%, $E$13)</f>
        <v>15.4933</v>
      </c>
      <c r="C908" s="63">
        <f>15.4933 * CHOOSE(CONTROL!$C$22, $C$13, 100%, $E$13)</f>
        <v>15.4933</v>
      </c>
      <c r="D908" s="63">
        <f>15.4933 * CHOOSE(CONTROL!$C$22, $C$13, 100%, $E$13)</f>
        <v>15.4933</v>
      </c>
      <c r="E908" s="64">
        <f>17.7324 * CHOOSE(CONTROL!$C$22, $C$13, 100%, $E$13)</f>
        <v>17.732399999999998</v>
      </c>
      <c r="F908" s="64">
        <f>17.7324 * CHOOSE(CONTROL!$C$22, $C$13, 100%, $E$13)</f>
        <v>17.732399999999998</v>
      </c>
      <c r="G908" s="64">
        <f>17.7324 * CHOOSE(CONTROL!$C$22, $C$13, 100%, $E$13)</f>
        <v>17.732399999999998</v>
      </c>
      <c r="H908" s="64">
        <f>29.0232* CHOOSE(CONTROL!$C$22, $C$13, 100%, $E$13)</f>
        <v>29.023199999999999</v>
      </c>
      <c r="I908" s="64">
        <f>29.0233 * CHOOSE(CONTROL!$C$22, $C$13, 100%, $E$13)</f>
        <v>29.023299999999999</v>
      </c>
      <c r="J908" s="64">
        <f>17.7324 * CHOOSE(CONTROL!$C$22, $C$13, 100%, $E$13)</f>
        <v>17.732399999999998</v>
      </c>
      <c r="K908" s="64">
        <f>17.7324 * CHOOSE(CONTROL!$C$22, $C$13, 100%, $E$13)</f>
        <v>17.732399999999998</v>
      </c>
    </row>
    <row r="909" spans="1:11" ht="15">
      <c r="A909" s="13">
        <v>69154</v>
      </c>
      <c r="B909" s="63">
        <f>15.4933 * CHOOSE(CONTROL!$C$22, $C$13, 100%, $E$13)</f>
        <v>15.4933</v>
      </c>
      <c r="C909" s="63">
        <f>15.4933 * CHOOSE(CONTROL!$C$22, $C$13, 100%, $E$13)</f>
        <v>15.4933</v>
      </c>
      <c r="D909" s="63">
        <f>15.5063 * CHOOSE(CONTROL!$C$22, $C$13, 100%, $E$13)</f>
        <v>15.5063</v>
      </c>
      <c r="E909" s="64">
        <f>17.8321 * CHOOSE(CONTROL!$C$22, $C$13, 100%, $E$13)</f>
        <v>17.832100000000001</v>
      </c>
      <c r="F909" s="64">
        <f>17.8321 * CHOOSE(CONTROL!$C$22, $C$13, 100%, $E$13)</f>
        <v>17.832100000000001</v>
      </c>
      <c r="G909" s="64">
        <f>17.8478 * CHOOSE(CONTROL!$C$22, $C$13, 100%, $E$13)</f>
        <v>17.847799999999999</v>
      </c>
      <c r="H909" s="64">
        <f>29.0837* CHOOSE(CONTROL!$C$22, $C$13, 100%, $E$13)</f>
        <v>29.0837</v>
      </c>
      <c r="I909" s="64">
        <f>29.0994 * CHOOSE(CONTROL!$C$22, $C$13, 100%, $E$13)</f>
        <v>29.099399999999999</v>
      </c>
      <c r="J909" s="64">
        <f>17.8321 * CHOOSE(CONTROL!$C$22, $C$13, 100%, $E$13)</f>
        <v>17.832100000000001</v>
      </c>
      <c r="K909" s="64">
        <f>17.8478 * CHOOSE(CONTROL!$C$22, $C$13, 100%, $E$13)</f>
        <v>17.847799999999999</v>
      </c>
    </row>
    <row r="910" spans="1:11" ht="15">
      <c r="A910" s="13">
        <v>69185</v>
      </c>
      <c r="B910" s="63">
        <f>15.4994 * CHOOSE(CONTROL!$C$22, $C$13, 100%, $E$13)</f>
        <v>15.4994</v>
      </c>
      <c r="C910" s="63">
        <f>15.4994 * CHOOSE(CONTROL!$C$22, $C$13, 100%, $E$13)</f>
        <v>15.4994</v>
      </c>
      <c r="D910" s="63">
        <f>15.5124 * CHOOSE(CONTROL!$C$22, $C$13, 100%, $E$13)</f>
        <v>15.5124</v>
      </c>
      <c r="E910" s="64">
        <f>17.7366 * CHOOSE(CONTROL!$C$22, $C$13, 100%, $E$13)</f>
        <v>17.736599999999999</v>
      </c>
      <c r="F910" s="64">
        <f>17.7366 * CHOOSE(CONTROL!$C$22, $C$13, 100%, $E$13)</f>
        <v>17.736599999999999</v>
      </c>
      <c r="G910" s="64">
        <f>17.7523 * CHOOSE(CONTROL!$C$22, $C$13, 100%, $E$13)</f>
        <v>17.752300000000002</v>
      </c>
      <c r="H910" s="64">
        <f>29.1443* CHOOSE(CONTROL!$C$22, $C$13, 100%, $E$13)</f>
        <v>29.144300000000001</v>
      </c>
      <c r="I910" s="64">
        <f>29.16 * CHOOSE(CONTROL!$C$22, $C$13, 100%, $E$13)</f>
        <v>29.16</v>
      </c>
      <c r="J910" s="64">
        <f>17.7366 * CHOOSE(CONTROL!$C$22, $C$13, 100%, $E$13)</f>
        <v>17.736599999999999</v>
      </c>
      <c r="K910" s="64">
        <f>17.7523 * CHOOSE(CONTROL!$C$22, $C$13, 100%, $E$13)</f>
        <v>17.752300000000002</v>
      </c>
    </row>
    <row r="911" spans="1:11" ht="15">
      <c r="A911" s="13">
        <v>69215</v>
      </c>
      <c r="B911" s="63">
        <f>15.7335 * CHOOSE(CONTROL!$C$22, $C$13, 100%, $E$13)</f>
        <v>15.733499999999999</v>
      </c>
      <c r="C911" s="63">
        <f>15.7335 * CHOOSE(CONTROL!$C$22, $C$13, 100%, $E$13)</f>
        <v>15.733499999999999</v>
      </c>
      <c r="D911" s="63">
        <f>15.7465 * CHOOSE(CONTROL!$C$22, $C$13, 100%, $E$13)</f>
        <v>15.746499999999999</v>
      </c>
      <c r="E911" s="64">
        <f>18.0175 * CHOOSE(CONTROL!$C$22, $C$13, 100%, $E$13)</f>
        <v>18.017499999999998</v>
      </c>
      <c r="F911" s="64">
        <f>18.0175 * CHOOSE(CONTROL!$C$22, $C$13, 100%, $E$13)</f>
        <v>18.017499999999998</v>
      </c>
      <c r="G911" s="64">
        <f>18.0332 * CHOOSE(CONTROL!$C$22, $C$13, 100%, $E$13)</f>
        <v>18.033200000000001</v>
      </c>
      <c r="H911" s="64">
        <f>29.205* CHOOSE(CONTROL!$C$22, $C$13, 100%, $E$13)</f>
        <v>29.204999999999998</v>
      </c>
      <c r="I911" s="64">
        <f>29.2207 * CHOOSE(CONTROL!$C$22, $C$13, 100%, $E$13)</f>
        <v>29.220700000000001</v>
      </c>
      <c r="J911" s="64">
        <f>18.0175 * CHOOSE(CONTROL!$C$22, $C$13, 100%, $E$13)</f>
        <v>18.017499999999998</v>
      </c>
      <c r="K911" s="64">
        <f>18.0332 * CHOOSE(CONTROL!$C$22, $C$13, 100%, $E$13)</f>
        <v>18.033200000000001</v>
      </c>
    </row>
    <row r="912" spans="1:11" ht="15">
      <c r="A912" s="13">
        <v>69246</v>
      </c>
      <c r="B912" s="63">
        <f>15.7402 * CHOOSE(CONTROL!$C$22, $C$13, 100%, $E$13)</f>
        <v>15.7402</v>
      </c>
      <c r="C912" s="63">
        <f>15.7402 * CHOOSE(CONTROL!$C$22, $C$13, 100%, $E$13)</f>
        <v>15.7402</v>
      </c>
      <c r="D912" s="63">
        <f>15.7532 * CHOOSE(CONTROL!$C$22, $C$13, 100%, $E$13)</f>
        <v>15.7532</v>
      </c>
      <c r="E912" s="64">
        <f>17.7229 * CHOOSE(CONTROL!$C$22, $C$13, 100%, $E$13)</f>
        <v>17.722899999999999</v>
      </c>
      <c r="F912" s="64">
        <f>17.7229 * CHOOSE(CONTROL!$C$22, $C$13, 100%, $E$13)</f>
        <v>17.722899999999999</v>
      </c>
      <c r="G912" s="64">
        <f>17.7386 * CHOOSE(CONTROL!$C$22, $C$13, 100%, $E$13)</f>
        <v>17.738600000000002</v>
      </c>
      <c r="H912" s="64">
        <f>29.2658* CHOOSE(CONTROL!$C$22, $C$13, 100%, $E$13)</f>
        <v>29.265799999999999</v>
      </c>
      <c r="I912" s="64">
        <f>29.2815 * CHOOSE(CONTROL!$C$22, $C$13, 100%, $E$13)</f>
        <v>29.281500000000001</v>
      </c>
      <c r="J912" s="64">
        <f>17.7229 * CHOOSE(CONTROL!$C$22, $C$13, 100%, $E$13)</f>
        <v>17.722899999999999</v>
      </c>
      <c r="K912" s="64">
        <f>17.7386 * CHOOSE(CONTROL!$C$22, $C$13, 100%, $E$13)</f>
        <v>17.738600000000002</v>
      </c>
    </row>
    <row r="913" spans="1:11" ht="15">
      <c r="A913" s="13">
        <v>69277</v>
      </c>
      <c r="B913" s="63">
        <f>15.7371 * CHOOSE(CONTROL!$C$22, $C$13, 100%, $E$13)</f>
        <v>15.7371</v>
      </c>
      <c r="C913" s="63">
        <f>15.7371 * CHOOSE(CONTROL!$C$22, $C$13, 100%, $E$13)</f>
        <v>15.7371</v>
      </c>
      <c r="D913" s="63">
        <f>15.7501 * CHOOSE(CONTROL!$C$22, $C$13, 100%, $E$13)</f>
        <v>15.7501</v>
      </c>
      <c r="E913" s="64">
        <f>17.6875 * CHOOSE(CONTROL!$C$22, $C$13, 100%, $E$13)</f>
        <v>17.6875</v>
      </c>
      <c r="F913" s="64">
        <f>17.6875 * CHOOSE(CONTROL!$C$22, $C$13, 100%, $E$13)</f>
        <v>17.6875</v>
      </c>
      <c r="G913" s="64">
        <f>17.7032 * CHOOSE(CONTROL!$C$22, $C$13, 100%, $E$13)</f>
        <v>17.703199999999999</v>
      </c>
      <c r="H913" s="64">
        <f>29.3268* CHOOSE(CONTROL!$C$22, $C$13, 100%, $E$13)</f>
        <v>29.326799999999999</v>
      </c>
      <c r="I913" s="64">
        <f>29.3425 * CHOOSE(CONTROL!$C$22, $C$13, 100%, $E$13)</f>
        <v>29.342500000000001</v>
      </c>
      <c r="J913" s="64">
        <f>17.6875 * CHOOSE(CONTROL!$C$22, $C$13, 100%, $E$13)</f>
        <v>17.6875</v>
      </c>
      <c r="K913" s="64">
        <f>17.7032 * CHOOSE(CONTROL!$C$22, $C$13, 100%, $E$13)</f>
        <v>17.703199999999999</v>
      </c>
    </row>
    <row r="914" spans="1:11" ht="15">
      <c r="A914" s="13">
        <v>69307</v>
      </c>
      <c r="B914" s="63">
        <f>15.7699 * CHOOSE(CONTROL!$C$22, $C$13, 100%, $E$13)</f>
        <v>15.7699</v>
      </c>
      <c r="C914" s="63">
        <f>15.7699 * CHOOSE(CONTROL!$C$22, $C$13, 100%, $E$13)</f>
        <v>15.7699</v>
      </c>
      <c r="D914" s="63">
        <f>15.7699 * CHOOSE(CONTROL!$C$22, $C$13, 100%, $E$13)</f>
        <v>15.7699</v>
      </c>
      <c r="E914" s="64">
        <f>17.8071 * CHOOSE(CONTROL!$C$22, $C$13, 100%, $E$13)</f>
        <v>17.807099999999998</v>
      </c>
      <c r="F914" s="64">
        <f>17.8071 * CHOOSE(CONTROL!$C$22, $C$13, 100%, $E$13)</f>
        <v>17.807099999999998</v>
      </c>
      <c r="G914" s="64">
        <f>17.8072 * CHOOSE(CONTROL!$C$22, $C$13, 100%, $E$13)</f>
        <v>17.807200000000002</v>
      </c>
      <c r="H914" s="64">
        <f>29.3879* CHOOSE(CONTROL!$C$22, $C$13, 100%, $E$13)</f>
        <v>29.387899999999998</v>
      </c>
      <c r="I914" s="64">
        <f>29.388 * CHOOSE(CONTROL!$C$22, $C$13, 100%, $E$13)</f>
        <v>29.388000000000002</v>
      </c>
      <c r="J914" s="64">
        <f>17.8071 * CHOOSE(CONTROL!$C$22, $C$13, 100%, $E$13)</f>
        <v>17.807099999999998</v>
      </c>
      <c r="K914" s="64">
        <f>17.8072 * CHOOSE(CONTROL!$C$22, $C$13, 100%, $E$13)</f>
        <v>17.807200000000002</v>
      </c>
    </row>
    <row r="915" spans="1:11" ht="15">
      <c r="A915" s="13">
        <v>69338</v>
      </c>
      <c r="B915" s="63">
        <f>15.773 * CHOOSE(CONTROL!$C$22, $C$13, 100%, $E$13)</f>
        <v>15.773</v>
      </c>
      <c r="C915" s="63">
        <f>15.773 * CHOOSE(CONTROL!$C$22, $C$13, 100%, $E$13)</f>
        <v>15.773</v>
      </c>
      <c r="D915" s="63">
        <f>15.773 * CHOOSE(CONTROL!$C$22, $C$13, 100%, $E$13)</f>
        <v>15.773</v>
      </c>
      <c r="E915" s="64">
        <f>17.8758 * CHOOSE(CONTROL!$C$22, $C$13, 100%, $E$13)</f>
        <v>17.875800000000002</v>
      </c>
      <c r="F915" s="64">
        <f>17.8758 * CHOOSE(CONTROL!$C$22, $C$13, 100%, $E$13)</f>
        <v>17.875800000000002</v>
      </c>
      <c r="G915" s="64">
        <f>17.8758 * CHOOSE(CONTROL!$C$22, $C$13, 100%, $E$13)</f>
        <v>17.875800000000002</v>
      </c>
      <c r="H915" s="64">
        <f>29.4491* CHOOSE(CONTROL!$C$22, $C$13, 100%, $E$13)</f>
        <v>29.449100000000001</v>
      </c>
      <c r="I915" s="64">
        <f>29.4492 * CHOOSE(CONTROL!$C$22, $C$13, 100%, $E$13)</f>
        <v>29.449200000000001</v>
      </c>
      <c r="J915" s="64">
        <f>17.8758 * CHOOSE(CONTROL!$C$22, $C$13, 100%, $E$13)</f>
        <v>17.875800000000002</v>
      </c>
      <c r="K915" s="64">
        <f>17.8758 * CHOOSE(CONTROL!$C$22, $C$13, 100%, $E$13)</f>
        <v>17.875800000000002</v>
      </c>
    </row>
    <row r="916" spans="1:11" ht="15">
      <c r="A916" s="13">
        <v>69368</v>
      </c>
      <c r="B916" s="63">
        <f>15.773 * CHOOSE(CONTROL!$C$22, $C$13, 100%, $E$13)</f>
        <v>15.773</v>
      </c>
      <c r="C916" s="63">
        <f>15.773 * CHOOSE(CONTROL!$C$22, $C$13, 100%, $E$13)</f>
        <v>15.773</v>
      </c>
      <c r="D916" s="63">
        <f>15.773 * CHOOSE(CONTROL!$C$22, $C$13, 100%, $E$13)</f>
        <v>15.773</v>
      </c>
      <c r="E916" s="64">
        <f>17.7095 * CHOOSE(CONTROL!$C$22, $C$13, 100%, $E$13)</f>
        <v>17.709499999999998</v>
      </c>
      <c r="F916" s="64">
        <f>17.7095 * CHOOSE(CONTROL!$C$22, $C$13, 100%, $E$13)</f>
        <v>17.709499999999998</v>
      </c>
      <c r="G916" s="64">
        <f>17.7096 * CHOOSE(CONTROL!$C$22, $C$13, 100%, $E$13)</f>
        <v>17.709599999999998</v>
      </c>
      <c r="H916" s="64">
        <f>29.5105* CHOOSE(CONTROL!$C$22, $C$13, 100%, $E$13)</f>
        <v>29.5105</v>
      </c>
      <c r="I916" s="64">
        <f>29.5106 * CHOOSE(CONTROL!$C$22, $C$13, 100%, $E$13)</f>
        <v>29.5106</v>
      </c>
      <c r="J916" s="64">
        <f>17.7095 * CHOOSE(CONTROL!$C$22, $C$13, 100%, $E$13)</f>
        <v>17.709499999999998</v>
      </c>
      <c r="K916" s="64">
        <f>17.7096 * CHOOSE(CONTROL!$C$22, $C$13, 100%, $E$13)</f>
        <v>17.709599999999998</v>
      </c>
    </row>
    <row r="917" spans="1:11" ht="15">
      <c r="A917" s="13">
        <v>69399</v>
      </c>
      <c r="B917" s="63">
        <f>15.7277 * CHOOSE(CONTROL!$C$22, $C$13, 100%, $E$13)</f>
        <v>15.7277</v>
      </c>
      <c r="C917" s="63">
        <f>15.7277 * CHOOSE(CONTROL!$C$22, $C$13, 100%, $E$13)</f>
        <v>15.7277</v>
      </c>
      <c r="D917" s="63">
        <f>15.7277 * CHOOSE(CONTROL!$C$22, $C$13, 100%, $E$13)</f>
        <v>15.7277</v>
      </c>
      <c r="E917" s="64">
        <f>17.796 * CHOOSE(CONTROL!$C$22, $C$13, 100%, $E$13)</f>
        <v>17.795999999999999</v>
      </c>
      <c r="F917" s="64">
        <f>17.796 * CHOOSE(CONTROL!$C$22, $C$13, 100%, $E$13)</f>
        <v>17.795999999999999</v>
      </c>
      <c r="G917" s="64">
        <f>17.7961 * CHOOSE(CONTROL!$C$22, $C$13, 100%, $E$13)</f>
        <v>17.796099999999999</v>
      </c>
      <c r="H917" s="64">
        <f>29.2696* CHOOSE(CONTROL!$C$22, $C$13, 100%, $E$13)</f>
        <v>29.269600000000001</v>
      </c>
      <c r="I917" s="64">
        <f>29.2697 * CHOOSE(CONTROL!$C$22, $C$13, 100%, $E$13)</f>
        <v>29.2697</v>
      </c>
      <c r="J917" s="64">
        <f>17.796 * CHOOSE(CONTROL!$C$22, $C$13, 100%, $E$13)</f>
        <v>17.795999999999999</v>
      </c>
      <c r="K917" s="64">
        <f>17.7961 * CHOOSE(CONTROL!$C$22, $C$13, 100%, $E$13)</f>
        <v>17.796099999999999</v>
      </c>
    </row>
    <row r="918" spans="1:11" ht="15">
      <c r="A918" s="13">
        <v>69430</v>
      </c>
      <c r="B918" s="63">
        <f>15.7247 * CHOOSE(CONTROL!$C$22, $C$13, 100%, $E$13)</f>
        <v>15.7247</v>
      </c>
      <c r="C918" s="63">
        <f>15.7247 * CHOOSE(CONTROL!$C$22, $C$13, 100%, $E$13)</f>
        <v>15.7247</v>
      </c>
      <c r="D918" s="63">
        <f>15.7247 * CHOOSE(CONTROL!$C$22, $C$13, 100%, $E$13)</f>
        <v>15.7247</v>
      </c>
      <c r="E918" s="64">
        <f>17.4747 * CHOOSE(CONTROL!$C$22, $C$13, 100%, $E$13)</f>
        <v>17.474699999999999</v>
      </c>
      <c r="F918" s="64">
        <f>17.4747 * CHOOSE(CONTROL!$C$22, $C$13, 100%, $E$13)</f>
        <v>17.474699999999999</v>
      </c>
      <c r="G918" s="64">
        <f>17.4748 * CHOOSE(CONTROL!$C$22, $C$13, 100%, $E$13)</f>
        <v>17.474799999999998</v>
      </c>
      <c r="H918" s="64">
        <f>29.3306* CHOOSE(CONTROL!$C$22, $C$13, 100%, $E$13)</f>
        <v>29.3306</v>
      </c>
      <c r="I918" s="64">
        <f>29.3307 * CHOOSE(CONTROL!$C$22, $C$13, 100%, $E$13)</f>
        <v>29.3307</v>
      </c>
      <c r="J918" s="64">
        <f>17.4747 * CHOOSE(CONTROL!$C$22, $C$13, 100%, $E$13)</f>
        <v>17.474699999999999</v>
      </c>
      <c r="K918" s="64">
        <f>17.4748 * CHOOSE(CONTROL!$C$22, $C$13, 100%, $E$13)</f>
        <v>17.474799999999998</v>
      </c>
    </row>
    <row r="919" spans="1:11" ht="15">
      <c r="A919" s="13">
        <v>69458</v>
      </c>
      <c r="B919" s="63">
        <f>15.7217 * CHOOSE(CONTROL!$C$22, $C$13, 100%, $E$13)</f>
        <v>15.7217</v>
      </c>
      <c r="C919" s="63">
        <f>15.7217 * CHOOSE(CONTROL!$C$22, $C$13, 100%, $E$13)</f>
        <v>15.7217</v>
      </c>
      <c r="D919" s="63">
        <f>15.7217 * CHOOSE(CONTROL!$C$22, $C$13, 100%, $E$13)</f>
        <v>15.7217</v>
      </c>
      <c r="E919" s="64">
        <f>17.7242 * CHOOSE(CONTROL!$C$22, $C$13, 100%, $E$13)</f>
        <v>17.7242</v>
      </c>
      <c r="F919" s="64">
        <f>17.7242 * CHOOSE(CONTROL!$C$22, $C$13, 100%, $E$13)</f>
        <v>17.7242</v>
      </c>
      <c r="G919" s="64">
        <f>17.7243 * CHOOSE(CONTROL!$C$22, $C$13, 100%, $E$13)</f>
        <v>17.724299999999999</v>
      </c>
      <c r="H919" s="64">
        <f>29.3917* CHOOSE(CONTROL!$C$22, $C$13, 100%, $E$13)</f>
        <v>29.3917</v>
      </c>
      <c r="I919" s="64">
        <f>29.3918 * CHOOSE(CONTROL!$C$22, $C$13, 100%, $E$13)</f>
        <v>29.3918</v>
      </c>
      <c r="J919" s="64">
        <f>17.7242 * CHOOSE(CONTROL!$C$22, $C$13, 100%, $E$13)</f>
        <v>17.7242</v>
      </c>
      <c r="K919" s="64">
        <f>17.7243 * CHOOSE(CONTROL!$C$22, $C$13, 100%, $E$13)</f>
        <v>17.724299999999999</v>
      </c>
    </row>
    <row r="920" spans="1:11" ht="15">
      <c r="A920" s="13">
        <v>69489</v>
      </c>
      <c r="B920" s="63">
        <f>15.7291 * CHOOSE(CONTROL!$C$22, $C$13, 100%, $E$13)</f>
        <v>15.729100000000001</v>
      </c>
      <c r="C920" s="63">
        <f>15.7291 * CHOOSE(CONTROL!$C$22, $C$13, 100%, $E$13)</f>
        <v>15.729100000000001</v>
      </c>
      <c r="D920" s="63">
        <f>15.7291 * CHOOSE(CONTROL!$C$22, $C$13, 100%, $E$13)</f>
        <v>15.729100000000001</v>
      </c>
      <c r="E920" s="64">
        <f>17.9902 * CHOOSE(CONTROL!$C$22, $C$13, 100%, $E$13)</f>
        <v>17.990200000000002</v>
      </c>
      <c r="F920" s="64">
        <f>17.9902 * CHOOSE(CONTROL!$C$22, $C$13, 100%, $E$13)</f>
        <v>17.990200000000002</v>
      </c>
      <c r="G920" s="64">
        <f>17.9903 * CHOOSE(CONTROL!$C$22, $C$13, 100%, $E$13)</f>
        <v>17.990300000000001</v>
      </c>
      <c r="H920" s="64">
        <f>29.4529* CHOOSE(CONTROL!$C$22, $C$13, 100%, $E$13)</f>
        <v>29.4529</v>
      </c>
      <c r="I920" s="64">
        <f>29.453 * CHOOSE(CONTROL!$C$22, $C$13, 100%, $E$13)</f>
        <v>29.452999999999999</v>
      </c>
      <c r="J920" s="64">
        <f>17.9902 * CHOOSE(CONTROL!$C$22, $C$13, 100%, $E$13)</f>
        <v>17.990200000000002</v>
      </c>
      <c r="K920" s="64">
        <f>17.9903 * CHOOSE(CONTROL!$C$22, $C$13, 100%, $E$13)</f>
        <v>17.990300000000001</v>
      </c>
    </row>
    <row r="921" spans="1:11" ht="15">
      <c r="A921" s="13">
        <v>69519</v>
      </c>
      <c r="B921" s="63">
        <f>15.7291 * CHOOSE(CONTROL!$C$22, $C$13, 100%, $E$13)</f>
        <v>15.729100000000001</v>
      </c>
      <c r="C921" s="63">
        <f>15.7291 * CHOOSE(CONTROL!$C$22, $C$13, 100%, $E$13)</f>
        <v>15.729100000000001</v>
      </c>
      <c r="D921" s="63">
        <f>15.7421 * CHOOSE(CONTROL!$C$22, $C$13, 100%, $E$13)</f>
        <v>15.742100000000001</v>
      </c>
      <c r="E921" s="64">
        <f>18.0916 * CHOOSE(CONTROL!$C$22, $C$13, 100%, $E$13)</f>
        <v>18.0916</v>
      </c>
      <c r="F921" s="64">
        <f>18.0916 * CHOOSE(CONTROL!$C$22, $C$13, 100%, $E$13)</f>
        <v>18.0916</v>
      </c>
      <c r="G921" s="64">
        <f>18.1072 * CHOOSE(CONTROL!$C$22, $C$13, 100%, $E$13)</f>
        <v>18.107199999999999</v>
      </c>
      <c r="H921" s="64">
        <f>29.5143* CHOOSE(CONTROL!$C$22, $C$13, 100%, $E$13)</f>
        <v>29.514299999999999</v>
      </c>
      <c r="I921" s="64">
        <f>29.53 * CHOOSE(CONTROL!$C$22, $C$13, 100%, $E$13)</f>
        <v>29.53</v>
      </c>
      <c r="J921" s="64">
        <f>18.0916 * CHOOSE(CONTROL!$C$22, $C$13, 100%, $E$13)</f>
        <v>18.0916</v>
      </c>
      <c r="K921" s="64">
        <f>18.1072 * CHOOSE(CONTROL!$C$22, $C$13, 100%, $E$13)</f>
        <v>18.107199999999999</v>
      </c>
    </row>
    <row r="922" spans="1:11" ht="15">
      <c r="A922" s="13">
        <v>69550</v>
      </c>
      <c r="B922" s="63">
        <f>15.7352 * CHOOSE(CONTROL!$C$22, $C$13, 100%, $E$13)</f>
        <v>15.735200000000001</v>
      </c>
      <c r="C922" s="63">
        <f>15.7352 * CHOOSE(CONTROL!$C$22, $C$13, 100%, $E$13)</f>
        <v>15.735200000000001</v>
      </c>
      <c r="D922" s="63">
        <f>15.7482 * CHOOSE(CONTROL!$C$22, $C$13, 100%, $E$13)</f>
        <v>15.748200000000001</v>
      </c>
      <c r="E922" s="64">
        <f>17.9945 * CHOOSE(CONTROL!$C$22, $C$13, 100%, $E$13)</f>
        <v>17.994499999999999</v>
      </c>
      <c r="F922" s="64">
        <f>17.9945 * CHOOSE(CONTROL!$C$22, $C$13, 100%, $E$13)</f>
        <v>17.994499999999999</v>
      </c>
      <c r="G922" s="64">
        <f>18.0101 * CHOOSE(CONTROL!$C$22, $C$13, 100%, $E$13)</f>
        <v>18.010100000000001</v>
      </c>
      <c r="H922" s="64">
        <f>29.5758* CHOOSE(CONTROL!$C$22, $C$13, 100%, $E$13)</f>
        <v>29.575800000000001</v>
      </c>
      <c r="I922" s="64">
        <f>29.5915 * CHOOSE(CONTROL!$C$22, $C$13, 100%, $E$13)</f>
        <v>29.5915</v>
      </c>
      <c r="J922" s="64">
        <f>17.9945 * CHOOSE(CONTROL!$C$22, $C$13, 100%, $E$13)</f>
        <v>17.994499999999999</v>
      </c>
      <c r="K922" s="64">
        <f>18.0101 * CHOOSE(CONTROL!$C$22, $C$13, 100%, $E$13)</f>
        <v>18.010100000000001</v>
      </c>
    </row>
    <row r="923" spans="1:11" ht="15">
      <c r="A923" s="13">
        <v>69580</v>
      </c>
      <c r="B923" s="63">
        <f>15.9727 * CHOOSE(CONTROL!$C$22, $C$13, 100%, $E$13)</f>
        <v>15.9727</v>
      </c>
      <c r="C923" s="63">
        <f>15.9727 * CHOOSE(CONTROL!$C$22, $C$13, 100%, $E$13)</f>
        <v>15.9727</v>
      </c>
      <c r="D923" s="63">
        <f>15.9857 * CHOOSE(CONTROL!$C$22, $C$13, 100%, $E$13)</f>
        <v>15.9857</v>
      </c>
      <c r="E923" s="64">
        <f>18.2793 * CHOOSE(CONTROL!$C$22, $C$13, 100%, $E$13)</f>
        <v>18.279299999999999</v>
      </c>
      <c r="F923" s="64">
        <f>18.2793 * CHOOSE(CONTROL!$C$22, $C$13, 100%, $E$13)</f>
        <v>18.279299999999999</v>
      </c>
      <c r="G923" s="64">
        <f>18.295 * CHOOSE(CONTROL!$C$22, $C$13, 100%, $E$13)</f>
        <v>18.295000000000002</v>
      </c>
      <c r="H923" s="64">
        <f>29.6374* CHOOSE(CONTROL!$C$22, $C$13, 100%, $E$13)</f>
        <v>29.6374</v>
      </c>
      <c r="I923" s="64">
        <f>29.6531 * CHOOSE(CONTROL!$C$22, $C$13, 100%, $E$13)</f>
        <v>29.653099999999998</v>
      </c>
      <c r="J923" s="64">
        <f>18.2793 * CHOOSE(CONTROL!$C$22, $C$13, 100%, $E$13)</f>
        <v>18.279299999999999</v>
      </c>
      <c r="K923" s="64">
        <f>18.295 * CHOOSE(CONTROL!$C$22, $C$13, 100%, $E$13)</f>
        <v>18.295000000000002</v>
      </c>
    </row>
    <row r="924" spans="1:11" ht="15">
      <c r="A924" s="13">
        <v>69611</v>
      </c>
      <c r="B924" s="63">
        <f>15.9794 * CHOOSE(CONTROL!$C$22, $C$13, 100%, $E$13)</f>
        <v>15.9794</v>
      </c>
      <c r="C924" s="63">
        <f>15.9794 * CHOOSE(CONTROL!$C$22, $C$13, 100%, $E$13)</f>
        <v>15.9794</v>
      </c>
      <c r="D924" s="63">
        <f>15.9923 * CHOOSE(CONTROL!$C$22, $C$13, 100%, $E$13)</f>
        <v>15.9923</v>
      </c>
      <c r="E924" s="64">
        <f>17.98 * CHOOSE(CONTROL!$C$22, $C$13, 100%, $E$13)</f>
        <v>17.98</v>
      </c>
      <c r="F924" s="64">
        <f>17.98 * CHOOSE(CONTROL!$C$22, $C$13, 100%, $E$13)</f>
        <v>17.98</v>
      </c>
      <c r="G924" s="64">
        <f>17.9956 * CHOOSE(CONTROL!$C$22, $C$13, 100%, $E$13)</f>
        <v>17.9956</v>
      </c>
      <c r="H924" s="64">
        <f>29.6991* CHOOSE(CONTROL!$C$22, $C$13, 100%, $E$13)</f>
        <v>29.699100000000001</v>
      </c>
      <c r="I924" s="64">
        <f>29.7148 * CHOOSE(CONTROL!$C$22, $C$13, 100%, $E$13)</f>
        <v>29.7148</v>
      </c>
      <c r="J924" s="64">
        <f>17.98 * CHOOSE(CONTROL!$C$22, $C$13, 100%, $E$13)</f>
        <v>17.98</v>
      </c>
      <c r="K924" s="64">
        <f>17.9956 * CHOOSE(CONTROL!$C$22, $C$13, 100%, $E$13)</f>
        <v>17.9956</v>
      </c>
    </row>
    <row r="925" spans="1:11" ht="15">
      <c r="A925" s="13">
        <v>69642</v>
      </c>
      <c r="B925" s="63">
        <f>15.9763 * CHOOSE(CONTROL!$C$22, $C$13, 100%, $E$13)</f>
        <v>15.9763</v>
      </c>
      <c r="C925" s="63">
        <f>15.9763 * CHOOSE(CONTROL!$C$22, $C$13, 100%, $E$13)</f>
        <v>15.9763</v>
      </c>
      <c r="D925" s="63">
        <f>15.9893 * CHOOSE(CONTROL!$C$22, $C$13, 100%, $E$13)</f>
        <v>15.9893</v>
      </c>
      <c r="E925" s="64">
        <f>17.9441 * CHOOSE(CONTROL!$C$22, $C$13, 100%, $E$13)</f>
        <v>17.944099999999999</v>
      </c>
      <c r="F925" s="64">
        <f>17.9441 * CHOOSE(CONTROL!$C$22, $C$13, 100%, $E$13)</f>
        <v>17.944099999999999</v>
      </c>
      <c r="G925" s="64">
        <f>17.9598 * CHOOSE(CONTROL!$C$22, $C$13, 100%, $E$13)</f>
        <v>17.959800000000001</v>
      </c>
      <c r="H925" s="64">
        <f>29.761* CHOOSE(CONTROL!$C$22, $C$13, 100%, $E$13)</f>
        <v>29.760999999999999</v>
      </c>
      <c r="I925" s="64">
        <f>29.7767 * CHOOSE(CONTROL!$C$22, $C$13, 100%, $E$13)</f>
        <v>29.776700000000002</v>
      </c>
      <c r="J925" s="64">
        <f>17.9441 * CHOOSE(CONTROL!$C$22, $C$13, 100%, $E$13)</f>
        <v>17.944099999999999</v>
      </c>
      <c r="K925" s="64">
        <f>17.9598 * CHOOSE(CONTROL!$C$22, $C$13, 100%, $E$13)</f>
        <v>17.959800000000001</v>
      </c>
    </row>
    <row r="926" spans="1:11" ht="15">
      <c r="A926" s="13">
        <v>69672</v>
      </c>
      <c r="B926" s="63">
        <f>16.0099 * CHOOSE(CONTROL!$C$22, $C$13, 100%, $E$13)</f>
        <v>16.009899999999998</v>
      </c>
      <c r="C926" s="63">
        <f>16.0099 * CHOOSE(CONTROL!$C$22, $C$13, 100%, $E$13)</f>
        <v>16.009899999999998</v>
      </c>
      <c r="D926" s="63">
        <f>16.0099 * CHOOSE(CONTROL!$C$22, $C$13, 100%, $E$13)</f>
        <v>16.009899999999998</v>
      </c>
      <c r="E926" s="64">
        <f>18.0658 * CHOOSE(CONTROL!$C$22, $C$13, 100%, $E$13)</f>
        <v>18.065799999999999</v>
      </c>
      <c r="F926" s="64">
        <f>18.0658 * CHOOSE(CONTROL!$C$22, $C$13, 100%, $E$13)</f>
        <v>18.065799999999999</v>
      </c>
      <c r="G926" s="64">
        <f>18.0658 * CHOOSE(CONTROL!$C$22, $C$13, 100%, $E$13)</f>
        <v>18.065799999999999</v>
      </c>
      <c r="H926" s="64">
        <f>29.823* CHOOSE(CONTROL!$C$22, $C$13, 100%, $E$13)</f>
        <v>29.823</v>
      </c>
      <c r="I926" s="64">
        <f>29.8231 * CHOOSE(CONTROL!$C$22, $C$13, 100%, $E$13)</f>
        <v>29.8231</v>
      </c>
      <c r="J926" s="64">
        <f>18.0658 * CHOOSE(CONTROL!$C$22, $C$13, 100%, $E$13)</f>
        <v>18.065799999999999</v>
      </c>
      <c r="K926" s="64">
        <f>18.0658 * CHOOSE(CONTROL!$C$22, $C$13, 100%, $E$13)</f>
        <v>18.065799999999999</v>
      </c>
    </row>
    <row r="927" spans="1:11" ht="15">
      <c r="A927" s="13">
        <v>69703</v>
      </c>
      <c r="B927" s="63">
        <f>16.0129 * CHOOSE(CONTROL!$C$22, $C$13, 100%, $E$13)</f>
        <v>16.012899999999998</v>
      </c>
      <c r="C927" s="63">
        <f>16.0129 * CHOOSE(CONTROL!$C$22, $C$13, 100%, $E$13)</f>
        <v>16.012899999999998</v>
      </c>
      <c r="D927" s="63">
        <f>16.0129 * CHOOSE(CONTROL!$C$22, $C$13, 100%, $E$13)</f>
        <v>16.012899999999998</v>
      </c>
      <c r="E927" s="64">
        <f>18.1354 * CHOOSE(CONTROL!$C$22, $C$13, 100%, $E$13)</f>
        <v>18.135400000000001</v>
      </c>
      <c r="F927" s="64">
        <f>18.1354 * CHOOSE(CONTROL!$C$22, $C$13, 100%, $E$13)</f>
        <v>18.135400000000001</v>
      </c>
      <c r="G927" s="64">
        <f>18.1355 * CHOOSE(CONTROL!$C$22, $C$13, 100%, $E$13)</f>
        <v>18.1355</v>
      </c>
      <c r="H927" s="64">
        <f>29.8851* CHOOSE(CONTROL!$C$22, $C$13, 100%, $E$13)</f>
        <v>29.885100000000001</v>
      </c>
      <c r="I927" s="64">
        <f>29.8852 * CHOOSE(CONTROL!$C$22, $C$13, 100%, $E$13)</f>
        <v>29.885200000000001</v>
      </c>
      <c r="J927" s="64">
        <f>18.1354 * CHOOSE(CONTROL!$C$22, $C$13, 100%, $E$13)</f>
        <v>18.135400000000001</v>
      </c>
      <c r="K927" s="64">
        <f>18.1355 * CHOOSE(CONTROL!$C$22, $C$13, 100%, $E$13)</f>
        <v>18.1355</v>
      </c>
    </row>
    <row r="928" spans="1:11" ht="15">
      <c r="A928" s="13">
        <v>69733</v>
      </c>
      <c r="B928" s="63">
        <f>16.0129 * CHOOSE(CONTROL!$C$22, $C$13, 100%, $E$13)</f>
        <v>16.012899999999998</v>
      </c>
      <c r="C928" s="63">
        <f>16.0129 * CHOOSE(CONTROL!$C$22, $C$13, 100%, $E$13)</f>
        <v>16.012899999999998</v>
      </c>
      <c r="D928" s="63">
        <f>16.0129 * CHOOSE(CONTROL!$C$22, $C$13, 100%, $E$13)</f>
        <v>16.012899999999998</v>
      </c>
      <c r="E928" s="64">
        <f>17.9666 * CHOOSE(CONTROL!$C$22, $C$13, 100%, $E$13)</f>
        <v>17.9666</v>
      </c>
      <c r="F928" s="64">
        <f>17.9666 * CHOOSE(CONTROL!$C$22, $C$13, 100%, $E$13)</f>
        <v>17.9666</v>
      </c>
      <c r="G928" s="64">
        <f>17.9666 * CHOOSE(CONTROL!$C$22, $C$13, 100%, $E$13)</f>
        <v>17.9666</v>
      </c>
      <c r="H928" s="64">
        <f>29.9474* CHOOSE(CONTROL!$C$22, $C$13, 100%, $E$13)</f>
        <v>29.947399999999998</v>
      </c>
      <c r="I928" s="64">
        <f>29.9475 * CHOOSE(CONTROL!$C$22, $C$13, 100%, $E$13)</f>
        <v>29.947500000000002</v>
      </c>
      <c r="J928" s="64">
        <f>17.9666 * CHOOSE(CONTROL!$C$22, $C$13, 100%, $E$13)</f>
        <v>17.9666</v>
      </c>
      <c r="K928" s="64">
        <f>17.9666 * CHOOSE(CONTROL!$C$22, $C$13, 100%, $E$13)</f>
        <v>17.9666</v>
      </c>
    </row>
    <row r="929" spans="1:11" ht="15">
      <c r="A929" s="13">
        <v>69764</v>
      </c>
      <c r="B929" s="63">
        <f>15.9633 * CHOOSE(CONTROL!$C$22, $C$13, 100%, $E$13)</f>
        <v>15.9633</v>
      </c>
      <c r="C929" s="63">
        <f>15.9633 * CHOOSE(CONTROL!$C$22, $C$13, 100%, $E$13)</f>
        <v>15.9633</v>
      </c>
      <c r="D929" s="63">
        <f>15.9633 * CHOOSE(CONTROL!$C$22, $C$13, 100%, $E$13)</f>
        <v>15.9633</v>
      </c>
      <c r="E929" s="64">
        <f>18.0508 * CHOOSE(CONTROL!$C$22, $C$13, 100%, $E$13)</f>
        <v>18.050799999999999</v>
      </c>
      <c r="F929" s="64">
        <f>18.0508 * CHOOSE(CONTROL!$C$22, $C$13, 100%, $E$13)</f>
        <v>18.050799999999999</v>
      </c>
      <c r="G929" s="64">
        <f>18.0508 * CHOOSE(CONTROL!$C$22, $C$13, 100%, $E$13)</f>
        <v>18.050799999999999</v>
      </c>
      <c r="H929" s="64">
        <f>29.6966* CHOOSE(CONTROL!$C$22, $C$13, 100%, $E$13)</f>
        <v>29.6966</v>
      </c>
      <c r="I929" s="64">
        <f>29.6967 * CHOOSE(CONTROL!$C$22, $C$13, 100%, $E$13)</f>
        <v>29.6967</v>
      </c>
      <c r="J929" s="64">
        <f>18.0508 * CHOOSE(CONTROL!$C$22, $C$13, 100%, $E$13)</f>
        <v>18.050799999999999</v>
      </c>
      <c r="K929" s="64">
        <f>18.0508 * CHOOSE(CONTROL!$C$22, $C$13, 100%, $E$13)</f>
        <v>18.050799999999999</v>
      </c>
    </row>
    <row r="930" spans="1:11" ht="15">
      <c r="A930" s="13">
        <v>69795</v>
      </c>
      <c r="B930" s="63">
        <f>15.9603 * CHOOSE(CONTROL!$C$22, $C$13, 100%, $E$13)</f>
        <v>15.9603</v>
      </c>
      <c r="C930" s="63">
        <f>15.9603 * CHOOSE(CONTROL!$C$22, $C$13, 100%, $E$13)</f>
        <v>15.9603</v>
      </c>
      <c r="D930" s="63">
        <f>15.9603 * CHOOSE(CONTROL!$C$22, $C$13, 100%, $E$13)</f>
        <v>15.9603</v>
      </c>
      <c r="E930" s="64">
        <f>17.7245 * CHOOSE(CONTROL!$C$22, $C$13, 100%, $E$13)</f>
        <v>17.724499999999999</v>
      </c>
      <c r="F930" s="64">
        <f>17.7245 * CHOOSE(CONTROL!$C$22, $C$13, 100%, $E$13)</f>
        <v>17.724499999999999</v>
      </c>
      <c r="G930" s="64">
        <f>17.7246 * CHOOSE(CONTROL!$C$22, $C$13, 100%, $E$13)</f>
        <v>17.724599999999999</v>
      </c>
      <c r="H930" s="64">
        <f>29.7585* CHOOSE(CONTROL!$C$22, $C$13, 100%, $E$13)</f>
        <v>29.758500000000002</v>
      </c>
      <c r="I930" s="64">
        <f>29.7586 * CHOOSE(CONTROL!$C$22, $C$13, 100%, $E$13)</f>
        <v>29.758600000000001</v>
      </c>
      <c r="J930" s="64">
        <f>17.7245 * CHOOSE(CONTROL!$C$22, $C$13, 100%, $E$13)</f>
        <v>17.724499999999999</v>
      </c>
      <c r="K930" s="64">
        <f>17.7246 * CHOOSE(CONTROL!$C$22, $C$13, 100%, $E$13)</f>
        <v>17.724599999999999</v>
      </c>
    </row>
    <row r="931" spans="1:11" ht="15">
      <c r="A931" s="13">
        <v>69823</v>
      </c>
      <c r="B931" s="63">
        <f>15.9572 * CHOOSE(CONTROL!$C$22, $C$13, 100%, $E$13)</f>
        <v>15.9572</v>
      </c>
      <c r="C931" s="63">
        <f>15.9572 * CHOOSE(CONTROL!$C$22, $C$13, 100%, $E$13)</f>
        <v>15.9572</v>
      </c>
      <c r="D931" s="63">
        <f>15.9572 * CHOOSE(CONTROL!$C$22, $C$13, 100%, $E$13)</f>
        <v>15.9572</v>
      </c>
      <c r="E931" s="64">
        <f>17.9779 * CHOOSE(CONTROL!$C$22, $C$13, 100%, $E$13)</f>
        <v>17.977900000000002</v>
      </c>
      <c r="F931" s="64">
        <f>17.9779 * CHOOSE(CONTROL!$C$22, $C$13, 100%, $E$13)</f>
        <v>17.977900000000002</v>
      </c>
      <c r="G931" s="64">
        <f>17.978 * CHOOSE(CONTROL!$C$22, $C$13, 100%, $E$13)</f>
        <v>17.978000000000002</v>
      </c>
      <c r="H931" s="64">
        <f>29.8205* CHOOSE(CONTROL!$C$22, $C$13, 100%, $E$13)</f>
        <v>29.820499999999999</v>
      </c>
      <c r="I931" s="64">
        <f>29.8206 * CHOOSE(CONTROL!$C$22, $C$13, 100%, $E$13)</f>
        <v>29.820599999999999</v>
      </c>
      <c r="J931" s="64">
        <f>17.9779 * CHOOSE(CONTROL!$C$22, $C$13, 100%, $E$13)</f>
        <v>17.977900000000002</v>
      </c>
      <c r="K931" s="64">
        <f>17.978 * CHOOSE(CONTROL!$C$22, $C$13, 100%, $E$13)</f>
        <v>17.978000000000002</v>
      </c>
    </row>
    <row r="932" spans="1:11" ht="15">
      <c r="A932" s="13">
        <v>69854</v>
      </c>
      <c r="B932" s="63">
        <f>15.9649 * CHOOSE(CONTROL!$C$22, $C$13, 100%, $E$13)</f>
        <v>15.9649</v>
      </c>
      <c r="C932" s="63">
        <f>15.9649 * CHOOSE(CONTROL!$C$22, $C$13, 100%, $E$13)</f>
        <v>15.9649</v>
      </c>
      <c r="D932" s="63">
        <f>15.9649 * CHOOSE(CONTROL!$C$22, $C$13, 100%, $E$13)</f>
        <v>15.9649</v>
      </c>
      <c r="E932" s="64">
        <f>18.2481 * CHOOSE(CONTROL!$C$22, $C$13, 100%, $E$13)</f>
        <v>18.248100000000001</v>
      </c>
      <c r="F932" s="64">
        <f>18.2481 * CHOOSE(CONTROL!$C$22, $C$13, 100%, $E$13)</f>
        <v>18.248100000000001</v>
      </c>
      <c r="G932" s="64">
        <f>18.2482 * CHOOSE(CONTROL!$C$22, $C$13, 100%, $E$13)</f>
        <v>18.248200000000001</v>
      </c>
      <c r="H932" s="64">
        <f>29.8826* CHOOSE(CONTROL!$C$22, $C$13, 100%, $E$13)</f>
        <v>29.8826</v>
      </c>
      <c r="I932" s="64">
        <f>29.8827 * CHOOSE(CONTROL!$C$22, $C$13, 100%, $E$13)</f>
        <v>29.8827</v>
      </c>
      <c r="J932" s="64">
        <f>18.2481 * CHOOSE(CONTROL!$C$22, $C$13, 100%, $E$13)</f>
        <v>18.248100000000001</v>
      </c>
      <c r="K932" s="64">
        <f>18.2482 * CHOOSE(CONTROL!$C$22, $C$13, 100%, $E$13)</f>
        <v>18.248200000000001</v>
      </c>
    </row>
    <row r="933" spans="1:11" ht="15">
      <c r="A933" s="13">
        <v>69884</v>
      </c>
      <c r="B933" s="63">
        <f>15.9649 * CHOOSE(CONTROL!$C$22, $C$13, 100%, $E$13)</f>
        <v>15.9649</v>
      </c>
      <c r="C933" s="63">
        <f>15.9649 * CHOOSE(CONTROL!$C$22, $C$13, 100%, $E$13)</f>
        <v>15.9649</v>
      </c>
      <c r="D933" s="63">
        <f>15.9778 * CHOOSE(CONTROL!$C$22, $C$13, 100%, $E$13)</f>
        <v>15.9778</v>
      </c>
      <c r="E933" s="64">
        <f>18.351 * CHOOSE(CONTROL!$C$22, $C$13, 100%, $E$13)</f>
        <v>18.350999999999999</v>
      </c>
      <c r="F933" s="64">
        <f>18.351 * CHOOSE(CONTROL!$C$22, $C$13, 100%, $E$13)</f>
        <v>18.350999999999999</v>
      </c>
      <c r="G933" s="64">
        <f>18.3667 * CHOOSE(CONTROL!$C$22, $C$13, 100%, $E$13)</f>
        <v>18.366700000000002</v>
      </c>
      <c r="H933" s="64">
        <f>29.9449* CHOOSE(CONTROL!$C$22, $C$13, 100%, $E$13)</f>
        <v>29.944900000000001</v>
      </c>
      <c r="I933" s="64">
        <f>29.9606 * CHOOSE(CONTROL!$C$22, $C$13, 100%, $E$13)</f>
        <v>29.960599999999999</v>
      </c>
      <c r="J933" s="64">
        <f>18.351 * CHOOSE(CONTROL!$C$22, $C$13, 100%, $E$13)</f>
        <v>18.350999999999999</v>
      </c>
      <c r="K933" s="64">
        <f>18.3667 * CHOOSE(CONTROL!$C$22, $C$13, 100%, $E$13)</f>
        <v>18.366700000000002</v>
      </c>
    </row>
    <row r="934" spans="1:11" ht="15">
      <c r="A934" s="13">
        <v>69915</v>
      </c>
      <c r="B934" s="63">
        <f>15.971 * CHOOSE(CONTROL!$C$22, $C$13, 100%, $E$13)</f>
        <v>15.971</v>
      </c>
      <c r="C934" s="63">
        <f>15.971 * CHOOSE(CONTROL!$C$22, $C$13, 100%, $E$13)</f>
        <v>15.971</v>
      </c>
      <c r="D934" s="63">
        <f>15.9839 * CHOOSE(CONTROL!$C$22, $C$13, 100%, $E$13)</f>
        <v>15.9839</v>
      </c>
      <c r="E934" s="64">
        <f>18.2523 * CHOOSE(CONTROL!$C$22, $C$13, 100%, $E$13)</f>
        <v>18.252300000000002</v>
      </c>
      <c r="F934" s="64">
        <f>18.2523 * CHOOSE(CONTROL!$C$22, $C$13, 100%, $E$13)</f>
        <v>18.252300000000002</v>
      </c>
      <c r="G934" s="64">
        <f>18.268 * CHOOSE(CONTROL!$C$22, $C$13, 100%, $E$13)</f>
        <v>18.268000000000001</v>
      </c>
      <c r="H934" s="64">
        <f>30.0073* CHOOSE(CONTROL!$C$22, $C$13, 100%, $E$13)</f>
        <v>30.007300000000001</v>
      </c>
      <c r="I934" s="64">
        <f>30.0229 * CHOOSE(CONTROL!$C$22, $C$13, 100%, $E$13)</f>
        <v>30.0229</v>
      </c>
      <c r="J934" s="64">
        <f>18.2523 * CHOOSE(CONTROL!$C$22, $C$13, 100%, $E$13)</f>
        <v>18.252300000000002</v>
      </c>
      <c r="K934" s="64">
        <f>18.268 * CHOOSE(CONTROL!$C$22, $C$13, 100%, $E$13)</f>
        <v>18.268000000000001</v>
      </c>
    </row>
    <row r="935" spans="1:11" ht="15">
      <c r="A935" s="13">
        <v>69945</v>
      </c>
      <c r="B935" s="63">
        <f>16.2119 * CHOOSE(CONTROL!$C$22, $C$13, 100%, $E$13)</f>
        <v>16.2119</v>
      </c>
      <c r="C935" s="63">
        <f>16.2119 * CHOOSE(CONTROL!$C$22, $C$13, 100%, $E$13)</f>
        <v>16.2119</v>
      </c>
      <c r="D935" s="63">
        <f>16.2248 * CHOOSE(CONTROL!$C$22, $C$13, 100%, $E$13)</f>
        <v>16.224799999999998</v>
      </c>
      <c r="E935" s="64">
        <f>18.5411 * CHOOSE(CONTROL!$C$22, $C$13, 100%, $E$13)</f>
        <v>18.5411</v>
      </c>
      <c r="F935" s="64">
        <f>18.5411 * CHOOSE(CONTROL!$C$22, $C$13, 100%, $E$13)</f>
        <v>18.5411</v>
      </c>
      <c r="G935" s="64">
        <f>18.5568 * CHOOSE(CONTROL!$C$22, $C$13, 100%, $E$13)</f>
        <v>18.556799999999999</v>
      </c>
      <c r="H935" s="64">
        <f>30.0698* CHOOSE(CONTROL!$C$22, $C$13, 100%, $E$13)</f>
        <v>30.069800000000001</v>
      </c>
      <c r="I935" s="64">
        <f>30.0855 * CHOOSE(CONTROL!$C$22, $C$13, 100%, $E$13)</f>
        <v>30.0855</v>
      </c>
      <c r="J935" s="64">
        <f>18.5411 * CHOOSE(CONTROL!$C$22, $C$13, 100%, $E$13)</f>
        <v>18.5411</v>
      </c>
      <c r="K935" s="64">
        <f>18.5568 * CHOOSE(CONTROL!$C$22, $C$13, 100%, $E$13)</f>
        <v>18.556799999999999</v>
      </c>
    </row>
    <row r="936" spans="1:11" ht="15">
      <c r="A936" s="13">
        <v>69976</v>
      </c>
      <c r="B936" s="63">
        <f>16.2185 * CHOOSE(CONTROL!$C$22, $C$13, 100%, $E$13)</f>
        <v>16.218499999999999</v>
      </c>
      <c r="C936" s="63">
        <f>16.2185 * CHOOSE(CONTROL!$C$22, $C$13, 100%, $E$13)</f>
        <v>16.218499999999999</v>
      </c>
      <c r="D936" s="63">
        <f>16.2315 * CHOOSE(CONTROL!$C$22, $C$13, 100%, $E$13)</f>
        <v>16.2315</v>
      </c>
      <c r="E936" s="64">
        <f>18.237 * CHOOSE(CONTROL!$C$22, $C$13, 100%, $E$13)</f>
        <v>18.236999999999998</v>
      </c>
      <c r="F936" s="64">
        <f>18.237 * CHOOSE(CONTROL!$C$22, $C$13, 100%, $E$13)</f>
        <v>18.236999999999998</v>
      </c>
      <c r="G936" s="64">
        <f>18.2527 * CHOOSE(CONTROL!$C$22, $C$13, 100%, $E$13)</f>
        <v>18.252700000000001</v>
      </c>
      <c r="H936" s="64">
        <f>30.1324* CHOOSE(CONTROL!$C$22, $C$13, 100%, $E$13)</f>
        <v>30.132400000000001</v>
      </c>
      <c r="I936" s="64">
        <f>30.1481 * CHOOSE(CONTROL!$C$22, $C$13, 100%, $E$13)</f>
        <v>30.148099999999999</v>
      </c>
      <c r="J936" s="64">
        <f>18.237 * CHOOSE(CONTROL!$C$22, $C$13, 100%, $E$13)</f>
        <v>18.236999999999998</v>
      </c>
      <c r="K936" s="64">
        <f>18.2527 * CHOOSE(CONTROL!$C$22, $C$13, 100%, $E$13)</f>
        <v>18.252700000000001</v>
      </c>
    </row>
    <row r="937" spans="1:11" ht="15">
      <c r="A937" s="13">
        <v>70007</v>
      </c>
      <c r="B937" s="63">
        <f>16.2155 * CHOOSE(CONTROL!$C$22, $C$13, 100%, $E$13)</f>
        <v>16.215499999999999</v>
      </c>
      <c r="C937" s="63">
        <f>16.2155 * CHOOSE(CONTROL!$C$22, $C$13, 100%, $E$13)</f>
        <v>16.215499999999999</v>
      </c>
      <c r="D937" s="63">
        <f>16.2285 * CHOOSE(CONTROL!$C$22, $C$13, 100%, $E$13)</f>
        <v>16.2285</v>
      </c>
      <c r="E937" s="64">
        <f>18.2006 * CHOOSE(CONTROL!$C$22, $C$13, 100%, $E$13)</f>
        <v>18.200600000000001</v>
      </c>
      <c r="F937" s="64">
        <f>18.2006 * CHOOSE(CONTROL!$C$22, $C$13, 100%, $E$13)</f>
        <v>18.200600000000001</v>
      </c>
      <c r="G937" s="64">
        <f>18.2163 * CHOOSE(CONTROL!$C$22, $C$13, 100%, $E$13)</f>
        <v>18.2163</v>
      </c>
      <c r="H937" s="64">
        <f>30.1952* CHOOSE(CONTROL!$C$22, $C$13, 100%, $E$13)</f>
        <v>30.1952</v>
      </c>
      <c r="I937" s="64">
        <f>30.2109 * CHOOSE(CONTROL!$C$22, $C$13, 100%, $E$13)</f>
        <v>30.210899999999999</v>
      </c>
      <c r="J937" s="64">
        <f>18.2006 * CHOOSE(CONTROL!$C$22, $C$13, 100%, $E$13)</f>
        <v>18.200600000000001</v>
      </c>
      <c r="K937" s="64">
        <f>18.2163 * CHOOSE(CONTROL!$C$22, $C$13, 100%, $E$13)</f>
        <v>18.2163</v>
      </c>
    </row>
    <row r="938" spans="1:11" ht="15">
      <c r="A938" s="13">
        <v>70037</v>
      </c>
      <c r="B938" s="63">
        <f>16.2498 * CHOOSE(CONTROL!$C$22, $C$13, 100%, $E$13)</f>
        <v>16.2498</v>
      </c>
      <c r="C938" s="63">
        <f>16.2498 * CHOOSE(CONTROL!$C$22, $C$13, 100%, $E$13)</f>
        <v>16.2498</v>
      </c>
      <c r="D938" s="63">
        <f>16.2498 * CHOOSE(CONTROL!$C$22, $C$13, 100%, $E$13)</f>
        <v>16.2498</v>
      </c>
      <c r="E938" s="64">
        <f>18.3244 * CHOOSE(CONTROL!$C$22, $C$13, 100%, $E$13)</f>
        <v>18.324400000000001</v>
      </c>
      <c r="F938" s="64">
        <f>18.3244 * CHOOSE(CONTROL!$C$22, $C$13, 100%, $E$13)</f>
        <v>18.324400000000001</v>
      </c>
      <c r="G938" s="64">
        <f>18.3245 * CHOOSE(CONTROL!$C$22, $C$13, 100%, $E$13)</f>
        <v>18.3245</v>
      </c>
      <c r="H938" s="64">
        <f>30.2581* CHOOSE(CONTROL!$C$22, $C$13, 100%, $E$13)</f>
        <v>30.258099999999999</v>
      </c>
      <c r="I938" s="64">
        <f>30.2582 * CHOOSE(CONTROL!$C$22, $C$13, 100%, $E$13)</f>
        <v>30.258199999999999</v>
      </c>
      <c r="J938" s="64">
        <f>18.3244 * CHOOSE(CONTROL!$C$22, $C$13, 100%, $E$13)</f>
        <v>18.324400000000001</v>
      </c>
      <c r="K938" s="64">
        <f>18.3245 * CHOOSE(CONTROL!$C$22, $C$13, 100%, $E$13)</f>
        <v>18.3245</v>
      </c>
    </row>
    <row r="939" spans="1:11" ht="15">
      <c r="A939" s="13">
        <v>70068</v>
      </c>
      <c r="B939" s="63">
        <f>16.2529 * CHOOSE(CONTROL!$C$22, $C$13, 100%, $E$13)</f>
        <v>16.2529</v>
      </c>
      <c r="C939" s="63">
        <f>16.2529 * CHOOSE(CONTROL!$C$22, $C$13, 100%, $E$13)</f>
        <v>16.2529</v>
      </c>
      <c r="D939" s="63">
        <f>16.2529 * CHOOSE(CONTROL!$C$22, $C$13, 100%, $E$13)</f>
        <v>16.2529</v>
      </c>
      <c r="E939" s="64">
        <f>18.3951 * CHOOSE(CONTROL!$C$22, $C$13, 100%, $E$13)</f>
        <v>18.395099999999999</v>
      </c>
      <c r="F939" s="64">
        <f>18.3951 * CHOOSE(CONTROL!$C$22, $C$13, 100%, $E$13)</f>
        <v>18.395099999999999</v>
      </c>
      <c r="G939" s="64">
        <f>18.3952 * CHOOSE(CONTROL!$C$22, $C$13, 100%, $E$13)</f>
        <v>18.395199999999999</v>
      </c>
      <c r="H939" s="64">
        <f>30.3211* CHOOSE(CONTROL!$C$22, $C$13, 100%, $E$13)</f>
        <v>30.321100000000001</v>
      </c>
      <c r="I939" s="64">
        <f>30.3212 * CHOOSE(CONTROL!$C$22, $C$13, 100%, $E$13)</f>
        <v>30.321200000000001</v>
      </c>
      <c r="J939" s="64">
        <f>18.3951 * CHOOSE(CONTROL!$C$22, $C$13, 100%, $E$13)</f>
        <v>18.395099999999999</v>
      </c>
      <c r="K939" s="64">
        <f>18.3952 * CHOOSE(CONTROL!$C$22, $C$13, 100%, $E$13)</f>
        <v>18.395199999999999</v>
      </c>
    </row>
    <row r="940" spans="1:11" ht="15">
      <c r="A940" s="13">
        <v>70098</v>
      </c>
      <c r="B940" s="63">
        <f>16.2529 * CHOOSE(CONTROL!$C$22, $C$13, 100%, $E$13)</f>
        <v>16.2529</v>
      </c>
      <c r="C940" s="63">
        <f>16.2529 * CHOOSE(CONTROL!$C$22, $C$13, 100%, $E$13)</f>
        <v>16.2529</v>
      </c>
      <c r="D940" s="63">
        <f>16.2529 * CHOOSE(CONTROL!$C$22, $C$13, 100%, $E$13)</f>
        <v>16.2529</v>
      </c>
      <c r="E940" s="64">
        <f>18.2236 * CHOOSE(CONTROL!$C$22, $C$13, 100%, $E$13)</f>
        <v>18.223600000000001</v>
      </c>
      <c r="F940" s="64">
        <f>18.2236 * CHOOSE(CONTROL!$C$22, $C$13, 100%, $E$13)</f>
        <v>18.223600000000001</v>
      </c>
      <c r="G940" s="64">
        <f>18.2237 * CHOOSE(CONTROL!$C$22, $C$13, 100%, $E$13)</f>
        <v>18.223700000000001</v>
      </c>
      <c r="H940" s="64">
        <f>30.3843* CHOOSE(CONTROL!$C$22, $C$13, 100%, $E$13)</f>
        <v>30.3843</v>
      </c>
      <c r="I940" s="64">
        <f>30.3844 * CHOOSE(CONTROL!$C$22, $C$13, 100%, $E$13)</f>
        <v>30.384399999999999</v>
      </c>
      <c r="J940" s="64">
        <f>18.2236 * CHOOSE(CONTROL!$C$22, $C$13, 100%, $E$13)</f>
        <v>18.223600000000001</v>
      </c>
      <c r="K940" s="64">
        <f>18.2237 * CHOOSE(CONTROL!$C$22, $C$13, 100%, $E$13)</f>
        <v>18.223700000000001</v>
      </c>
    </row>
    <row r="941" spans="1:11" ht="15">
      <c r="A941" s="13">
        <v>70129</v>
      </c>
      <c r="B941" s="63">
        <f>16.1989 * CHOOSE(CONTROL!$C$22, $C$13, 100%, $E$13)</f>
        <v>16.198899999999998</v>
      </c>
      <c r="C941" s="63">
        <f>16.1989 * CHOOSE(CONTROL!$C$22, $C$13, 100%, $E$13)</f>
        <v>16.198899999999998</v>
      </c>
      <c r="D941" s="63">
        <f>16.1989 * CHOOSE(CONTROL!$C$22, $C$13, 100%, $E$13)</f>
        <v>16.198899999999998</v>
      </c>
      <c r="E941" s="64">
        <f>18.3055 * CHOOSE(CONTROL!$C$22, $C$13, 100%, $E$13)</f>
        <v>18.305499999999999</v>
      </c>
      <c r="F941" s="64">
        <f>18.3055 * CHOOSE(CONTROL!$C$22, $C$13, 100%, $E$13)</f>
        <v>18.305499999999999</v>
      </c>
      <c r="G941" s="64">
        <f>18.3056 * CHOOSE(CONTROL!$C$22, $C$13, 100%, $E$13)</f>
        <v>18.305599999999998</v>
      </c>
      <c r="H941" s="64">
        <f>30.1237* CHOOSE(CONTROL!$C$22, $C$13, 100%, $E$13)</f>
        <v>30.123699999999999</v>
      </c>
      <c r="I941" s="64">
        <f>30.1237 * CHOOSE(CONTROL!$C$22, $C$13, 100%, $E$13)</f>
        <v>30.123699999999999</v>
      </c>
      <c r="J941" s="64">
        <f>18.3055 * CHOOSE(CONTROL!$C$22, $C$13, 100%, $E$13)</f>
        <v>18.305499999999999</v>
      </c>
      <c r="K941" s="64">
        <f>18.3056 * CHOOSE(CONTROL!$C$22, $C$13, 100%, $E$13)</f>
        <v>18.305599999999998</v>
      </c>
    </row>
    <row r="942" spans="1:11" ht="15">
      <c r="A942" s="13">
        <v>70160</v>
      </c>
      <c r="B942" s="63">
        <f>16.1958 * CHOOSE(CONTROL!$C$22, $C$13, 100%, $E$13)</f>
        <v>16.195799999999998</v>
      </c>
      <c r="C942" s="63">
        <f>16.1958 * CHOOSE(CONTROL!$C$22, $C$13, 100%, $E$13)</f>
        <v>16.195799999999998</v>
      </c>
      <c r="D942" s="63">
        <f>16.1958 * CHOOSE(CONTROL!$C$22, $C$13, 100%, $E$13)</f>
        <v>16.195799999999998</v>
      </c>
      <c r="E942" s="64">
        <f>17.9743 * CHOOSE(CONTROL!$C$22, $C$13, 100%, $E$13)</f>
        <v>17.974299999999999</v>
      </c>
      <c r="F942" s="64">
        <f>17.9743 * CHOOSE(CONTROL!$C$22, $C$13, 100%, $E$13)</f>
        <v>17.974299999999999</v>
      </c>
      <c r="G942" s="64">
        <f>17.9744 * CHOOSE(CONTROL!$C$22, $C$13, 100%, $E$13)</f>
        <v>17.974399999999999</v>
      </c>
      <c r="H942" s="64">
        <f>30.1864* CHOOSE(CONTROL!$C$22, $C$13, 100%, $E$13)</f>
        <v>30.186399999999999</v>
      </c>
      <c r="I942" s="64">
        <f>30.1865 * CHOOSE(CONTROL!$C$22, $C$13, 100%, $E$13)</f>
        <v>30.186499999999999</v>
      </c>
      <c r="J942" s="64">
        <f>17.9743 * CHOOSE(CONTROL!$C$22, $C$13, 100%, $E$13)</f>
        <v>17.974299999999999</v>
      </c>
      <c r="K942" s="64">
        <f>17.9744 * CHOOSE(CONTROL!$C$22, $C$13, 100%, $E$13)</f>
        <v>17.974399999999999</v>
      </c>
    </row>
    <row r="943" spans="1:11" ht="15">
      <c r="A943" s="13">
        <v>70189</v>
      </c>
      <c r="B943" s="63">
        <f>16.1928 * CHOOSE(CONTROL!$C$22, $C$13, 100%, $E$13)</f>
        <v>16.192799999999998</v>
      </c>
      <c r="C943" s="63">
        <f>16.1928 * CHOOSE(CONTROL!$C$22, $C$13, 100%, $E$13)</f>
        <v>16.192799999999998</v>
      </c>
      <c r="D943" s="63">
        <f>16.1928 * CHOOSE(CONTROL!$C$22, $C$13, 100%, $E$13)</f>
        <v>16.192799999999998</v>
      </c>
      <c r="E943" s="64">
        <f>18.2316 * CHOOSE(CONTROL!$C$22, $C$13, 100%, $E$13)</f>
        <v>18.2316</v>
      </c>
      <c r="F943" s="64">
        <f>18.2316 * CHOOSE(CONTROL!$C$22, $C$13, 100%, $E$13)</f>
        <v>18.2316</v>
      </c>
      <c r="G943" s="64">
        <f>18.2317 * CHOOSE(CONTROL!$C$22, $C$13, 100%, $E$13)</f>
        <v>18.2317</v>
      </c>
      <c r="H943" s="64">
        <f>30.2493* CHOOSE(CONTROL!$C$22, $C$13, 100%, $E$13)</f>
        <v>30.249300000000002</v>
      </c>
      <c r="I943" s="64">
        <f>30.2494 * CHOOSE(CONTROL!$C$22, $C$13, 100%, $E$13)</f>
        <v>30.249400000000001</v>
      </c>
      <c r="J943" s="64">
        <f>18.2316 * CHOOSE(CONTROL!$C$22, $C$13, 100%, $E$13)</f>
        <v>18.2316</v>
      </c>
      <c r="K943" s="64">
        <f>18.2317 * CHOOSE(CONTROL!$C$22, $C$13, 100%, $E$13)</f>
        <v>18.2317</v>
      </c>
    </row>
    <row r="944" spans="1:11" ht="15">
      <c r="A944" s="13">
        <v>70220</v>
      </c>
      <c r="B944" s="63">
        <f>16.2006 * CHOOSE(CONTROL!$C$22, $C$13, 100%, $E$13)</f>
        <v>16.200600000000001</v>
      </c>
      <c r="C944" s="63">
        <f>16.2006 * CHOOSE(CONTROL!$C$22, $C$13, 100%, $E$13)</f>
        <v>16.200600000000001</v>
      </c>
      <c r="D944" s="63">
        <f>16.2006 * CHOOSE(CONTROL!$C$22, $C$13, 100%, $E$13)</f>
        <v>16.200600000000001</v>
      </c>
      <c r="E944" s="64">
        <f>18.5059 * CHOOSE(CONTROL!$C$22, $C$13, 100%, $E$13)</f>
        <v>18.5059</v>
      </c>
      <c r="F944" s="64">
        <f>18.5059 * CHOOSE(CONTROL!$C$22, $C$13, 100%, $E$13)</f>
        <v>18.5059</v>
      </c>
      <c r="G944" s="64">
        <f>18.506 * CHOOSE(CONTROL!$C$22, $C$13, 100%, $E$13)</f>
        <v>18.506</v>
      </c>
      <c r="H944" s="64">
        <f>30.3123* CHOOSE(CONTROL!$C$22, $C$13, 100%, $E$13)</f>
        <v>30.3123</v>
      </c>
      <c r="I944" s="64">
        <f>30.3124 * CHOOSE(CONTROL!$C$22, $C$13, 100%, $E$13)</f>
        <v>30.3124</v>
      </c>
      <c r="J944" s="64">
        <f>18.5059 * CHOOSE(CONTROL!$C$22, $C$13, 100%, $E$13)</f>
        <v>18.5059</v>
      </c>
      <c r="K944" s="64">
        <f>18.506 * CHOOSE(CONTROL!$C$22, $C$13, 100%, $E$13)</f>
        <v>18.506</v>
      </c>
    </row>
    <row r="945" spans="1:11" ht="15">
      <c r="A945" s="13">
        <v>70250</v>
      </c>
      <c r="B945" s="63">
        <f>16.2006 * CHOOSE(CONTROL!$C$22, $C$13, 100%, $E$13)</f>
        <v>16.200600000000001</v>
      </c>
      <c r="C945" s="63">
        <f>16.2006 * CHOOSE(CONTROL!$C$22, $C$13, 100%, $E$13)</f>
        <v>16.200600000000001</v>
      </c>
      <c r="D945" s="63">
        <f>16.2136 * CHOOSE(CONTROL!$C$22, $C$13, 100%, $E$13)</f>
        <v>16.2136</v>
      </c>
      <c r="E945" s="64">
        <f>18.6104 * CHOOSE(CONTROL!$C$22, $C$13, 100%, $E$13)</f>
        <v>18.610399999999998</v>
      </c>
      <c r="F945" s="64">
        <f>18.6104 * CHOOSE(CONTROL!$C$22, $C$13, 100%, $E$13)</f>
        <v>18.610399999999998</v>
      </c>
      <c r="G945" s="64">
        <f>18.6261 * CHOOSE(CONTROL!$C$22, $C$13, 100%, $E$13)</f>
        <v>18.626100000000001</v>
      </c>
      <c r="H945" s="64">
        <f>30.3755* CHOOSE(CONTROL!$C$22, $C$13, 100%, $E$13)</f>
        <v>30.375499999999999</v>
      </c>
      <c r="I945" s="64">
        <f>30.3911 * CHOOSE(CONTROL!$C$22, $C$13, 100%, $E$13)</f>
        <v>30.391100000000002</v>
      </c>
      <c r="J945" s="64">
        <f>18.6104 * CHOOSE(CONTROL!$C$22, $C$13, 100%, $E$13)</f>
        <v>18.610399999999998</v>
      </c>
      <c r="K945" s="64">
        <f>18.6261 * CHOOSE(CONTROL!$C$22, $C$13, 100%, $E$13)</f>
        <v>18.626100000000001</v>
      </c>
    </row>
    <row r="946" spans="1:11" ht="15">
      <c r="A946" s="13">
        <v>70281</v>
      </c>
      <c r="B946" s="63">
        <f>16.2067 * CHOOSE(CONTROL!$C$22, $C$13, 100%, $E$13)</f>
        <v>16.206700000000001</v>
      </c>
      <c r="C946" s="63">
        <f>16.2067 * CHOOSE(CONTROL!$C$22, $C$13, 100%, $E$13)</f>
        <v>16.206700000000001</v>
      </c>
      <c r="D946" s="63">
        <f>16.2197 * CHOOSE(CONTROL!$C$22, $C$13, 100%, $E$13)</f>
        <v>16.2197</v>
      </c>
      <c r="E946" s="64">
        <f>18.5102 * CHOOSE(CONTROL!$C$22, $C$13, 100%, $E$13)</f>
        <v>18.510200000000001</v>
      </c>
      <c r="F946" s="64">
        <f>18.5102 * CHOOSE(CONTROL!$C$22, $C$13, 100%, $E$13)</f>
        <v>18.510200000000001</v>
      </c>
      <c r="G946" s="64">
        <f>18.5259 * CHOOSE(CONTROL!$C$22, $C$13, 100%, $E$13)</f>
        <v>18.5259</v>
      </c>
      <c r="H946" s="64">
        <f>30.4388* CHOOSE(CONTROL!$C$22, $C$13, 100%, $E$13)</f>
        <v>30.438800000000001</v>
      </c>
      <c r="I946" s="64">
        <f>30.4544 * CHOOSE(CONTROL!$C$22, $C$13, 100%, $E$13)</f>
        <v>30.4544</v>
      </c>
      <c r="J946" s="64">
        <f>18.5102 * CHOOSE(CONTROL!$C$22, $C$13, 100%, $E$13)</f>
        <v>18.510200000000001</v>
      </c>
      <c r="K946" s="64">
        <f>18.5259 * CHOOSE(CONTROL!$C$22, $C$13, 100%, $E$13)</f>
        <v>18.5259</v>
      </c>
    </row>
    <row r="947" spans="1:11" ht="15">
      <c r="A947" s="13">
        <v>70311</v>
      </c>
      <c r="B947" s="63">
        <f>16.451 * CHOOSE(CONTROL!$C$22, $C$13, 100%, $E$13)</f>
        <v>16.451000000000001</v>
      </c>
      <c r="C947" s="63">
        <f>16.451 * CHOOSE(CONTROL!$C$22, $C$13, 100%, $E$13)</f>
        <v>16.451000000000001</v>
      </c>
      <c r="D947" s="63">
        <f>16.464 * CHOOSE(CONTROL!$C$22, $C$13, 100%, $E$13)</f>
        <v>16.463999999999999</v>
      </c>
      <c r="E947" s="64">
        <f>18.8029 * CHOOSE(CONTROL!$C$22, $C$13, 100%, $E$13)</f>
        <v>18.802900000000001</v>
      </c>
      <c r="F947" s="64">
        <f>18.8029 * CHOOSE(CONTROL!$C$22, $C$13, 100%, $E$13)</f>
        <v>18.802900000000001</v>
      </c>
      <c r="G947" s="64">
        <f>18.8185 * CHOOSE(CONTROL!$C$22, $C$13, 100%, $E$13)</f>
        <v>18.8185</v>
      </c>
      <c r="H947" s="64">
        <f>30.5022* CHOOSE(CONTROL!$C$22, $C$13, 100%, $E$13)</f>
        <v>30.502199999999998</v>
      </c>
      <c r="I947" s="64">
        <f>30.5178 * CHOOSE(CONTROL!$C$22, $C$13, 100%, $E$13)</f>
        <v>30.517800000000001</v>
      </c>
      <c r="J947" s="64">
        <f>18.8029 * CHOOSE(CONTROL!$C$22, $C$13, 100%, $E$13)</f>
        <v>18.802900000000001</v>
      </c>
      <c r="K947" s="64">
        <f>18.8185 * CHOOSE(CONTROL!$C$22, $C$13, 100%, $E$13)</f>
        <v>18.8185</v>
      </c>
    </row>
    <row r="948" spans="1:11" ht="15">
      <c r="A948" s="13">
        <v>70342</v>
      </c>
      <c r="B948" s="63">
        <f>16.4577 * CHOOSE(CONTROL!$C$22, $C$13, 100%, $E$13)</f>
        <v>16.457699999999999</v>
      </c>
      <c r="C948" s="63">
        <f>16.4577 * CHOOSE(CONTROL!$C$22, $C$13, 100%, $E$13)</f>
        <v>16.457699999999999</v>
      </c>
      <c r="D948" s="63">
        <f>16.4707 * CHOOSE(CONTROL!$C$22, $C$13, 100%, $E$13)</f>
        <v>16.470700000000001</v>
      </c>
      <c r="E948" s="64">
        <f>18.4941 * CHOOSE(CONTROL!$C$22, $C$13, 100%, $E$13)</f>
        <v>18.4941</v>
      </c>
      <c r="F948" s="64">
        <f>18.4941 * CHOOSE(CONTROL!$C$22, $C$13, 100%, $E$13)</f>
        <v>18.4941</v>
      </c>
      <c r="G948" s="64">
        <f>18.5098 * CHOOSE(CONTROL!$C$22, $C$13, 100%, $E$13)</f>
        <v>18.509799999999998</v>
      </c>
      <c r="H948" s="64">
        <f>30.5657* CHOOSE(CONTROL!$C$22, $C$13, 100%, $E$13)</f>
        <v>30.5657</v>
      </c>
      <c r="I948" s="64">
        <f>30.5814 * CHOOSE(CONTROL!$C$22, $C$13, 100%, $E$13)</f>
        <v>30.581399999999999</v>
      </c>
      <c r="J948" s="64">
        <f>18.4941 * CHOOSE(CONTROL!$C$22, $C$13, 100%, $E$13)</f>
        <v>18.4941</v>
      </c>
      <c r="K948" s="64">
        <f>18.5098 * CHOOSE(CONTROL!$C$22, $C$13, 100%, $E$13)</f>
        <v>18.509799999999998</v>
      </c>
    </row>
    <row r="949" spans="1:11" ht="15">
      <c r="A949" s="13">
        <v>70373</v>
      </c>
      <c r="B949" s="63">
        <f>16.4547 * CHOOSE(CONTROL!$C$22, $C$13, 100%, $E$13)</f>
        <v>16.454699999999999</v>
      </c>
      <c r="C949" s="63">
        <f>16.4547 * CHOOSE(CONTROL!$C$22, $C$13, 100%, $E$13)</f>
        <v>16.454699999999999</v>
      </c>
      <c r="D949" s="63">
        <f>16.4677 * CHOOSE(CONTROL!$C$22, $C$13, 100%, $E$13)</f>
        <v>16.467700000000001</v>
      </c>
      <c r="E949" s="64">
        <f>18.4572 * CHOOSE(CONTROL!$C$22, $C$13, 100%, $E$13)</f>
        <v>18.4572</v>
      </c>
      <c r="F949" s="64">
        <f>18.4572 * CHOOSE(CONTROL!$C$22, $C$13, 100%, $E$13)</f>
        <v>18.4572</v>
      </c>
      <c r="G949" s="64">
        <f>18.4728 * CHOOSE(CONTROL!$C$22, $C$13, 100%, $E$13)</f>
        <v>18.472799999999999</v>
      </c>
      <c r="H949" s="64">
        <f>30.6294* CHOOSE(CONTROL!$C$22, $C$13, 100%, $E$13)</f>
        <v>30.6294</v>
      </c>
      <c r="I949" s="64">
        <f>30.6451 * CHOOSE(CONTROL!$C$22, $C$13, 100%, $E$13)</f>
        <v>30.645099999999999</v>
      </c>
      <c r="J949" s="64">
        <f>18.4572 * CHOOSE(CONTROL!$C$22, $C$13, 100%, $E$13)</f>
        <v>18.4572</v>
      </c>
      <c r="K949" s="64">
        <f>18.4728 * CHOOSE(CONTROL!$C$22, $C$13, 100%, $E$13)</f>
        <v>18.472799999999999</v>
      </c>
    </row>
    <row r="950" spans="1:11" ht="15">
      <c r="A950" s="13">
        <v>70403</v>
      </c>
      <c r="B950" s="63">
        <f>16.4898 * CHOOSE(CONTROL!$C$22, $C$13, 100%, $E$13)</f>
        <v>16.489799999999999</v>
      </c>
      <c r="C950" s="63">
        <f>16.4898 * CHOOSE(CONTROL!$C$22, $C$13, 100%, $E$13)</f>
        <v>16.489799999999999</v>
      </c>
      <c r="D950" s="63">
        <f>16.4898 * CHOOSE(CONTROL!$C$22, $C$13, 100%, $E$13)</f>
        <v>16.489799999999999</v>
      </c>
      <c r="E950" s="64">
        <f>18.583 * CHOOSE(CONTROL!$C$22, $C$13, 100%, $E$13)</f>
        <v>18.582999999999998</v>
      </c>
      <c r="F950" s="64">
        <f>18.583 * CHOOSE(CONTROL!$C$22, $C$13, 100%, $E$13)</f>
        <v>18.582999999999998</v>
      </c>
      <c r="G950" s="64">
        <f>18.5831 * CHOOSE(CONTROL!$C$22, $C$13, 100%, $E$13)</f>
        <v>18.583100000000002</v>
      </c>
      <c r="H950" s="64">
        <f>30.6932* CHOOSE(CONTROL!$C$22, $C$13, 100%, $E$13)</f>
        <v>30.693200000000001</v>
      </c>
      <c r="I950" s="64">
        <f>30.6933 * CHOOSE(CONTROL!$C$22, $C$13, 100%, $E$13)</f>
        <v>30.693300000000001</v>
      </c>
      <c r="J950" s="64">
        <f>18.583 * CHOOSE(CONTROL!$C$22, $C$13, 100%, $E$13)</f>
        <v>18.582999999999998</v>
      </c>
      <c r="K950" s="64">
        <f>18.5831 * CHOOSE(CONTROL!$C$22, $C$13, 100%, $E$13)</f>
        <v>18.583100000000002</v>
      </c>
    </row>
    <row r="951" spans="1:11" ht="15">
      <c r="A951" s="13">
        <v>70434</v>
      </c>
      <c r="B951" s="63">
        <f>16.4928 * CHOOSE(CONTROL!$C$22, $C$13, 100%, $E$13)</f>
        <v>16.492799999999999</v>
      </c>
      <c r="C951" s="63">
        <f>16.4928 * CHOOSE(CONTROL!$C$22, $C$13, 100%, $E$13)</f>
        <v>16.492799999999999</v>
      </c>
      <c r="D951" s="63">
        <f>16.4928 * CHOOSE(CONTROL!$C$22, $C$13, 100%, $E$13)</f>
        <v>16.492799999999999</v>
      </c>
      <c r="E951" s="64">
        <f>18.6548 * CHOOSE(CONTROL!$C$22, $C$13, 100%, $E$13)</f>
        <v>18.654800000000002</v>
      </c>
      <c r="F951" s="64">
        <f>18.6548 * CHOOSE(CONTROL!$C$22, $C$13, 100%, $E$13)</f>
        <v>18.654800000000002</v>
      </c>
      <c r="G951" s="64">
        <f>18.6549 * CHOOSE(CONTROL!$C$22, $C$13, 100%, $E$13)</f>
        <v>18.654900000000001</v>
      </c>
      <c r="H951" s="64">
        <f>30.7571* CHOOSE(CONTROL!$C$22, $C$13, 100%, $E$13)</f>
        <v>30.757100000000001</v>
      </c>
      <c r="I951" s="64">
        <f>30.7572 * CHOOSE(CONTROL!$C$22, $C$13, 100%, $E$13)</f>
        <v>30.757200000000001</v>
      </c>
      <c r="J951" s="64">
        <f>18.6548 * CHOOSE(CONTROL!$C$22, $C$13, 100%, $E$13)</f>
        <v>18.654800000000002</v>
      </c>
      <c r="K951" s="64">
        <f>18.6549 * CHOOSE(CONTROL!$C$22, $C$13, 100%, $E$13)</f>
        <v>18.654900000000001</v>
      </c>
    </row>
    <row r="952" spans="1:11" ht="15">
      <c r="A952" s="13">
        <v>70464</v>
      </c>
      <c r="B952" s="63">
        <f>16.4928 * CHOOSE(CONTROL!$C$22, $C$13, 100%, $E$13)</f>
        <v>16.492799999999999</v>
      </c>
      <c r="C952" s="63">
        <f>16.4928 * CHOOSE(CONTROL!$C$22, $C$13, 100%, $E$13)</f>
        <v>16.492799999999999</v>
      </c>
      <c r="D952" s="63">
        <f>16.4928 * CHOOSE(CONTROL!$C$22, $C$13, 100%, $E$13)</f>
        <v>16.492799999999999</v>
      </c>
      <c r="E952" s="64">
        <f>18.4807 * CHOOSE(CONTROL!$C$22, $C$13, 100%, $E$13)</f>
        <v>18.480699999999999</v>
      </c>
      <c r="F952" s="64">
        <f>18.4807 * CHOOSE(CONTROL!$C$22, $C$13, 100%, $E$13)</f>
        <v>18.480699999999999</v>
      </c>
      <c r="G952" s="64">
        <f>18.4808 * CHOOSE(CONTROL!$C$22, $C$13, 100%, $E$13)</f>
        <v>18.480799999999999</v>
      </c>
      <c r="H952" s="64">
        <f>30.8212* CHOOSE(CONTROL!$C$22, $C$13, 100%, $E$13)</f>
        <v>30.821200000000001</v>
      </c>
      <c r="I952" s="64">
        <f>30.8213 * CHOOSE(CONTROL!$C$22, $C$13, 100%, $E$13)</f>
        <v>30.821300000000001</v>
      </c>
      <c r="J952" s="64">
        <f>18.4807 * CHOOSE(CONTROL!$C$22, $C$13, 100%, $E$13)</f>
        <v>18.480699999999999</v>
      </c>
      <c r="K952" s="64">
        <f>18.4808 * CHOOSE(CONTROL!$C$22, $C$13, 100%, $E$13)</f>
        <v>18.480799999999999</v>
      </c>
    </row>
    <row r="953" spans="1:11" ht="15">
      <c r="A953" s="13">
        <v>70495</v>
      </c>
      <c r="B953" s="63">
        <f>16.4344 * CHOOSE(CONTROL!$C$22, $C$13, 100%, $E$13)</f>
        <v>16.4344</v>
      </c>
      <c r="C953" s="63">
        <f>16.4344 * CHOOSE(CONTROL!$C$22, $C$13, 100%, $E$13)</f>
        <v>16.4344</v>
      </c>
      <c r="D953" s="63">
        <f>16.4344 * CHOOSE(CONTROL!$C$22, $C$13, 100%, $E$13)</f>
        <v>16.4344</v>
      </c>
      <c r="E953" s="64">
        <f>18.5602 * CHOOSE(CONTROL!$C$22, $C$13, 100%, $E$13)</f>
        <v>18.560199999999998</v>
      </c>
      <c r="F953" s="64">
        <f>18.5602 * CHOOSE(CONTROL!$C$22, $C$13, 100%, $E$13)</f>
        <v>18.560199999999998</v>
      </c>
      <c r="G953" s="64">
        <f>18.5603 * CHOOSE(CONTROL!$C$22, $C$13, 100%, $E$13)</f>
        <v>18.560300000000002</v>
      </c>
      <c r="H953" s="64">
        <f>30.5507* CHOOSE(CONTROL!$C$22, $C$13, 100%, $E$13)</f>
        <v>30.550699999999999</v>
      </c>
      <c r="I953" s="64">
        <f>30.5508 * CHOOSE(CONTROL!$C$22, $C$13, 100%, $E$13)</f>
        <v>30.550799999999999</v>
      </c>
      <c r="J953" s="64">
        <f>18.5602 * CHOOSE(CONTROL!$C$22, $C$13, 100%, $E$13)</f>
        <v>18.560199999999998</v>
      </c>
      <c r="K953" s="64">
        <f>18.5603 * CHOOSE(CONTROL!$C$22, $C$13, 100%, $E$13)</f>
        <v>18.560300000000002</v>
      </c>
    </row>
    <row r="954" spans="1:11" ht="15">
      <c r="A954" s="13">
        <v>70526</v>
      </c>
      <c r="B954" s="63">
        <f>16.4314 * CHOOSE(CONTROL!$C$22, $C$13, 100%, $E$13)</f>
        <v>16.4314</v>
      </c>
      <c r="C954" s="63">
        <f>16.4314 * CHOOSE(CONTROL!$C$22, $C$13, 100%, $E$13)</f>
        <v>16.4314</v>
      </c>
      <c r="D954" s="63">
        <f>16.4314 * CHOOSE(CONTROL!$C$22, $C$13, 100%, $E$13)</f>
        <v>16.4314</v>
      </c>
      <c r="E954" s="64">
        <f>18.2241 * CHOOSE(CONTROL!$C$22, $C$13, 100%, $E$13)</f>
        <v>18.2241</v>
      </c>
      <c r="F954" s="64">
        <f>18.2241 * CHOOSE(CONTROL!$C$22, $C$13, 100%, $E$13)</f>
        <v>18.2241</v>
      </c>
      <c r="G954" s="64">
        <f>18.2242 * CHOOSE(CONTROL!$C$22, $C$13, 100%, $E$13)</f>
        <v>18.2242</v>
      </c>
      <c r="H954" s="64">
        <f>30.6143* CHOOSE(CONTROL!$C$22, $C$13, 100%, $E$13)</f>
        <v>30.6143</v>
      </c>
      <c r="I954" s="64">
        <f>30.6144 * CHOOSE(CONTROL!$C$22, $C$13, 100%, $E$13)</f>
        <v>30.6144</v>
      </c>
      <c r="J954" s="64">
        <f>18.2241 * CHOOSE(CONTROL!$C$22, $C$13, 100%, $E$13)</f>
        <v>18.2241</v>
      </c>
      <c r="K954" s="64">
        <f>18.2242 * CHOOSE(CONTROL!$C$22, $C$13, 100%, $E$13)</f>
        <v>18.2242</v>
      </c>
    </row>
    <row r="955" spans="1:11" ht="15">
      <c r="A955" s="13">
        <v>70554</v>
      </c>
      <c r="B955" s="63">
        <f>16.4284 * CHOOSE(CONTROL!$C$22, $C$13, 100%, $E$13)</f>
        <v>16.4284</v>
      </c>
      <c r="C955" s="63">
        <f>16.4284 * CHOOSE(CONTROL!$C$22, $C$13, 100%, $E$13)</f>
        <v>16.4284</v>
      </c>
      <c r="D955" s="63">
        <f>16.4284 * CHOOSE(CONTROL!$C$22, $C$13, 100%, $E$13)</f>
        <v>16.4284</v>
      </c>
      <c r="E955" s="64">
        <f>18.4853 * CHOOSE(CONTROL!$C$22, $C$13, 100%, $E$13)</f>
        <v>18.485299999999999</v>
      </c>
      <c r="F955" s="64">
        <f>18.4853 * CHOOSE(CONTROL!$C$22, $C$13, 100%, $E$13)</f>
        <v>18.485299999999999</v>
      </c>
      <c r="G955" s="64">
        <f>18.4854 * CHOOSE(CONTROL!$C$22, $C$13, 100%, $E$13)</f>
        <v>18.485399999999998</v>
      </c>
      <c r="H955" s="64">
        <f>30.6781* CHOOSE(CONTROL!$C$22, $C$13, 100%, $E$13)</f>
        <v>30.678100000000001</v>
      </c>
      <c r="I955" s="64">
        <f>30.6782 * CHOOSE(CONTROL!$C$22, $C$13, 100%, $E$13)</f>
        <v>30.6782</v>
      </c>
      <c r="J955" s="64">
        <f>18.4853 * CHOOSE(CONTROL!$C$22, $C$13, 100%, $E$13)</f>
        <v>18.485299999999999</v>
      </c>
      <c r="K955" s="64">
        <f>18.4854 * CHOOSE(CONTROL!$C$22, $C$13, 100%, $E$13)</f>
        <v>18.485399999999998</v>
      </c>
    </row>
    <row r="956" spans="1:11" ht="15">
      <c r="A956" s="13">
        <v>70585</v>
      </c>
      <c r="B956" s="63">
        <f>16.4364 * CHOOSE(CONTROL!$C$22, $C$13, 100%, $E$13)</f>
        <v>16.436399999999999</v>
      </c>
      <c r="C956" s="63">
        <f>16.4364 * CHOOSE(CONTROL!$C$22, $C$13, 100%, $E$13)</f>
        <v>16.436399999999999</v>
      </c>
      <c r="D956" s="63">
        <f>16.4364 * CHOOSE(CONTROL!$C$22, $C$13, 100%, $E$13)</f>
        <v>16.436399999999999</v>
      </c>
      <c r="E956" s="64">
        <f>18.7638 * CHOOSE(CONTROL!$C$22, $C$13, 100%, $E$13)</f>
        <v>18.7638</v>
      </c>
      <c r="F956" s="64">
        <f>18.7638 * CHOOSE(CONTROL!$C$22, $C$13, 100%, $E$13)</f>
        <v>18.7638</v>
      </c>
      <c r="G956" s="64">
        <f>18.7639 * CHOOSE(CONTROL!$C$22, $C$13, 100%, $E$13)</f>
        <v>18.7639</v>
      </c>
      <c r="H956" s="64">
        <f>30.742* CHOOSE(CONTROL!$C$22, $C$13, 100%, $E$13)</f>
        <v>30.742000000000001</v>
      </c>
      <c r="I956" s="64">
        <f>30.7421 * CHOOSE(CONTROL!$C$22, $C$13, 100%, $E$13)</f>
        <v>30.742100000000001</v>
      </c>
      <c r="J956" s="64">
        <f>18.7638 * CHOOSE(CONTROL!$C$22, $C$13, 100%, $E$13)</f>
        <v>18.7638</v>
      </c>
      <c r="K956" s="64">
        <f>18.7639 * CHOOSE(CONTROL!$C$22, $C$13, 100%, $E$13)</f>
        <v>18.7639</v>
      </c>
    </row>
    <row r="957" spans="1:11" ht="15">
      <c r="A957" s="13">
        <v>70615</v>
      </c>
      <c r="B957" s="63">
        <f>16.4364 * CHOOSE(CONTROL!$C$22, $C$13, 100%, $E$13)</f>
        <v>16.436399999999999</v>
      </c>
      <c r="C957" s="63">
        <f>16.4364 * CHOOSE(CONTROL!$C$22, $C$13, 100%, $E$13)</f>
        <v>16.436399999999999</v>
      </c>
      <c r="D957" s="63">
        <f>16.4494 * CHOOSE(CONTROL!$C$22, $C$13, 100%, $E$13)</f>
        <v>16.449400000000001</v>
      </c>
      <c r="E957" s="64">
        <f>18.8698 * CHOOSE(CONTROL!$C$22, $C$13, 100%, $E$13)</f>
        <v>18.869800000000001</v>
      </c>
      <c r="F957" s="64">
        <f>18.8698 * CHOOSE(CONTROL!$C$22, $C$13, 100%, $E$13)</f>
        <v>18.869800000000001</v>
      </c>
      <c r="G957" s="64">
        <f>18.8855 * CHOOSE(CONTROL!$C$22, $C$13, 100%, $E$13)</f>
        <v>18.8855</v>
      </c>
      <c r="H957" s="64">
        <f>30.8061* CHOOSE(CONTROL!$C$22, $C$13, 100%, $E$13)</f>
        <v>30.806100000000001</v>
      </c>
      <c r="I957" s="64">
        <f>30.8217 * CHOOSE(CONTROL!$C$22, $C$13, 100%, $E$13)</f>
        <v>30.8217</v>
      </c>
      <c r="J957" s="64">
        <f>18.8698 * CHOOSE(CONTROL!$C$22, $C$13, 100%, $E$13)</f>
        <v>18.869800000000001</v>
      </c>
      <c r="K957" s="64">
        <f>18.8855 * CHOOSE(CONTROL!$C$22, $C$13, 100%, $E$13)</f>
        <v>18.8855</v>
      </c>
    </row>
    <row r="958" spans="1:11" ht="15">
      <c r="A958" s="13">
        <v>70646</v>
      </c>
      <c r="B958" s="63">
        <f>16.4425 * CHOOSE(CONTROL!$C$22, $C$13, 100%, $E$13)</f>
        <v>16.442499999999999</v>
      </c>
      <c r="C958" s="63">
        <f>16.4425 * CHOOSE(CONTROL!$C$22, $C$13, 100%, $E$13)</f>
        <v>16.442499999999999</v>
      </c>
      <c r="D958" s="63">
        <f>16.4555 * CHOOSE(CONTROL!$C$22, $C$13, 100%, $E$13)</f>
        <v>16.455500000000001</v>
      </c>
      <c r="E958" s="64">
        <f>18.768 * CHOOSE(CONTROL!$C$22, $C$13, 100%, $E$13)</f>
        <v>18.768000000000001</v>
      </c>
      <c r="F958" s="64">
        <f>18.768 * CHOOSE(CONTROL!$C$22, $C$13, 100%, $E$13)</f>
        <v>18.768000000000001</v>
      </c>
      <c r="G958" s="64">
        <f>18.7837 * CHOOSE(CONTROL!$C$22, $C$13, 100%, $E$13)</f>
        <v>18.7837</v>
      </c>
      <c r="H958" s="64">
        <f>30.8702* CHOOSE(CONTROL!$C$22, $C$13, 100%, $E$13)</f>
        <v>30.870200000000001</v>
      </c>
      <c r="I958" s="64">
        <f>30.8859 * CHOOSE(CONTROL!$C$22, $C$13, 100%, $E$13)</f>
        <v>30.885899999999999</v>
      </c>
      <c r="J958" s="64">
        <f>18.768 * CHOOSE(CONTROL!$C$22, $C$13, 100%, $E$13)</f>
        <v>18.768000000000001</v>
      </c>
      <c r="K958" s="64">
        <f>18.7837 * CHOOSE(CONTROL!$C$22, $C$13, 100%, $E$13)</f>
        <v>18.7837</v>
      </c>
    </row>
    <row r="959" spans="1:11" ht="15">
      <c r="A959" s="13">
        <v>70676</v>
      </c>
      <c r="B959" s="63">
        <f>16.6902 * CHOOSE(CONTROL!$C$22, $C$13, 100%, $E$13)</f>
        <v>16.690200000000001</v>
      </c>
      <c r="C959" s="63">
        <f>16.6902 * CHOOSE(CONTROL!$C$22, $C$13, 100%, $E$13)</f>
        <v>16.690200000000001</v>
      </c>
      <c r="D959" s="63">
        <f>16.7032 * CHOOSE(CONTROL!$C$22, $C$13, 100%, $E$13)</f>
        <v>16.703199999999999</v>
      </c>
      <c r="E959" s="64">
        <f>19.0646 * CHOOSE(CONTROL!$C$22, $C$13, 100%, $E$13)</f>
        <v>19.064599999999999</v>
      </c>
      <c r="F959" s="64">
        <f>19.0646 * CHOOSE(CONTROL!$C$22, $C$13, 100%, $E$13)</f>
        <v>19.064599999999999</v>
      </c>
      <c r="G959" s="64">
        <f>19.0803 * CHOOSE(CONTROL!$C$22, $C$13, 100%, $E$13)</f>
        <v>19.080300000000001</v>
      </c>
      <c r="H959" s="64">
        <f>30.9346* CHOOSE(CONTROL!$C$22, $C$13, 100%, $E$13)</f>
        <v>30.9346</v>
      </c>
      <c r="I959" s="64">
        <f>30.9502 * CHOOSE(CONTROL!$C$22, $C$13, 100%, $E$13)</f>
        <v>30.950199999999999</v>
      </c>
      <c r="J959" s="64">
        <f>19.0646 * CHOOSE(CONTROL!$C$22, $C$13, 100%, $E$13)</f>
        <v>19.064599999999999</v>
      </c>
      <c r="K959" s="64">
        <f>19.0803 * CHOOSE(CONTROL!$C$22, $C$13, 100%, $E$13)</f>
        <v>19.080300000000001</v>
      </c>
    </row>
    <row r="960" spans="1:11" ht="15">
      <c r="A960" s="13">
        <v>70707</v>
      </c>
      <c r="B960" s="63">
        <f>16.6969 * CHOOSE(CONTROL!$C$22, $C$13, 100%, $E$13)</f>
        <v>16.696899999999999</v>
      </c>
      <c r="C960" s="63">
        <f>16.6969 * CHOOSE(CONTROL!$C$22, $C$13, 100%, $E$13)</f>
        <v>16.696899999999999</v>
      </c>
      <c r="D960" s="63">
        <f>16.7099 * CHOOSE(CONTROL!$C$22, $C$13, 100%, $E$13)</f>
        <v>16.709900000000001</v>
      </c>
      <c r="E960" s="64">
        <f>18.7512 * CHOOSE(CONTROL!$C$22, $C$13, 100%, $E$13)</f>
        <v>18.751200000000001</v>
      </c>
      <c r="F960" s="64">
        <f>18.7512 * CHOOSE(CONTROL!$C$22, $C$13, 100%, $E$13)</f>
        <v>18.751200000000001</v>
      </c>
      <c r="G960" s="64">
        <f>18.7669 * CHOOSE(CONTROL!$C$22, $C$13, 100%, $E$13)</f>
        <v>18.7669</v>
      </c>
      <c r="H960" s="64">
        <f>30.999* CHOOSE(CONTROL!$C$22, $C$13, 100%, $E$13)</f>
        <v>30.998999999999999</v>
      </c>
      <c r="I960" s="64">
        <f>31.0147 * CHOOSE(CONTROL!$C$22, $C$13, 100%, $E$13)</f>
        <v>31.014700000000001</v>
      </c>
      <c r="J960" s="64">
        <f>18.7512 * CHOOSE(CONTROL!$C$22, $C$13, 100%, $E$13)</f>
        <v>18.751200000000001</v>
      </c>
      <c r="K960" s="64">
        <f>18.7669 * CHOOSE(CONTROL!$C$22, $C$13, 100%, $E$13)</f>
        <v>18.7669</v>
      </c>
    </row>
    <row r="961" spans="1:11" ht="15">
      <c r="A961" s="13">
        <v>70738</v>
      </c>
      <c r="B961" s="63">
        <f>16.6939 * CHOOSE(CONTROL!$C$22, $C$13, 100%, $E$13)</f>
        <v>16.693899999999999</v>
      </c>
      <c r="C961" s="63">
        <f>16.6939 * CHOOSE(CONTROL!$C$22, $C$13, 100%, $E$13)</f>
        <v>16.693899999999999</v>
      </c>
      <c r="D961" s="63">
        <f>16.7068 * CHOOSE(CONTROL!$C$22, $C$13, 100%, $E$13)</f>
        <v>16.706800000000001</v>
      </c>
      <c r="E961" s="64">
        <f>18.7137 * CHOOSE(CONTROL!$C$22, $C$13, 100%, $E$13)</f>
        <v>18.713699999999999</v>
      </c>
      <c r="F961" s="64">
        <f>18.7137 * CHOOSE(CONTROL!$C$22, $C$13, 100%, $E$13)</f>
        <v>18.713699999999999</v>
      </c>
      <c r="G961" s="64">
        <f>18.7294 * CHOOSE(CONTROL!$C$22, $C$13, 100%, $E$13)</f>
        <v>18.729399999999998</v>
      </c>
      <c r="H961" s="64">
        <f>31.0636* CHOOSE(CONTROL!$C$22, $C$13, 100%, $E$13)</f>
        <v>31.063600000000001</v>
      </c>
      <c r="I961" s="64">
        <f>31.0793 * CHOOSE(CONTROL!$C$22, $C$13, 100%, $E$13)</f>
        <v>31.0793</v>
      </c>
      <c r="J961" s="64">
        <f>18.7137 * CHOOSE(CONTROL!$C$22, $C$13, 100%, $E$13)</f>
        <v>18.713699999999999</v>
      </c>
      <c r="K961" s="64">
        <f>18.7294 * CHOOSE(CONTROL!$C$22, $C$13, 100%, $E$13)</f>
        <v>18.729399999999998</v>
      </c>
    </row>
    <row r="962" spans="1:11" ht="15">
      <c r="A962" s="13">
        <v>70768</v>
      </c>
      <c r="B962" s="63">
        <f>16.7297 * CHOOSE(CONTROL!$C$22, $C$13, 100%, $E$13)</f>
        <v>16.729700000000001</v>
      </c>
      <c r="C962" s="63">
        <f>16.7297 * CHOOSE(CONTROL!$C$22, $C$13, 100%, $E$13)</f>
        <v>16.729700000000001</v>
      </c>
      <c r="D962" s="63">
        <f>16.7297 * CHOOSE(CONTROL!$C$22, $C$13, 100%, $E$13)</f>
        <v>16.729700000000001</v>
      </c>
      <c r="E962" s="64">
        <f>18.8417 * CHOOSE(CONTROL!$C$22, $C$13, 100%, $E$13)</f>
        <v>18.841699999999999</v>
      </c>
      <c r="F962" s="64">
        <f>18.8417 * CHOOSE(CONTROL!$C$22, $C$13, 100%, $E$13)</f>
        <v>18.841699999999999</v>
      </c>
      <c r="G962" s="64">
        <f>18.8418 * CHOOSE(CONTROL!$C$22, $C$13, 100%, $E$13)</f>
        <v>18.841799999999999</v>
      </c>
      <c r="H962" s="64">
        <f>31.1283* CHOOSE(CONTROL!$C$22, $C$13, 100%, $E$13)</f>
        <v>31.128299999999999</v>
      </c>
      <c r="I962" s="64">
        <f>31.1284 * CHOOSE(CONTROL!$C$22, $C$13, 100%, $E$13)</f>
        <v>31.128399999999999</v>
      </c>
      <c r="J962" s="64">
        <f>18.8417 * CHOOSE(CONTROL!$C$22, $C$13, 100%, $E$13)</f>
        <v>18.841699999999999</v>
      </c>
      <c r="K962" s="64">
        <f>18.8418 * CHOOSE(CONTROL!$C$22, $C$13, 100%, $E$13)</f>
        <v>18.841799999999999</v>
      </c>
    </row>
    <row r="963" spans="1:11" ht="15">
      <c r="A963" s="13">
        <v>70799</v>
      </c>
      <c r="B963" s="63">
        <f>16.7327 * CHOOSE(CONTROL!$C$22, $C$13, 100%, $E$13)</f>
        <v>16.732700000000001</v>
      </c>
      <c r="C963" s="63">
        <f>16.7327 * CHOOSE(CONTROL!$C$22, $C$13, 100%, $E$13)</f>
        <v>16.732700000000001</v>
      </c>
      <c r="D963" s="63">
        <f>16.7327 * CHOOSE(CONTROL!$C$22, $C$13, 100%, $E$13)</f>
        <v>16.732700000000001</v>
      </c>
      <c r="E963" s="64">
        <f>18.9145 * CHOOSE(CONTROL!$C$22, $C$13, 100%, $E$13)</f>
        <v>18.9145</v>
      </c>
      <c r="F963" s="64">
        <f>18.9145 * CHOOSE(CONTROL!$C$22, $C$13, 100%, $E$13)</f>
        <v>18.9145</v>
      </c>
      <c r="G963" s="64">
        <f>18.9146 * CHOOSE(CONTROL!$C$22, $C$13, 100%, $E$13)</f>
        <v>18.9146</v>
      </c>
      <c r="H963" s="64">
        <f>31.1931* CHOOSE(CONTROL!$C$22, $C$13, 100%, $E$13)</f>
        <v>31.193100000000001</v>
      </c>
      <c r="I963" s="64">
        <f>31.1932 * CHOOSE(CONTROL!$C$22, $C$13, 100%, $E$13)</f>
        <v>31.193200000000001</v>
      </c>
      <c r="J963" s="64">
        <f>18.9145 * CHOOSE(CONTROL!$C$22, $C$13, 100%, $E$13)</f>
        <v>18.9145</v>
      </c>
      <c r="K963" s="64">
        <f>18.9146 * CHOOSE(CONTROL!$C$22, $C$13, 100%, $E$13)</f>
        <v>18.9146</v>
      </c>
    </row>
    <row r="964" spans="1:11" ht="15">
      <c r="A964" s="13">
        <v>70829</v>
      </c>
      <c r="B964" s="63">
        <f>16.7327 * CHOOSE(CONTROL!$C$22, $C$13, 100%, $E$13)</f>
        <v>16.732700000000001</v>
      </c>
      <c r="C964" s="63">
        <f>16.7327 * CHOOSE(CONTROL!$C$22, $C$13, 100%, $E$13)</f>
        <v>16.732700000000001</v>
      </c>
      <c r="D964" s="63">
        <f>16.7327 * CHOOSE(CONTROL!$C$22, $C$13, 100%, $E$13)</f>
        <v>16.732700000000001</v>
      </c>
      <c r="E964" s="64">
        <f>18.7378 * CHOOSE(CONTROL!$C$22, $C$13, 100%, $E$13)</f>
        <v>18.7378</v>
      </c>
      <c r="F964" s="64">
        <f>18.7378 * CHOOSE(CONTROL!$C$22, $C$13, 100%, $E$13)</f>
        <v>18.7378</v>
      </c>
      <c r="G964" s="64">
        <f>18.7378 * CHOOSE(CONTROL!$C$22, $C$13, 100%, $E$13)</f>
        <v>18.7378</v>
      </c>
      <c r="H964" s="64">
        <f>31.2581* CHOOSE(CONTROL!$C$22, $C$13, 100%, $E$13)</f>
        <v>31.258099999999999</v>
      </c>
      <c r="I964" s="64">
        <f>31.2582 * CHOOSE(CONTROL!$C$22, $C$13, 100%, $E$13)</f>
        <v>31.258199999999999</v>
      </c>
      <c r="J964" s="64">
        <f>18.7378 * CHOOSE(CONTROL!$C$22, $C$13, 100%, $E$13)</f>
        <v>18.7378</v>
      </c>
      <c r="K964" s="64">
        <f>18.7378 * CHOOSE(CONTROL!$C$22, $C$13, 100%, $E$13)</f>
        <v>18.7378</v>
      </c>
    </row>
    <row r="965" spans="1:11" ht="15">
      <c r="A965" s="13">
        <v>70860</v>
      </c>
      <c r="B965" s="63">
        <f>16.67 * CHOOSE(CONTROL!$C$22, $C$13, 100%, $E$13)</f>
        <v>16.670000000000002</v>
      </c>
      <c r="C965" s="63">
        <f>16.67 * CHOOSE(CONTROL!$C$22, $C$13, 100%, $E$13)</f>
        <v>16.670000000000002</v>
      </c>
      <c r="D965" s="63">
        <f>16.67 * CHOOSE(CONTROL!$C$22, $C$13, 100%, $E$13)</f>
        <v>16.670000000000002</v>
      </c>
      <c r="E965" s="64">
        <f>18.8149 * CHOOSE(CONTROL!$C$22, $C$13, 100%, $E$13)</f>
        <v>18.814900000000002</v>
      </c>
      <c r="F965" s="64">
        <f>18.8149 * CHOOSE(CONTROL!$C$22, $C$13, 100%, $E$13)</f>
        <v>18.814900000000002</v>
      </c>
      <c r="G965" s="64">
        <f>18.815 * CHOOSE(CONTROL!$C$22, $C$13, 100%, $E$13)</f>
        <v>18.815000000000001</v>
      </c>
      <c r="H965" s="64">
        <f>30.9777* CHOOSE(CONTROL!$C$22, $C$13, 100%, $E$13)</f>
        <v>30.977699999999999</v>
      </c>
      <c r="I965" s="64">
        <f>30.9778 * CHOOSE(CONTROL!$C$22, $C$13, 100%, $E$13)</f>
        <v>30.977799999999998</v>
      </c>
      <c r="J965" s="64">
        <f>18.8149 * CHOOSE(CONTROL!$C$22, $C$13, 100%, $E$13)</f>
        <v>18.814900000000002</v>
      </c>
      <c r="K965" s="64">
        <f>18.815 * CHOOSE(CONTROL!$C$22, $C$13, 100%, $E$13)</f>
        <v>18.815000000000001</v>
      </c>
    </row>
    <row r="966" spans="1:11" ht="15">
      <c r="A966" s="13">
        <v>70891</v>
      </c>
      <c r="B966" s="63">
        <f>16.667 * CHOOSE(CONTROL!$C$22, $C$13, 100%, $E$13)</f>
        <v>16.667000000000002</v>
      </c>
      <c r="C966" s="63">
        <f>16.667 * CHOOSE(CONTROL!$C$22, $C$13, 100%, $E$13)</f>
        <v>16.667000000000002</v>
      </c>
      <c r="D966" s="63">
        <f>16.667 * CHOOSE(CONTROL!$C$22, $C$13, 100%, $E$13)</f>
        <v>16.667000000000002</v>
      </c>
      <c r="E966" s="64">
        <f>18.4739 * CHOOSE(CONTROL!$C$22, $C$13, 100%, $E$13)</f>
        <v>18.4739</v>
      </c>
      <c r="F966" s="64">
        <f>18.4739 * CHOOSE(CONTROL!$C$22, $C$13, 100%, $E$13)</f>
        <v>18.4739</v>
      </c>
      <c r="G966" s="64">
        <f>18.474 * CHOOSE(CONTROL!$C$22, $C$13, 100%, $E$13)</f>
        <v>18.474</v>
      </c>
      <c r="H966" s="64">
        <f>31.0422* CHOOSE(CONTROL!$C$22, $C$13, 100%, $E$13)</f>
        <v>31.042200000000001</v>
      </c>
      <c r="I966" s="64">
        <f>31.0423 * CHOOSE(CONTROL!$C$22, $C$13, 100%, $E$13)</f>
        <v>31.042300000000001</v>
      </c>
      <c r="J966" s="64">
        <f>18.4739 * CHOOSE(CONTROL!$C$22, $C$13, 100%, $E$13)</f>
        <v>18.4739</v>
      </c>
      <c r="K966" s="64">
        <f>18.474 * CHOOSE(CONTROL!$C$22, $C$13, 100%, $E$13)</f>
        <v>18.474</v>
      </c>
    </row>
    <row r="967" spans="1:11" ht="15">
      <c r="A967" s="13">
        <v>70919</v>
      </c>
      <c r="B967" s="63">
        <f>16.6639 * CHOOSE(CONTROL!$C$22, $C$13, 100%, $E$13)</f>
        <v>16.663900000000002</v>
      </c>
      <c r="C967" s="63">
        <f>16.6639 * CHOOSE(CONTROL!$C$22, $C$13, 100%, $E$13)</f>
        <v>16.663900000000002</v>
      </c>
      <c r="D967" s="63">
        <f>16.6639 * CHOOSE(CONTROL!$C$22, $C$13, 100%, $E$13)</f>
        <v>16.663900000000002</v>
      </c>
      <c r="E967" s="64">
        <f>18.739 * CHOOSE(CONTROL!$C$22, $C$13, 100%, $E$13)</f>
        <v>18.739000000000001</v>
      </c>
      <c r="F967" s="64">
        <f>18.739 * CHOOSE(CONTROL!$C$22, $C$13, 100%, $E$13)</f>
        <v>18.739000000000001</v>
      </c>
      <c r="G967" s="64">
        <f>18.739 * CHOOSE(CONTROL!$C$22, $C$13, 100%, $E$13)</f>
        <v>18.739000000000001</v>
      </c>
      <c r="H967" s="64">
        <f>31.1069* CHOOSE(CONTROL!$C$22, $C$13, 100%, $E$13)</f>
        <v>31.1069</v>
      </c>
      <c r="I967" s="64">
        <f>31.107 * CHOOSE(CONTROL!$C$22, $C$13, 100%, $E$13)</f>
        <v>31.106999999999999</v>
      </c>
      <c r="J967" s="64">
        <f>18.739 * CHOOSE(CONTROL!$C$22, $C$13, 100%, $E$13)</f>
        <v>18.739000000000001</v>
      </c>
      <c r="K967" s="64">
        <f>18.739 * CHOOSE(CONTROL!$C$22, $C$13, 100%, $E$13)</f>
        <v>18.739000000000001</v>
      </c>
    </row>
    <row r="968" spans="1:11" ht="15">
      <c r="A968" s="13">
        <v>70950</v>
      </c>
      <c r="B968" s="63">
        <f>16.6722 * CHOOSE(CONTROL!$C$22, $C$13, 100%, $E$13)</f>
        <v>16.6722</v>
      </c>
      <c r="C968" s="63">
        <f>16.6722 * CHOOSE(CONTROL!$C$22, $C$13, 100%, $E$13)</f>
        <v>16.6722</v>
      </c>
      <c r="D968" s="63">
        <f>16.6722 * CHOOSE(CONTROL!$C$22, $C$13, 100%, $E$13)</f>
        <v>16.6722</v>
      </c>
      <c r="E968" s="64">
        <f>19.0217 * CHOOSE(CONTROL!$C$22, $C$13, 100%, $E$13)</f>
        <v>19.021699999999999</v>
      </c>
      <c r="F968" s="64">
        <f>19.0217 * CHOOSE(CONTROL!$C$22, $C$13, 100%, $E$13)</f>
        <v>19.021699999999999</v>
      </c>
      <c r="G968" s="64">
        <f>19.0217 * CHOOSE(CONTROL!$C$22, $C$13, 100%, $E$13)</f>
        <v>19.021699999999999</v>
      </c>
      <c r="H968" s="64">
        <f>31.1717* CHOOSE(CONTROL!$C$22, $C$13, 100%, $E$13)</f>
        <v>31.171700000000001</v>
      </c>
      <c r="I968" s="64">
        <f>31.1718 * CHOOSE(CONTROL!$C$22, $C$13, 100%, $E$13)</f>
        <v>31.171800000000001</v>
      </c>
      <c r="J968" s="64">
        <f>19.0217 * CHOOSE(CONTROL!$C$22, $C$13, 100%, $E$13)</f>
        <v>19.021699999999999</v>
      </c>
      <c r="K968" s="64">
        <f>19.0217 * CHOOSE(CONTROL!$C$22, $C$13, 100%, $E$13)</f>
        <v>19.021699999999999</v>
      </c>
    </row>
    <row r="969" spans="1:11" ht="15">
      <c r="A969" s="13">
        <v>70980</v>
      </c>
      <c r="B969" s="63">
        <f>16.6722 * CHOOSE(CONTROL!$C$22, $C$13, 100%, $E$13)</f>
        <v>16.6722</v>
      </c>
      <c r="C969" s="63">
        <f>16.6722 * CHOOSE(CONTROL!$C$22, $C$13, 100%, $E$13)</f>
        <v>16.6722</v>
      </c>
      <c r="D969" s="63">
        <f>16.6851 * CHOOSE(CONTROL!$C$22, $C$13, 100%, $E$13)</f>
        <v>16.685099999999998</v>
      </c>
      <c r="E969" s="64">
        <f>19.1293 * CHOOSE(CONTROL!$C$22, $C$13, 100%, $E$13)</f>
        <v>19.129300000000001</v>
      </c>
      <c r="F969" s="64">
        <f>19.1293 * CHOOSE(CONTROL!$C$22, $C$13, 100%, $E$13)</f>
        <v>19.129300000000001</v>
      </c>
      <c r="G969" s="64">
        <f>19.1449 * CHOOSE(CONTROL!$C$22, $C$13, 100%, $E$13)</f>
        <v>19.1449</v>
      </c>
      <c r="H969" s="64">
        <f>31.2366* CHOOSE(CONTROL!$C$22, $C$13, 100%, $E$13)</f>
        <v>31.236599999999999</v>
      </c>
      <c r="I969" s="64">
        <f>31.2523 * CHOOSE(CONTROL!$C$22, $C$13, 100%, $E$13)</f>
        <v>31.252300000000002</v>
      </c>
      <c r="J969" s="64">
        <f>19.1293 * CHOOSE(CONTROL!$C$22, $C$13, 100%, $E$13)</f>
        <v>19.129300000000001</v>
      </c>
      <c r="K969" s="64">
        <f>19.1449 * CHOOSE(CONTROL!$C$22, $C$13, 100%, $E$13)</f>
        <v>19.1449</v>
      </c>
    </row>
    <row r="970" spans="1:11" ht="15">
      <c r="A970" s="13">
        <v>71011</v>
      </c>
      <c r="B970" s="63">
        <f>16.6782 * CHOOSE(CONTROL!$C$22, $C$13, 100%, $E$13)</f>
        <v>16.6782</v>
      </c>
      <c r="C970" s="63">
        <f>16.6782 * CHOOSE(CONTROL!$C$22, $C$13, 100%, $E$13)</f>
        <v>16.6782</v>
      </c>
      <c r="D970" s="63">
        <f>16.6912 * CHOOSE(CONTROL!$C$22, $C$13, 100%, $E$13)</f>
        <v>16.691199999999998</v>
      </c>
      <c r="E970" s="64">
        <f>19.0259 * CHOOSE(CONTROL!$C$22, $C$13, 100%, $E$13)</f>
        <v>19.0259</v>
      </c>
      <c r="F970" s="64">
        <f>19.0259 * CHOOSE(CONTROL!$C$22, $C$13, 100%, $E$13)</f>
        <v>19.0259</v>
      </c>
      <c r="G970" s="64">
        <f>19.0416 * CHOOSE(CONTROL!$C$22, $C$13, 100%, $E$13)</f>
        <v>19.041599999999999</v>
      </c>
      <c r="H970" s="64">
        <f>31.3017* CHOOSE(CONTROL!$C$22, $C$13, 100%, $E$13)</f>
        <v>31.3017</v>
      </c>
      <c r="I970" s="64">
        <f>31.3174 * CHOOSE(CONTROL!$C$22, $C$13, 100%, $E$13)</f>
        <v>31.317399999999999</v>
      </c>
      <c r="J970" s="64">
        <f>19.0259 * CHOOSE(CONTROL!$C$22, $C$13, 100%, $E$13)</f>
        <v>19.0259</v>
      </c>
      <c r="K970" s="64">
        <f>19.0416 * CHOOSE(CONTROL!$C$22, $C$13, 100%, $E$13)</f>
        <v>19.041599999999999</v>
      </c>
    </row>
    <row r="971" spans="1:11" ht="15">
      <c r="A971" s="13">
        <v>71041</v>
      </c>
      <c r="B971" s="63">
        <f>16.9294 * CHOOSE(CONTROL!$C$22, $C$13, 100%, $E$13)</f>
        <v>16.929400000000001</v>
      </c>
      <c r="C971" s="63">
        <f>16.9294 * CHOOSE(CONTROL!$C$22, $C$13, 100%, $E$13)</f>
        <v>16.929400000000001</v>
      </c>
      <c r="D971" s="63">
        <f>16.9424 * CHOOSE(CONTROL!$C$22, $C$13, 100%, $E$13)</f>
        <v>16.942399999999999</v>
      </c>
      <c r="E971" s="64">
        <f>19.3264 * CHOOSE(CONTROL!$C$22, $C$13, 100%, $E$13)</f>
        <v>19.3264</v>
      </c>
      <c r="F971" s="64">
        <f>19.3264 * CHOOSE(CONTROL!$C$22, $C$13, 100%, $E$13)</f>
        <v>19.3264</v>
      </c>
      <c r="G971" s="64">
        <f>19.3421 * CHOOSE(CONTROL!$C$22, $C$13, 100%, $E$13)</f>
        <v>19.342099999999999</v>
      </c>
      <c r="H971" s="64">
        <f>31.3669* CHOOSE(CONTROL!$C$22, $C$13, 100%, $E$13)</f>
        <v>31.366900000000001</v>
      </c>
      <c r="I971" s="64">
        <f>31.3826 * CHOOSE(CONTROL!$C$22, $C$13, 100%, $E$13)</f>
        <v>31.3826</v>
      </c>
      <c r="J971" s="64">
        <f>19.3264 * CHOOSE(CONTROL!$C$22, $C$13, 100%, $E$13)</f>
        <v>19.3264</v>
      </c>
      <c r="K971" s="64">
        <f>19.3421 * CHOOSE(CONTROL!$C$22, $C$13, 100%, $E$13)</f>
        <v>19.342099999999999</v>
      </c>
    </row>
    <row r="972" spans="1:11" ht="15">
      <c r="A972" s="13">
        <v>71072</v>
      </c>
      <c r="B972" s="63">
        <f>16.9361 * CHOOSE(CONTROL!$C$22, $C$13, 100%, $E$13)</f>
        <v>16.9361</v>
      </c>
      <c r="C972" s="63">
        <f>16.9361 * CHOOSE(CONTROL!$C$22, $C$13, 100%, $E$13)</f>
        <v>16.9361</v>
      </c>
      <c r="D972" s="63">
        <f>16.9491 * CHOOSE(CONTROL!$C$22, $C$13, 100%, $E$13)</f>
        <v>16.949100000000001</v>
      </c>
      <c r="E972" s="64">
        <f>19.0083 * CHOOSE(CONTROL!$C$22, $C$13, 100%, $E$13)</f>
        <v>19.008299999999998</v>
      </c>
      <c r="F972" s="64">
        <f>19.0083 * CHOOSE(CONTROL!$C$22, $C$13, 100%, $E$13)</f>
        <v>19.008299999999998</v>
      </c>
      <c r="G972" s="64">
        <f>19.0239 * CHOOSE(CONTROL!$C$22, $C$13, 100%, $E$13)</f>
        <v>19.023900000000001</v>
      </c>
      <c r="H972" s="64">
        <f>31.4323* CHOOSE(CONTROL!$C$22, $C$13, 100%, $E$13)</f>
        <v>31.432300000000001</v>
      </c>
      <c r="I972" s="64">
        <f>31.448 * CHOOSE(CONTROL!$C$22, $C$13, 100%, $E$13)</f>
        <v>31.448</v>
      </c>
      <c r="J972" s="64">
        <f>19.0083 * CHOOSE(CONTROL!$C$22, $C$13, 100%, $E$13)</f>
        <v>19.008299999999998</v>
      </c>
      <c r="K972" s="64">
        <f>19.0239 * CHOOSE(CONTROL!$C$22, $C$13, 100%, $E$13)</f>
        <v>19.023900000000001</v>
      </c>
    </row>
    <row r="973" spans="1:11" ht="15">
      <c r="A973" s="13">
        <v>71103</v>
      </c>
      <c r="B973" s="63">
        <f>16.933 * CHOOSE(CONTROL!$C$22, $C$13, 100%, $E$13)</f>
        <v>16.933</v>
      </c>
      <c r="C973" s="63">
        <f>16.933 * CHOOSE(CONTROL!$C$22, $C$13, 100%, $E$13)</f>
        <v>16.933</v>
      </c>
      <c r="D973" s="63">
        <f>16.946 * CHOOSE(CONTROL!$C$22, $C$13, 100%, $E$13)</f>
        <v>16.946000000000002</v>
      </c>
      <c r="E973" s="64">
        <f>18.9703 * CHOOSE(CONTROL!$C$22, $C$13, 100%, $E$13)</f>
        <v>18.970300000000002</v>
      </c>
      <c r="F973" s="64">
        <f>18.9703 * CHOOSE(CONTROL!$C$22, $C$13, 100%, $E$13)</f>
        <v>18.970300000000002</v>
      </c>
      <c r="G973" s="64">
        <f>18.9859 * CHOOSE(CONTROL!$C$22, $C$13, 100%, $E$13)</f>
        <v>18.985900000000001</v>
      </c>
      <c r="H973" s="64">
        <f>31.4978* CHOOSE(CONTROL!$C$22, $C$13, 100%, $E$13)</f>
        <v>31.497800000000002</v>
      </c>
      <c r="I973" s="64">
        <f>31.5134 * CHOOSE(CONTROL!$C$22, $C$13, 100%, $E$13)</f>
        <v>31.513400000000001</v>
      </c>
      <c r="J973" s="64">
        <f>18.9703 * CHOOSE(CONTROL!$C$22, $C$13, 100%, $E$13)</f>
        <v>18.970300000000002</v>
      </c>
      <c r="K973" s="64">
        <f>18.9859 * CHOOSE(CONTROL!$C$22, $C$13, 100%, $E$13)</f>
        <v>18.985900000000001</v>
      </c>
    </row>
    <row r="974" spans="1:11" ht="15">
      <c r="A974" s="13">
        <v>71133</v>
      </c>
      <c r="B974" s="63">
        <f>16.9696 * CHOOSE(CONTROL!$C$22, $C$13, 100%, $E$13)</f>
        <v>16.9696</v>
      </c>
      <c r="C974" s="63">
        <f>16.9696 * CHOOSE(CONTROL!$C$22, $C$13, 100%, $E$13)</f>
        <v>16.9696</v>
      </c>
      <c r="D974" s="63">
        <f>16.9696 * CHOOSE(CONTROL!$C$22, $C$13, 100%, $E$13)</f>
        <v>16.9696</v>
      </c>
      <c r="E974" s="64">
        <f>19.1003 * CHOOSE(CONTROL!$C$22, $C$13, 100%, $E$13)</f>
        <v>19.100300000000001</v>
      </c>
      <c r="F974" s="64">
        <f>19.1003 * CHOOSE(CONTROL!$C$22, $C$13, 100%, $E$13)</f>
        <v>19.100300000000001</v>
      </c>
      <c r="G974" s="64">
        <f>19.1004 * CHOOSE(CONTROL!$C$22, $C$13, 100%, $E$13)</f>
        <v>19.1004</v>
      </c>
      <c r="H974" s="64">
        <f>31.5634* CHOOSE(CONTROL!$C$22, $C$13, 100%, $E$13)</f>
        <v>31.563400000000001</v>
      </c>
      <c r="I974" s="64">
        <f>31.5635 * CHOOSE(CONTROL!$C$22, $C$13, 100%, $E$13)</f>
        <v>31.563500000000001</v>
      </c>
      <c r="J974" s="64">
        <f>19.1003 * CHOOSE(CONTROL!$C$22, $C$13, 100%, $E$13)</f>
        <v>19.100300000000001</v>
      </c>
      <c r="K974" s="64">
        <f>19.1004 * CHOOSE(CONTROL!$C$22, $C$13, 100%, $E$13)</f>
        <v>19.1004</v>
      </c>
    </row>
    <row r="975" spans="1:11" ht="15">
      <c r="A975" s="13">
        <v>71164</v>
      </c>
      <c r="B975" s="63">
        <f>16.9727 * CHOOSE(CONTROL!$C$22, $C$13, 100%, $E$13)</f>
        <v>16.9727</v>
      </c>
      <c r="C975" s="63">
        <f>16.9727 * CHOOSE(CONTROL!$C$22, $C$13, 100%, $E$13)</f>
        <v>16.9727</v>
      </c>
      <c r="D975" s="63">
        <f>16.9727 * CHOOSE(CONTROL!$C$22, $C$13, 100%, $E$13)</f>
        <v>16.9727</v>
      </c>
      <c r="E975" s="64">
        <f>19.1742 * CHOOSE(CONTROL!$C$22, $C$13, 100%, $E$13)</f>
        <v>19.174199999999999</v>
      </c>
      <c r="F975" s="64">
        <f>19.1742 * CHOOSE(CONTROL!$C$22, $C$13, 100%, $E$13)</f>
        <v>19.174199999999999</v>
      </c>
      <c r="G975" s="64">
        <f>19.1743 * CHOOSE(CONTROL!$C$22, $C$13, 100%, $E$13)</f>
        <v>19.174299999999999</v>
      </c>
      <c r="H975" s="64">
        <f>31.6291* CHOOSE(CONTROL!$C$22, $C$13, 100%, $E$13)</f>
        <v>31.629100000000001</v>
      </c>
      <c r="I975" s="64">
        <f>31.6292 * CHOOSE(CONTROL!$C$22, $C$13, 100%, $E$13)</f>
        <v>31.629200000000001</v>
      </c>
      <c r="J975" s="64">
        <f>19.1742 * CHOOSE(CONTROL!$C$22, $C$13, 100%, $E$13)</f>
        <v>19.174199999999999</v>
      </c>
      <c r="K975" s="64">
        <f>19.1743 * CHOOSE(CONTROL!$C$22, $C$13, 100%, $E$13)</f>
        <v>19.174299999999999</v>
      </c>
    </row>
    <row r="976" spans="1:11" ht="15">
      <c r="A976" s="13">
        <v>71194</v>
      </c>
      <c r="B976" s="63">
        <f>16.9727 * CHOOSE(CONTROL!$C$22, $C$13, 100%, $E$13)</f>
        <v>16.9727</v>
      </c>
      <c r="C976" s="63">
        <f>16.9727 * CHOOSE(CONTROL!$C$22, $C$13, 100%, $E$13)</f>
        <v>16.9727</v>
      </c>
      <c r="D976" s="63">
        <f>16.9727 * CHOOSE(CONTROL!$C$22, $C$13, 100%, $E$13)</f>
        <v>16.9727</v>
      </c>
      <c r="E976" s="64">
        <f>18.9948 * CHOOSE(CONTROL!$C$22, $C$13, 100%, $E$13)</f>
        <v>18.994800000000001</v>
      </c>
      <c r="F976" s="64">
        <f>18.9948 * CHOOSE(CONTROL!$C$22, $C$13, 100%, $E$13)</f>
        <v>18.994800000000001</v>
      </c>
      <c r="G976" s="64">
        <f>18.9949 * CHOOSE(CONTROL!$C$22, $C$13, 100%, $E$13)</f>
        <v>18.994900000000001</v>
      </c>
      <c r="H976" s="64">
        <f>31.695* CHOOSE(CONTROL!$C$22, $C$13, 100%, $E$13)</f>
        <v>31.695</v>
      </c>
      <c r="I976" s="64">
        <f>31.6951 * CHOOSE(CONTROL!$C$22, $C$13, 100%, $E$13)</f>
        <v>31.6951</v>
      </c>
      <c r="J976" s="64">
        <f>18.9948 * CHOOSE(CONTROL!$C$22, $C$13, 100%, $E$13)</f>
        <v>18.994800000000001</v>
      </c>
      <c r="K976" s="64">
        <f>18.9949 * CHOOSE(CONTROL!$C$22, $C$13, 100%, $E$13)</f>
        <v>18.994900000000001</v>
      </c>
    </row>
    <row r="977" spans="1:11" ht="15">
      <c r="A977" s="13">
        <v>71225</v>
      </c>
      <c r="B977" s="63">
        <f>16.9056 * CHOOSE(CONTROL!$C$22, $C$13, 100%, $E$13)</f>
        <v>16.9056</v>
      </c>
      <c r="C977" s="63">
        <f>16.9056 * CHOOSE(CONTROL!$C$22, $C$13, 100%, $E$13)</f>
        <v>16.9056</v>
      </c>
      <c r="D977" s="63">
        <f>16.9056 * CHOOSE(CONTROL!$C$22, $C$13, 100%, $E$13)</f>
        <v>16.9056</v>
      </c>
      <c r="E977" s="64">
        <f>19.0697 * CHOOSE(CONTROL!$C$22, $C$13, 100%, $E$13)</f>
        <v>19.069700000000001</v>
      </c>
      <c r="F977" s="64">
        <f>19.0697 * CHOOSE(CONTROL!$C$22, $C$13, 100%, $E$13)</f>
        <v>19.069700000000001</v>
      </c>
      <c r="G977" s="64">
        <f>19.0697 * CHOOSE(CONTROL!$C$22, $C$13, 100%, $E$13)</f>
        <v>19.069700000000001</v>
      </c>
      <c r="H977" s="64">
        <f>31.4047* CHOOSE(CONTROL!$C$22, $C$13, 100%, $E$13)</f>
        <v>31.404699999999998</v>
      </c>
      <c r="I977" s="64">
        <f>31.4048 * CHOOSE(CONTROL!$C$22, $C$13, 100%, $E$13)</f>
        <v>31.404800000000002</v>
      </c>
      <c r="J977" s="64">
        <f>19.0697 * CHOOSE(CONTROL!$C$22, $C$13, 100%, $E$13)</f>
        <v>19.069700000000001</v>
      </c>
      <c r="K977" s="64">
        <f>19.0697 * CHOOSE(CONTROL!$C$22, $C$13, 100%, $E$13)</f>
        <v>19.069700000000001</v>
      </c>
    </row>
    <row r="978" spans="1:11" ht="15">
      <c r="A978" s="13">
        <v>71256</v>
      </c>
      <c r="B978" s="63">
        <f>16.9025 * CHOOSE(CONTROL!$C$22, $C$13, 100%, $E$13)</f>
        <v>16.9025</v>
      </c>
      <c r="C978" s="63">
        <f>16.9025 * CHOOSE(CONTROL!$C$22, $C$13, 100%, $E$13)</f>
        <v>16.9025</v>
      </c>
      <c r="D978" s="63">
        <f>16.9026 * CHOOSE(CONTROL!$C$22, $C$13, 100%, $E$13)</f>
        <v>16.9026</v>
      </c>
      <c r="E978" s="64">
        <f>18.7237 * CHOOSE(CONTROL!$C$22, $C$13, 100%, $E$13)</f>
        <v>18.723700000000001</v>
      </c>
      <c r="F978" s="64">
        <f>18.7237 * CHOOSE(CONTROL!$C$22, $C$13, 100%, $E$13)</f>
        <v>18.723700000000001</v>
      </c>
      <c r="G978" s="64">
        <f>18.7238 * CHOOSE(CONTROL!$C$22, $C$13, 100%, $E$13)</f>
        <v>18.723800000000001</v>
      </c>
      <c r="H978" s="64">
        <f>31.4701* CHOOSE(CONTROL!$C$22, $C$13, 100%, $E$13)</f>
        <v>31.470099999999999</v>
      </c>
      <c r="I978" s="64">
        <f>31.4702 * CHOOSE(CONTROL!$C$22, $C$13, 100%, $E$13)</f>
        <v>31.470199999999998</v>
      </c>
      <c r="J978" s="64">
        <f>18.7237 * CHOOSE(CONTROL!$C$22, $C$13, 100%, $E$13)</f>
        <v>18.723700000000001</v>
      </c>
      <c r="K978" s="64">
        <f>18.7238 * CHOOSE(CONTROL!$C$22, $C$13, 100%, $E$13)</f>
        <v>18.723800000000001</v>
      </c>
    </row>
    <row r="979" spans="1:11" ht="15">
      <c r="A979" s="13">
        <v>71284</v>
      </c>
      <c r="B979" s="63">
        <f>16.8995 * CHOOSE(CONTROL!$C$22, $C$13, 100%, $E$13)</f>
        <v>16.8995</v>
      </c>
      <c r="C979" s="63">
        <f>16.8995 * CHOOSE(CONTROL!$C$22, $C$13, 100%, $E$13)</f>
        <v>16.8995</v>
      </c>
      <c r="D979" s="63">
        <f>16.8995 * CHOOSE(CONTROL!$C$22, $C$13, 100%, $E$13)</f>
        <v>16.8995</v>
      </c>
      <c r="E979" s="64">
        <f>18.9926 * CHOOSE(CONTROL!$C$22, $C$13, 100%, $E$13)</f>
        <v>18.992599999999999</v>
      </c>
      <c r="F979" s="64">
        <f>18.9926 * CHOOSE(CONTROL!$C$22, $C$13, 100%, $E$13)</f>
        <v>18.992599999999999</v>
      </c>
      <c r="G979" s="64">
        <f>18.9927 * CHOOSE(CONTROL!$C$22, $C$13, 100%, $E$13)</f>
        <v>18.992699999999999</v>
      </c>
      <c r="H979" s="64">
        <f>31.5357* CHOOSE(CONTROL!$C$22, $C$13, 100%, $E$13)</f>
        <v>31.535699999999999</v>
      </c>
      <c r="I979" s="64">
        <f>31.5358 * CHOOSE(CONTROL!$C$22, $C$13, 100%, $E$13)</f>
        <v>31.535799999999998</v>
      </c>
      <c r="J979" s="64">
        <f>18.9926 * CHOOSE(CONTROL!$C$22, $C$13, 100%, $E$13)</f>
        <v>18.992599999999999</v>
      </c>
      <c r="K979" s="64">
        <f>18.9927 * CHOOSE(CONTROL!$C$22, $C$13, 100%, $E$13)</f>
        <v>18.992699999999999</v>
      </c>
    </row>
    <row r="980" spans="1:11" ht="15">
      <c r="A980" s="13">
        <v>71315</v>
      </c>
      <c r="B980" s="63">
        <f>16.9079 * CHOOSE(CONTROL!$C$22, $C$13, 100%, $E$13)</f>
        <v>16.907900000000001</v>
      </c>
      <c r="C980" s="63">
        <f>16.9079 * CHOOSE(CONTROL!$C$22, $C$13, 100%, $E$13)</f>
        <v>16.907900000000001</v>
      </c>
      <c r="D980" s="63">
        <f>16.9079 * CHOOSE(CONTROL!$C$22, $C$13, 100%, $E$13)</f>
        <v>16.907900000000001</v>
      </c>
      <c r="E980" s="64">
        <f>19.2795 * CHOOSE(CONTROL!$C$22, $C$13, 100%, $E$13)</f>
        <v>19.279499999999999</v>
      </c>
      <c r="F980" s="64">
        <f>19.2795 * CHOOSE(CONTROL!$C$22, $C$13, 100%, $E$13)</f>
        <v>19.279499999999999</v>
      </c>
      <c r="G980" s="64">
        <f>19.2796 * CHOOSE(CONTROL!$C$22, $C$13, 100%, $E$13)</f>
        <v>19.279599999999999</v>
      </c>
      <c r="H980" s="64">
        <f>31.6014* CHOOSE(CONTROL!$C$22, $C$13, 100%, $E$13)</f>
        <v>31.601400000000002</v>
      </c>
      <c r="I980" s="64">
        <f>31.6015 * CHOOSE(CONTROL!$C$22, $C$13, 100%, $E$13)</f>
        <v>31.601500000000001</v>
      </c>
      <c r="J980" s="64">
        <f>19.2795 * CHOOSE(CONTROL!$C$22, $C$13, 100%, $E$13)</f>
        <v>19.279499999999999</v>
      </c>
      <c r="K980" s="64">
        <f>19.2796 * CHOOSE(CONTROL!$C$22, $C$13, 100%, $E$13)</f>
        <v>19.279599999999999</v>
      </c>
    </row>
    <row r="981" spans="1:11" ht="15">
      <c r="A981" s="13">
        <v>71345</v>
      </c>
      <c r="B981" s="63">
        <f>16.9079 * CHOOSE(CONTROL!$C$22, $C$13, 100%, $E$13)</f>
        <v>16.907900000000001</v>
      </c>
      <c r="C981" s="63">
        <f>16.9079 * CHOOSE(CONTROL!$C$22, $C$13, 100%, $E$13)</f>
        <v>16.907900000000001</v>
      </c>
      <c r="D981" s="63">
        <f>16.9209 * CHOOSE(CONTROL!$C$22, $C$13, 100%, $E$13)</f>
        <v>16.9209</v>
      </c>
      <c r="E981" s="64">
        <f>19.3887 * CHOOSE(CONTROL!$C$22, $C$13, 100%, $E$13)</f>
        <v>19.3887</v>
      </c>
      <c r="F981" s="64">
        <f>19.3887 * CHOOSE(CONTROL!$C$22, $C$13, 100%, $E$13)</f>
        <v>19.3887</v>
      </c>
      <c r="G981" s="64">
        <f>19.4044 * CHOOSE(CONTROL!$C$22, $C$13, 100%, $E$13)</f>
        <v>19.404399999999999</v>
      </c>
      <c r="H981" s="64">
        <f>31.6672* CHOOSE(CONTROL!$C$22, $C$13, 100%, $E$13)</f>
        <v>31.667200000000001</v>
      </c>
      <c r="I981" s="64">
        <f>31.6829 * CHOOSE(CONTROL!$C$22, $C$13, 100%, $E$13)</f>
        <v>31.6829</v>
      </c>
      <c r="J981" s="64">
        <f>19.3887 * CHOOSE(CONTROL!$C$22, $C$13, 100%, $E$13)</f>
        <v>19.3887</v>
      </c>
      <c r="K981" s="64">
        <f>19.4044 * CHOOSE(CONTROL!$C$22, $C$13, 100%, $E$13)</f>
        <v>19.404399999999999</v>
      </c>
    </row>
    <row r="982" spans="1:11" ht="15">
      <c r="A982" s="13">
        <v>71376</v>
      </c>
      <c r="B982" s="63">
        <f>16.914 * CHOOSE(CONTROL!$C$22, $C$13, 100%, $E$13)</f>
        <v>16.914000000000001</v>
      </c>
      <c r="C982" s="63">
        <f>16.914 * CHOOSE(CONTROL!$C$22, $C$13, 100%, $E$13)</f>
        <v>16.914000000000001</v>
      </c>
      <c r="D982" s="63">
        <f>16.927 * CHOOSE(CONTROL!$C$22, $C$13, 100%, $E$13)</f>
        <v>16.927</v>
      </c>
      <c r="E982" s="64">
        <f>19.2838 * CHOOSE(CONTROL!$C$22, $C$13, 100%, $E$13)</f>
        <v>19.283799999999999</v>
      </c>
      <c r="F982" s="64">
        <f>19.2838 * CHOOSE(CONTROL!$C$22, $C$13, 100%, $E$13)</f>
        <v>19.283799999999999</v>
      </c>
      <c r="G982" s="64">
        <f>19.2994 * CHOOSE(CONTROL!$C$22, $C$13, 100%, $E$13)</f>
        <v>19.299399999999999</v>
      </c>
      <c r="H982" s="64">
        <f>31.7332* CHOOSE(CONTROL!$C$22, $C$13, 100%, $E$13)</f>
        <v>31.7332</v>
      </c>
      <c r="I982" s="64">
        <f>31.7489 * CHOOSE(CONTROL!$C$22, $C$13, 100%, $E$13)</f>
        <v>31.748899999999999</v>
      </c>
      <c r="J982" s="64">
        <f>19.2838 * CHOOSE(CONTROL!$C$22, $C$13, 100%, $E$13)</f>
        <v>19.283799999999999</v>
      </c>
      <c r="K982" s="64">
        <f>19.2994 * CHOOSE(CONTROL!$C$22, $C$13, 100%, $E$13)</f>
        <v>19.299399999999999</v>
      </c>
    </row>
    <row r="983" spans="1:11" ht="15">
      <c r="A983" s="13">
        <v>71406</v>
      </c>
      <c r="B983" s="63">
        <f>17.1686 * CHOOSE(CONTROL!$C$22, $C$13, 100%, $E$13)</f>
        <v>17.168600000000001</v>
      </c>
      <c r="C983" s="63">
        <f>17.1686 * CHOOSE(CONTROL!$C$22, $C$13, 100%, $E$13)</f>
        <v>17.168600000000001</v>
      </c>
      <c r="D983" s="63">
        <f>17.1815 * CHOOSE(CONTROL!$C$22, $C$13, 100%, $E$13)</f>
        <v>17.1815</v>
      </c>
      <c r="E983" s="64">
        <f>19.5882 * CHOOSE(CONTROL!$C$22, $C$13, 100%, $E$13)</f>
        <v>19.588200000000001</v>
      </c>
      <c r="F983" s="64">
        <f>19.5882 * CHOOSE(CONTROL!$C$22, $C$13, 100%, $E$13)</f>
        <v>19.588200000000001</v>
      </c>
      <c r="G983" s="64">
        <f>19.6039 * CHOOSE(CONTROL!$C$22, $C$13, 100%, $E$13)</f>
        <v>19.603899999999999</v>
      </c>
      <c r="H983" s="64">
        <f>31.7993* CHOOSE(CONTROL!$C$22, $C$13, 100%, $E$13)</f>
        <v>31.799299999999999</v>
      </c>
      <c r="I983" s="64">
        <f>31.815 * CHOOSE(CONTROL!$C$22, $C$13, 100%, $E$13)</f>
        <v>31.815000000000001</v>
      </c>
      <c r="J983" s="64">
        <f>19.5882 * CHOOSE(CONTROL!$C$22, $C$13, 100%, $E$13)</f>
        <v>19.588200000000001</v>
      </c>
      <c r="K983" s="64">
        <f>19.6039 * CHOOSE(CONTROL!$C$22, $C$13, 100%, $E$13)</f>
        <v>19.603899999999999</v>
      </c>
    </row>
    <row r="984" spans="1:11" ht="15">
      <c r="A984" s="13">
        <v>71437</v>
      </c>
      <c r="B984" s="63">
        <f>17.1753 * CHOOSE(CONTROL!$C$22, $C$13, 100%, $E$13)</f>
        <v>17.1753</v>
      </c>
      <c r="C984" s="63">
        <f>17.1753 * CHOOSE(CONTROL!$C$22, $C$13, 100%, $E$13)</f>
        <v>17.1753</v>
      </c>
      <c r="D984" s="63">
        <f>17.1882 * CHOOSE(CONTROL!$C$22, $C$13, 100%, $E$13)</f>
        <v>17.188199999999998</v>
      </c>
      <c r="E984" s="64">
        <f>19.2653 * CHOOSE(CONTROL!$C$22, $C$13, 100%, $E$13)</f>
        <v>19.2653</v>
      </c>
      <c r="F984" s="64">
        <f>19.2653 * CHOOSE(CONTROL!$C$22, $C$13, 100%, $E$13)</f>
        <v>19.2653</v>
      </c>
      <c r="G984" s="64">
        <f>19.281 * CHOOSE(CONTROL!$C$22, $C$13, 100%, $E$13)</f>
        <v>19.280999999999999</v>
      </c>
      <c r="H984" s="64">
        <f>31.8656* CHOOSE(CONTROL!$C$22, $C$13, 100%, $E$13)</f>
        <v>31.865600000000001</v>
      </c>
      <c r="I984" s="64">
        <f>31.8813 * CHOOSE(CONTROL!$C$22, $C$13, 100%, $E$13)</f>
        <v>31.8813</v>
      </c>
      <c r="J984" s="64">
        <f>19.2653 * CHOOSE(CONTROL!$C$22, $C$13, 100%, $E$13)</f>
        <v>19.2653</v>
      </c>
      <c r="K984" s="64">
        <f>19.281 * CHOOSE(CONTROL!$C$22, $C$13, 100%, $E$13)</f>
        <v>19.280999999999999</v>
      </c>
    </row>
    <row r="985" spans="1:11" ht="15">
      <c r="A985" s="13">
        <v>71468</v>
      </c>
      <c r="B985" s="63">
        <f>17.1722 * CHOOSE(CONTROL!$C$22, $C$13, 100%, $E$13)</f>
        <v>17.1722</v>
      </c>
      <c r="C985" s="63">
        <f>17.1722 * CHOOSE(CONTROL!$C$22, $C$13, 100%, $E$13)</f>
        <v>17.1722</v>
      </c>
      <c r="D985" s="63">
        <f>17.1852 * CHOOSE(CONTROL!$C$22, $C$13, 100%, $E$13)</f>
        <v>17.185199999999998</v>
      </c>
      <c r="E985" s="64">
        <f>19.2268 * CHOOSE(CONTROL!$C$22, $C$13, 100%, $E$13)</f>
        <v>19.226800000000001</v>
      </c>
      <c r="F985" s="64">
        <f>19.2268 * CHOOSE(CONTROL!$C$22, $C$13, 100%, $E$13)</f>
        <v>19.226800000000001</v>
      </c>
      <c r="G985" s="64">
        <f>19.2425 * CHOOSE(CONTROL!$C$22, $C$13, 100%, $E$13)</f>
        <v>19.2425</v>
      </c>
      <c r="H985" s="64">
        <f>31.932* CHOOSE(CONTROL!$C$22, $C$13, 100%, $E$13)</f>
        <v>31.931999999999999</v>
      </c>
      <c r="I985" s="64">
        <f>31.9476 * CHOOSE(CONTROL!$C$22, $C$13, 100%, $E$13)</f>
        <v>31.947600000000001</v>
      </c>
      <c r="J985" s="64">
        <f>19.2268 * CHOOSE(CONTROL!$C$22, $C$13, 100%, $E$13)</f>
        <v>19.226800000000001</v>
      </c>
      <c r="K985" s="64">
        <f>19.2425 * CHOOSE(CONTROL!$C$22, $C$13, 100%, $E$13)</f>
        <v>19.2425</v>
      </c>
    </row>
    <row r="986" spans="1:11" ht="15">
      <c r="A986" s="13">
        <v>71498</v>
      </c>
      <c r="B986" s="63">
        <f>17.2096 * CHOOSE(CONTROL!$C$22, $C$13, 100%, $E$13)</f>
        <v>17.209599999999998</v>
      </c>
      <c r="C986" s="63">
        <f>17.2096 * CHOOSE(CONTROL!$C$22, $C$13, 100%, $E$13)</f>
        <v>17.209599999999998</v>
      </c>
      <c r="D986" s="63">
        <f>17.2096 * CHOOSE(CONTROL!$C$22, $C$13, 100%, $E$13)</f>
        <v>17.209599999999998</v>
      </c>
      <c r="E986" s="64">
        <f>19.359 * CHOOSE(CONTROL!$C$22, $C$13, 100%, $E$13)</f>
        <v>19.359000000000002</v>
      </c>
      <c r="F986" s="64">
        <f>19.359 * CHOOSE(CONTROL!$C$22, $C$13, 100%, $E$13)</f>
        <v>19.359000000000002</v>
      </c>
      <c r="G986" s="64">
        <f>19.359 * CHOOSE(CONTROL!$C$22, $C$13, 100%, $E$13)</f>
        <v>19.359000000000002</v>
      </c>
      <c r="H986" s="64">
        <f>31.9985* CHOOSE(CONTROL!$C$22, $C$13, 100%, $E$13)</f>
        <v>31.9985</v>
      </c>
      <c r="I986" s="64">
        <f>31.9986 * CHOOSE(CONTROL!$C$22, $C$13, 100%, $E$13)</f>
        <v>31.9986</v>
      </c>
      <c r="J986" s="64">
        <f>19.359 * CHOOSE(CONTROL!$C$22, $C$13, 100%, $E$13)</f>
        <v>19.359000000000002</v>
      </c>
      <c r="K986" s="64">
        <f>19.359 * CHOOSE(CONTROL!$C$22, $C$13, 100%, $E$13)</f>
        <v>19.359000000000002</v>
      </c>
    </row>
    <row r="987" spans="1:11" ht="15">
      <c r="A987" s="13">
        <v>71529</v>
      </c>
      <c r="B987" s="63">
        <f>17.2126 * CHOOSE(CONTROL!$C$22, $C$13, 100%, $E$13)</f>
        <v>17.212599999999998</v>
      </c>
      <c r="C987" s="63">
        <f>17.2126 * CHOOSE(CONTROL!$C$22, $C$13, 100%, $E$13)</f>
        <v>17.212599999999998</v>
      </c>
      <c r="D987" s="63">
        <f>17.2126 * CHOOSE(CONTROL!$C$22, $C$13, 100%, $E$13)</f>
        <v>17.212599999999998</v>
      </c>
      <c r="E987" s="64">
        <f>19.4339 * CHOOSE(CONTROL!$C$22, $C$13, 100%, $E$13)</f>
        <v>19.433900000000001</v>
      </c>
      <c r="F987" s="64">
        <f>19.4339 * CHOOSE(CONTROL!$C$22, $C$13, 100%, $E$13)</f>
        <v>19.433900000000001</v>
      </c>
      <c r="G987" s="64">
        <f>19.4339 * CHOOSE(CONTROL!$C$22, $C$13, 100%, $E$13)</f>
        <v>19.433900000000001</v>
      </c>
      <c r="H987" s="64">
        <f>32.0651* CHOOSE(CONTROL!$C$22, $C$13, 100%, $E$13)</f>
        <v>32.065100000000001</v>
      </c>
      <c r="I987" s="64">
        <f>32.0652 * CHOOSE(CONTROL!$C$22, $C$13, 100%, $E$13)</f>
        <v>32.065199999999997</v>
      </c>
      <c r="J987" s="64">
        <f>19.4339 * CHOOSE(CONTROL!$C$22, $C$13, 100%, $E$13)</f>
        <v>19.433900000000001</v>
      </c>
      <c r="K987" s="64">
        <f>19.4339 * CHOOSE(CONTROL!$C$22, $C$13, 100%, $E$13)</f>
        <v>19.433900000000001</v>
      </c>
    </row>
    <row r="988" spans="1:11" ht="15">
      <c r="A988" s="13">
        <v>71559</v>
      </c>
      <c r="B988" s="63">
        <f>17.2126 * CHOOSE(CONTROL!$C$22, $C$13, 100%, $E$13)</f>
        <v>17.212599999999998</v>
      </c>
      <c r="C988" s="63">
        <f>17.2126 * CHOOSE(CONTROL!$C$22, $C$13, 100%, $E$13)</f>
        <v>17.212599999999998</v>
      </c>
      <c r="D988" s="63">
        <f>17.2126 * CHOOSE(CONTROL!$C$22, $C$13, 100%, $E$13)</f>
        <v>17.212599999999998</v>
      </c>
      <c r="E988" s="64">
        <f>19.2519 * CHOOSE(CONTROL!$C$22, $C$13, 100%, $E$13)</f>
        <v>19.251899999999999</v>
      </c>
      <c r="F988" s="64">
        <f>19.2519 * CHOOSE(CONTROL!$C$22, $C$13, 100%, $E$13)</f>
        <v>19.251899999999999</v>
      </c>
      <c r="G988" s="64">
        <f>19.252 * CHOOSE(CONTROL!$C$22, $C$13, 100%, $E$13)</f>
        <v>19.251999999999999</v>
      </c>
      <c r="H988" s="64">
        <f>32.1319* CHOOSE(CONTROL!$C$22, $C$13, 100%, $E$13)</f>
        <v>32.131900000000002</v>
      </c>
      <c r="I988" s="64">
        <f>32.132 * CHOOSE(CONTROL!$C$22, $C$13, 100%, $E$13)</f>
        <v>32.131999999999998</v>
      </c>
      <c r="J988" s="64">
        <f>19.2519 * CHOOSE(CONTROL!$C$22, $C$13, 100%, $E$13)</f>
        <v>19.251899999999999</v>
      </c>
      <c r="K988" s="64">
        <f>19.252 * CHOOSE(CONTROL!$C$22, $C$13, 100%, $E$13)</f>
        <v>19.251999999999999</v>
      </c>
    </row>
    <row r="989" spans="1:11" ht="15">
      <c r="A989" s="13">
        <v>71590</v>
      </c>
      <c r="B989" s="63">
        <f>17.1412 * CHOOSE(CONTROL!$C$22, $C$13, 100%, $E$13)</f>
        <v>17.141200000000001</v>
      </c>
      <c r="C989" s="63">
        <f>17.1412 * CHOOSE(CONTROL!$C$22, $C$13, 100%, $E$13)</f>
        <v>17.141200000000001</v>
      </c>
      <c r="D989" s="63">
        <f>17.1412 * CHOOSE(CONTROL!$C$22, $C$13, 100%, $E$13)</f>
        <v>17.141200000000001</v>
      </c>
      <c r="E989" s="64">
        <f>19.3244 * CHOOSE(CONTROL!$C$22, $C$13, 100%, $E$13)</f>
        <v>19.324400000000001</v>
      </c>
      <c r="F989" s="64">
        <f>19.3244 * CHOOSE(CONTROL!$C$22, $C$13, 100%, $E$13)</f>
        <v>19.324400000000001</v>
      </c>
      <c r="G989" s="64">
        <f>19.3245 * CHOOSE(CONTROL!$C$22, $C$13, 100%, $E$13)</f>
        <v>19.3245</v>
      </c>
      <c r="H989" s="64">
        <f>31.8317* CHOOSE(CONTROL!$C$22, $C$13, 100%, $E$13)</f>
        <v>31.831700000000001</v>
      </c>
      <c r="I989" s="64">
        <f>31.8318 * CHOOSE(CONTROL!$C$22, $C$13, 100%, $E$13)</f>
        <v>31.831800000000001</v>
      </c>
      <c r="J989" s="64">
        <f>19.3244 * CHOOSE(CONTROL!$C$22, $C$13, 100%, $E$13)</f>
        <v>19.324400000000001</v>
      </c>
      <c r="K989" s="64">
        <f>19.3245 * CHOOSE(CONTROL!$C$22, $C$13, 100%, $E$13)</f>
        <v>19.3245</v>
      </c>
    </row>
    <row r="990" spans="1:11" ht="15">
      <c r="A990" s="13">
        <v>71621</v>
      </c>
      <c r="B990" s="63">
        <f>17.1381 * CHOOSE(CONTROL!$C$22, $C$13, 100%, $E$13)</f>
        <v>17.138100000000001</v>
      </c>
      <c r="C990" s="63">
        <f>17.1381 * CHOOSE(CONTROL!$C$22, $C$13, 100%, $E$13)</f>
        <v>17.138100000000001</v>
      </c>
      <c r="D990" s="63">
        <f>17.1381 * CHOOSE(CONTROL!$C$22, $C$13, 100%, $E$13)</f>
        <v>17.138100000000001</v>
      </c>
      <c r="E990" s="64">
        <f>18.9735 * CHOOSE(CONTROL!$C$22, $C$13, 100%, $E$13)</f>
        <v>18.973500000000001</v>
      </c>
      <c r="F990" s="64">
        <f>18.9735 * CHOOSE(CONTROL!$C$22, $C$13, 100%, $E$13)</f>
        <v>18.973500000000001</v>
      </c>
      <c r="G990" s="64">
        <f>18.9735 * CHOOSE(CONTROL!$C$22, $C$13, 100%, $E$13)</f>
        <v>18.973500000000001</v>
      </c>
      <c r="H990" s="64">
        <f>31.8981* CHOOSE(CONTROL!$C$22, $C$13, 100%, $E$13)</f>
        <v>31.898099999999999</v>
      </c>
      <c r="I990" s="64">
        <f>31.8981 * CHOOSE(CONTROL!$C$22, $C$13, 100%, $E$13)</f>
        <v>31.898099999999999</v>
      </c>
      <c r="J990" s="64">
        <f>18.9735 * CHOOSE(CONTROL!$C$22, $C$13, 100%, $E$13)</f>
        <v>18.973500000000001</v>
      </c>
      <c r="K990" s="64">
        <f>18.9735 * CHOOSE(CONTROL!$C$22, $C$13, 100%, $E$13)</f>
        <v>18.973500000000001</v>
      </c>
    </row>
    <row r="991" spans="1:11" ht="15">
      <c r="A991" s="13">
        <v>71650</v>
      </c>
      <c r="B991" s="63">
        <f>17.1351 * CHOOSE(CONTROL!$C$22, $C$13, 100%, $E$13)</f>
        <v>17.135100000000001</v>
      </c>
      <c r="C991" s="63">
        <f>17.1351 * CHOOSE(CONTROL!$C$22, $C$13, 100%, $E$13)</f>
        <v>17.135100000000001</v>
      </c>
      <c r="D991" s="63">
        <f>17.1351 * CHOOSE(CONTROL!$C$22, $C$13, 100%, $E$13)</f>
        <v>17.135100000000001</v>
      </c>
      <c r="E991" s="64">
        <f>19.2463 * CHOOSE(CONTROL!$C$22, $C$13, 100%, $E$13)</f>
        <v>19.246300000000002</v>
      </c>
      <c r="F991" s="64">
        <f>19.2463 * CHOOSE(CONTROL!$C$22, $C$13, 100%, $E$13)</f>
        <v>19.246300000000002</v>
      </c>
      <c r="G991" s="64">
        <f>19.2464 * CHOOSE(CONTROL!$C$22, $C$13, 100%, $E$13)</f>
        <v>19.246400000000001</v>
      </c>
      <c r="H991" s="64">
        <f>31.9645* CHOOSE(CONTROL!$C$22, $C$13, 100%, $E$13)</f>
        <v>31.964500000000001</v>
      </c>
      <c r="I991" s="64">
        <f>31.9646 * CHOOSE(CONTROL!$C$22, $C$13, 100%, $E$13)</f>
        <v>31.964600000000001</v>
      </c>
      <c r="J991" s="64">
        <f>19.2463 * CHOOSE(CONTROL!$C$22, $C$13, 100%, $E$13)</f>
        <v>19.246300000000002</v>
      </c>
      <c r="K991" s="64">
        <f>19.2464 * CHOOSE(CONTROL!$C$22, $C$13, 100%, $E$13)</f>
        <v>19.246400000000001</v>
      </c>
    </row>
    <row r="992" spans="1:11" ht="15">
      <c r="A992" s="13">
        <v>71681</v>
      </c>
      <c r="B992" s="63">
        <f>17.1437 * CHOOSE(CONTROL!$C$22, $C$13, 100%, $E$13)</f>
        <v>17.143699999999999</v>
      </c>
      <c r="C992" s="63">
        <f>17.1437 * CHOOSE(CONTROL!$C$22, $C$13, 100%, $E$13)</f>
        <v>17.143699999999999</v>
      </c>
      <c r="D992" s="63">
        <f>17.1437 * CHOOSE(CONTROL!$C$22, $C$13, 100%, $E$13)</f>
        <v>17.143699999999999</v>
      </c>
      <c r="E992" s="64">
        <f>19.5374 * CHOOSE(CONTROL!$C$22, $C$13, 100%, $E$13)</f>
        <v>19.537400000000002</v>
      </c>
      <c r="F992" s="64">
        <f>19.5374 * CHOOSE(CONTROL!$C$22, $C$13, 100%, $E$13)</f>
        <v>19.537400000000002</v>
      </c>
      <c r="G992" s="64">
        <f>19.5375 * CHOOSE(CONTROL!$C$22, $C$13, 100%, $E$13)</f>
        <v>19.537500000000001</v>
      </c>
      <c r="H992" s="64">
        <f>32.0311* CHOOSE(CONTROL!$C$22, $C$13, 100%, $E$13)</f>
        <v>32.031100000000002</v>
      </c>
      <c r="I992" s="64">
        <f>32.0312 * CHOOSE(CONTROL!$C$22, $C$13, 100%, $E$13)</f>
        <v>32.031199999999998</v>
      </c>
      <c r="J992" s="64">
        <f>19.5374 * CHOOSE(CONTROL!$C$22, $C$13, 100%, $E$13)</f>
        <v>19.537400000000002</v>
      </c>
      <c r="K992" s="64">
        <f>19.5375 * CHOOSE(CONTROL!$C$22, $C$13, 100%, $E$13)</f>
        <v>19.537500000000001</v>
      </c>
    </row>
    <row r="993" spans="1:11" ht="15">
      <c r="A993" s="13">
        <v>71711</v>
      </c>
      <c r="B993" s="63">
        <f>17.1437 * CHOOSE(CONTROL!$C$22, $C$13, 100%, $E$13)</f>
        <v>17.143699999999999</v>
      </c>
      <c r="C993" s="63">
        <f>17.1437 * CHOOSE(CONTROL!$C$22, $C$13, 100%, $E$13)</f>
        <v>17.143699999999999</v>
      </c>
      <c r="D993" s="63">
        <f>17.1567 * CHOOSE(CONTROL!$C$22, $C$13, 100%, $E$13)</f>
        <v>17.156700000000001</v>
      </c>
      <c r="E993" s="64">
        <f>19.6481 * CHOOSE(CONTROL!$C$22, $C$13, 100%, $E$13)</f>
        <v>19.648099999999999</v>
      </c>
      <c r="F993" s="64">
        <f>19.6481 * CHOOSE(CONTROL!$C$22, $C$13, 100%, $E$13)</f>
        <v>19.648099999999999</v>
      </c>
      <c r="G993" s="64">
        <f>19.6638 * CHOOSE(CONTROL!$C$22, $C$13, 100%, $E$13)</f>
        <v>19.663799999999998</v>
      </c>
      <c r="H993" s="64">
        <f>32.0978* CHOOSE(CONTROL!$C$22, $C$13, 100%, $E$13)</f>
        <v>32.097799999999999</v>
      </c>
      <c r="I993" s="64">
        <f>32.1135 * CHOOSE(CONTROL!$C$22, $C$13, 100%, $E$13)</f>
        <v>32.113500000000002</v>
      </c>
      <c r="J993" s="64">
        <f>19.6481 * CHOOSE(CONTROL!$C$22, $C$13, 100%, $E$13)</f>
        <v>19.648099999999999</v>
      </c>
      <c r="K993" s="64">
        <f>19.6638 * CHOOSE(CONTROL!$C$22, $C$13, 100%, $E$13)</f>
        <v>19.663799999999998</v>
      </c>
    </row>
    <row r="994" spans="1:11" ht="15">
      <c r="A994" s="13">
        <v>71742</v>
      </c>
      <c r="B994" s="63">
        <f>17.1498 * CHOOSE(CONTROL!$C$22, $C$13, 100%, $E$13)</f>
        <v>17.149799999999999</v>
      </c>
      <c r="C994" s="63">
        <f>17.1498 * CHOOSE(CONTROL!$C$22, $C$13, 100%, $E$13)</f>
        <v>17.149799999999999</v>
      </c>
      <c r="D994" s="63">
        <f>17.1628 * CHOOSE(CONTROL!$C$22, $C$13, 100%, $E$13)</f>
        <v>17.162800000000001</v>
      </c>
      <c r="E994" s="64">
        <f>19.5416 * CHOOSE(CONTROL!$C$22, $C$13, 100%, $E$13)</f>
        <v>19.541599999999999</v>
      </c>
      <c r="F994" s="64">
        <f>19.5416 * CHOOSE(CONTROL!$C$22, $C$13, 100%, $E$13)</f>
        <v>19.541599999999999</v>
      </c>
      <c r="G994" s="64">
        <f>19.5573 * CHOOSE(CONTROL!$C$22, $C$13, 100%, $E$13)</f>
        <v>19.557300000000001</v>
      </c>
      <c r="H994" s="64">
        <f>32.1647* CHOOSE(CONTROL!$C$22, $C$13, 100%, $E$13)</f>
        <v>32.164700000000003</v>
      </c>
      <c r="I994" s="64">
        <f>32.1804 * CHOOSE(CONTROL!$C$22, $C$13, 100%, $E$13)</f>
        <v>32.180399999999999</v>
      </c>
      <c r="J994" s="64">
        <f>19.5416 * CHOOSE(CONTROL!$C$22, $C$13, 100%, $E$13)</f>
        <v>19.541599999999999</v>
      </c>
      <c r="K994" s="64">
        <f>19.5573 * CHOOSE(CONTROL!$C$22, $C$13, 100%, $E$13)</f>
        <v>19.557300000000001</v>
      </c>
    </row>
    <row r="995" spans="1:11" ht="15">
      <c r="A995" s="13">
        <v>71772</v>
      </c>
      <c r="B995" s="63">
        <f>17.4078 * CHOOSE(CONTROL!$C$22, $C$13, 100%, $E$13)</f>
        <v>17.407800000000002</v>
      </c>
      <c r="C995" s="63">
        <f>17.4078 * CHOOSE(CONTROL!$C$22, $C$13, 100%, $E$13)</f>
        <v>17.407800000000002</v>
      </c>
      <c r="D995" s="63">
        <f>17.4207 * CHOOSE(CONTROL!$C$22, $C$13, 100%, $E$13)</f>
        <v>17.4207</v>
      </c>
      <c r="E995" s="64">
        <f>19.8499 * CHOOSE(CONTROL!$C$22, $C$13, 100%, $E$13)</f>
        <v>19.849900000000002</v>
      </c>
      <c r="F995" s="64">
        <f>19.8499 * CHOOSE(CONTROL!$C$22, $C$13, 100%, $E$13)</f>
        <v>19.849900000000002</v>
      </c>
      <c r="G995" s="64">
        <f>19.8656 * CHOOSE(CONTROL!$C$22, $C$13, 100%, $E$13)</f>
        <v>19.865600000000001</v>
      </c>
      <c r="H995" s="64">
        <f>32.2317* CHOOSE(CONTROL!$C$22, $C$13, 100%, $E$13)</f>
        <v>32.231699999999996</v>
      </c>
      <c r="I995" s="64">
        <f>32.2474 * CHOOSE(CONTROL!$C$22, $C$13, 100%, $E$13)</f>
        <v>32.247399999999999</v>
      </c>
      <c r="J995" s="64">
        <f>19.8499 * CHOOSE(CONTROL!$C$22, $C$13, 100%, $E$13)</f>
        <v>19.849900000000002</v>
      </c>
      <c r="K995" s="64">
        <f>19.8656 * CHOOSE(CONTROL!$C$22, $C$13, 100%, $E$13)</f>
        <v>19.865600000000001</v>
      </c>
    </row>
    <row r="996" spans="1:11" ht="15">
      <c r="A996" s="13">
        <v>71803</v>
      </c>
      <c r="B996" s="63">
        <f>17.4144 * CHOOSE(CONTROL!$C$22, $C$13, 100%, $E$13)</f>
        <v>17.414400000000001</v>
      </c>
      <c r="C996" s="63">
        <f>17.4144 * CHOOSE(CONTROL!$C$22, $C$13, 100%, $E$13)</f>
        <v>17.414400000000001</v>
      </c>
      <c r="D996" s="63">
        <f>17.4274 * CHOOSE(CONTROL!$C$22, $C$13, 100%, $E$13)</f>
        <v>17.427399999999999</v>
      </c>
      <c r="E996" s="64">
        <f>19.5224 * CHOOSE(CONTROL!$C$22, $C$13, 100%, $E$13)</f>
        <v>19.522400000000001</v>
      </c>
      <c r="F996" s="64">
        <f>19.5224 * CHOOSE(CONTROL!$C$22, $C$13, 100%, $E$13)</f>
        <v>19.522400000000001</v>
      </c>
      <c r="G996" s="64">
        <f>19.5381 * CHOOSE(CONTROL!$C$22, $C$13, 100%, $E$13)</f>
        <v>19.5381</v>
      </c>
      <c r="H996" s="64">
        <f>32.2989* CHOOSE(CONTROL!$C$22, $C$13, 100%, $E$13)</f>
        <v>32.298900000000003</v>
      </c>
      <c r="I996" s="64">
        <f>32.3145 * CHOOSE(CONTROL!$C$22, $C$13, 100%, $E$13)</f>
        <v>32.314500000000002</v>
      </c>
      <c r="J996" s="64">
        <f>19.5224 * CHOOSE(CONTROL!$C$22, $C$13, 100%, $E$13)</f>
        <v>19.522400000000001</v>
      </c>
      <c r="K996" s="64">
        <f>19.5381 * CHOOSE(CONTROL!$C$22, $C$13, 100%, $E$13)</f>
        <v>19.5381</v>
      </c>
    </row>
    <row r="997" spans="1:11" ht="15">
      <c r="A997" s="13">
        <v>71834</v>
      </c>
      <c r="B997" s="63">
        <f>17.4114 * CHOOSE(CONTROL!$C$22, $C$13, 100%, $E$13)</f>
        <v>17.4114</v>
      </c>
      <c r="C997" s="63">
        <f>17.4114 * CHOOSE(CONTROL!$C$22, $C$13, 100%, $E$13)</f>
        <v>17.4114</v>
      </c>
      <c r="D997" s="63">
        <f>17.4244 * CHOOSE(CONTROL!$C$22, $C$13, 100%, $E$13)</f>
        <v>17.424399999999999</v>
      </c>
      <c r="E997" s="64">
        <f>19.4834 * CHOOSE(CONTROL!$C$22, $C$13, 100%, $E$13)</f>
        <v>19.4834</v>
      </c>
      <c r="F997" s="64">
        <f>19.4834 * CHOOSE(CONTROL!$C$22, $C$13, 100%, $E$13)</f>
        <v>19.4834</v>
      </c>
      <c r="G997" s="64">
        <f>19.499 * CHOOSE(CONTROL!$C$22, $C$13, 100%, $E$13)</f>
        <v>19.498999999999999</v>
      </c>
      <c r="H997" s="64">
        <f>32.3661* CHOOSE(CONTROL!$C$22, $C$13, 100%, $E$13)</f>
        <v>32.366100000000003</v>
      </c>
      <c r="I997" s="64">
        <f>32.3818 * CHOOSE(CONTROL!$C$22, $C$13, 100%, $E$13)</f>
        <v>32.381799999999998</v>
      </c>
      <c r="J997" s="64">
        <f>19.4834 * CHOOSE(CONTROL!$C$22, $C$13, 100%, $E$13)</f>
        <v>19.4834</v>
      </c>
      <c r="K997" s="64">
        <f>19.499 * CHOOSE(CONTROL!$C$22, $C$13, 100%, $E$13)</f>
        <v>19.498999999999999</v>
      </c>
    </row>
    <row r="998" spans="1:11" ht="15">
      <c r="A998" s="13">
        <v>71864</v>
      </c>
      <c r="B998" s="63">
        <f>17.4495 * CHOOSE(CONTROL!$C$22, $C$13, 100%, $E$13)</f>
        <v>17.4495</v>
      </c>
      <c r="C998" s="63">
        <f>17.4495 * CHOOSE(CONTROL!$C$22, $C$13, 100%, $E$13)</f>
        <v>17.4495</v>
      </c>
      <c r="D998" s="63">
        <f>17.4495 * CHOOSE(CONTROL!$C$22, $C$13, 100%, $E$13)</f>
        <v>17.4495</v>
      </c>
      <c r="E998" s="64">
        <f>19.6176 * CHOOSE(CONTROL!$C$22, $C$13, 100%, $E$13)</f>
        <v>19.617599999999999</v>
      </c>
      <c r="F998" s="64">
        <f>19.6176 * CHOOSE(CONTROL!$C$22, $C$13, 100%, $E$13)</f>
        <v>19.617599999999999</v>
      </c>
      <c r="G998" s="64">
        <f>19.6177 * CHOOSE(CONTROL!$C$22, $C$13, 100%, $E$13)</f>
        <v>19.617699999999999</v>
      </c>
      <c r="H998" s="64">
        <f>32.4336* CHOOSE(CONTROL!$C$22, $C$13, 100%, $E$13)</f>
        <v>32.433599999999998</v>
      </c>
      <c r="I998" s="64">
        <f>32.4337 * CHOOSE(CONTROL!$C$22, $C$13, 100%, $E$13)</f>
        <v>32.433700000000002</v>
      </c>
      <c r="J998" s="64">
        <f>19.6176 * CHOOSE(CONTROL!$C$22, $C$13, 100%, $E$13)</f>
        <v>19.617599999999999</v>
      </c>
      <c r="K998" s="64">
        <f>19.6177 * CHOOSE(CONTROL!$C$22, $C$13, 100%, $E$13)</f>
        <v>19.617699999999999</v>
      </c>
    </row>
    <row r="999" spans="1:11" ht="15">
      <c r="A999" s="13">
        <v>71895</v>
      </c>
      <c r="B999" s="63">
        <f>17.4526 * CHOOSE(CONTROL!$C$22, $C$13, 100%, $E$13)</f>
        <v>17.4526</v>
      </c>
      <c r="C999" s="63">
        <f>17.4526 * CHOOSE(CONTROL!$C$22, $C$13, 100%, $E$13)</f>
        <v>17.4526</v>
      </c>
      <c r="D999" s="63">
        <f>17.4526 * CHOOSE(CONTROL!$C$22, $C$13, 100%, $E$13)</f>
        <v>17.4526</v>
      </c>
      <c r="E999" s="64">
        <f>19.6935 * CHOOSE(CONTROL!$C$22, $C$13, 100%, $E$13)</f>
        <v>19.6935</v>
      </c>
      <c r="F999" s="64">
        <f>19.6935 * CHOOSE(CONTROL!$C$22, $C$13, 100%, $E$13)</f>
        <v>19.6935</v>
      </c>
      <c r="G999" s="64">
        <f>19.6936 * CHOOSE(CONTROL!$C$22, $C$13, 100%, $E$13)</f>
        <v>19.6936</v>
      </c>
      <c r="H999" s="64">
        <f>32.5011* CHOOSE(CONTROL!$C$22, $C$13, 100%, $E$13)</f>
        <v>32.501100000000001</v>
      </c>
      <c r="I999" s="64">
        <f>32.5012 * CHOOSE(CONTROL!$C$22, $C$13, 100%, $E$13)</f>
        <v>32.501199999999997</v>
      </c>
      <c r="J999" s="64">
        <f>19.6935 * CHOOSE(CONTROL!$C$22, $C$13, 100%, $E$13)</f>
        <v>19.6935</v>
      </c>
      <c r="K999" s="64">
        <f>19.6936 * CHOOSE(CONTROL!$C$22, $C$13, 100%, $E$13)</f>
        <v>19.6936</v>
      </c>
    </row>
    <row r="1000" spans="1:11" ht="15">
      <c r="A1000" s="13">
        <v>71925</v>
      </c>
      <c r="B1000" s="63">
        <f>17.4526 * CHOOSE(CONTROL!$C$22, $C$13, 100%, $E$13)</f>
        <v>17.4526</v>
      </c>
      <c r="C1000" s="63">
        <f>17.4526 * CHOOSE(CONTROL!$C$22, $C$13, 100%, $E$13)</f>
        <v>17.4526</v>
      </c>
      <c r="D1000" s="63">
        <f>17.4526 * CHOOSE(CONTROL!$C$22, $C$13, 100%, $E$13)</f>
        <v>17.4526</v>
      </c>
      <c r="E1000" s="64">
        <f>19.509 * CHOOSE(CONTROL!$C$22, $C$13, 100%, $E$13)</f>
        <v>19.509</v>
      </c>
      <c r="F1000" s="64">
        <f>19.509 * CHOOSE(CONTROL!$C$22, $C$13, 100%, $E$13)</f>
        <v>19.509</v>
      </c>
      <c r="G1000" s="64">
        <f>19.5091 * CHOOSE(CONTROL!$C$22, $C$13, 100%, $E$13)</f>
        <v>19.5091</v>
      </c>
      <c r="H1000" s="64">
        <f>32.5689* CHOOSE(CONTROL!$C$22, $C$13, 100%, $E$13)</f>
        <v>32.568899999999999</v>
      </c>
      <c r="I1000" s="64">
        <f>32.5689 * CHOOSE(CONTROL!$C$22, $C$13, 100%, $E$13)</f>
        <v>32.568899999999999</v>
      </c>
      <c r="J1000" s="64">
        <f>19.509 * CHOOSE(CONTROL!$C$22, $C$13, 100%, $E$13)</f>
        <v>19.509</v>
      </c>
      <c r="K1000" s="64">
        <f>19.5091 * CHOOSE(CONTROL!$C$22, $C$13, 100%, $E$13)</f>
        <v>19.5091</v>
      </c>
    </row>
    <row r="1001" spans="1:11" ht="15">
      <c r="A1001" s="13">
        <v>71956</v>
      </c>
      <c r="B1001" s="63">
        <f>17.3767 * CHOOSE(CONTROL!$C$22, $C$13, 100%, $E$13)</f>
        <v>17.3767</v>
      </c>
      <c r="C1001" s="63">
        <f>17.3767 * CHOOSE(CONTROL!$C$22, $C$13, 100%, $E$13)</f>
        <v>17.3767</v>
      </c>
      <c r="D1001" s="63">
        <f>17.3767 * CHOOSE(CONTROL!$C$22, $C$13, 100%, $E$13)</f>
        <v>17.3767</v>
      </c>
      <c r="E1001" s="64">
        <f>19.5791 * CHOOSE(CONTROL!$C$22, $C$13, 100%, $E$13)</f>
        <v>19.5791</v>
      </c>
      <c r="F1001" s="64">
        <f>19.5791 * CHOOSE(CONTROL!$C$22, $C$13, 100%, $E$13)</f>
        <v>19.5791</v>
      </c>
      <c r="G1001" s="64">
        <f>19.5792 * CHOOSE(CONTROL!$C$22, $C$13, 100%, $E$13)</f>
        <v>19.5792</v>
      </c>
      <c r="H1001" s="64">
        <f>32.2588* CHOOSE(CONTROL!$C$22, $C$13, 100%, $E$13)</f>
        <v>32.258800000000001</v>
      </c>
      <c r="I1001" s="64">
        <f>32.2588 * CHOOSE(CONTROL!$C$22, $C$13, 100%, $E$13)</f>
        <v>32.258800000000001</v>
      </c>
      <c r="J1001" s="64">
        <f>19.5791 * CHOOSE(CONTROL!$C$22, $C$13, 100%, $E$13)</f>
        <v>19.5791</v>
      </c>
      <c r="K1001" s="64">
        <f>19.5792 * CHOOSE(CONTROL!$C$22, $C$13, 100%, $E$13)</f>
        <v>19.5792</v>
      </c>
    </row>
    <row r="1002" spans="1:11" ht="15">
      <c r="A1002" s="13">
        <v>71987</v>
      </c>
      <c r="B1002" s="63">
        <f>17.3737 * CHOOSE(CONTROL!$C$22, $C$13, 100%, $E$13)</f>
        <v>17.373699999999999</v>
      </c>
      <c r="C1002" s="63">
        <f>17.3737 * CHOOSE(CONTROL!$C$22, $C$13, 100%, $E$13)</f>
        <v>17.373699999999999</v>
      </c>
      <c r="D1002" s="63">
        <f>17.3737 * CHOOSE(CONTROL!$C$22, $C$13, 100%, $E$13)</f>
        <v>17.373699999999999</v>
      </c>
      <c r="E1002" s="64">
        <f>19.2233 * CHOOSE(CONTROL!$C$22, $C$13, 100%, $E$13)</f>
        <v>19.223299999999998</v>
      </c>
      <c r="F1002" s="64">
        <f>19.2233 * CHOOSE(CONTROL!$C$22, $C$13, 100%, $E$13)</f>
        <v>19.223299999999998</v>
      </c>
      <c r="G1002" s="64">
        <f>19.2233 * CHOOSE(CONTROL!$C$22, $C$13, 100%, $E$13)</f>
        <v>19.223299999999998</v>
      </c>
      <c r="H1002" s="64">
        <f>32.326* CHOOSE(CONTROL!$C$22, $C$13, 100%, $E$13)</f>
        <v>32.326000000000001</v>
      </c>
      <c r="I1002" s="64">
        <f>32.326 * CHOOSE(CONTROL!$C$22, $C$13, 100%, $E$13)</f>
        <v>32.326000000000001</v>
      </c>
      <c r="J1002" s="64">
        <f>19.2233 * CHOOSE(CONTROL!$C$22, $C$13, 100%, $E$13)</f>
        <v>19.223299999999998</v>
      </c>
      <c r="K1002" s="64">
        <f>19.2233 * CHOOSE(CONTROL!$C$22, $C$13, 100%, $E$13)</f>
        <v>19.223299999999998</v>
      </c>
    </row>
    <row r="1003" spans="1:11" ht="15">
      <c r="A1003" s="13">
        <v>72015</v>
      </c>
      <c r="B1003" s="63">
        <f>17.3706 * CHOOSE(CONTROL!$C$22, $C$13, 100%, $E$13)</f>
        <v>17.3706</v>
      </c>
      <c r="C1003" s="63">
        <f>17.3706 * CHOOSE(CONTROL!$C$22, $C$13, 100%, $E$13)</f>
        <v>17.3706</v>
      </c>
      <c r="D1003" s="63">
        <f>17.3707 * CHOOSE(CONTROL!$C$22, $C$13, 100%, $E$13)</f>
        <v>17.370699999999999</v>
      </c>
      <c r="E1003" s="64">
        <f>19.5 * CHOOSE(CONTROL!$C$22, $C$13, 100%, $E$13)</f>
        <v>19.5</v>
      </c>
      <c r="F1003" s="64">
        <f>19.5 * CHOOSE(CONTROL!$C$22, $C$13, 100%, $E$13)</f>
        <v>19.5</v>
      </c>
      <c r="G1003" s="64">
        <f>19.5001 * CHOOSE(CONTROL!$C$22, $C$13, 100%, $E$13)</f>
        <v>19.5001</v>
      </c>
      <c r="H1003" s="64">
        <f>32.3933* CHOOSE(CONTROL!$C$22, $C$13, 100%, $E$13)</f>
        <v>32.393300000000004</v>
      </c>
      <c r="I1003" s="64">
        <f>32.3934 * CHOOSE(CONTROL!$C$22, $C$13, 100%, $E$13)</f>
        <v>32.3934</v>
      </c>
      <c r="J1003" s="64">
        <f>19.5 * CHOOSE(CONTROL!$C$22, $C$13, 100%, $E$13)</f>
        <v>19.5</v>
      </c>
      <c r="K1003" s="64">
        <f>19.5001 * CHOOSE(CONTROL!$C$22, $C$13, 100%, $E$13)</f>
        <v>19.5001</v>
      </c>
    </row>
    <row r="1004" spans="1:11" ht="15">
      <c r="A1004" s="13">
        <v>72046</v>
      </c>
      <c r="B1004" s="63">
        <f>17.3795 * CHOOSE(CONTROL!$C$22, $C$13, 100%, $E$13)</f>
        <v>17.3795</v>
      </c>
      <c r="C1004" s="63">
        <f>17.3795 * CHOOSE(CONTROL!$C$22, $C$13, 100%, $E$13)</f>
        <v>17.3795</v>
      </c>
      <c r="D1004" s="63">
        <f>17.3795 * CHOOSE(CONTROL!$C$22, $C$13, 100%, $E$13)</f>
        <v>17.3795</v>
      </c>
      <c r="E1004" s="64">
        <f>19.7952 * CHOOSE(CONTROL!$C$22, $C$13, 100%, $E$13)</f>
        <v>19.795200000000001</v>
      </c>
      <c r="F1004" s="64">
        <f>19.7952 * CHOOSE(CONTROL!$C$22, $C$13, 100%, $E$13)</f>
        <v>19.795200000000001</v>
      </c>
      <c r="G1004" s="64">
        <f>19.7953 * CHOOSE(CONTROL!$C$22, $C$13, 100%, $E$13)</f>
        <v>19.795300000000001</v>
      </c>
      <c r="H1004" s="64">
        <f>32.4608* CHOOSE(CONTROL!$C$22, $C$13, 100%, $E$13)</f>
        <v>32.460799999999999</v>
      </c>
      <c r="I1004" s="64">
        <f>32.4609 * CHOOSE(CONTROL!$C$22, $C$13, 100%, $E$13)</f>
        <v>32.460900000000002</v>
      </c>
      <c r="J1004" s="64">
        <f>19.7952 * CHOOSE(CONTROL!$C$22, $C$13, 100%, $E$13)</f>
        <v>19.795200000000001</v>
      </c>
      <c r="K1004" s="64">
        <f>19.7953 * CHOOSE(CONTROL!$C$22, $C$13, 100%, $E$13)</f>
        <v>19.795300000000001</v>
      </c>
    </row>
    <row r="1005" spans="1:11" ht="15">
      <c r="A1005" s="13">
        <v>72076</v>
      </c>
      <c r="B1005" s="63">
        <f>17.3795 * CHOOSE(CONTROL!$C$22, $C$13, 100%, $E$13)</f>
        <v>17.3795</v>
      </c>
      <c r="C1005" s="63">
        <f>17.3795 * CHOOSE(CONTROL!$C$22, $C$13, 100%, $E$13)</f>
        <v>17.3795</v>
      </c>
      <c r="D1005" s="63">
        <f>17.3924 * CHOOSE(CONTROL!$C$22, $C$13, 100%, $E$13)</f>
        <v>17.392399999999999</v>
      </c>
      <c r="E1005" s="64">
        <f>19.9075 * CHOOSE(CONTROL!$C$22, $C$13, 100%, $E$13)</f>
        <v>19.907499999999999</v>
      </c>
      <c r="F1005" s="64">
        <f>19.9075 * CHOOSE(CONTROL!$C$22, $C$13, 100%, $E$13)</f>
        <v>19.907499999999999</v>
      </c>
      <c r="G1005" s="64">
        <f>19.9232 * CHOOSE(CONTROL!$C$22, $C$13, 100%, $E$13)</f>
        <v>19.923200000000001</v>
      </c>
      <c r="H1005" s="64">
        <f>32.5284* CHOOSE(CONTROL!$C$22, $C$13, 100%, $E$13)</f>
        <v>32.528399999999998</v>
      </c>
      <c r="I1005" s="64">
        <f>32.5441 * CHOOSE(CONTROL!$C$22, $C$13, 100%, $E$13)</f>
        <v>32.5441</v>
      </c>
      <c r="J1005" s="64">
        <f>19.9075 * CHOOSE(CONTROL!$C$22, $C$13, 100%, $E$13)</f>
        <v>19.907499999999999</v>
      </c>
      <c r="K1005" s="64">
        <f>19.9232 * CHOOSE(CONTROL!$C$22, $C$13, 100%, $E$13)</f>
        <v>19.923200000000001</v>
      </c>
    </row>
    <row r="1006" spans="1:11" ht="15">
      <c r="A1006" s="13">
        <v>72107</v>
      </c>
      <c r="B1006" s="63">
        <f>17.3855 * CHOOSE(CONTROL!$C$22, $C$13, 100%, $E$13)</f>
        <v>17.3855</v>
      </c>
      <c r="C1006" s="63">
        <f>17.3855 * CHOOSE(CONTROL!$C$22, $C$13, 100%, $E$13)</f>
        <v>17.3855</v>
      </c>
      <c r="D1006" s="63">
        <f>17.3985 * CHOOSE(CONTROL!$C$22, $C$13, 100%, $E$13)</f>
        <v>17.398499999999999</v>
      </c>
      <c r="E1006" s="64">
        <f>19.7995 * CHOOSE(CONTROL!$C$22, $C$13, 100%, $E$13)</f>
        <v>19.799499999999998</v>
      </c>
      <c r="F1006" s="64">
        <f>19.7995 * CHOOSE(CONTROL!$C$22, $C$13, 100%, $E$13)</f>
        <v>19.799499999999998</v>
      </c>
      <c r="G1006" s="64">
        <f>19.8152 * CHOOSE(CONTROL!$C$22, $C$13, 100%, $E$13)</f>
        <v>19.815200000000001</v>
      </c>
      <c r="H1006" s="64">
        <f>32.5962* CHOOSE(CONTROL!$C$22, $C$13, 100%, $E$13)</f>
        <v>32.596200000000003</v>
      </c>
      <c r="I1006" s="64">
        <f>32.6119 * CHOOSE(CONTROL!$C$22, $C$13, 100%, $E$13)</f>
        <v>32.611899999999999</v>
      </c>
      <c r="J1006" s="64">
        <f>19.7995 * CHOOSE(CONTROL!$C$22, $C$13, 100%, $E$13)</f>
        <v>19.799499999999998</v>
      </c>
      <c r="K1006" s="64">
        <f>19.8152 * CHOOSE(CONTROL!$C$22, $C$13, 100%, $E$13)</f>
        <v>19.815200000000001</v>
      </c>
    </row>
    <row r="1007" spans="1:11" ht="15">
      <c r="A1007" s="13">
        <v>72137</v>
      </c>
      <c r="B1007" s="63">
        <f>17.6469 * CHOOSE(CONTROL!$C$22, $C$13, 100%, $E$13)</f>
        <v>17.646899999999999</v>
      </c>
      <c r="C1007" s="63">
        <f>17.6469 * CHOOSE(CONTROL!$C$22, $C$13, 100%, $E$13)</f>
        <v>17.646899999999999</v>
      </c>
      <c r="D1007" s="63">
        <f>17.6599 * CHOOSE(CONTROL!$C$22, $C$13, 100%, $E$13)</f>
        <v>17.6599</v>
      </c>
      <c r="E1007" s="64">
        <f>20.1117 * CHOOSE(CONTROL!$C$22, $C$13, 100%, $E$13)</f>
        <v>20.111699999999999</v>
      </c>
      <c r="F1007" s="64">
        <f>20.1117 * CHOOSE(CONTROL!$C$22, $C$13, 100%, $E$13)</f>
        <v>20.111699999999999</v>
      </c>
      <c r="G1007" s="64">
        <f>20.1274 * CHOOSE(CONTROL!$C$22, $C$13, 100%, $E$13)</f>
        <v>20.127400000000002</v>
      </c>
      <c r="H1007" s="64">
        <f>32.6641* CHOOSE(CONTROL!$C$22, $C$13, 100%, $E$13)</f>
        <v>32.664099999999998</v>
      </c>
      <c r="I1007" s="64">
        <f>32.6798 * CHOOSE(CONTROL!$C$22, $C$13, 100%, $E$13)</f>
        <v>32.6798</v>
      </c>
      <c r="J1007" s="64">
        <f>20.1117 * CHOOSE(CONTROL!$C$22, $C$13, 100%, $E$13)</f>
        <v>20.111699999999999</v>
      </c>
      <c r="K1007" s="64">
        <f>20.1274 * CHOOSE(CONTROL!$C$22, $C$13, 100%, $E$13)</f>
        <v>20.127400000000002</v>
      </c>
    </row>
    <row r="1008" spans="1:11" ht="15">
      <c r="A1008" s="13">
        <v>72168</v>
      </c>
      <c r="B1008" s="63">
        <f>17.6536 * CHOOSE(CONTROL!$C$22, $C$13, 100%, $E$13)</f>
        <v>17.653600000000001</v>
      </c>
      <c r="C1008" s="63">
        <f>17.6536 * CHOOSE(CONTROL!$C$22, $C$13, 100%, $E$13)</f>
        <v>17.653600000000001</v>
      </c>
      <c r="D1008" s="63">
        <f>17.6666 * CHOOSE(CONTROL!$C$22, $C$13, 100%, $E$13)</f>
        <v>17.666599999999999</v>
      </c>
      <c r="E1008" s="64">
        <f>19.7795 * CHOOSE(CONTROL!$C$22, $C$13, 100%, $E$13)</f>
        <v>19.779499999999999</v>
      </c>
      <c r="F1008" s="64">
        <f>19.7795 * CHOOSE(CONTROL!$C$22, $C$13, 100%, $E$13)</f>
        <v>19.779499999999999</v>
      </c>
      <c r="G1008" s="64">
        <f>19.7951 * CHOOSE(CONTROL!$C$22, $C$13, 100%, $E$13)</f>
        <v>19.795100000000001</v>
      </c>
      <c r="H1008" s="64">
        <f>32.7321* CHOOSE(CONTROL!$C$22, $C$13, 100%, $E$13)</f>
        <v>32.732100000000003</v>
      </c>
      <c r="I1008" s="64">
        <f>32.7478 * CHOOSE(CONTROL!$C$22, $C$13, 100%, $E$13)</f>
        <v>32.747799999999998</v>
      </c>
      <c r="J1008" s="64">
        <f>19.7795 * CHOOSE(CONTROL!$C$22, $C$13, 100%, $E$13)</f>
        <v>19.779499999999999</v>
      </c>
      <c r="K1008" s="64">
        <f>19.7951 * CHOOSE(CONTROL!$C$22, $C$13, 100%, $E$13)</f>
        <v>19.795100000000001</v>
      </c>
    </row>
    <row r="1009" spans="1:11" ht="15">
      <c r="A1009" s="13">
        <v>72199</v>
      </c>
      <c r="B1009" s="63">
        <f>17.6506 * CHOOSE(CONTROL!$C$22, $C$13, 100%, $E$13)</f>
        <v>17.650600000000001</v>
      </c>
      <c r="C1009" s="63">
        <f>17.6506 * CHOOSE(CONTROL!$C$22, $C$13, 100%, $E$13)</f>
        <v>17.650600000000001</v>
      </c>
      <c r="D1009" s="63">
        <f>17.6636 * CHOOSE(CONTROL!$C$22, $C$13, 100%, $E$13)</f>
        <v>17.663599999999999</v>
      </c>
      <c r="E1009" s="64">
        <f>19.7399 * CHOOSE(CONTROL!$C$22, $C$13, 100%, $E$13)</f>
        <v>19.739899999999999</v>
      </c>
      <c r="F1009" s="64">
        <f>19.7399 * CHOOSE(CONTROL!$C$22, $C$13, 100%, $E$13)</f>
        <v>19.739899999999999</v>
      </c>
      <c r="G1009" s="64">
        <f>19.7556 * CHOOSE(CONTROL!$C$22, $C$13, 100%, $E$13)</f>
        <v>19.755600000000001</v>
      </c>
      <c r="H1009" s="64">
        <f>32.8003* CHOOSE(CONTROL!$C$22, $C$13, 100%, $E$13)</f>
        <v>32.8003</v>
      </c>
      <c r="I1009" s="64">
        <f>32.816 * CHOOSE(CONTROL!$C$22, $C$13, 100%, $E$13)</f>
        <v>32.816000000000003</v>
      </c>
      <c r="J1009" s="64">
        <f>19.7399 * CHOOSE(CONTROL!$C$22, $C$13, 100%, $E$13)</f>
        <v>19.739899999999999</v>
      </c>
      <c r="K1009" s="64">
        <f>19.7556 * CHOOSE(CONTROL!$C$22, $C$13, 100%, $E$13)</f>
        <v>19.755600000000001</v>
      </c>
    </row>
    <row r="1010" spans="1:11" ht="15">
      <c r="A1010" s="13">
        <v>72229</v>
      </c>
      <c r="B1010" s="63">
        <f>17.6895 * CHOOSE(CONTROL!$C$22, $C$13, 100%, $E$13)</f>
        <v>17.689499999999999</v>
      </c>
      <c r="C1010" s="63">
        <f>17.6895 * CHOOSE(CONTROL!$C$22, $C$13, 100%, $E$13)</f>
        <v>17.689499999999999</v>
      </c>
      <c r="D1010" s="63">
        <f>17.6895 * CHOOSE(CONTROL!$C$22, $C$13, 100%, $E$13)</f>
        <v>17.689499999999999</v>
      </c>
      <c r="E1010" s="64">
        <f>19.8762 * CHOOSE(CONTROL!$C$22, $C$13, 100%, $E$13)</f>
        <v>19.876200000000001</v>
      </c>
      <c r="F1010" s="64">
        <f>19.8762 * CHOOSE(CONTROL!$C$22, $C$13, 100%, $E$13)</f>
        <v>19.876200000000001</v>
      </c>
      <c r="G1010" s="64">
        <f>19.8763 * CHOOSE(CONTROL!$C$22, $C$13, 100%, $E$13)</f>
        <v>19.876300000000001</v>
      </c>
      <c r="H1010" s="64">
        <f>32.8687* CHOOSE(CONTROL!$C$22, $C$13, 100%, $E$13)</f>
        <v>32.868699999999997</v>
      </c>
      <c r="I1010" s="64">
        <f>32.8688 * CHOOSE(CONTROL!$C$22, $C$13, 100%, $E$13)</f>
        <v>32.8688</v>
      </c>
      <c r="J1010" s="64">
        <f>19.8762 * CHOOSE(CONTROL!$C$22, $C$13, 100%, $E$13)</f>
        <v>19.876200000000001</v>
      </c>
      <c r="K1010" s="64">
        <f>19.8763 * CHOOSE(CONTROL!$C$22, $C$13, 100%, $E$13)</f>
        <v>19.876300000000001</v>
      </c>
    </row>
    <row r="1011" spans="1:11" ht="15">
      <c r="A1011" s="13">
        <v>72260</v>
      </c>
      <c r="B1011" s="63">
        <f>17.6925 * CHOOSE(CONTROL!$C$22, $C$13, 100%, $E$13)</f>
        <v>17.692499999999999</v>
      </c>
      <c r="C1011" s="63">
        <f>17.6925 * CHOOSE(CONTROL!$C$22, $C$13, 100%, $E$13)</f>
        <v>17.692499999999999</v>
      </c>
      <c r="D1011" s="63">
        <f>17.6925 * CHOOSE(CONTROL!$C$22, $C$13, 100%, $E$13)</f>
        <v>17.692499999999999</v>
      </c>
      <c r="E1011" s="64">
        <f>19.9532 * CHOOSE(CONTROL!$C$22, $C$13, 100%, $E$13)</f>
        <v>19.953199999999999</v>
      </c>
      <c r="F1011" s="64">
        <f>19.9532 * CHOOSE(CONTROL!$C$22, $C$13, 100%, $E$13)</f>
        <v>19.953199999999999</v>
      </c>
      <c r="G1011" s="64">
        <f>19.9533 * CHOOSE(CONTROL!$C$22, $C$13, 100%, $E$13)</f>
        <v>19.953299999999999</v>
      </c>
      <c r="H1011" s="64">
        <f>32.9371* CHOOSE(CONTROL!$C$22, $C$13, 100%, $E$13)</f>
        <v>32.937100000000001</v>
      </c>
      <c r="I1011" s="64">
        <f>32.9372 * CHOOSE(CONTROL!$C$22, $C$13, 100%, $E$13)</f>
        <v>32.937199999999997</v>
      </c>
      <c r="J1011" s="64">
        <f>19.9532 * CHOOSE(CONTROL!$C$22, $C$13, 100%, $E$13)</f>
        <v>19.953199999999999</v>
      </c>
      <c r="K1011" s="64">
        <f>19.9533 * CHOOSE(CONTROL!$C$22, $C$13, 100%, $E$13)</f>
        <v>19.953299999999999</v>
      </c>
    </row>
    <row r="1012" spans="1:11" ht="15">
      <c r="A1012" s="13">
        <v>72290</v>
      </c>
      <c r="B1012" s="63">
        <f>17.6925 * CHOOSE(CONTROL!$C$22, $C$13, 100%, $E$13)</f>
        <v>17.692499999999999</v>
      </c>
      <c r="C1012" s="63">
        <f>17.6925 * CHOOSE(CONTROL!$C$22, $C$13, 100%, $E$13)</f>
        <v>17.692499999999999</v>
      </c>
      <c r="D1012" s="63">
        <f>17.6925 * CHOOSE(CONTROL!$C$22, $C$13, 100%, $E$13)</f>
        <v>17.692499999999999</v>
      </c>
      <c r="E1012" s="64">
        <f>19.766 * CHOOSE(CONTROL!$C$22, $C$13, 100%, $E$13)</f>
        <v>19.765999999999998</v>
      </c>
      <c r="F1012" s="64">
        <f>19.766 * CHOOSE(CONTROL!$C$22, $C$13, 100%, $E$13)</f>
        <v>19.765999999999998</v>
      </c>
      <c r="G1012" s="64">
        <f>19.7661 * CHOOSE(CONTROL!$C$22, $C$13, 100%, $E$13)</f>
        <v>19.766100000000002</v>
      </c>
      <c r="H1012" s="64">
        <f>33.0058* CHOOSE(CONTROL!$C$22, $C$13, 100%, $E$13)</f>
        <v>33.005800000000001</v>
      </c>
      <c r="I1012" s="64">
        <f>33.0058 * CHOOSE(CONTROL!$C$22, $C$13, 100%, $E$13)</f>
        <v>33.005800000000001</v>
      </c>
      <c r="J1012" s="64">
        <f>19.766 * CHOOSE(CONTROL!$C$22, $C$13, 100%, $E$13)</f>
        <v>19.765999999999998</v>
      </c>
      <c r="K1012" s="64">
        <f>19.7661 * CHOOSE(CONTROL!$C$22, $C$13, 100%, $E$13)</f>
        <v>19.766100000000002</v>
      </c>
    </row>
    <row r="1013" spans="1:11" ht="15">
      <c r="A1013" s="13">
        <v>72321</v>
      </c>
      <c r="B1013" s="63">
        <f>17.6123 * CHOOSE(CONTROL!$C$22, $C$13, 100%, $E$13)</f>
        <v>17.612300000000001</v>
      </c>
      <c r="C1013" s="63">
        <f>17.6123 * CHOOSE(CONTROL!$C$22, $C$13, 100%, $E$13)</f>
        <v>17.612300000000001</v>
      </c>
      <c r="D1013" s="63">
        <f>17.6123 * CHOOSE(CONTROL!$C$22, $C$13, 100%, $E$13)</f>
        <v>17.612300000000001</v>
      </c>
      <c r="E1013" s="64">
        <f>19.8338 * CHOOSE(CONTROL!$C$22, $C$13, 100%, $E$13)</f>
        <v>19.8338</v>
      </c>
      <c r="F1013" s="64">
        <f>19.8338 * CHOOSE(CONTROL!$C$22, $C$13, 100%, $E$13)</f>
        <v>19.8338</v>
      </c>
      <c r="G1013" s="64">
        <f>19.8339 * CHOOSE(CONTROL!$C$22, $C$13, 100%, $E$13)</f>
        <v>19.8339</v>
      </c>
      <c r="H1013" s="64">
        <f>32.6858* CHOOSE(CONTROL!$C$22, $C$13, 100%, $E$13)</f>
        <v>32.6858</v>
      </c>
      <c r="I1013" s="64">
        <f>32.6859 * CHOOSE(CONTROL!$C$22, $C$13, 100%, $E$13)</f>
        <v>32.685899999999997</v>
      </c>
      <c r="J1013" s="64">
        <f>19.8338 * CHOOSE(CONTROL!$C$22, $C$13, 100%, $E$13)</f>
        <v>19.8338</v>
      </c>
      <c r="K1013" s="64">
        <f>19.8339 * CHOOSE(CONTROL!$C$22, $C$13, 100%, $E$13)</f>
        <v>19.8339</v>
      </c>
    </row>
    <row r="1014" spans="1:11" ht="15">
      <c r="A1014" s="13">
        <v>72352</v>
      </c>
      <c r="B1014" s="63">
        <f>17.6093 * CHOOSE(CONTROL!$C$22, $C$13, 100%, $E$13)</f>
        <v>17.609300000000001</v>
      </c>
      <c r="C1014" s="63">
        <f>17.6093 * CHOOSE(CONTROL!$C$22, $C$13, 100%, $E$13)</f>
        <v>17.609300000000001</v>
      </c>
      <c r="D1014" s="63">
        <f>17.6093 * CHOOSE(CONTROL!$C$22, $C$13, 100%, $E$13)</f>
        <v>17.609300000000001</v>
      </c>
      <c r="E1014" s="64">
        <f>19.473 * CHOOSE(CONTROL!$C$22, $C$13, 100%, $E$13)</f>
        <v>19.472999999999999</v>
      </c>
      <c r="F1014" s="64">
        <f>19.473 * CHOOSE(CONTROL!$C$22, $C$13, 100%, $E$13)</f>
        <v>19.472999999999999</v>
      </c>
      <c r="G1014" s="64">
        <f>19.4731 * CHOOSE(CONTROL!$C$22, $C$13, 100%, $E$13)</f>
        <v>19.473099999999999</v>
      </c>
      <c r="H1014" s="64">
        <f>32.7539* CHOOSE(CONTROL!$C$22, $C$13, 100%, $E$13)</f>
        <v>32.753900000000002</v>
      </c>
      <c r="I1014" s="64">
        <f>32.754 * CHOOSE(CONTROL!$C$22, $C$13, 100%, $E$13)</f>
        <v>32.753999999999998</v>
      </c>
      <c r="J1014" s="64">
        <f>19.473 * CHOOSE(CONTROL!$C$22, $C$13, 100%, $E$13)</f>
        <v>19.472999999999999</v>
      </c>
      <c r="K1014" s="64">
        <f>19.4731 * CHOOSE(CONTROL!$C$22, $C$13, 100%, $E$13)</f>
        <v>19.473099999999999</v>
      </c>
    </row>
    <row r="1015" spans="1:11" ht="15">
      <c r="A1015" s="13">
        <v>72380</v>
      </c>
      <c r="B1015" s="63">
        <f>17.6062 * CHOOSE(CONTROL!$C$22, $C$13, 100%, $E$13)</f>
        <v>17.606200000000001</v>
      </c>
      <c r="C1015" s="63">
        <f>17.6062 * CHOOSE(CONTROL!$C$22, $C$13, 100%, $E$13)</f>
        <v>17.606200000000001</v>
      </c>
      <c r="D1015" s="63">
        <f>17.6062 * CHOOSE(CONTROL!$C$22, $C$13, 100%, $E$13)</f>
        <v>17.606200000000001</v>
      </c>
      <c r="E1015" s="64">
        <f>19.7537 * CHOOSE(CONTROL!$C$22, $C$13, 100%, $E$13)</f>
        <v>19.753699999999998</v>
      </c>
      <c r="F1015" s="64">
        <f>19.7537 * CHOOSE(CONTROL!$C$22, $C$13, 100%, $E$13)</f>
        <v>19.753699999999998</v>
      </c>
      <c r="G1015" s="64">
        <f>19.7538 * CHOOSE(CONTROL!$C$22, $C$13, 100%, $E$13)</f>
        <v>19.753799999999998</v>
      </c>
      <c r="H1015" s="64">
        <f>32.8221* CHOOSE(CONTROL!$C$22, $C$13, 100%, $E$13)</f>
        <v>32.822099999999999</v>
      </c>
      <c r="I1015" s="64">
        <f>32.8222 * CHOOSE(CONTROL!$C$22, $C$13, 100%, $E$13)</f>
        <v>32.822200000000002</v>
      </c>
      <c r="J1015" s="64">
        <f>19.7537 * CHOOSE(CONTROL!$C$22, $C$13, 100%, $E$13)</f>
        <v>19.753699999999998</v>
      </c>
      <c r="K1015" s="64">
        <f>19.7538 * CHOOSE(CONTROL!$C$22, $C$13, 100%, $E$13)</f>
        <v>19.753799999999998</v>
      </c>
    </row>
    <row r="1016" spans="1:11" ht="15">
      <c r="A1016" s="13">
        <v>72411</v>
      </c>
      <c r="B1016" s="63">
        <f>17.6152 * CHOOSE(CONTROL!$C$22, $C$13, 100%, $E$13)</f>
        <v>17.615200000000002</v>
      </c>
      <c r="C1016" s="63">
        <f>17.6152 * CHOOSE(CONTROL!$C$22, $C$13, 100%, $E$13)</f>
        <v>17.615200000000002</v>
      </c>
      <c r="D1016" s="63">
        <f>17.6152 * CHOOSE(CONTROL!$C$22, $C$13, 100%, $E$13)</f>
        <v>17.615200000000002</v>
      </c>
      <c r="E1016" s="64">
        <f>20.0531 * CHOOSE(CONTROL!$C$22, $C$13, 100%, $E$13)</f>
        <v>20.053100000000001</v>
      </c>
      <c r="F1016" s="64">
        <f>20.0531 * CHOOSE(CONTROL!$C$22, $C$13, 100%, $E$13)</f>
        <v>20.053100000000001</v>
      </c>
      <c r="G1016" s="64">
        <f>20.0532 * CHOOSE(CONTROL!$C$22, $C$13, 100%, $E$13)</f>
        <v>20.0532</v>
      </c>
      <c r="H1016" s="64">
        <f>32.8905* CHOOSE(CONTROL!$C$22, $C$13, 100%, $E$13)</f>
        <v>32.890500000000003</v>
      </c>
      <c r="I1016" s="64">
        <f>32.8906 * CHOOSE(CONTROL!$C$22, $C$13, 100%, $E$13)</f>
        <v>32.890599999999999</v>
      </c>
      <c r="J1016" s="64">
        <f>20.0531 * CHOOSE(CONTROL!$C$22, $C$13, 100%, $E$13)</f>
        <v>20.053100000000001</v>
      </c>
      <c r="K1016" s="64">
        <f>20.0532 * CHOOSE(CONTROL!$C$22, $C$13, 100%, $E$13)</f>
        <v>20.0532</v>
      </c>
    </row>
    <row r="1017" spans="1:11" ht="15">
      <c r="A1017" s="13">
        <v>72441</v>
      </c>
      <c r="B1017" s="63">
        <f>17.6152 * CHOOSE(CONTROL!$C$22, $C$13, 100%, $E$13)</f>
        <v>17.615200000000002</v>
      </c>
      <c r="C1017" s="63">
        <f>17.6152 * CHOOSE(CONTROL!$C$22, $C$13, 100%, $E$13)</f>
        <v>17.615200000000002</v>
      </c>
      <c r="D1017" s="63">
        <f>17.6282 * CHOOSE(CONTROL!$C$22, $C$13, 100%, $E$13)</f>
        <v>17.6282</v>
      </c>
      <c r="E1017" s="64">
        <f>20.167 * CHOOSE(CONTROL!$C$22, $C$13, 100%, $E$13)</f>
        <v>20.167000000000002</v>
      </c>
      <c r="F1017" s="64">
        <f>20.167 * CHOOSE(CONTROL!$C$22, $C$13, 100%, $E$13)</f>
        <v>20.167000000000002</v>
      </c>
      <c r="G1017" s="64">
        <f>20.1827 * CHOOSE(CONTROL!$C$22, $C$13, 100%, $E$13)</f>
        <v>20.182700000000001</v>
      </c>
      <c r="H1017" s="64">
        <f>32.959* CHOOSE(CONTROL!$C$22, $C$13, 100%, $E$13)</f>
        <v>32.959000000000003</v>
      </c>
      <c r="I1017" s="64">
        <f>32.9747 * CHOOSE(CONTROL!$C$22, $C$13, 100%, $E$13)</f>
        <v>32.974699999999999</v>
      </c>
      <c r="J1017" s="64">
        <f>20.167 * CHOOSE(CONTROL!$C$22, $C$13, 100%, $E$13)</f>
        <v>20.167000000000002</v>
      </c>
      <c r="K1017" s="64">
        <f>20.1827 * CHOOSE(CONTROL!$C$22, $C$13, 100%, $E$13)</f>
        <v>20.182700000000001</v>
      </c>
    </row>
    <row r="1018" spans="1:11" ht="15">
      <c r="A1018" s="13">
        <v>72472</v>
      </c>
      <c r="B1018" s="63">
        <f>17.6213 * CHOOSE(CONTROL!$C$22, $C$13, 100%, $E$13)</f>
        <v>17.621300000000002</v>
      </c>
      <c r="C1018" s="63">
        <f>17.6213 * CHOOSE(CONTROL!$C$22, $C$13, 100%, $E$13)</f>
        <v>17.621300000000002</v>
      </c>
      <c r="D1018" s="63">
        <f>17.6343 * CHOOSE(CONTROL!$C$22, $C$13, 100%, $E$13)</f>
        <v>17.6343</v>
      </c>
      <c r="E1018" s="64">
        <f>20.0573 * CHOOSE(CONTROL!$C$22, $C$13, 100%, $E$13)</f>
        <v>20.057300000000001</v>
      </c>
      <c r="F1018" s="64">
        <f>20.0573 * CHOOSE(CONTROL!$C$22, $C$13, 100%, $E$13)</f>
        <v>20.057300000000001</v>
      </c>
      <c r="G1018" s="64">
        <f>20.073 * CHOOSE(CONTROL!$C$22, $C$13, 100%, $E$13)</f>
        <v>20.073</v>
      </c>
      <c r="H1018" s="64">
        <f>33.0277* CHOOSE(CONTROL!$C$22, $C$13, 100%, $E$13)</f>
        <v>33.027700000000003</v>
      </c>
      <c r="I1018" s="64">
        <f>33.0434 * CHOOSE(CONTROL!$C$22, $C$13, 100%, $E$13)</f>
        <v>33.043399999999998</v>
      </c>
      <c r="J1018" s="64">
        <f>20.0573 * CHOOSE(CONTROL!$C$22, $C$13, 100%, $E$13)</f>
        <v>20.057300000000001</v>
      </c>
      <c r="K1018" s="64">
        <f>20.073 * CHOOSE(CONTROL!$C$22, $C$13, 100%, $E$13)</f>
        <v>20.073</v>
      </c>
    </row>
    <row r="1019" spans="1:11" ht="15">
      <c r="A1019" s="13">
        <v>72502</v>
      </c>
      <c r="B1019" s="63">
        <f>17.8861 * CHOOSE(CONTROL!$C$22, $C$13, 100%, $E$13)</f>
        <v>17.886099999999999</v>
      </c>
      <c r="C1019" s="63">
        <f>17.8861 * CHOOSE(CONTROL!$C$22, $C$13, 100%, $E$13)</f>
        <v>17.886099999999999</v>
      </c>
      <c r="D1019" s="63">
        <f>17.8991 * CHOOSE(CONTROL!$C$22, $C$13, 100%, $E$13)</f>
        <v>17.899100000000001</v>
      </c>
      <c r="E1019" s="64">
        <f>20.3735 * CHOOSE(CONTROL!$C$22, $C$13, 100%, $E$13)</f>
        <v>20.3735</v>
      </c>
      <c r="F1019" s="64">
        <f>20.3735 * CHOOSE(CONTROL!$C$22, $C$13, 100%, $E$13)</f>
        <v>20.3735</v>
      </c>
      <c r="G1019" s="64">
        <f>20.3892 * CHOOSE(CONTROL!$C$22, $C$13, 100%, $E$13)</f>
        <v>20.389199999999999</v>
      </c>
      <c r="H1019" s="64">
        <f>33.0965* CHOOSE(CONTROL!$C$22, $C$13, 100%, $E$13)</f>
        <v>33.096499999999999</v>
      </c>
      <c r="I1019" s="64">
        <f>33.1122 * CHOOSE(CONTROL!$C$22, $C$13, 100%, $E$13)</f>
        <v>33.112200000000001</v>
      </c>
      <c r="J1019" s="64">
        <f>20.3735 * CHOOSE(CONTROL!$C$22, $C$13, 100%, $E$13)</f>
        <v>20.3735</v>
      </c>
      <c r="K1019" s="64">
        <f>20.3892 * CHOOSE(CONTROL!$C$22, $C$13, 100%, $E$13)</f>
        <v>20.389199999999999</v>
      </c>
    </row>
    <row r="1020" spans="1:11" ht="15">
      <c r="A1020" s="13">
        <v>72533</v>
      </c>
      <c r="B1020" s="63">
        <f>17.8928 * CHOOSE(CONTROL!$C$22, $C$13, 100%, $E$13)</f>
        <v>17.892800000000001</v>
      </c>
      <c r="C1020" s="63">
        <f>17.8928 * CHOOSE(CONTROL!$C$22, $C$13, 100%, $E$13)</f>
        <v>17.892800000000001</v>
      </c>
      <c r="D1020" s="63">
        <f>17.9058 * CHOOSE(CONTROL!$C$22, $C$13, 100%, $E$13)</f>
        <v>17.905799999999999</v>
      </c>
      <c r="E1020" s="64">
        <f>20.0365 * CHOOSE(CONTROL!$C$22, $C$13, 100%, $E$13)</f>
        <v>20.0365</v>
      </c>
      <c r="F1020" s="64">
        <f>20.0365 * CHOOSE(CONTROL!$C$22, $C$13, 100%, $E$13)</f>
        <v>20.0365</v>
      </c>
      <c r="G1020" s="64">
        <f>20.0522 * CHOOSE(CONTROL!$C$22, $C$13, 100%, $E$13)</f>
        <v>20.052199999999999</v>
      </c>
      <c r="H1020" s="64">
        <f>33.1654* CHOOSE(CONTROL!$C$22, $C$13, 100%, $E$13)</f>
        <v>33.165399999999998</v>
      </c>
      <c r="I1020" s="64">
        <f>33.1811 * CHOOSE(CONTROL!$C$22, $C$13, 100%, $E$13)</f>
        <v>33.181100000000001</v>
      </c>
      <c r="J1020" s="64">
        <f>20.0365 * CHOOSE(CONTROL!$C$22, $C$13, 100%, $E$13)</f>
        <v>20.0365</v>
      </c>
      <c r="K1020" s="64">
        <f>20.0522 * CHOOSE(CONTROL!$C$22, $C$13, 100%, $E$13)</f>
        <v>20.052199999999999</v>
      </c>
    </row>
    <row r="1021" spans="1:11" ht="15">
      <c r="A1021" s="13">
        <v>72564</v>
      </c>
      <c r="B1021" s="63">
        <f>17.8898 * CHOOSE(CONTROL!$C$22, $C$13, 100%, $E$13)</f>
        <v>17.889800000000001</v>
      </c>
      <c r="C1021" s="63">
        <f>17.8898 * CHOOSE(CONTROL!$C$22, $C$13, 100%, $E$13)</f>
        <v>17.889800000000001</v>
      </c>
      <c r="D1021" s="63">
        <f>17.9027 * CHOOSE(CONTROL!$C$22, $C$13, 100%, $E$13)</f>
        <v>17.902699999999999</v>
      </c>
      <c r="E1021" s="64">
        <f>19.9965 * CHOOSE(CONTROL!$C$22, $C$13, 100%, $E$13)</f>
        <v>19.996500000000001</v>
      </c>
      <c r="F1021" s="64">
        <f>19.9965 * CHOOSE(CONTROL!$C$22, $C$13, 100%, $E$13)</f>
        <v>19.996500000000001</v>
      </c>
      <c r="G1021" s="64">
        <f>20.0121 * CHOOSE(CONTROL!$C$22, $C$13, 100%, $E$13)</f>
        <v>20.0121</v>
      </c>
      <c r="H1021" s="64">
        <f>33.2345* CHOOSE(CONTROL!$C$22, $C$13, 100%, $E$13)</f>
        <v>33.234499999999997</v>
      </c>
      <c r="I1021" s="64">
        <f>33.2502 * CHOOSE(CONTROL!$C$22, $C$13, 100%, $E$13)</f>
        <v>33.2502</v>
      </c>
      <c r="J1021" s="64">
        <f>19.9965 * CHOOSE(CONTROL!$C$22, $C$13, 100%, $E$13)</f>
        <v>19.996500000000001</v>
      </c>
      <c r="K1021" s="64">
        <f>20.0121 * CHOOSE(CONTROL!$C$22, $C$13, 100%, $E$13)</f>
        <v>20.0121</v>
      </c>
    </row>
    <row r="1022" spans="1:11" ht="15">
      <c r="A1022" s="13">
        <v>72594</v>
      </c>
      <c r="B1022" s="63">
        <f>17.9294 * CHOOSE(CONTROL!$C$22, $C$13, 100%, $E$13)</f>
        <v>17.929400000000001</v>
      </c>
      <c r="C1022" s="63">
        <f>17.9294 * CHOOSE(CONTROL!$C$22, $C$13, 100%, $E$13)</f>
        <v>17.929400000000001</v>
      </c>
      <c r="D1022" s="63">
        <f>17.9294 * CHOOSE(CONTROL!$C$22, $C$13, 100%, $E$13)</f>
        <v>17.929400000000001</v>
      </c>
      <c r="E1022" s="64">
        <f>20.1349 * CHOOSE(CONTROL!$C$22, $C$13, 100%, $E$13)</f>
        <v>20.134899999999998</v>
      </c>
      <c r="F1022" s="64">
        <f>20.1349 * CHOOSE(CONTROL!$C$22, $C$13, 100%, $E$13)</f>
        <v>20.134899999999998</v>
      </c>
      <c r="G1022" s="64">
        <f>20.1349 * CHOOSE(CONTROL!$C$22, $C$13, 100%, $E$13)</f>
        <v>20.134899999999998</v>
      </c>
      <c r="H1022" s="64">
        <f>33.3038* CHOOSE(CONTROL!$C$22, $C$13, 100%, $E$13)</f>
        <v>33.303800000000003</v>
      </c>
      <c r="I1022" s="64">
        <f>33.3038 * CHOOSE(CONTROL!$C$22, $C$13, 100%, $E$13)</f>
        <v>33.303800000000003</v>
      </c>
      <c r="J1022" s="64">
        <f>20.1349 * CHOOSE(CONTROL!$C$22, $C$13, 100%, $E$13)</f>
        <v>20.134899999999998</v>
      </c>
      <c r="K1022" s="64">
        <f>20.1349 * CHOOSE(CONTROL!$C$22, $C$13, 100%, $E$13)</f>
        <v>20.134899999999998</v>
      </c>
    </row>
    <row r="1023" spans="1:11" ht="15">
      <c r="A1023" s="13">
        <v>72625</v>
      </c>
      <c r="B1023" s="63">
        <f>17.9324 * CHOOSE(CONTROL!$C$22, $C$13, 100%, $E$13)</f>
        <v>17.932400000000001</v>
      </c>
      <c r="C1023" s="63">
        <f>17.9324 * CHOOSE(CONTROL!$C$22, $C$13, 100%, $E$13)</f>
        <v>17.932400000000001</v>
      </c>
      <c r="D1023" s="63">
        <f>17.9324 * CHOOSE(CONTROL!$C$22, $C$13, 100%, $E$13)</f>
        <v>17.932400000000001</v>
      </c>
      <c r="E1023" s="64">
        <f>20.2129 * CHOOSE(CONTROL!$C$22, $C$13, 100%, $E$13)</f>
        <v>20.212900000000001</v>
      </c>
      <c r="F1023" s="64">
        <f>20.2129 * CHOOSE(CONTROL!$C$22, $C$13, 100%, $E$13)</f>
        <v>20.212900000000001</v>
      </c>
      <c r="G1023" s="64">
        <f>20.213 * CHOOSE(CONTROL!$C$22, $C$13, 100%, $E$13)</f>
        <v>20.213000000000001</v>
      </c>
      <c r="H1023" s="64">
        <f>33.3732* CHOOSE(CONTROL!$C$22, $C$13, 100%, $E$13)</f>
        <v>33.373199999999997</v>
      </c>
      <c r="I1023" s="64">
        <f>33.3732 * CHOOSE(CONTROL!$C$22, $C$13, 100%, $E$13)</f>
        <v>33.373199999999997</v>
      </c>
      <c r="J1023" s="64">
        <f>20.2129 * CHOOSE(CONTROL!$C$22, $C$13, 100%, $E$13)</f>
        <v>20.212900000000001</v>
      </c>
      <c r="K1023" s="64">
        <f>20.213 * CHOOSE(CONTROL!$C$22, $C$13, 100%, $E$13)</f>
        <v>20.213000000000001</v>
      </c>
    </row>
    <row r="1024" spans="1:11" ht="15">
      <c r="A1024" s="13">
        <v>72655</v>
      </c>
      <c r="B1024" s="63">
        <f>17.9324 * CHOOSE(CONTROL!$C$22, $C$13, 100%, $E$13)</f>
        <v>17.932400000000001</v>
      </c>
      <c r="C1024" s="63">
        <f>17.9324 * CHOOSE(CONTROL!$C$22, $C$13, 100%, $E$13)</f>
        <v>17.932400000000001</v>
      </c>
      <c r="D1024" s="63">
        <f>17.9324 * CHOOSE(CONTROL!$C$22, $C$13, 100%, $E$13)</f>
        <v>17.932400000000001</v>
      </c>
      <c r="E1024" s="64">
        <f>20.0231 * CHOOSE(CONTROL!$C$22, $C$13, 100%, $E$13)</f>
        <v>20.023099999999999</v>
      </c>
      <c r="F1024" s="64">
        <f>20.0231 * CHOOSE(CONTROL!$C$22, $C$13, 100%, $E$13)</f>
        <v>20.023099999999999</v>
      </c>
      <c r="G1024" s="64">
        <f>20.0232 * CHOOSE(CONTROL!$C$22, $C$13, 100%, $E$13)</f>
        <v>20.023199999999999</v>
      </c>
      <c r="H1024" s="64">
        <f>33.4427* CHOOSE(CONTROL!$C$22, $C$13, 100%, $E$13)</f>
        <v>33.442700000000002</v>
      </c>
      <c r="I1024" s="64">
        <f>33.4428 * CHOOSE(CONTROL!$C$22, $C$13, 100%, $E$13)</f>
        <v>33.442799999999998</v>
      </c>
      <c r="J1024" s="64">
        <f>20.0231 * CHOOSE(CONTROL!$C$22, $C$13, 100%, $E$13)</f>
        <v>20.023099999999999</v>
      </c>
      <c r="K1024" s="64">
        <f>20.0232 * CHOOSE(CONTROL!$C$22, $C$13, 100%, $E$13)</f>
        <v>20.023199999999999</v>
      </c>
    </row>
    <row r="1025" spans="1:11" ht="15">
      <c r="A1025" s="13">
        <v>72686</v>
      </c>
      <c r="B1025" s="63">
        <f>17.8479 * CHOOSE(CONTROL!$C$22, $C$13, 100%, $E$13)</f>
        <v>17.847899999999999</v>
      </c>
      <c r="C1025" s="63">
        <f>17.8479 * CHOOSE(CONTROL!$C$22, $C$13, 100%, $E$13)</f>
        <v>17.847899999999999</v>
      </c>
      <c r="D1025" s="63">
        <f>17.8479 * CHOOSE(CONTROL!$C$22, $C$13, 100%, $E$13)</f>
        <v>17.847899999999999</v>
      </c>
      <c r="E1025" s="64">
        <f>20.0886 * CHOOSE(CONTROL!$C$22, $C$13, 100%, $E$13)</f>
        <v>20.0886</v>
      </c>
      <c r="F1025" s="64">
        <f>20.0886 * CHOOSE(CONTROL!$C$22, $C$13, 100%, $E$13)</f>
        <v>20.0886</v>
      </c>
      <c r="G1025" s="64">
        <f>20.0886 * CHOOSE(CONTROL!$C$22, $C$13, 100%, $E$13)</f>
        <v>20.0886</v>
      </c>
      <c r="H1025" s="64">
        <f>33.1128* CHOOSE(CONTROL!$C$22, $C$13, 100%, $E$13)</f>
        <v>33.1128</v>
      </c>
      <c r="I1025" s="64">
        <f>33.1129 * CHOOSE(CONTROL!$C$22, $C$13, 100%, $E$13)</f>
        <v>33.112900000000003</v>
      </c>
      <c r="J1025" s="64">
        <f>20.0886 * CHOOSE(CONTROL!$C$22, $C$13, 100%, $E$13)</f>
        <v>20.0886</v>
      </c>
      <c r="K1025" s="64">
        <f>20.0886 * CHOOSE(CONTROL!$C$22, $C$13, 100%, $E$13)</f>
        <v>20.0886</v>
      </c>
    </row>
    <row r="1026" spans="1:11" ht="15">
      <c r="A1026" s="13">
        <v>72717</v>
      </c>
      <c r="B1026" s="63">
        <f>17.8448 * CHOOSE(CONTROL!$C$22, $C$13, 100%, $E$13)</f>
        <v>17.844799999999999</v>
      </c>
      <c r="C1026" s="63">
        <f>17.8448 * CHOOSE(CONTROL!$C$22, $C$13, 100%, $E$13)</f>
        <v>17.844799999999999</v>
      </c>
      <c r="D1026" s="63">
        <f>17.8448 * CHOOSE(CONTROL!$C$22, $C$13, 100%, $E$13)</f>
        <v>17.844799999999999</v>
      </c>
      <c r="E1026" s="64">
        <f>19.7228 * CHOOSE(CONTROL!$C$22, $C$13, 100%, $E$13)</f>
        <v>19.722799999999999</v>
      </c>
      <c r="F1026" s="64">
        <f>19.7228 * CHOOSE(CONTROL!$C$22, $C$13, 100%, $E$13)</f>
        <v>19.722799999999999</v>
      </c>
      <c r="G1026" s="64">
        <f>19.7229 * CHOOSE(CONTROL!$C$22, $C$13, 100%, $E$13)</f>
        <v>19.722899999999999</v>
      </c>
      <c r="H1026" s="64">
        <f>33.1818* CHOOSE(CONTROL!$C$22, $C$13, 100%, $E$13)</f>
        <v>33.181800000000003</v>
      </c>
      <c r="I1026" s="64">
        <f>33.1819 * CHOOSE(CONTROL!$C$22, $C$13, 100%, $E$13)</f>
        <v>33.181899999999999</v>
      </c>
      <c r="J1026" s="64">
        <f>19.7228 * CHOOSE(CONTROL!$C$22, $C$13, 100%, $E$13)</f>
        <v>19.722799999999999</v>
      </c>
      <c r="K1026" s="64">
        <f>19.7229 * CHOOSE(CONTROL!$C$22, $C$13, 100%, $E$13)</f>
        <v>19.722899999999999</v>
      </c>
    </row>
    <row r="1027" spans="1:11" ht="15">
      <c r="A1027" s="13">
        <v>72745</v>
      </c>
      <c r="B1027" s="63">
        <f>17.8418 * CHOOSE(CONTROL!$C$22, $C$13, 100%, $E$13)</f>
        <v>17.841799999999999</v>
      </c>
      <c r="C1027" s="63">
        <f>17.8418 * CHOOSE(CONTROL!$C$22, $C$13, 100%, $E$13)</f>
        <v>17.841799999999999</v>
      </c>
      <c r="D1027" s="63">
        <f>17.8418 * CHOOSE(CONTROL!$C$22, $C$13, 100%, $E$13)</f>
        <v>17.841799999999999</v>
      </c>
      <c r="E1027" s="64">
        <f>20.0074 * CHOOSE(CONTROL!$C$22, $C$13, 100%, $E$13)</f>
        <v>20.007400000000001</v>
      </c>
      <c r="F1027" s="64">
        <f>20.0074 * CHOOSE(CONTROL!$C$22, $C$13, 100%, $E$13)</f>
        <v>20.007400000000001</v>
      </c>
      <c r="G1027" s="64">
        <f>20.0074 * CHOOSE(CONTROL!$C$22, $C$13, 100%, $E$13)</f>
        <v>20.007400000000001</v>
      </c>
      <c r="H1027" s="64">
        <f>33.2509* CHOOSE(CONTROL!$C$22, $C$13, 100%, $E$13)</f>
        <v>33.250900000000001</v>
      </c>
      <c r="I1027" s="64">
        <f>33.251 * CHOOSE(CONTROL!$C$22, $C$13, 100%, $E$13)</f>
        <v>33.250999999999998</v>
      </c>
      <c r="J1027" s="64">
        <f>20.0074 * CHOOSE(CONTROL!$C$22, $C$13, 100%, $E$13)</f>
        <v>20.007400000000001</v>
      </c>
      <c r="K1027" s="64">
        <f>20.0074 * CHOOSE(CONTROL!$C$22, $C$13, 100%, $E$13)</f>
        <v>20.007400000000001</v>
      </c>
    </row>
    <row r="1028" spans="1:11" ht="15">
      <c r="A1028" s="13">
        <v>72776</v>
      </c>
      <c r="B1028" s="63">
        <f>17.851 * CHOOSE(CONTROL!$C$22, $C$13, 100%, $E$13)</f>
        <v>17.850999999999999</v>
      </c>
      <c r="C1028" s="63">
        <f>17.851 * CHOOSE(CONTROL!$C$22, $C$13, 100%, $E$13)</f>
        <v>17.850999999999999</v>
      </c>
      <c r="D1028" s="63">
        <f>17.851 * CHOOSE(CONTROL!$C$22, $C$13, 100%, $E$13)</f>
        <v>17.850999999999999</v>
      </c>
      <c r="E1028" s="64">
        <f>20.311 * CHOOSE(CONTROL!$C$22, $C$13, 100%, $E$13)</f>
        <v>20.311</v>
      </c>
      <c r="F1028" s="64">
        <f>20.311 * CHOOSE(CONTROL!$C$22, $C$13, 100%, $E$13)</f>
        <v>20.311</v>
      </c>
      <c r="G1028" s="64">
        <f>20.311 * CHOOSE(CONTROL!$C$22, $C$13, 100%, $E$13)</f>
        <v>20.311</v>
      </c>
      <c r="H1028" s="64">
        <f>33.3202* CHOOSE(CONTROL!$C$22, $C$13, 100%, $E$13)</f>
        <v>33.3202</v>
      </c>
      <c r="I1028" s="64">
        <f>33.3203 * CHOOSE(CONTROL!$C$22, $C$13, 100%, $E$13)</f>
        <v>33.320300000000003</v>
      </c>
      <c r="J1028" s="64">
        <f>20.311 * CHOOSE(CONTROL!$C$22, $C$13, 100%, $E$13)</f>
        <v>20.311</v>
      </c>
      <c r="K1028" s="64">
        <f>20.311 * CHOOSE(CONTROL!$C$22, $C$13, 100%, $E$13)</f>
        <v>20.311</v>
      </c>
    </row>
    <row r="1029" spans="1:11" ht="15">
      <c r="A1029" s="13">
        <v>72806</v>
      </c>
      <c r="B1029" s="63">
        <f>17.851 * CHOOSE(CONTROL!$C$22, $C$13, 100%, $E$13)</f>
        <v>17.850999999999999</v>
      </c>
      <c r="C1029" s="63">
        <f>17.851 * CHOOSE(CONTROL!$C$22, $C$13, 100%, $E$13)</f>
        <v>17.850999999999999</v>
      </c>
      <c r="D1029" s="63">
        <f>17.864 * CHOOSE(CONTROL!$C$22, $C$13, 100%, $E$13)</f>
        <v>17.864000000000001</v>
      </c>
      <c r="E1029" s="64">
        <f>20.4264 * CHOOSE(CONTROL!$C$22, $C$13, 100%, $E$13)</f>
        <v>20.426400000000001</v>
      </c>
      <c r="F1029" s="64">
        <f>20.4264 * CHOOSE(CONTROL!$C$22, $C$13, 100%, $E$13)</f>
        <v>20.426400000000001</v>
      </c>
      <c r="G1029" s="64">
        <f>20.4421 * CHOOSE(CONTROL!$C$22, $C$13, 100%, $E$13)</f>
        <v>20.4421</v>
      </c>
      <c r="H1029" s="64">
        <f>33.3896* CHOOSE(CONTROL!$C$22, $C$13, 100%, $E$13)</f>
        <v>33.389600000000002</v>
      </c>
      <c r="I1029" s="64">
        <f>33.4053 * CHOOSE(CONTROL!$C$22, $C$13, 100%, $E$13)</f>
        <v>33.405299999999997</v>
      </c>
      <c r="J1029" s="64">
        <f>20.4264 * CHOOSE(CONTROL!$C$22, $C$13, 100%, $E$13)</f>
        <v>20.426400000000001</v>
      </c>
      <c r="K1029" s="64">
        <f>20.4421 * CHOOSE(CONTROL!$C$22, $C$13, 100%, $E$13)</f>
        <v>20.4421</v>
      </c>
    </row>
    <row r="1030" spans="1:11" ht="15">
      <c r="A1030" s="13">
        <v>72837</v>
      </c>
      <c r="B1030" s="63">
        <f>17.8571 * CHOOSE(CONTROL!$C$22, $C$13, 100%, $E$13)</f>
        <v>17.857099999999999</v>
      </c>
      <c r="C1030" s="63">
        <f>17.8571 * CHOOSE(CONTROL!$C$22, $C$13, 100%, $E$13)</f>
        <v>17.857099999999999</v>
      </c>
      <c r="D1030" s="63">
        <f>17.8701 * CHOOSE(CONTROL!$C$22, $C$13, 100%, $E$13)</f>
        <v>17.870100000000001</v>
      </c>
      <c r="E1030" s="64">
        <f>20.3152 * CHOOSE(CONTROL!$C$22, $C$13, 100%, $E$13)</f>
        <v>20.315200000000001</v>
      </c>
      <c r="F1030" s="64">
        <f>20.3152 * CHOOSE(CONTROL!$C$22, $C$13, 100%, $E$13)</f>
        <v>20.315200000000001</v>
      </c>
      <c r="G1030" s="64">
        <f>20.3309 * CHOOSE(CONTROL!$C$22, $C$13, 100%, $E$13)</f>
        <v>20.3309</v>
      </c>
      <c r="H1030" s="64">
        <f>33.4592* CHOOSE(CONTROL!$C$22, $C$13, 100%, $E$13)</f>
        <v>33.459200000000003</v>
      </c>
      <c r="I1030" s="64">
        <f>33.4748 * CHOOSE(CONTROL!$C$22, $C$13, 100%, $E$13)</f>
        <v>33.474800000000002</v>
      </c>
      <c r="J1030" s="64">
        <f>20.3152 * CHOOSE(CONTROL!$C$22, $C$13, 100%, $E$13)</f>
        <v>20.315200000000001</v>
      </c>
      <c r="K1030" s="64">
        <f>20.3309 * CHOOSE(CONTROL!$C$22, $C$13, 100%, $E$13)</f>
        <v>20.3309</v>
      </c>
    </row>
    <row r="1031" spans="1:11" ht="15">
      <c r="A1031" s="13">
        <v>72867</v>
      </c>
      <c r="B1031" s="63">
        <f>18.1253 * CHOOSE(CONTROL!$C$22, $C$13, 100%, $E$13)</f>
        <v>18.125299999999999</v>
      </c>
      <c r="C1031" s="63">
        <f>18.1253 * CHOOSE(CONTROL!$C$22, $C$13, 100%, $E$13)</f>
        <v>18.125299999999999</v>
      </c>
      <c r="D1031" s="63">
        <f>18.1383 * CHOOSE(CONTROL!$C$22, $C$13, 100%, $E$13)</f>
        <v>18.138300000000001</v>
      </c>
      <c r="E1031" s="64">
        <f>20.6353 * CHOOSE(CONTROL!$C$22, $C$13, 100%, $E$13)</f>
        <v>20.635300000000001</v>
      </c>
      <c r="F1031" s="64">
        <f>20.6353 * CHOOSE(CONTROL!$C$22, $C$13, 100%, $E$13)</f>
        <v>20.635300000000001</v>
      </c>
      <c r="G1031" s="64">
        <f>20.6509 * CHOOSE(CONTROL!$C$22, $C$13, 100%, $E$13)</f>
        <v>20.6509</v>
      </c>
      <c r="H1031" s="64">
        <f>33.5289* CHOOSE(CONTROL!$C$22, $C$13, 100%, $E$13)</f>
        <v>33.5289</v>
      </c>
      <c r="I1031" s="64">
        <f>33.5446 * CHOOSE(CONTROL!$C$22, $C$13, 100%, $E$13)</f>
        <v>33.544600000000003</v>
      </c>
      <c r="J1031" s="64">
        <f>20.6353 * CHOOSE(CONTROL!$C$22, $C$13, 100%, $E$13)</f>
        <v>20.635300000000001</v>
      </c>
      <c r="K1031" s="64">
        <f>20.6509 * CHOOSE(CONTROL!$C$22, $C$13, 100%, $E$13)</f>
        <v>20.6509</v>
      </c>
    </row>
    <row r="1032" spans="1:11" ht="15">
      <c r="A1032" s="13">
        <v>72898</v>
      </c>
      <c r="B1032" s="63">
        <f>18.132 * CHOOSE(CONTROL!$C$22, $C$13, 100%, $E$13)</f>
        <v>18.132000000000001</v>
      </c>
      <c r="C1032" s="63">
        <f>18.132 * CHOOSE(CONTROL!$C$22, $C$13, 100%, $E$13)</f>
        <v>18.132000000000001</v>
      </c>
      <c r="D1032" s="63">
        <f>18.145 * CHOOSE(CONTROL!$C$22, $C$13, 100%, $E$13)</f>
        <v>18.145</v>
      </c>
      <c r="E1032" s="64">
        <f>20.2936 * CHOOSE(CONTROL!$C$22, $C$13, 100%, $E$13)</f>
        <v>20.293600000000001</v>
      </c>
      <c r="F1032" s="64">
        <f>20.2936 * CHOOSE(CONTROL!$C$22, $C$13, 100%, $E$13)</f>
        <v>20.293600000000001</v>
      </c>
      <c r="G1032" s="64">
        <f>20.3093 * CHOOSE(CONTROL!$C$22, $C$13, 100%, $E$13)</f>
        <v>20.3093</v>
      </c>
      <c r="H1032" s="64">
        <f>33.5987* CHOOSE(CONTROL!$C$22, $C$13, 100%, $E$13)</f>
        <v>33.598700000000001</v>
      </c>
      <c r="I1032" s="64">
        <f>33.6144 * CHOOSE(CONTROL!$C$22, $C$13, 100%, $E$13)</f>
        <v>33.614400000000003</v>
      </c>
      <c r="J1032" s="64">
        <f>20.2936 * CHOOSE(CONTROL!$C$22, $C$13, 100%, $E$13)</f>
        <v>20.293600000000001</v>
      </c>
      <c r="K1032" s="64">
        <f>20.3093 * CHOOSE(CONTROL!$C$22, $C$13, 100%, $E$13)</f>
        <v>20.3093</v>
      </c>
    </row>
    <row r="1033" spans="1:11" ht="15">
      <c r="A1033" s="13">
        <v>72929</v>
      </c>
      <c r="B1033" s="63">
        <f>18.1289 * CHOOSE(CONTROL!$C$22, $C$13, 100%, $E$13)</f>
        <v>18.128900000000002</v>
      </c>
      <c r="C1033" s="63">
        <f>18.1289 * CHOOSE(CONTROL!$C$22, $C$13, 100%, $E$13)</f>
        <v>18.128900000000002</v>
      </c>
      <c r="D1033" s="63">
        <f>18.1419 * CHOOSE(CONTROL!$C$22, $C$13, 100%, $E$13)</f>
        <v>18.1419</v>
      </c>
      <c r="E1033" s="64">
        <f>20.253 * CHOOSE(CONTROL!$C$22, $C$13, 100%, $E$13)</f>
        <v>20.253</v>
      </c>
      <c r="F1033" s="64">
        <f>20.253 * CHOOSE(CONTROL!$C$22, $C$13, 100%, $E$13)</f>
        <v>20.253</v>
      </c>
      <c r="G1033" s="64">
        <f>20.2687 * CHOOSE(CONTROL!$C$22, $C$13, 100%, $E$13)</f>
        <v>20.268699999999999</v>
      </c>
      <c r="H1033" s="64">
        <f>33.6687* CHOOSE(CONTROL!$C$22, $C$13, 100%, $E$13)</f>
        <v>33.668700000000001</v>
      </c>
      <c r="I1033" s="64">
        <f>33.6844 * CHOOSE(CONTROL!$C$22, $C$13, 100%, $E$13)</f>
        <v>33.684399999999997</v>
      </c>
      <c r="J1033" s="64">
        <f>20.253 * CHOOSE(CONTROL!$C$22, $C$13, 100%, $E$13)</f>
        <v>20.253</v>
      </c>
      <c r="K1033" s="64">
        <f>20.2687 * CHOOSE(CONTROL!$C$22, $C$13, 100%, $E$13)</f>
        <v>20.268699999999999</v>
      </c>
    </row>
    <row r="1034" spans="1:11" ht="15">
      <c r="A1034" s="13">
        <v>72959</v>
      </c>
      <c r="B1034" s="63">
        <f>18.1693 * CHOOSE(CONTROL!$C$22, $C$13, 100%, $E$13)</f>
        <v>18.1693</v>
      </c>
      <c r="C1034" s="63">
        <f>18.1693 * CHOOSE(CONTROL!$C$22, $C$13, 100%, $E$13)</f>
        <v>18.1693</v>
      </c>
      <c r="D1034" s="63">
        <f>18.1693 * CHOOSE(CONTROL!$C$22, $C$13, 100%, $E$13)</f>
        <v>18.1693</v>
      </c>
      <c r="E1034" s="64">
        <f>20.3935 * CHOOSE(CONTROL!$C$22, $C$13, 100%, $E$13)</f>
        <v>20.3935</v>
      </c>
      <c r="F1034" s="64">
        <f>20.3935 * CHOOSE(CONTROL!$C$22, $C$13, 100%, $E$13)</f>
        <v>20.3935</v>
      </c>
      <c r="G1034" s="64">
        <f>20.3936 * CHOOSE(CONTROL!$C$22, $C$13, 100%, $E$13)</f>
        <v>20.393599999999999</v>
      </c>
      <c r="H1034" s="64">
        <f>33.7389* CHOOSE(CONTROL!$C$22, $C$13, 100%, $E$13)</f>
        <v>33.738900000000001</v>
      </c>
      <c r="I1034" s="64">
        <f>33.7389 * CHOOSE(CONTROL!$C$22, $C$13, 100%, $E$13)</f>
        <v>33.738900000000001</v>
      </c>
      <c r="J1034" s="64">
        <f>20.3935 * CHOOSE(CONTROL!$C$22, $C$13, 100%, $E$13)</f>
        <v>20.3935</v>
      </c>
      <c r="K1034" s="64">
        <f>20.3936 * CHOOSE(CONTROL!$C$22, $C$13, 100%, $E$13)</f>
        <v>20.393599999999999</v>
      </c>
    </row>
    <row r="1035" spans="1:11" ht="15">
      <c r="A1035" s="13">
        <v>72990</v>
      </c>
      <c r="B1035" s="63">
        <f>18.1724 * CHOOSE(CONTROL!$C$22, $C$13, 100%, $E$13)</f>
        <v>18.1724</v>
      </c>
      <c r="C1035" s="63">
        <f>18.1724 * CHOOSE(CONTROL!$C$22, $C$13, 100%, $E$13)</f>
        <v>18.1724</v>
      </c>
      <c r="D1035" s="63">
        <f>18.1724 * CHOOSE(CONTROL!$C$22, $C$13, 100%, $E$13)</f>
        <v>18.1724</v>
      </c>
      <c r="E1035" s="64">
        <f>20.4726 * CHOOSE(CONTROL!$C$22, $C$13, 100%, $E$13)</f>
        <v>20.4726</v>
      </c>
      <c r="F1035" s="64">
        <f>20.4726 * CHOOSE(CONTROL!$C$22, $C$13, 100%, $E$13)</f>
        <v>20.4726</v>
      </c>
      <c r="G1035" s="64">
        <f>20.4727 * CHOOSE(CONTROL!$C$22, $C$13, 100%, $E$13)</f>
        <v>20.4727</v>
      </c>
      <c r="H1035" s="64">
        <f>33.8092* CHOOSE(CONTROL!$C$22, $C$13, 100%, $E$13)</f>
        <v>33.809199999999997</v>
      </c>
      <c r="I1035" s="64">
        <f>33.8092 * CHOOSE(CONTROL!$C$22, $C$13, 100%, $E$13)</f>
        <v>33.809199999999997</v>
      </c>
      <c r="J1035" s="64">
        <f>20.4726 * CHOOSE(CONTROL!$C$22, $C$13, 100%, $E$13)</f>
        <v>20.4726</v>
      </c>
      <c r="K1035" s="64">
        <f>20.4727 * CHOOSE(CONTROL!$C$22, $C$13, 100%, $E$13)</f>
        <v>20.4727</v>
      </c>
    </row>
    <row r="1036" spans="1:11" ht="15">
      <c r="A1036" s="13">
        <v>73020</v>
      </c>
      <c r="B1036" s="63">
        <f>18.1724 * CHOOSE(CONTROL!$C$22, $C$13, 100%, $E$13)</f>
        <v>18.1724</v>
      </c>
      <c r="C1036" s="63">
        <f>18.1724 * CHOOSE(CONTROL!$C$22, $C$13, 100%, $E$13)</f>
        <v>18.1724</v>
      </c>
      <c r="D1036" s="63">
        <f>18.1724 * CHOOSE(CONTROL!$C$22, $C$13, 100%, $E$13)</f>
        <v>18.1724</v>
      </c>
      <c r="E1036" s="64">
        <f>20.2802 * CHOOSE(CONTROL!$C$22, $C$13, 100%, $E$13)</f>
        <v>20.280200000000001</v>
      </c>
      <c r="F1036" s="64">
        <f>20.2802 * CHOOSE(CONTROL!$C$22, $C$13, 100%, $E$13)</f>
        <v>20.280200000000001</v>
      </c>
      <c r="G1036" s="64">
        <f>20.2803 * CHOOSE(CONTROL!$C$22, $C$13, 100%, $E$13)</f>
        <v>20.2803</v>
      </c>
      <c r="H1036" s="64">
        <f>33.8796* CHOOSE(CONTROL!$C$22, $C$13, 100%, $E$13)</f>
        <v>33.879600000000003</v>
      </c>
      <c r="I1036" s="64">
        <f>33.8797 * CHOOSE(CONTROL!$C$22, $C$13, 100%, $E$13)</f>
        <v>33.8797</v>
      </c>
      <c r="J1036" s="64">
        <f>20.2802 * CHOOSE(CONTROL!$C$22, $C$13, 100%, $E$13)</f>
        <v>20.280200000000001</v>
      </c>
      <c r="K1036" s="64">
        <f>20.2803 * CHOOSE(CONTROL!$C$22, $C$13, 100%, $E$13)</f>
        <v>20.2803</v>
      </c>
    </row>
    <row r="1037" spans="1:11" ht="15">
      <c r="A1037" s="13">
        <v>73051</v>
      </c>
      <c r="B1037" s="63">
        <f>18.0834 * CHOOSE(CONTROL!$C$22, $C$13, 100%, $E$13)</f>
        <v>18.083400000000001</v>
      </c>
      <c r="C1037" s="63">
        <f>18.0834 * CHOOSE(CONTROL!$C$22, $C$13, 100%, $E$13)</f>
        <v>18.083400000000001</v>
      </c>
      <c r="D1037" s="63">
        <f>18.0834 * CHOOSE(CONTROL!$C$22, $C$13, 100%, $E$13)</f>
        <v>18.083400000000001</v>
      </c>
      <c r="E1037" s="64">
        <f>20.3433 * CHOOSE(CONTROL!$C$22, $C$13, 100%, $E$13)</f>
        <v>20.343299999999999</v>
      </c>
      <c r="F1037" s="64">
        <f>20.3433 * CHOOSE(CONTROL!$C$22, $C$13, 100%, $E$13)</f>
        <v>20.343299999999999</v>
      </c>
      <c r="G1037" s="64">
        <f>20.3434 * CHOOSE(CONTROL!$C$22, $C$13, 100%, $E$13)</f>
        <v>20.343399999999999</v>
      </c>
      <c r="H1037" s="64">
        <f>33.5398* CHOOSE(CONTROL!$C$22, $C$13, 100%, $E$13)</f>
        <v>33.5398</v>
      </c>
      <c r="I1037" s="64">
        <f>33.5399 * CHOOSE(CONTROL!$C$22, $C$13, 100%, $E$13)</f>
        <v>33.539900000000003</v>
      </c>
      <c r="J1037" s="64">
        <f>20.3433 * CHOOSE(CONTROL!$C$22, $C$13, 100%, $E$13)</f>
        <v>20.343299999999999</v>
      </c>
      <c r="K1037" s="64">
        <f>20.3434 * CHOOSE(CONTROL!$C$22, $C$13, 100%, $E$13)</f>
        <v>20.343399999999999</v>
      </c>
    </row>
    <row r="1038" spans="1:11" ht="15">
      <c r="A1038" s="13">
        <v>73082</v>
      </c>
      <c r="B1038" s="63">
        <f>18.0804 * CHOOSE(CONTROL!$C$22, $C$13, 100%, $E$13)</f>
        <v>18.080400000000001</v>
      </c>
      <c r="C1038" s="63">
        <f>18.0804 * CHOOSE(CONTROL!$C$22, $C$13, 100%, $E$13)</f>
        <v>18.080400000000001</v>
      </c>
      <c r="D1038" s="63">
        <f>18.0804 * CHOOSE(CONTROL!$C$22, $C$13, 100%, $E$13)</f>
        <v>18.080400000000001</v>
      </c>
      <c r="E1038" s="64">
        <f>19.9726 * CHOOSE(CONTROL!$C$22, $C$13, 100%, $E$13)</f>
        <v>19.9726</v>
      </c>
      <c r="F1038" s="64">
        <f>19.9726 * CHOOSE(CONTROL!$C$22, $C$13, 100%, $E$13)</f>
        <v>19.9726</v>
      </c>
      <c r="G1038" s="64">
        <f>19.9727 * CHOOSE(CONTROL!$C$22, $C$13, 100%, $E$13)</f>
        <v>19.9727</v>
      </c>
      <c r="H1038" s="64">
        <f>33.6097* CHOOSE(CONTROL!$C$22, $C$13, 100%, $E$13)</f>
        <v>33.609699999999997</v>
      </c>
      <c r="I1038" s="64">
        <f>33.6098 * CHOOSE(CONTROL!$C$22, $C$13, 100%, $E$13)</f>
        <v>33.6098</v>
      </c>
      <c r="J1038" s="64">
        <f>19.9726 * CHOOSE(CONTROL!$C$22, $C$13, 100%, $E$13)</f>
        <v>19.9726</v>
      </c>
      <c r="K1038" s="64">
        <f>19.9727 * CHOOSE(CONTROL!$C$22, $C$13, 100%, $E$13)</f>
        <v>19.9727</v>
      </c>
    </row>
    <row r="1039" spans="1:11" ht="15">
      <c r="A1039" s="13">
        <v>73110</v>
      </c>
      <c r="B1039" s="63">
        <f>18.0774 * CHOOSE(CONTROL!$C$22, $C$13, 100%, $E$13)</f>
        <v>18.077400000000001</v>
      </c>
      <c r="C1039" s="63">
        <f>18.0774 * CHOOSE(CONTROL!$C$22, $C$13, 100%, $E$13)</f>
        <v>18.077400000000001</v>
      </c>
      <c r="D1039" s="63">
        <f>18.0774 * CHOOSE(CONTROL!$C$22, $C$13, 100%, $E$13)</f>
        <v>18.077400000000001</v>
      </c>
      <c r="E1039" s="64">
        <f>20.261 * CHOOSE(CONTROL!$C$22, $C$13, 100%, $E$13)</f>
        <v>20.260999999999999</v>
      </c>
      <c r="F1039" s="64">
        <f>20.261 * CHOOSE(CONTROL!$C$22, $C$13, 100%, $E$13)</f>
        <v>20.260999999999999</v>
      </c>
      <c r="G1039" s="64">
        <f>20.2611 * CHOOSE(CONTROL!$C$22, $C$13, 100%, $E$13)</f>
        <v>20.261099999999999</v>
      </c>
      <c r="H1039" s="64">
        <f>33.6797* CHOOSE(CONTROL!$C$22, $C$13, 100%, $E$13)</f>
        <v>33.679699999999997</v>
      </c>
      <c r="I1039" s="64">
        <f>33.6798 * CHOOSE(CONTROL!$C$22, $C$13, 100%, $E$13)</f>
        <v>33.6798</v>
      </c>
      <c r="J1039" s="64">
        <f>20.261 * CHOOSE(CONTROL!$C$22, $C$13, 100%, $E$13)</f>
        <v>20.260999999999999</v>
      </c>
      <c r="K1039" s="64">
        <f>20.2611 * CHOOSE(CONTROL!$C$22, $C$13, 100%, $E$13)</f>
        <v>20.261099999999999</v>
      </c>
    </row>
    <row r="1040" spans="1:11" ht="15">
      <c r="A1040" s="13">
        <v>73141</v>
      </c>
      <c r="B1040" s="63">
        <f>18.0868 * CHOOSE(CONTROL!$C$22, $C$13, 100%, $E$13)</f>
        <v>18.0868</v>
      </c>
      <c r="C1040" s="63">
        <f>18.0868 * CHOOSE(CONTROL!$C$22, $C$13, 100%, $E$13)</f>
        <v>18.0868</v>
      </c>
      <c r="D1040" s="63">
        <f>18.0868 * CHOOSE(CONTROL!$C$22, $C$13, 100%, $E$13)</f>
        <v>18.0868</v>
      </c>
      <c r="E1040" s="64">
        <f>20.5688 * CHOOSE(CONTROL!$C$22, $C$13, 100%, $E$13)</f>
        <v>20.5688</v>
      </c>
      <c r="F1040" s="64">
        <f>20.5688 * CHOOSE(CONTROL!$C$22, $C$13, 100%, $E$13)</f>
        <v>20.5688</v>
      </c>
      <c r="G1040" s="64">
        <f>20.5689 * CHOOSE(CONTROL!$C$22, $C$13, 100%, $E$13)</f>
        <v>20.568899999999999</v>
      </c>
      <c r="H1040" s="64">
        <f>33.7499* CHOOSE(CONTROL!$C$22, $C$13, 100%, $E$13)</f>
        <v>33.749899999999997</v>
      </c>
      <c r="I1040" s="64">
        <f>33.75 * CHOOSE(CONTROL!$C$22, $C$13, 100%, $E$13)</f>
        <v>33.75</v>
      </c>
      <c r="J1040" s="64">
        <f>20.5688 * CHOOSE(CONTROL!$C$22, $C$13, 100%, $E$13)</f>
        <v>20.5688</v>
      </c>
      <c r="K1040" s="64">
        <f>20.5689 * CHOOSE(CONTROL!$C$22, $C$13, 100%, $E$13)</f>
        <v>20.568899999999999</v>
      </c>
    </row>
    <row r="1041" spans="1:11" ht="15">
      <c r="A1041" s="13">
        <v>73171</v>
      </c>
      <c r="B1041" s="63">
        <f>18.0868 * CHOOSE(CONTROL!$C$22, $C$13, 100%, $E$13)</f>
        <v>18.0868</v>
      </c>
      <c r="C1041" s="63">
        <f>18.0868 * CHOOSE(CONTROL!$C$22, $C$13, 100%, $E$13)</f>
        <v>18.0868</v>
      </c>
      <c r="D1041" s="63">
        <f>18.0997 * CHOOSE(CONTROL!$C$22, $C$13, 100%, $E$13)</f>
        <v>18.099699999999999</v>
      </c>
      <c r="E1041" s="64">
        <f>20.6858 * CHOOSE(CONTROL!$C$22, $C$13, 100%, $E$13)</f>
        <v>20.6858</v>
      </c>
      <c r="F1041" s="64">
        <f>20.6858 * CHOOSE(CONTROL!$C$22, $C$13, 100%, $E$13)</f>
        <v>20.6858</v>
      </c>
      <c r="G1041" s="64">
        <f>20.7015 * CHOOSE(CONTROL!$C$22, $C$13, 100%, $E$13)</f>
        <v>20.701499999999999</v>
      </c>
      <c r="H1041" s="64">
        <f>33.8202* CHOOSE(CONTROL!$C$22, $C$13, 100%, $E$13)</f>
        <v>33.8202</v>
      </c>
      <c r="I1041" s="64">
        <f>33.8359 * CHOOSE(CONTROL!$C$22, $C$13, 100%, $E$13)</f>
        <v>33.835900000000002</v>
      </c>
      <c r="J1041" s="64">
        <f>20.6858 * CHOOSE(CONTROL!$C$22, $C$13, 100%, $E$13)</f>
        <v>20.6858</v>
      </c>
      <c r="K1041" s="64">
        <f>20.7015 * CHOOSE(CONTROL!$C$22, $C$13, 100%, $E$13)</f>
        <v>20.701499999999999</v>
      </c>
    </row>
    <row r="1042" spans="1:11" ht="15">
      <c r="A1042" s="13">
        <v>73202</v>
      </c>
      <c r="B1042" s="63">
        <f>18.0928 * CHOOSE(CONTROL!$C$22, $C$13, 100%, $E$13)</f>
        <v>18.0928</v>
      </c>
      <c r="C1042" s="63">
        <f>18.0928 * CHOOSE(CONTROL!$C$22, $C$13, 100%, $E$13)</f>
        <v>18.0928</v>
      </c>
      <c r="D1042" s="63">
        <f>18.1058 * CHOOSE(CONTROL!$C$22, $C$13, 100%, $E$13)</f>
        <v>18.105799999999999</v>
      </c>
      <c r="E1042" s="64">
        <f>20.5731 * CHOOSE(CONTROL!$C$22, $C$13, 100%, $E$13)</f>
        <v>20.5731</v>
      </c>
      <c r="F1042" s="64">
        <f>20.5731 * CHOOSE(CONTROL!$C$22, $C$13, 100%, $E$13)</f>
        <v>20.5731</v>
      </c>
      <c r="G1042" s="64">
        <f>20.5887 * CHOOSE(CONTROL!$C$22, $C$13, 100%, $E$13)</f>
        <v>20.588699999999999</v>
      </c>
      <c r="H1042" s="64">
        <f>33.8907* CHOOSE(CONTROL!$C$22, $C$13, 100%, $E$13)</f>
        <v>33.890700000000002</v>
      </c>
      <c r="I1042" s="64">
        <f>33.9063 * CHOOSE(CONTROL!$C$22, $C$13, 100%, $E$13)</f>
        <v>33.906300000000002</v>
      </c>
      <c r="J1042" s="64">
        <f>20.5731 * CHOOSE(CONTROL!$C$22, $C$13, 100%, $E$13)</f>
        <v>20.5731</v>
      </c>
      <c r="K1042" s="64">
        <f>20.5887 * CHOOSE(CONTROL!$C$22, $C$13, 100%, $E$13)</f>
        <v>20.588699999999999</v>
      </c>
    </row>
    <row r="1043" spans="1:11" ht="15">
      <c r="A1043" s="13">
        <v>73232</v>
      </c>
      <c r="B1043" s="63">
        <f>18.3645 * CHOOSE(CONTROL!$C$22, $C$13, 100%, $E$13)</f>
        <v>18.3645</v>
      </c>
      <c r="C1043" s="63">
        <f>18.3645 * CHOOSE(CONTROL!$C$22, $C$13, 100%, $E$13)</f>
        <v>18.3645</v>
      </c>
      <c r="D1043" s="63">
        <f>18.3774 * CHOOSE(CONTROL!$C$22, $C$13, 100%, $E$13)</f>
        <v>18.377400000000002</v>
      </c>
      <c r="E1043" s="64">
        <f>20.897 * CHOOSE(CONTROL!$C$22, $C$13, 100%, $E$13)</f>
        <v>20.896999999999998</v>
      </c>
      <c r="F1043" s="64">
        <f>20.897 * CHOOSE(CONTROL!$C$22, $C$13, 100%, $E$13)</f>
        <v>20.896999999999998</v>
      </c>
      <c r="G1043" s="64">
        <f>20.9127 * CHOOSE(CONTROL!$C$22, $C$13, 100%, $E$13)</f>
        <v>20.912700000000001</v>
      </c>
      <c r="H1043" s="64">
        <f>33.9613* CHOOSE(CONTROL!$C$22, $C$13, 100%, $E$13)</f>
        <v>33.961300000000001</v>
      </c>
      <c r="I1043" s="64">
        <f>33.9769 * CHOOSE(CONTROL!$C$22, $C$13, 100%, $E$13)</f>
        <v>33.976900000000001</v>
      </c>
      <c r="J1043" s="64">
        <f>20.897 * CHOOSE(CONTROL!$C$22, $C$13, 100%, $E$13)</f>
        <v>20.896999999999998</v>
      </c>
      <c r="K1043" s="64">
        <f>20.9127 * CHOOSE(CONTROL!$C$22, $C$13, 100%, $E$13)</f>
        <v>20.912700000000001</v>
      </c>
    </row>
    <row r="1044" spans="1:11" ht="15">
      <c r="A1044" s="13">
        <v>73263</v>
      </c>
      <c r="B1044" s="63">
        <f>18.3712 * CHOOSE(CONTROL!$C$22, $C$13, 100%, $E$13)</f>
        <v>18.371200000000002</v>
      </c>
      <c r="C1044" s="63">
        <f>18.3712 * CHOOSE(CONTROL!$C$22, $C$13, 100%, $E$13)</f>
        <v>18.371200000000002</v>
      </c>
      <c r="D1044" s="63">
        <f>18.3841 * CHOOSE(CONTROL!$C$22, $C$13, 100%, $E$13)</f>
        <v>18.3841</v>
      </c>
      <c r="E1044" s="64">
        <f>20.5507 * CHOOSE(CONTROL!$C$22, $C$13, 100%, $E$13)</f>
        <v>20.550699999999999</v>
      </c>
      <c r="F1044" s="64">
        <f>20.5507 * CHOOSE(CONTROL!$C$22, $C$13, 100%, $E$13)</f>
        <v>20.550699999999999</v>
      </c>
      <c r="G1044" s="64">
        <f>20.5664 * CHOOSE(CONTROL!$C$22, $C$13, 100%, $E$13)</f>
        <v>20.566400000000002</v>
      </c>
      <c r="H1044" s="64">
        <f>34.032* CHOOSE(CONTROL!$C$22, $C$13, 100%, $E$13)</f>
        <v>34.031999999999996</v>
      </c>
      <c r="I1044" s="64">
        <f>34.0477 * CHOOSE(CONTROL!$C$22, $C$13, 100%, $E$13)</f>
        <v>34.047699999999999</v>
      </c>
      <c r="J1044" s="64">
        <f>20.5507 * CHOOSE(CONTROL!$C$22, $C$13, 100%, $E$13)</f>
        <v>20.550699999999999</v>
      </c>
      <c r="K1044" s="64">
        <f>20.5664 * CHOOSE(CONTROL!$C$22, $C$13, 100%, $E$13)</f>
        <v>20.566400000000002</v>
      </c>
    </row>
    <row r="1045" spans="1:11" ht="15">
      <c r="A1045" s="13">
        <v>73294</v>
      </c>
      <c r="B1045" s="63">
        <f>18.3681 * CHOOSE(CONTROL!$C$22, $C$13, 100%, $E$13)</f>
        <v>18.368099999999998</v>
      </c>
      <c r="C1045" s="63">
        <f>18.3681 * CHOOSE(CONTROL!$C$22, $C$13, 100%, $E$13)</f>
        <v>18.368099999999998</v>
      </c>
      <c r="D1045" s="63">
        <f>18.3811 * CHOOSE(CONTROL!$C$22, $C$13, 100%, $E$13)</f>
        <v>18.3811</v>
      </c>
      <c r="E1045" s="64">
        <f>20.5095 * CHOOSE(CONTROL!$C$22, $C$13, 100%, $E$13)</f>
        <v>20.509499999999999</v>
      </c>
      <c r="F1045" s="64">
        <f>20.5095 * CHOOSE(CONTROL!$C$22, $C$13, 100%, $E$13)</f>
        <v>20.509499999999999</v>
      </c>
      <c r="G1045" s="64">
        <f>20.5252 * CHOOSE(CONTROL!$C$22, $C$13, 100%, $E$13)</f>
        <v>20.525200000000002</v>
      </c>
      <c r="H1045" s="64">
        <f>34.1029* CHOOSE(CONTROL!$C$22, $C$13, 100%, $E$13)</f>
        <v>34.102899999999998</v>
      </c>
      <c r="I1045" s="64">
        <f>34.1186 * CHOOSE(CONTROL!$C$22, $C$13, 100%, $E$13)</f>
        <v>34.118600000000001</v>
      </c>
      <c r="J1045" s="64">
        <f>20.5095 * CHOOSE(CONTROL!$C$22, $C$13, 100%, $E$13)</f>
        <v>20.509499999999999</v>
      </c>
      <c r="K1045" s="64">
        <f>20.5252 * CHOOSE(CONTROL!$C$22, $C$13, 100%, $E$13)</f>
        <v>20.525200000000002</v>
      </c>
    </row>
    <row r="1046" spans="1:11" ht="15">
      <c r="A1046" s="13">
        <v>73324</v>
      </c>
      <c r="B1046" s="63">
        <f>18.4093 * CHOOSE(CONTROL!$C$22, $C$13, 100%, $E$13)</f>
        <v>18.409300000000002</v>
      </c>
      <c r="C1046" s="63">
        <f>18.4093 * CHOOSE(CONTROL!$C$22, $C$13, 100%, $E$13)</f>
        <v>18.409300000000002</v>
      </c>
      <c r="D1046" s="63">
        <f>18.4093 * CHOOSE(CONTROL!$C$22, $C$13, 100%, $E$13)</f>
        <v>18.409300000000002</v>
      </c>
      <c r="E1046" s="64">
        <f>20.6521 * CHOOSE(CONTROL!$C$22, $C$13, 100%, $E$13)</f>
        <v>20.652100000000001</v>
      </c>
      <c r="F1046" s="64">
        <f>20.6521 * CHOOSE(CONTROL!$C$22, $C$13, 100%, $E$13)</f>
        <v>20.652100000000001</v>
      </c>
      <c r="G1046" s="64">
        <f>20.6522 * CHOOSE(CONTROL!$C$22, $C$13, 100%, $E$13)</f>
        <v>20.652200000000001</v>
      </c>
      <c r="H1046" s="64">
        <f>34.174* CHOOSE(CONTROL!$C$22, $C$13, 100%, $E$13)</f>
        <v>34.173999999999999</v>
      </c>
      <c r="I1046" s="64">
        <f>34.174 * CHOOSE(CONTROL!$C$22, $C$13, 100%, $E$13)</f>
        <v>34.173999999999999</v>
      </c>
      <c r="J1046" s="64">
        <f>20.6521 * CHOOSE(CONTROL!$C$22, $C$13, 100%, $E$13)</f>
        <v>20.652100000000001</v>
      </c>
      <c r="K1046" s="64">
        <f>20.6522 * CHOOSE(CONTROL!$C$22, $C$13, 100%, $E$13)</f>
        <v>20.652200000000001</v>
      </c>
    </row>
    <row r="1047" spans="1:11" ht="15">
      <c r="A1047" s="13">
        <v>73355</v>
      </c>
      <c r="B1047" s="63">
        <f>18.4123 * CHOOSE(CONTROL!$C$22, $C$13, 100%, $E$13)</f>
        <v>18.412299999999998</v>
      </c>
      <c r="C1047" s="63">
        <f>18.4123 * CHOOSE(CONTROL!$C$22, $C$13, 100%, $E$13)</f>
        <v>18.412299999999998</v>
      </c>
      <c r="D1047" s="63">
        <f>18.4123 * CHOOSE(CONTROL!$C$22, $C$13, 100%, $E$13)</f>
        <v>18.412299999999998</v>
      </c>
      <c r="E1047" s="64">
        <f>20.7323 * CHOOSE(CONTROL!$C$22, $C$13, 100%, $E$13)</f>
        <v>20.732299999999999</v>
      </c>
      <c r="F1047" s="64">
        <f>20.7323 * CHOOSE(CONTROL!$C$22, $C$13, 100%, $E$13)</f>
        <v>20.732299999999999</v>
      </c>
      <c r="G1047" s="64">
        <f>20.7323 * CHOOSE(CONTROL!$C$22, $C$13, 100%, $E$13)</f>
        <v>20.732299999999999</v>
      </c>
      <c r="H1047" s="64">
        <f>34.2452* CHOOSE(CONTROL!$C$22, $C$13, 100%, $E$13)</f>
        <v>34.245199999999997</v>
      </c>
      <c r="I1047" s="64">
        <f>34.2452 * CHOOSE(CONTROL!$C$22, $C$13, 100%, $E$13)</f>
        <v>34.245199999999997</v>
      </c>
      <c r="J1047" s="64">
        <f>20.7323 * CHOOSE(CONTROL!$C$22, $C$13, 100%, $E$13)</f>
        <v>20.732299999999999</v>
      </c>
      <c r="K1047" s="64">
        <f>20.7323 * CHOOSE(CONTROL!$C$22, $C$13, 100%, $E$13)</f>
        <v>20.732299999999999</v>
      </c>
    </row>
    <row r="1048" spans="1:11" ht="15">
      <c r="A1048" s="13">
        <v>73385</v>
      </c>
      <c r="B1048" s="63">
        <f>18.4123 * CHOOSE(CONTROL!$C$22, $C$13, 100%, $E$13)</f>
        <v>18.412299999999998</v>
      </c>
      <c r="C1048" s="63">
        <f>18.4123 * CHOOSE(CONTROL!$C$22, $C$13, 100%, $E$13)</f>
        <v>18.412299999999998</v>
      </c>
      <c r="D1048" s="63">
        <f>18.4123 * CHOOSE(CONTROL!$C$22, $C$13, 100%, $E$13)</f>
        <v>18.412299999999998</v>
      </c>
      <c r="E1048" s="64">
        <f>20.5373 * CHOOSE(CONTROL!$C$22, $C$13, 100%, $E$13)</f>
        <v>20.537299999999998</v>
      </c>
      <c r="F1048" s="64">
        <f>20.5373 * CHOOSE(CONTROL!$C$22, $C$13, 100%, $E$13)</f>
        <v>20.537299999999998</v>
      </c>
      <c r="G1048" s="64">
        <f>20.5373 * CHOOSE(CONTROL!$C$22, $C$13, 100%, $E$13)</f>
        <v>20.537299999999998</v>
      </c>
      <c r="H1048" s="64">
        <f>34.3165* CHOOSE(CONTROL!$C$22, $C$13, 100%, $E$13)</f>
        <v>34.316499999999998</v>
      </c>
      <c r="I1048" s="64">
        <f>34.3166 * CHOOSE(CONTROL!$C$22, $C$13, 100%, $E$13)</f>
        <v>34.316600000000001</v>
      </c>
      <c r="J1048" s="64">
        <f>20.5373 * CHOOSE(CONTROL!$C$22, $C$13, 100%, $E$13)</f>
        <v>20.537299999999998</v>
      </c>
      <c r="K1048" s="64">
        <f>20.5373 * CHOOSE(CONTROL!$C$22, $C$13, 100%, $E$13)</f>
        <v>20.537299999999998</v>
      </c>
    </row>
    <row r="1049" spans="1:11" ht="15">
      <c r="A1049" s="10"/>
      <c r="B1049" s="63"/>
      <c r="C1049" s="63"/>
      <c r="D1049" s="63"/>
      <c r="E1049" s="64"/>
      <c r="F1049" s="64"/>
      <c r="G1049" s="64"/>
      <c r="H1049" s="64"/>
      <c r="I1049" s="64"/>
      <c r="J1049" s="64"/>
      <c r="K1049" s="64"/>
    </row>
    <row r="1050" spans="1:11" ht="15">
      <c r="A1050" s="3">
        <v>2015</v>
      </c>
      <c r="B1050" s="63">
        <f t="shared" ref="B1050:K1050" si="0">AVERAGE(B17:B28)</f>
        <v>2.5009166666666673</v>
      </c>
      <c r="C1050" s="63">
        <f t="shared" si="0"/>
        <v>2.5282416666666667</v>
      </c>
      <c r="D1050" s="63">
        <f t="shared" si="0"/>
        <v>2.5336583333333329</v>
      </c>
      <c r="E1050" s="63">
        <f t="shared" si="0"/>
        <v>3.2090166666666664</v>
      </c>
      <c r="F1050" s="63">
        <f t="shared" si="0"/>
        <v>3.254</v>
      </c>
      <c r="G1050" s="63">
        <f t="shared" si="0"/>
        <v>3.2606000000000002</v>
      </c>
      <c r="H1050" s="63">
        <f t="shared" si="0"/>
        <v>5.4149000000000003</v>
      </c>
      <c r="I1050" s="63">
        <f t="shared" si="0"/>
        <v>5.4214833333333337</v>
      </c>
      <c r="J1050" s="63">
        <f t="shared" si="0"/>
        <v>3.2090166666666664</v>
      </c>
      <c r="K1050" s="63">
        <f t="shared" si="0"/>
        <v>3.2156000000000002</v>
      </c>
    </row>
    <row r="1051" spans="1:11" ht="15">
      <c r="A1051" s="3">
        <v>2016</v>
      </c>
      <c r="B1051" s="63">
        <f t="shared" ref="B1051:K1051" si="1">AVERAGE(B29:B40)</f>
        <v>2.8711249999999997</v>
      </c>
      <c r="C1051" s="63">
        <f t="shared" si="1"/>
        <v>2.8711249999999997</v>
      </c>
      <c r="D1051" s="63">
        <f t="shared" si="1"/>
        <v>2.8765333333333332</v>
      </c>
      <c r="E1051" s="63">
        <f t="shared" si="1"/>
        <v>3.3873333333333338</v>
      </c>
      <c r="F1051" s="63">
        <f t="shared" si="1"/>
        <v>3.4460000000000002</v>
      </c>
      <c r="G1051" s="63">
        <f t="shared" si="1"/>
        <v>3.4526000000000003</v>
      </c>
      <c r="H1051" s="63">
        <f t="shared" si="1"/>
        <v>5.551825</v>
      </c>
      <c r="I1051" s="63">
        <f t="shared" si="1"/>
        <v>5.5584166666666661</v>
      </c>
      <c r="J1051" s="63">
        <f t="shared" si="1"/>
        <v>3.3873333333333338</v>
      </c>
      <c r="K1051" s="63">
        <f t="shared" si="1"/>
        <v>3.393933333333333</v>
      </c>
    </row>
    <row r="1052" spans="1:11" ht="15">
      <c r="A1052" s="3">
        <v>2017</v>
      </c>
      <c r="B1052" s="63">
        <f t="shared" ref="B1052:K1052" si="2">AVERAGE(B41:B52)</f>
        <v>3.0028000000000001</v>
      </c>
      <c r="C1052" s="63">
        <f t="shared" si="2"/>
        <v>3.0028000000000001</v>
      </c>
      <c r="D1052" s="63">
        <f t="shared" si="2"/>
        <v>3.0082166666666663</v>
      </c>
      <c r="E1052" s="63">
        <f t="shared" si="2"/>
        <v>3.5879916666666669</v>
      </c>
      <c r="F1052" s="63">
        <f t="shared" si="2"/>
        <v>3.5879916666666669</v>
      </c>
      <c r="G1052" s="63">
        <f t="shared" si="2"/>
        <v>3.5945666666666671</v>
      </c>
      <c r="H1052" s="63">
        <f t="shared" si="2"/>
        <v>5.6922249999999996</v>
      </c>
      <c r="I1052" s="63">
        <f t="shared" si="2"/>
        <v>5.6988083333333348</v>
      </c>
      <c r="J1052" s="63">
        <f t="shared" si="2"/>
        <v>3.5879916666666669</v>
      </c>
      <c r="K1052" s="63">
        <f t="shared" si="2"/>
        <v>3.5945666666666671</v>
      </c>
    </row>
    <row r="1053" spans="1:11" ht="15">
      <c r="A1053" s="3">
        <v>2018</v>
      </c>
      <c r="B1053" s="63">
        <f t="shared" ref="B1053:K1053" si="3">AVERAGE(B53:B64)</f>
        <v>3.1109000000000004</v>
      </c>
      <c r="C1053" s="63">
        <f t="shared" si="3"/>
        <v>3.1109000000000004</v>
      </c>
      <c r="D1053" s="63">
        <f t="shared" si="3"/>
        <v>3.116308333333333</v>
      </c>
      <c r="E1053" s="63">
        <f t="shared" si="3"/>
        <v>3.7429000000000006</v>
      </c>
      <c r="F1053" s="63">
        <f t="shared" si="3"/>
        <v>3.7429000000000006</v>
      </c>
      <c r="G1053" s="63">
        <f t="shared" si="3"/>
        <v>3.7494666666666672</v>
      </c>
      <c r="H1053" s="63">
        <f t="shared" si="3"/>
        <v>5.8361749999999999</v>
      </c>
      <c r="I1053" s="63">
        <f t="shared" si="3"/>
        <v>5.8427499999999997</v>
      </c>
      <c r="J1053" s="63">
        <f t="shared" si="3"/>
        <v>3.7429000000000006</v>
      </c>
      <c r="K1053" s="63">
        <f t="shared" si="3"/>
        <v>3.7494666666666672</v>
      </c>
    </row>
    <row r="1054" spans="1:11" ht="15">
      <c r="A1054" s="3">
        <v>2019</v>
      </c>
      <c r="B1054" s="63">
        <f t="shared" ref="B1054:K1054" si="4">AVERAGE(B65:B76)</f>
        <v>3.1375166666666665</v>
      </c>
      <c r="C1054" s="63">
        <f t="shared" si="4"/>
        <v>3.1375166666666665</v>
      </c>
      <c r="D1054" s="63">
        <f t="shared" si="4"/>
        <v>3.1429083333333332</v>
      </c>
      <c r="E1054" s="63">
        <f t="shared" si="4"/>
        <v>3.8573833333333334</v>
      </c>
      <c r="F1054" s="63">
        <f t="shared" si="4"/>
        <v>3.8573833333333334</v>
      </c>
      <c r="G1054" s="63">
        <f t="shared" si="4"/>
        <v>3.8639749999999999</v>
      </c>
      <c r="H1054" s="63">
        <f t="shared" si="4"/>
        <v>5.9837666666666669</v>
      </c>
      <c r="I1054" s="63">
        <f t="shared" si="4"/>
        <v>5.9903416666666667</v>
      </c>
      <c r="J1054" s="63">
        <f t="shared" si="4"/>
        <v>3.8573833333333334</v>
      </c>
      <c r="K1054" s="63">
        <f t="shared" si="4"/>
        <v>3.8639749999999999</v>
      </c>
    </row>
    <row r="1055" spans="1:11" ht="15">
      <c r="A1055" s="3">
        <v>2020</v>
      </c>
      <c r="B1055" s="63">
        <f t="shared" ref="B1055:K1055" si="5">AVERAGE(B77:B88)</f>
        <v>3.1985999999999994</v>
      </c>
      <c r="C1055" s="63">
        <f t="shared" si="5"/>
        <v>3.1985999999999994</v>
      </c>
      <c r="D1055" s="63">
        <f t="shared" si="5"/>
        <v>3.2040166666666665</v>
      </c>
      <c r="E1055" s="63">
        <f t="shared" si="5"/>
        <v>3.7282833333333336</v>
      </c>
      <c r="F1055" s="63">
        <f t="shared" si="5"/>
        <v>3.7282833333333336</v>
      </c>
      <c r="G1055" s="63">
        <f t="shared" si="5"/>
        <v>3.7348583333333334</v>
      </c>
      <c r="H1055" s="63">
        <f t="shared" si="5"/>
        <v>6.1350750000000005</v>
      </c>
      <c r="I1055" s="63">
        <f t="shared" si="5"/>
        <v>6.1416666666666684</v>
      </c>
      <c r="J1055" s="63">
        <f t="shared" si="5"/>
        <v>3.7282833333333336</v>
      </c>
      <c r="K1055" s="63">
        <f t="shared" si="5"/>
        <v>3.7348583333333334</v>
      </c>
    </row>
    <row r="1056" spans="1:11" ht="15">
      <c r="A1056" s="3">
        <v>2021</v>
      </c>
      <c r="B1056" s="63">
        <f t="shared" ref="B1056:K1056" si="6">AVERAGE(B89:B100)</f>
        <v>3.2682833333333332</v>
      </c>
      <c r="C1056" s="63">
        <f t="shared" si="6"/>
        <v>3.2682833333333332</v>
      </c>
      <c r="D1056" s="63">
        <f t="shared" si="6"/>
        <v>3.2736833333333339</v>
      </c>
      <c r="E1056" s="63">
        <f t="shared" si="6"/>
        <v>3.7707666666666668</v>
      </c>
      <c r="F1056" s="63">
        <f t="shared" si="6"/>
        <v>3.7707666666666668</v>
      </c>
      <c r="G1056" s="63">
        <f t="shared" si="6"/>
        <v>3.7773500000000002</v>
      </c>
      <c r="H1056" s="63">
        <f t="shared" si="6"/>
        <v>6.2902333333333331</v>
      </c>
      <c r="I1056" s="63">
        <f t="shared" si="6"/>
        <v>6.2968083333333347</v>
      </c>
      <c r="J1056" s="63">
        <f t="shared" si="6"/>
        <v>3.7707666666666668</v>
      </c>
      <c r="K1056" s="63">
        <f t="shared" si="6"/>
        <v>3.7773500000000002</v>
      </c>
    </row>
    <row r="1057" spans="1:11" ht="15">
      <c r="A1057" s="3">
        <v>2022</v>
      </c>
      <c r="B1057" s="63">
        <f t="shared" ref="B1057:K1057" si="7">AVERAGE(B101:B112)</f>
        <v>3.3391416666666669</v>
      </c>
      <c r="C1057" s="63">
        <f t="shared" si="7"/>
        <v>3.3391416666666669</v>
      </c>
      <c r="D1057" s="63">
        <f t="shared" si="7"/>
        <v>3.3445500000000004</v>
      </c>
      <c r="E1057" s="63">
        <f t="shared" si="7"/>
        <v>3.944116666666666</v>
      </c>
      <c r="F1057" s="63">
        <f t="shared" si="7"/>
        <v>3.944116666666666</v>
      </c>
      <c r="G1057" s="63">
        <f t="shared" si="7"/>
        <v>3.9507166666666671</v>
      </c>
      <c r="H1057" s="63">
        <f t="shared" si="7"/>
        <v>6.4492916666666664</v>
      </c>
      <c r="I1057" s="63">
        <f t="shared" si="7"/>
        <v>6.4558833333333334</v>
      </c>
      <c r="J1057" s="63">
        <f t="shared" si="7"/>
        <v>3.944116666666666</v>
      </c>
      <c r="K1057" s="63">
        <f t="shared" si="7"/>
        <v>3.9507166666666671</v>
      </c>
    </row>
    <row r="1058" spans="1:11" ht="15">
      <c r="A1058" s="3">
        <v>2023</v>
      </c>
      <c r="B1058" s="63">
        <f t="shared" ref="B1058:K1058" si="8">AVERAGE(B113:B124)</f>
        <v>3.4119833333333336</v>
      </c>
      <c r="C1058" s="63">
        <f t="shared" si="8"/>
        <v>3.4119833333333336</v>
      </c>
      <c r="D1058" s="63">
        <f t="shared" si="8"/>
        <v>3.4174000000000007</v>
      </c>
      <c r="E1058" s="63">
        <f t="shared" si="8"/>
        <v>4.0709833333333334</v>
      </c>
      <c r="F1058" s="63">
        <f t="shared" si="8"/>
        <v>4.0709833333333334</v>
      </c>
      <c r="G1058" s="63">
        <f t="shared" si="8"/>
        <v>4.0775750000000004</v>
      </c>
      <c r="H1058" s="63">
        <f t="shared" si="8"/>
        <v>6.6123833333333337</v>
      </c>
      <c r="I1058" s="63">
        <f t="shared" si="8"/>
        <v>6.6189666666666662</v>
      </c>
      <c r="J1058" s="63">
        <f t="shared" si="8"/>
        <v>4.0709833333333334</v>
      </c>
      <c r="K1058" s="63">
        <f t="shared" si="8"/>
        <v>4.0775750000000004</v>
      </c>
    </row>
    <row r="1059" spans="1:11" ht="15">
      <c r="A1059" s="3">
        <v>2024</v>
      </c>
      <c r="B1059" s="63">
        <f t="shared" ref="B1059:K1059" si="9">AVERAGE(B125:B136)</f>
        <v>3.4898833333333328</v>
      </c>
      <c r="C1059" s="63">
        <f t="shared" si="9"/>
        <v>3.4898833333333328</v>
      </c>
      <c r="D1059" s="63">
        <f t="shared" si="9"/>
        <v>3.4953000000000003</v>
      </c>
      <c r="E1059" s="63">
        <f t="shared" si="9"/>
        <v>4.1558083333333329</v>
      </c>
      <c r="F1059" s="63">
        <f t="shared" si="9"/>
        <v>4.1558083333333329</v>
      </c>
      <c r="G1059" s="63">
        <f t="shared" si="9"/>
        <v>4.1623749999999999</v>
      </c>
      <c r="H1059" s="63">
        <f t="shared" si="9"/>
        <v>6.779608333333333</v>
      </c>
      <c r="I1059" s="63">
        <f t="shared" si="9"/>
        <v>6.7862</v>
      </c>
      <c r="J1059" s="63">
        <f t="shared" si="9"/>
        <v>4.1558083333333329</v>
      </c>
      <c r="K1059" s="63">
        <f t="shared" si="9"/>
        <v>4.1623749999999999</v>
      </c>
    </row>
    <row r="1060" spans="1:11" ht="15">
      <c r="A1060" s="3">
        <v>2025</v>
      </c>
      <c r="B1060" s="63">
        <f t="shared" ref="B1060:K1060" si="10">AVERAGE(B137:B148)</f>
        <v>3.5713666666666675</v>
      </c>
      <c r="C1060" s="63">
        <f t="shared" si="10"/>
        <v>3.5713666666666675</v>
      </c>
      <c r="D1060" s="63">
        <f t="shared" si="10"/>
        <v>3.5767833333333336</v>
      </c>
      <c r="E1060" s="63">
        <f t="shared" si="10"/>
        <v>4.2415750000000001</v>
      </c>
      <c r="F1060" s="63">
        <f t="shared" si="10"/>
        <v>4.2415750000000001</v>
      </c>
      <c r="G1060" s="63">
        <f t="shared" si="10"/>
        <v>4.2481666666666671</v>
      </c>
      <c r="H1060" s="63">
        <f t="shared" si="10"/>
        <v>6.9510499999999995</v>
      </c>
      <c r="I1060" s="63">
        <f t="shared" si="10"/>
        <v>6.9576416666666674</v>
      </c>
      <c r="J1060" s="63">
        <f t="shared" si="10"/>
        <v>4.2415750000000001</v>
      </c>
      <c r="K1060" s="63">
        <f t="shared" si="10"/>
        <v>4.2481666666666671</v>
      </c>
    </row>
    <row r="1061" spans="1:11" ht="15">
      <c r="A1061" s="3">
        <v>2026</v>
      </c>
      <c r="B1061" s="63">
        <f t="shared" ref="B1061:K1061" si="11">AVERAGE(B149:B160)</f>
        <v>3.6529916666666669</v>
      </c>
      <c r="C1061" s="63">
        <f t="shared" si="11"/>
        <v>3.6529916666666669</v>
      </c>
      <c r="D1061" s="63">
        <f t="shared" si="11"/>
        <v>3.6584166666666658</v>
      </c>
      <c r="E1061" s="63">
        <f t="shared" si="11"/>
        <v>4.3426083333333336</v>
      </c>
      <c r="F1061" s="63">
        <f t="shared" si="11"/>
        <v>4.3426083333333336</v>
      </c>
      <c r="G1061" s="63">
        <f t="shared" si="11"/>
        <v>4.349191666666667</v>
      </c>
      <c r="H1061" s="63">
        <f t="shared" si="11"/>
        <v>7.1268249999999993</v>
      </c>
      <c r="I1061" s="63">
        <f t="shared" si="11"/>
        <v>7.1334083333333327</v>
      </c>
      <c r="J1061" s="63">
        <f t="shared" si="11"/>
        <v>4.3426083333333336</v>
      </c>
      <c r="K1061" s="63">
        <f t="shared" si="11"/>
        <v>4.349191666666667</v>
      </c>
    </row>
    <row r="1062" spans="1:11" ht="15">
      <c r="A1062" s="3">
        <v>2027</v>
      </c>
      <c r="B1062" s="63">
        <f t="shared" ref="B1062:K1062" si="12">AVERAGE(B161:B172)</f>
        <v>3.7325916666666674</v>
      </c>
      <c r="C1062" s="63">
        <f t="shared" si="12"/>
        <v>3.7325916666666674</v>
      </c>
      <c r="D1062" s="63">
        <f t="shared" si="12"/>
        <v>3.7379916666666673</v>
      </c>
      <c r="E1062" s="63">
        <f t="shared" si="12"/>
        <v>4.4449999999999994</v>
      </c>
      <c r="F1062" s="63">
        <f t="shared" si="12"/>
        <v>4.4449999999999994</v>
      </c>
      <c r="G1062" s="63">
        <f t="shared" si="12"/>
        <v>4.4515916666666673</v>
      </c>
      <c r="H1062" s="63">
        <f t="shared" si="12"/>
        <v>7.3070666666666684</v>
      </c>
      <c r="I1062" s="63">
        <f t="shared" si="12"/>
        <v>7.3136499999999982</v>
      </c>
      <c r="J1062" s="63">
        <f t="shared" si="12"/>
        <v>4.4449999999999994</v>
      </c>
      <c r="K1062" s="63">
        <f t="shared" si="12"/>
        <v>4.4515916666666673</v>
      </c>
    </row>
    <row r="1063" spans="1:11" ht="15">
      <c r="A1063" s="3">
        <v>2028</v>
      </c>
      <c r="B1063" s="63">
        <f t="shared" ref="B1063:K1063" si="13">AVERAGE(B173:B184)</f>
        <v>3.8206500000000001</v>
      </c>
      <c r="C1063" s="63">
        <f t="shared" si="13"/>
        <v>3.8206500000000001</v>
      </c>
      <c r="D1063" s="63">
        <f t="shared" si="13"/>
        <v>3.8260583333333327</v>
      </c>
      <c r="E1063" s="63">
        <f t="shared" si="13"/>
        <v>4.5496749999999997</v>
      </c>
      <c r="F1063" s="63">
        <f t="shared" si="13"/>
        <v>4.5496749999999997</v>
      </c>
      <c r="G1063" s="63">
        <f t="shared" si="13"/>
        <v>4.5562750000000003</v>
      </c>
      <c r="H1063" s="63">
        <f t="shared" si="13"/>
        <v>7.4918499999999995</v>
      </c>
      <c r="I1063" s="63">
        <f t="shared" si="13"/>
        <v>7.4984333333333337</v>
      </c>
      <c r="J1063" s="63">
        <f t="shared" si="13"/>
        <v>4.5496749999999997</v>
      </c>
      <c r="K1063" s="63">
        <f t="shared" si="13"/>
        <v>4.5562750000000003</v>
      </c>
    </row>
    <row r="1064" spans="1:11" ht="15">
      <c r="A1064" s="3">
        <v>2029</v>
      </c>
      <c r="B1064" s="63">
        <f t="shared" ref="B1064:K1064" si="14">AVERAGE(B185:B196)</f>
        <v>3.9070166666666659</v>
      </c>
      <c r="C1064" s="63">
        <f t="shared" si="14"/>
        <v>3.9070166666666659</v>
      </c>
      <c r="D1064" s="63">
        <f t="shared" si="14"/>
        <v>3.9124249999999994</v>
      </c>
      <c r="E1064" s="63">
        <f t="shared" si="14"/>
        <v>4.6572416666666667</v>
      </c>
      <c r="F1064" s="63">
        <f t="shared" si="14"/>
        <v>4.6572416666666667</v>
      </c>
      <c r="G1064" s="63">
        <f t="shared" si="14"/>
        <v>4.6638333333333337</v>
      </c>
      <c r="H1064" s="63">
        <f t="shared" si="14"/>
        <v>7.681308333333333</v>
      </c>
      <c r="I1064" s="63">
        <f t="shared" si="14"/>
        <v>7.6878833333333345</v>
      </c>
      <c r="J1064" s="63">
        <f t="shared" si="14"/>
        <v>4.6572416666666667</v>
      </c>
      <c r="K1064" s="63">
        <f t="shared" si="14"/>
        <v>4.6638333333333337</v>
      </c>
    </row>
    <row r="1065" spans="1:11" ht="15">
      <c r="A1065" s="3">
        <v>2030</v>
      </c>
      <c r="B1065" s="63">
        <f t="shared" ref="B1065:K1065" si="15">AVERAGE(B197:B208)</f>
        <v>3.998324999999999</v>
      </c>
      <c r="C1065" s="63">
        <f t="shared" si="15"/>
        <v>3.998324999999999</v>
      </c>
      <c r="D1065" s="63">
        <f t="shared" si="15"/>
        <v>4.0037416666666656</v>
      </c>
      <c r="E1065" s="63">
        <f t="shared" si="15"/>
        <v>4.7692916666666667</v>
      </c>
      <c r="F1065" s="63">
        <f t="shared" si="15"/>
        <v>4.7692916666666667</v>
      </c>
      <c r="G1065" s="63">
        <f t="shared" si="15"/>
        <v>4.7758750000000001</v>
      </c>
      <c r="H1065" s="63">
        <f t="shared" si="15"/>
        <v>7.8755499999999996</v>
      </c>
      <c r="I1065" s="63">
        <f t="shared" si="15"/>
        <v>7.8821333333333321</v>
      </c>
      <c r="J1065" s="63">
        <f t="shared" si="15"/>
        <v>4.7692916666666667</v>
      </c>
      <c r="K1065" s="63">
        <f t="shared" si="15"/>
        <v>4.7758750000000001</v>
      </c>
    </row>
    <row r="1066" spans="1:11" ht="15">
      <c r="A1066" s="3">
        <v>2031</v>
      </c>
      <c r="B1066" s="63">
        <f t="shared" ref="B1066:K1066" si="16">AVERAGE(B209:B220)</f>
        <v>4.0933833333333327</v>
      </c>
      <c r="C1066" s="63">
        <f t="shared" si="16"/>
        <v>4.0933833333333327</v>
      </c>
      <c r="D1066" s="63">
        <f t="shared" si="16"/>
        <v>4.0987833333333334</v>
      </c>
      <c r="E1066" s="63">
        <f t="shared" si="16"/>
        <v>4.915375</v>
      </c>
      <c r="F1066" s="63">
        <f t="shared" si="16"/>
        <v>4.915375</v>
      </c>
      <c r="G1066" s="63">
        <f t="shared" si="16"/>
        <v>4.9219499999999998</v>
      </c>
      <c r="H1066" s="63">
        <f t="shared" si="16"/>
        <v>8.0747083333333336</v>
      </c>
      <c r="I1066" s="63">
        <f t="shared" si="16"/>
        <v>8.081291666666667</v>
      </c>
      <c r="J1066" s="63">
        <f t="shared" si="16"/>
        <v>4.915375</v>
      </c>
      <c r="K1066" s="63">
        <f t="shared" si="16"/>
        <v>4.9219499999999998</v>
      </c>
    </row>
    <row r="1067" spans="1:11" ht="15">
      <c r="A1067" s="3">
        <v>2032</v>
      </c>
      <c r="B1067" s="63">
        <f t="shared" ref="B1067:K1067" si="17">AVERAGE(B221:B232)</f>
        <v>4.1982249999999999</v>
      </c>
      <c r="C1067" s="63">
        <f t="shared" si="17"/>
        <v>4.1982249999999999</v>
      </c>
      <c r="D1067" s="63">
        <f t="shared" si="17"/>
        <v>4.2036250000000006</v>
      </c>
      <c r="E1067" s="63">
        <f t="shared" si="17"/>
        <v>5.0666166666666665</v>
      </c>
      <c r="F1067" s="63">
        <f t="shared" si="17"/>
        <v>5.0666166666666665</v>
      </c>
      <c r="G1067" s="63">
        <f t="shared" si="17"/>
        <v>5.0731833333333336</v>
      </c>
      <c r="H1067" s="63">
        <f t="shared" si="17"/>
        <v>8.278908333333332</v>
      </c>
      <c r="I1067" s="63">
        <f t="shared" si="17"/>
        <v>8.2855083333333326</v>
      </c>
      <c r="J1067" s="63">
        <f t="shared" si="17"/>
        <v>5.0666166666666665</v>
      </c>
      <c r="K1067" s="63">
        <f t="shared" si="17"/>
        <v>5.0731833333333336</v>
      </c>
    </row>
    <row r="1068" spans="1:11" ht="15">
      <c r="A1068" s="3">
        <v>2033</v>
      </c>
      <c r="B1068" s="63">
        <f t="shared" ref="B1068:K1068" si="18">AVERAGE(B233:B244)</f>
        <v>4.3121749999999999</v>
      </c>
      <c r="C1068" s="63">
        <f t="shared" si="18"/>
        <v>4.3121749999999999</v>
      </c>
      <c r="D1068" s="63">
        <f t="shared" si="18"/>
        <v>4.3175833333333342</v>
      </c>
      <c r="E1068" s="63">
        <f t="shared" si="18"/>
        <v>5.2221833333333327</v>
      </c>
      <c r="F1068" s="63">
        <f t="shared" si="18"/>
        <v>5.2221833333333327</v>
      </c>
      <c r="G1068" s="63">
        <f t="shared" si="18"/>
        <v>5.2287583333333343</v>
      </c>
      <c r="H1068" s="63">
        <f t="shared" si="18"/>
        <v>8.4882583333333343</v>
      </c>
      <c r="I1068" s="63">
        <f t="shared" si="18"/>
        <v>8.4948500000000013</v>
      </c>
      <c r="J1068" s="63">
        <f t="shared" si="18"/>
        <v>5.2221833333333327</v>
      </c>
      <c r="K1068" s="63">
        <f t="shared" si="18"/>
        <v>5.2287583333333343</v>
      </c>
    </row>
    <row r="1069" spans="1:11" ht="15">
      <c r="A1069" s="3">
        <v>2034</v>
      </c>
      <c r="B1069" s="63">
        <f t="shared" ref="B1069:K1069" si="19">AVERAGE(B245:B256)</f>
        <v>4.4314749999999998</v>
      </c>
      <c r="C1069" s="63">
        <f t="shared" si="19"/>
        <v>4.4314749999999998</v>
      </c>
      <c r="D1069" s="63">
        <f t="shared" si="19"/>
        <v>4.4368749999999997</v>
      </c>
      <c r="E1069" s="63">
        <f t="shared" si="19"/>
        <v>5.3829916666666664</v>
      </c>
      <c r="F1069" s="63">
        <f t="shared" si="19"/>
        <v>5.3829916666666664</v>
      </c>
      <c r="G1069" s="63">
        <f t="shared" si="19"/>
        <v>5.3895583333333335</v>
      </c>
      <c r="H1069" s="63">
        <f t="shared" si="19"/>
        <v>8.7029333333333323</v>
      </c>
      <c r="I1069" s="63">
        <f t="shared" si="19"/>
        <v>8.7095083333333339</v>
      </c>
      <c r="J1069" s="63">
        <f t="shared" si="19"/>
        <v>5.3829916666666664</v>
      </c>
      <c r="K1069" s="63">
        <f t="shared" si="19"/>
        <v>5.3895583333333335</v>
      </c>
    </row>
    <row r="1070" spans="1:11" ht="15">
      <c r="A1070" s="3">
        <v>2035</v>
      </c>
      <c r="B1070" s="63">
        <f t="shared" ref="B1070:K1070" si="20">AVERAGE(B257:B268)</f>
        <v>4.5522083333333327</v>
      </c>
      <c r="C1070" s="63">
        <f t="shared" si="20"/>
        <v>4.5522083333333327</v>
      </c>
      <c r="D1070" s="63">
        <f t="shared" si="20"/>
        <v>4.5576083333333335</v>
      </c>
      <c r="E1070" s="63">
        <f t="shared" si="20"/>
        <v>5.5499833333333326</v>
      </c>
      <c r="F1070" s="63">
        <f t="shared" si="20"/>
        <v>5.5499833333333326</v>
      </c>
      <c r="G1070" s="63">
        <f t="shared" si="20"/>
        <v>5.5565416666666669</v>
      </c>
      <c r="H1070" s="63">
        <f t="shared" si="20"/>
        <v>8.9230083333333337</v>
      </c>
      <c r="I1070" s="63">
        <f t="shared" si="20"/>
        <v>8.929591666666667</v>
      </c>
      <c r="J1070" s="63">
        <f t="shared" si="20"/>
        <v>5.5499833333333326</v>
      </c>
      <c r="K1070" s="63">
        <f t="shared" si="20"/>
        <v>5.5565416666666669</v>
      </c>
    </row>
    <row r="1071" spans="1:11" ht="15">
      <c r="A1071" s="3">
        <v>2036</v>
      </c>
      <c r="B1071" s="63">
        <f t="shared" ref="B1071:K1071" si="21">AVERAGE(B269:B280)</f>
        <v>4.6735916666666668</v>
      </c>
      <c r="C1071" s="63">
        <f t="shared" si="21"/>
        <v>4.6735916666666668</v>
      </c>
      <c r="D1071" s="63">
        <f t="shared" si="21"/>
        <v>4.6790000000000012</v>
      </c>
      <c r="E1071" s="63">
        <f t="shared" si="21"/>
        <v>5.7116166666666652</v>
      </c>
      <c r="F1071" s="63">
        <f t="shared" si="21"/>
        <v>5.7116166666666652</v>
      </c>
      <c r="G1071" s="63">
        <f t="shared" si="21"/>
        <v>5.7182083333333331</v>
      </c>
      <c r="H1071" s="63">
        <f t="shared" si="21"/>
        <v>9.1486333333333327</v>
      </c>
      <c r="I1071" s="63">
        <f t="shared" si="21"/>
        <v>9.1552333333333333</v>
      </c>
      <c r="J1071" s="63">
        <f t="shared" si="21"/>
        <v>5.7116166666666652</v>
      </c>
      <c r="K1071" s="63">
        <f t="shared" si="21"/>
        <v>5.7182083333333331</v>
      </c>
    </row>
    <row r="1072" spans="1:11" ht="15">
      <c r="A1072" s="3">
        <v>2037</v>
      </c>
      <c r="B1072" s="63">
        <f t="shared" ref="B1072:K1072" si="22">AVERAGE(B281:B292)</f>
        <v>4.7968249999999992</v>
      </c>
      <c r="C1072" s="63">
        <f t="shared" si="22"/>
        <v>4.7968249999999992</v>
      </c>
      <c r="D1072" s="63">
        <f t="shared" si="22"/>
        <v>4.8022166666666672</v>
      </c>
      <c r="E1072" s="63">
        <f t="shared" si="22"/>
        <v>5.8677333333333328</v>
      </c>
      <c r="F1072" s="63">
        <f t="shared" si="22"/>
        <v>5.8677333333333328</v>
      </c>
      <c r="G1072" s="63">
        <f t="shared" si="22"/>
        <v>5.8743166666666662</v>
      </c>
      <c r="H1072" s="63">
        <f t="shared" si="22"/>
        <v>9.3800000000000008</v>
      </c>
      <c r="I1072" s="63">
        <f t="shared" si="22"/>
        <v>9.386591666666666</v>
      </c>
      <c r="J1072" s="63">
        <f t="shared" si="22"/>
        <v>5.8677333333333328</v>
      </c>
      <c r="K1072" s="63">
        <f t="shared" si="22"/>
        <v>5.8743166666666662</v>
      </c>
    </row>
    <row r="1073" spans="1:11" ht="15">
      <c r="A1073" s="3">
        <v>2038</v>
      </c>
      <c r="B1073" s="63">
        <f t="shared" ref="B1073:K1073" si="23">AVERAGE(B293:B304)</f>
        <v>4.9241666666666664</v>
      </c>
      <c r="C1073" s="63">
        <f t="shared" si="23"/>
        <v>4.9241666666666664</v>
      </c>
      <c r="D1073" s="63">
        <f t="shared" si="23"/>
        <v>4.9295749999999989</v>
      </c>
      <c r="E1073" s="63">
        <f t="shared" si="23"/>
        <v>6.0242416666666658</v>
      </c>
      <c r="F1073" s="63">
        <f t="shared" si="23"/>
        <v>6.0242416666666658</v>
      </c>
      <c r="G1073" s="63">
        <f t="shared" si="23"/>
        <v>6.0308249999999992</v>
      </c>
      <c r="H1073" s="63">
        <f t="shared" si="23"/>
        <v>9.6172250000000012</v>
      </c>
      <c r="I1073" s="63">
        <f t="shared" si="23"/>
        <v>9.6238083333333329</v>
      </c>
      <c r="J1073" s="63">
        <f t="shared" si="23"/>
        <v>6.0242416666666658</v>
      </c>
      <c r="K1073" s="63">
        <f t="shared" si="23"/>
        <v>6.0308249999999992</v>
      </c>
    </row>
    <row r="1074" spans="1:11" ht="15">
      <c r="A1074" s="3">
        <v>2039</v>
      </c>
      <c r="B1074" s="63">
        <f t="shared" ref="B1074:K1074" si="24">AVERAGE(B305:B316)</f>
        <v>5.0543916666666666</v>
      </c>
      <c r="C1074" s="63">
        <f t="shared" si="24"/>
        <v>5.0543916666666666</v>
      </c>
      <c r="D1074" s="63">
        <f t="shared" si="24"/>
        <v>5.0597916666666665</v>
      </c>
      <c r="E1074" s="63">
        <f t="shared" si="24"/>
        <v>6.1721166666666667</v>
      </c>
      <c r="F1074" s="63">
        <f t="shared" si="24"/>
        <v>6.1721166666666667</v>
      </c>
      <c r="G1074" s="63">
        <f t="shared" si="24"/>
        <v>6.1786916666666665</v>
      </c>
      <c r="H1074" s="63">
        <f t="shared" si="24"/>
        <v>9.8604250000000011</v>
      </c>
      <c r="I1074" s="63">
        <f t="shared" si="24"/>
        <v>9.8670000000000009</v>
      </c>
      <c r="J1074" s="63">
        <f t="shared" si="24"/>
        <v>6.1721166666666667</v>
      </c>
      <c r="K1074" s="63">
        <f t="shared" si="24"/>
        <v>6.1786916666666665</v>
      </c>
    </row>
    <row r="1075" spans="1:11" ht="15">
      <c r="A1075" s="3">
        <v>2040</v>
      </c>
      <c r="B1075" s="63">
        <f t="shared" ref="B1075:K1075" si="25">AVERAGE(B317:B328)</f>
        <v>5.1875999999999998</v>
      </c>
      <c r="C1075" s="63">
        <f t="shared" si="25"/>
        <v>5.1875999999999998</v>
      </c>
      <c r="D1075" s="63">
        <f t="shared" si="25"/>
        <v>5.1930083333333341</v>
      </c>
      <c r="E1075" s="63">
        <f t="shared" si="25"/>
        <v>6.3228333333333326</v>
      </c>
      <c r="F1075" s="63">
        <f t="shared" si="25"/>
        <v>6.3228333333333326</v>
      </c>
      <c r="G1075" s="63">
        <f t="shared" si="25"/>
        <v>6.3294250000000005</v>
      </c>
      <c r="H1075" s="63">
        <f t="shared" si="25"/>
        <v>10.109775000000001</v>
      </c>
      <c r="I1075" s="63">
        <f t="shared" si="25"/>
        <v>10.116349999999999</v>
      </c>
      <c r="J1075" s="63">
        <f t="shared" si="25"/>
        <v>6.3228333333333326</v>
      </c>
      <c r="K1075" s="63">
        <f t="shared" si="25"/>
        <v>6.3294250000000005</v>
      </c>
    </row>
    <row r="1076" spans="1:11" ht="15">
      <c r="A1076" s="3">
        <v>2041</v>
      </c>
      <c r="B1076" s="63">
        <f t="shared" ref="B1076:K1076" si="26">AVERAGE(B329:B340)</f>
        <v>5.324349999999999</v>
      </c>
      <c r="C1076" s="63">
        <f t="shared" si="26"/>
        <v>5.324349999999999</v>
      </c>
      <c r="D1076" s="63">
        <f t="shared" si="26"/>
        <v>5.3297416666666662</v>
      </c>
      <c r="E1076" s="63">
        <f t="shared" si="26"/>
        <v>6.4772500000000006</v>
      </c>
      <c r="F1076" s="63">
        <f t="shared" si="26"/>
        <v>6.4772500000000006</v>
      </c>
      <c r="G1076" s="63">
        <f t="shared" si="26"/>
        <v>6.4838416666666667</v>
      </c>
      <c r="H1076" s="63">
        <f t="shared" si="26"/>
        <v>10.365450000000001</v>
      </c>
      <c r="I1076" s="63">
        <f t="shared" si="26"/>
        <v>10.372016666666665</v>
      </c>
      <c r="J1076" s="63">
        <f t="shared" si="26"/>
        <v>6.4772500000000006</v>
      </c>
      <c r="K1076" s="63">
        <f t="shared" si="26"/>
        <v>6.4838416666666667</v>
      </c>
    </row>
    <row r="1077" spans="1:11" ht="15">
      <c r="A1077" s="3">
        <v>2042</v>
      </c>
      <c r="B1077" s="63">
        <f t="shared" ref="B1077:K1077" si="27">AVERAGE(B341:B352)</f>
        <v>5.4647166666666651</v>
      </c>
      <c r="C1077" s="63">
        <f t="shared" si="27"/>
        <v>5.4647166666666651</v>
      </c>
      <c r="D1077" s="63">
        <f t="shared" si="27"/>
        <v>5.4701249999999995</v>
      </c>
      <c r="E1077" s="63">
        <f t="shared" si="27"/>
        <v>6.6354583333333323</v>
      </c>
      <c r="F1077" s="63">
        <f t="shared" si="27"/>
        <v>6.6354583333333323</v>
      </c>
      <c r="G1077" s="63">
        <f t="shared" si="27"/>
        <v>6.6420500000000002</v>
      </c>
      <c r="H1077" s="63">
        <f t="shared" si="27"/>
        <v>10.627558333333333</v>
      </c>
      <c r="I1077" s="63">
        <f t="shared" si="27"/>
        <v>10.634133333333335</v>
      </c>
      <c r="J1077" s="63">
        <f t="shared" si="27"/>
        <v>6.6354583333333323</v>
      </c>
      <c r="K1077" s="63">
        <f t="shared" si="27"/>
        <v>6.6420500000000002</v>
      </c>
    </row>
    <row r="1078" spans="1:11" ht="15">
      <c r="A1078" s="3">
        <v>2043</v>
      </c>
      <c r="B1078" s="63">
        <f t="shared" ref="B1078:K1078" si="28">AVERAGE(B353:B364)</f>
        <v>5.6088500000000003</v>
      </c>
      <c r="C1078" s="63">
        <f t="shared" si="28"/>
        <v>5.6088500000000003</v>
      </c>
      <c r="D1078" s="63">
        <f t="shared" si="28"/>
        <v>5.6142499999999993</v>
      </c>
      <c r="E1078" s="63">
        <f t="shared" si="28"/>
        <v>6.7975583333333347</v>
      </c>
      <c r="F1078" s="63">
        <f t="shared" si="28"/>
        <v>6.7975583333333347</v>
      </c>
      <c r="G1078" s="63">
        <f t="shared" si="28"/>
        <v>6.8041249999999991</v>
      </c>
      <c r="H1078" s="63">
        <f t="shared" si="28"/>
        <v>10.896333333333331</v>
      </c>
      <c r="I1078" s="63">
        <f t="shared" si="28"/>
        <v>10.902916666666668</v>
      </c>
      <c r="J1078" s="63">
        <f t="shared" si="28"/>
        <v>6.7975583333333347</v>
      </c>
      <c r="K1078" s="63">
        <f t="shared" si="28"/>
        <v>6.8041249999999991</v>
      </c>
    </row>
    <row r="1079" spans="1:11" ht="15">
      <c r="A1079" s="3">
        <v>2044</v>
      </c>
      <c r="B1079" s="63">
        <f t="shared" ref="B1079:K1079" si="29">AVERAGE(B365:B376)</f>
        <v>5.7567750000000011</v>
      </c>
      <c r="C1079" s="63">
        <f t="shared" si="29"/>
        <v>5.7567750000000011</v>
      </c>
      <c r="D1079" s="63">
        <f t="shared" si="29"/>
        <v>5.7621833333333337</v>
      </c>
      <c r="E1079" s="63">
        <f t="shared" si="29"/>
        <v>6.9636083333333332</v>
      </c>
      <c r="F1079" s="63">
        <f t="shared" si="29"/>
        <v>6.9636083333333332</v>
      </c>
      <c r="G1079" s="63">
        <f t="shared" si="29"/>
        <v>6.9701999999999993</v>
      </c>
      <c r="H1079" s="63">
        <f t="shared" si="29"/>
        <v>11.171875</v>
      </c>
      <c r="I1079" s="63">
        <f t="shared" si="29"/>
        <v>11.178441666666666</v>
      </c>
      <c r="J1079" s="63">
        <f t="shared" si="29"/>
        <v>6.9636083333333332</v>
      </c>
      <c r="K1079" s="63">
        <f t="shared" si="29"/>
        <v>6.9701999999999993</v>
      </c>
    </row>
    <row r="1080" spans="1:11" ht="15">
      <c r="A1080" s="3">
        <v>2045</v>
      </c>
      <c r="B1080" s="63">
        <f t="shared" ref="B1080:K1080" si="30">AVERAGE(B377:B388)</f>
        <v>5.9086583333333325</v>
      </c>
      <c r="C1080" s="63">
        <f t="shared" si="30"/>
        <v>5.9086583333333325</v>
      </c>
      <c r="D1080" s="63">
        <f t="shared" si="30"/>
        <v>5.9140583333333332</v>
      </c>
      <c r="E1080" s="63">
        <f t="shared" si="30"/>
        <v>7.13375</v>
      </c>
      <c r="F1080" s="63">
        <f t="shared" si="30"/>
        <v>7.13375</v>
      </c>
      <c r="G1080" s="63">
        <f t="shared" si="30"/>
        <v>7.1403333333333343</v>
      </c>
      <c r="H1080" s="63">
        <f t="shared" si="30"/>
        <v>11.454391666666668</v>
      </c>
      <c r="I1080" s="63">
        <f t="shared" si="30"/>
        <v>11.460966666666666</v>
      </c>
      <c r="J1080" s="63">
        <f t="shared" si="30"/>
        <v>7.13375</v>
      </c>
      <c r="K1080" s="63">
        <f t="shared" si="30"/>
        <v>7.1403333333333343</v>
      </c>
    </row>
    <row r="1081" spans="1:11" ht="15">
      <c r="A1081" s="3">
        <v>2046</v>
      </c>
      <c r="B1081" s="63">
        <f t="shared" ref="B1081:K1081" si="31">AVERAGE(B389:B400)</f>
        <v>6.0645833333333341</v>
      </c>
      <c r="C1081" s="63">
        <f t="shared" si="31"/>
        <v>6.0645833333333341</v>
      </c>
      <c r="D1081" s="63">
        <f t="shared" si="31"/>
        <v>6.070008333333333</v>
      </c>
      <c r="E1081" s="63">
        <f t="shared" si="31"/>
        <v>7.308083333333335</v>
      </c>
      <c r="F1081" s="63">
        <f t="shared" si="31"/>
        <v>7.308083333333335</v>
      </c>
      <c r="G1081" s="63">
        <f t="shared" si="31"/>
        <v>7.3146416666666676</v>
      </c>
      <c r="H1081" s="63">
        <f t="shared" si="31"/>
        <v>11.744066666666667</v>
      </c>
      <c r="I1081" s="63">
        <f t="shared" si="31"/>
        <v>11.750641666666667</v>
      </c>
      <c r="J1081" s="63">
        <f t="shared" si="31"/>
        <v>7.308083333333335</v>
      </c>
      <c r="K1081" s="63">
        <f t="shared" si="31"/>
        <v>7.3146416666666676</v>
      </c>
    </row>
    <row r="1082" spans="1:11" ht="15">
      <c r="A1082" s="3">
        <v>2047</v>
      </c>
      <c r="B1082" s="63">
        <f t="shared" ref="B1082:K1082" si="32">AVERAGE(B401:B412)</f>
        <v>6.2246583333333332</v>
      </c>
      <c r="C1082" s="63">
        <f t="shared" si="32"/>
        <v>6.2246583333333332</v>
      </c>
      <c r="D1082" s="63">
        <f t="shared" si="32"/>
        <v>6.2300750000000003</v>
      </c>
      <c r="E1082" s="63">
        <f t="shared" si="32"/>
        <v>7.4866750000000009</v>
      </c>
      <c r="F1082" s="63">
        <f t="shared" si="32"/>
        <v>7.4866750000000009</v>
      </c>
      <c r="G1082" s="63">
        <f t="shared" si="32"/>
        <v>7.4932333333333334</v>
      </c>
      <c r="H1082" s="63">
        <f t="shared" si="32"/>
        <v>12.041049999999998</v>
      </c>
      <c r="I1082" s="63">
        <f t="shared" si="32"/>
        <v>12.047624999999996</v>
      </c>
      <c r="J1082" s="63">
        <f t="shared" si="32"/>
        <v>7.4866750000000009</v>
      </c>
      <c r="K1082" s="63">
        <f t="shared" si="32"/>
        <v>7.4932333333333334</v>
      </c>
    </row>
    <row r="1083" spans="1:11" ht="15">
      <c r="A1083" s="3">
        <v>2048</v>
      </c>
      <c r="B1083" s="63">
        <f t="shared" ref="B1083:K1083" si="33">AVERAGE(B413:B424)</f>
        <v>6.3890083333333338</v>
      </c>
      <c r="C1083" s="63">
        <f t="shared" si="33"/>
        <v>6.3890083333333338</v>
      </c>
      <c r="D1083" s="63">
        <f t="shared" si="33"/>
        <v>6.3944166666666673</v>
      </c>
      <c r="E1083" s="63">
        <f t="shared" si="33"/>
        <v>7.6696083333333327</v>
      </c>
      <c r="F1083" s="63">
        <f t="shared" si="33"/>
        <v>7.6696083333333327</v>
      </c>
      <c r="G1083" s="63">
        <f t="shared" si="33"/>
        <v>7.6761999999999988</v>
      </c>
      <c r="H1083" s="63">
        <f t="shared" si="33"/>
        <v>12.345541666666668</v>
      </c>
      <c r="I1083" s="63">
        <f t="shared" si="33"/>
        <v>12.352125000000001</v>
      </c>
      <c r="J1083" s="63">
        <f t="shared" si="33"/>
        <v>7.6696083333333327</v>
      </c>
      <c r="K1083" s="63">
        <f t="shared" si="33"/>
        <v>7.6761999999999988</v>
      </c>
    </row>
    <row r="1084" spans="1:11" ht="15">
      <c r="A1084" s="3">
        <v>2049</v>
      </c>
      <c r="B1084" s="63">
        <f t="shared" ref="B1084:K1084" si="34">AVERAGE(B425:B436)</f>
        <v>6.5577333333333323</v>
      </c>
      <c r="C1084" s="63">
        <f t="shared" si="34"/>
        <v>6.5577333333333323</v>
      </c>
      <c r="D1084" s="63">
        <f t="shared" si="34"/>
        <v>6.5631500000000011</v>
      </c>
      <c r="E1084" s="63">
        <f t="shared" si="34"/>
        <v>7.8570916666666655</v>
      </c>
      <c r="F1084" s="63">
        <f t="shared" si="34"/>
        <v>7.8570916666666655</v>
      </c>
      <c r="G1084" s="63">
        <f t="shared" si="34"/>
        <v>7.8636750000000006</v>
      </c>
      <c r="H1084" s="63">
        <f t="shared" si="34"/>
        <v>12.65775</v>
      </c>
      <c r="I1084" s="63">
        <f t="shared" si="34"/>
        <v>12.664308333333333</v>
      </c>
      <c r="J1084" s="63">
        <f t="shared" si="34"/>
        <v>7.8570916666666655</v>
      </c>
      <c r="K1084" s="63">
        <f t="shared" si="34"/>
        <v>7.8636750000000006</v>
      </c>
    </row>
    <row r="1085" spans="1:11" ht="15">
      <c r="A1085" s="3">
        <v>2050</v>
      </c>
      <c r="B1085" s="63">
        <f t="shared" ref="B1085:K1085" si="35">AVERAGE(B437:B448)</f>
        <v>6.7309499999999991</v>
      </c>
      <c r="C1085" s="63">
        <f t="shared" si="35"/>
        <v>6.7309499999999991</v>
      </c>
      <c r="D1085" s="63">
        <f t="shared" si="35"/>
        <v>6.7363666666666662</v>
      </c>
      <c r="E1085" s="63">
        <f t="shared" si="35"/>
        <v>8.0491666666666681</v>
      </c>
      <c r="F1085" s="63">
        <f t="shared" si="35"/>
        <v>8.0491666666666681</v>
      </c>
      <c r="G1085" s="63">
        <f t="shared" si="35"/>
        <v>8.0557416666666661</v>
      </c>
      <c r="H1085" s="63">
        <f t="shared" si="35"/>
        <v>12.977841666666668</v>
      </c>
      <c r="I1085" s="63">
        <f t="shared" si="35"/>
        <v>12.984425000000002</v>
      </c>
      <c r="J1085" s="63">
        <f t="shared" si="35"/>
        <v>8.0491666666666681</v>
      </c>
      <c r="K1085" s="63">
        <f t="shared" si="35"/>
        <v>8.0557416666666661</v>
      </c>
    </row>
    <row r="1086" spans="1:11" ht="15">
      <c r="A1086" s="3">
        <v>2051</v>
      </c>
      <c r="B1086" s="63">
        <f t="shared" ref="B1086:K1086" si="36">AVERAGE(B449:B460)</f>
        <v>6.9087916666666667</v>
      </c>
      <c r="C1086" s="63">
        <f t="shared" si="36"/>
        <v>6.9087916666666667</v>
      </c>
      <c r="D1086" s="63">
        <f t="shared" si="36"/>
        <v>6.9142000000000001</v>
      </c>
      <c r="E1086" s="63">
        <f t="shared" si="36"/>
        <v>8.2459583333333324</v>
      </c>
      <c r="F1086" s="63">
        <f t="shared" si="36"/>
        <v>8.2459583333333324</v>
      </c>
      <c r="G1086" s="63">
        <f t="shared" si="36"/>
        <v>8.2525333333333339</v>
      </c>
      <c r="H1086" s="63">
        <f t="shared" si="36"/>
        <v>13.306033333333334</v>
      </c>
      <c r="I1086" s="63">
        <f t="shared" si="36"/>
        <v>13.312600000000002</v>
      </c>
      <c r="J1086" s="63">
        <f t="shared" si="36"/>
        <v>8.2459583333333324</v>
      </c>
      <c r="K1086" s="63">
        <f t="shared" si="36"/>
        <v>8.2525333333333339</v>
      </c>
    </row>
    <row r="1087" spans="1:11" ht="15">
      <c r="A1087" s="3">
        <v>2052</v>
      </c>
      <c r="B1087" s="63">
        <f t="shared" ref="B1087:K1087" si="37">AVERAGE(B461:B472)</f>
        <v>7.0913833333333329</v>
      </c>
      <c r="C1087" s="63">
        <f t="shared" si="37"/>
        <v>7.0913833333333329</v>
      </c>
      <c r="D1087" s="63">
        <f t="shared" si="37"/>
        <v>7.0967750000000001</v>
      </c>
      <c r="E1087" s="63">
        <f t="shared" si="37"/>
        <v>8.4475583333333333</v>
      </c>
      <c r="F1087" s="63">
        <f t="shared" si="37"/>
        <v>8.4475583333333333</v>
      </c>
      <c r="G1087" s="63">
        <f t="shared" si="37"/>
        <v>8.4541583333333339</v>
      </c>
      <c r="H1087" s="63">
        <f t="shared" si="37"/>
        <v>13.642516666666667</v>
      </c>
      <c r="I1087" s="63">
        <f t="shared" si="37"/>
        <v>13.649099999999999</v>
      </c>
      <c r="J1087" s="63">
        <f t="shared" si="37"/>
        <v>8.4475583333333333</v>
      </c>
      <c r="K1087" s="63">
        <f t="shared" si="37"/>
        <v>8.4541583333333339</v>
      </c>
    </row>
    <row r="1088" spans="1:11" ht="15">
      <c r="A1088" s="3">
        <v>2053</v>
      </c>
      <c r="B1088" s="63">
        <f t="shared" ref="B1088:K1088" si="38">AVERAGE(B473:B484)</f>
        <v>7.2788166666666667</v>
      </c>
      <c r="C1088" s="63">
        <f t="shared" si="38"/>
        <v>7.2788166666666667</v>
      </c>
      <c r="D1088" s="63">
        <f t="shared" si="38"/>
        <v>7.2842250000000002</v>
      </c>
      <c r="E1088" s="63">
        <f t="shared" si="38"/>
        <v>8.6541250000000005</v>
      </c>
      <c r="F1088" s="63">
        <f t="shared" si="38"/>
        <v>8.6541250000000005</v>
      </c>
      <c r="G1088" s="63">
        <f t="shared" si="38"/>
        <v>8.6607166666666675</v>
      </c>
      <c r="H1088" s="63">
        <f t="shared" si="38"/>
        <v>13.987525</v>
      </c>
      <c r="I1088" s="63">
        <f t="shared" si="38"/>
        <v>13.994099999999998</v>
      </c>
      <c r="J1088" s="63">
        <f t="shared" si="38"/>
        <v>8.6541250000000005</v>
      </c>
      <c r="K1088" s="63">
        <f t="shared" si="38"/>
        <v>8.6607166666666675</v>
      </c>
    </row>
    <row r="1089" spans="1:11" ht="15">
      <c r="A1089" s="3">
        <v>2054</v>
      </c>
      <c r="B1089" s="63">
        <f t="shared" ref="B1089:K1089" si="39">AVERAGE(B485:B496)</f>
        <v>7.4712500000000004</v>
      </c>
      <c r="C1089" s="63">
        <f t="shared" si="39"/>
        <v>7.4712500000000004</v>
      </c>
      <c r="D1089" s="63">
        <f t="shared" si="39"/>
        <v>7.4766749999999993</v>
      </c>
      <c r="E1089" s="63">
        <f t="shared" si="39"/>
        <v>8.8657833333333329</v>
      </c>
      <c r="F1089" s="63">
        <f t="shared" si="39"/>
        <v>8.8657833333333329</v>
      </c>
      <c r="G1089" s="63">
        <f t="shared" si="39"/>
        <v>8.8723583333333327</v>
      </c>
      <c r="H1089" s="63">
        <f t="shared" si="39"/>
        <v>14.341249999999997</v>
      </c>
      <c r="I1089" s="63">
        <f t="shared" si="39"/>
        <v>14.347824999999998</v>
      </c>
      <c r="J1089" s="63">
        <f t="shared" si="39"/>
        <v>8.8657833333333329</v>
      </c>
      <c r="K1089" s="63">
        <f t="shared" si="39"/>
        <v>8.8723583333333327</v>
      </c>
    </row>
    <row r="1090" spans="1:11" ht="15">
      <c r="A1090" s="3">
        <v>2055</v>
      </c>
      <c r="B1090" s="63">
        <f t="shared" ref="B1090:K1090" si="40">AVERAGE(B17:B508)</f>
        <v>4.7972563008130082</v>
      </c>
      <c r="C1090" s="63">
        <f t="shared" si="40"/>
        <v>4.7979227642276419</v>
      </c>
      <c r="D1090" s="63">
        <f t="shared" si="40"/>
        <v>4.8033306910569085</v>
      </c>
      <c r="E1090" s="63">
        <f t="shared" si="40"/>
        <v>5.7651205284552844</v>
      </c>
      <c r="F1090" s="63">
        <f t="shared" si="40"/>
        <v>5.7676485772357715</v>
      </c>
      <c r="G1090" s="63">
        <f t="shared" si="40"/>
        <v>5.774230894308948</v>
      </c>
      <c r="H1090" s="63">
        <f t="shared" si="40"/>
        <v>9.3177095528455123</v>
      </c>
      <c r="I1090" s="63">
        <f t="shared" si="40"/>
        <v>9.3242908536585336</v>
      </c>
      <c r="J1090" s="63">
        <f t="shared" si="40"/>
        <v>5.7651205284552844</v>
      </c>
      <c r="K1090" s="63">
        <f t="shared" si="40"/>
        <v>5.7717024390243958</v>
      </c>
    </row>
    <row r="1091" spans="1:11" ht="15">
      <c r="A1091" s="3">
        <v>2056</v>
      </c>
      <c r="B1091" s="63">
        <f t="shared" ref="B1091:K1091" si="41">AVERAGE(B509:B520)</f>
        <v>7.8716833333333343</v>
      </c>
      <c r="C1091" s="63">
        <f t="shared" si="41"/>
        <v>7.8716833333333343</v>
      </c>
      <c r="D1091" s="63">
        <f t="shared" si="41"/>
        <v>7.8771166666666659</v>
      </c>
      <c r="E1091" s="63">
        <f t="shared" si="41"/>
        <v>9.3047749999999994</v>
      </c>
      <c r="F1091" s="63">
        <f t="shared" si="41"/>
        <v>9.3047749999999994</v>
      </c>
      <c r="G1091" s="63">
        <f t="shared" si="41"/>
        <v>9.3113583333333345</v>
      </c>
      <c r="H1091" s="63">
        <f t="shared" si="41"/>
        <v>15.075749999999999</v>
      </c>
      <c r="I1091" s="63">
        <f t="shared" si="41"/>
        <v>15.082324999999999</v>
      </c>
      <c r="J1091" s="63">
        <f t="shared" si="41"/>
        <v>9.3047749999999994</v>
      </c>
      <c r="K1091" s="63">
        <f t="shared" si="41"/>
        <v>9.3113583333333345</v>
      </c>
    </row>
    <row r="1092" spans="1:11" ht="15">
      <c r="A1092" s="3">
        <v>2057</v>
      </c>
      <c r="B1092" s="63">
        <f t="shared" ref="B1092:K1092" si="42">AVERAGE(B521:B532)</f>
        <v>8.079958333333332</v>
      </c>
      <c r="C1092" s="63">
        <f t="shared" si="42"/>
        <v>8.079958333333332</v>
      </c>
      <c r="D1092" s="63">
        <f t="shared" si="42"/>
        <v>8.0853749999999991</v>
      </c>
      <c r="E1092" s="63">
        <f t="shared" si="42"/>
        <v>9.5323916666666673</v>
      </c>
      <c r="F1092" s="63">
        <f t="shared" si="42"/>
        <v>9.5323916666666673</v>
      </c>
      <c r="G1092" s="63">
        <f t="shared" si="42"/>
        <v>9.5389833333333325</v>
      </c>
      <c r="H1092" s="63">
        <f t="shared" si="42"/>
        <v>15.456983333333335</v>
      </c>
      <c r="I1092" s="63">
        <f t="shared" si="42"/>
        <v>15.463583333333334</v>
      </c>
      <c r="J1092" s="63">
        <f t="shared" si="42"/>
        <v>9.5323916666666673</v>
      </c>
      <c r="K1092" s="63">
        <f t="shared" si="42"/>
        <v>9.5389833333333325</v>
      </c>
    </row>
    <row r="1093" spans="1:11" ht="15">
      <c r="A1093" s="3">
        <v>2058</v>
      </c>
      <c r="B1093" s="63">
        <f t="shared" ref="B1093:K1093" si="43">AVERAGE(B533:B544)</f>
        <v>8.2937916666666691</v>
      </c>
      <c r="C1093" s="63">
        <f t="shared" si="43"/>
        <v>8.2937916666666691</v>
      </c>
      <c r="D1093" s="63">
        <f t="shared" si="43"/>
        <v>8.2991916666666672</v>
      </c>
      <c r="E1093" s="63">
        <f t="shared" si="43"/>
        <v>9.7656249999999982</v>
      </c>
      <c r="F1093" s="63">
        <f t="shared" si="43"/>
        <v>9.7656249999999982</v>
      </c>
      <c r="G1093" s="63">
        <f t="shared" si="43"/>
        <v>9.772216666666667</v>
      </c>
      <c r="H1093" s="63">
        <f t="shared" si="43"/>
        <v>15.847866666666668</v>
      </c>
      <c r="I1093" s="63">
        <f t="shared" si="43"/>
        <v>15.85445</v>
      </c>
      <c r="J1093" s="63">
        <f t="shared" si="43"/>
        <v>9.7656249999999982</v>
      </c>
      <c r="K1093" s="63">
        <f t="shared" si="43"/>
        <v>9.772216666666667</v>
      </c>
    </row>
    <row r="1094" spans="1:11" ht="15">
      <c r="A1094" s="3">
        <v>2059</v>
      </c>
      <c r="B1094" s="63">
        <f t="shared" ref="B1094:K1094" si="44">AVERAGE(B545:B556)</f>
        <v>8.513325</v>
      </c>
      <c r="C1094" s="63">
        <f t="shared" si="44"/>
        <v>8.513325</v>
      </c>
      <c r="D1094" s="63">
        <f t="shared" si="44"/>
        <v>8.5187416666666671</v>
      </c>
      <c r="E1094" s="63">
        <f t="shared" si="44"/>
        <v>10.004574999999999</v>
      </c>
      <c r="F1094" s="63">
        <f t="shared" si="44"/>
        <v>10.004574999999999</v>
      </c>
      <c r="G1094" s="63">
        <f t="shared" si="44"/>
        <v>10.011141666666665</v>
      </c>
      <c r="H1094" s="63">
        <f t="shared" si="44"/>
        <v>16.248641666666668</v>
      </c>
      <c r="I1094" s="63">
        <f t="shared" si="44"/>
        <v>16.255233333333333</v>
      </c>
      <c r="J1094" s="63">
        <f t="shared" si="44"/>
        <v>10.004574999999999</v>
      </c>
      <c r="K1094" s="63">
        <f t="shared" si="44"/>
        <v>10.011141666666665</v>
      </c>
    </row>
    <row r="1095" spans="1:11" ht="15">
      <c r="A1095" s="3">
        <v>2060</v>
      </c>
      <c r="B1095" s="63">
        <f t="shared" ref="B1095:K1095" si="45">AVERAGE(B557:B568)</f>
        <v>8.738741666666666</v>
      </c>
      <c r="C1095" s="63">
        <f t="shared" si="45"/>
        <v>8.738741666666666</v>
      </c>
      <c r="D1095" s="63">
        <f t="shared" si="45"/>
        <v>8.7441333333333322</v>
      </c>
      <c r="E1095" s="63">
        <f t="shared" si="45"/>
        <v>10.249391666666666</v>
      </c>
      <c r="F1095" s="63">
        <f t="shared" si="45"/>
        <v>10.249391666666666</v>
      </c>
      <c r="G1095" s="63">
        <f t="shared" si="45"/>
        <v>10.255974999999998</v>
      </c>
      <c r="H1095" s="63">
        <f t="shared" si="45"/>
        <v>16.659549999999999</v>
      </c>
      <c r="I1095" s="63">
        <f t="shared" si="45"/>
        <v>16.666125000000001</v>
      </c>
      <c r="J1095" s="63">
        <f t="shared" si="45"/>
        <v>10.249391666666666</v>
      </c>
      <c r="K1095" s="63">
        <f t="shared" si="45"/>
        <v>10.255974999999998</v>
      </c>
    </row>
    <row r="1096" spans="1:11" ht="15">
      <c r="A1096" s="3">
        <v>2061</v>
      </c>
      <c r="B1096" s="63">
        <f t="shared" ref="B1096:K1096" si="46">AVERAGE(B569:B580)</f>
        <v>8.9701666666666657</v>
      </c>
      <c r="C1096" s="63">
        <f t="shared" si="46"/>
        <v>8.9701666666666657</v>
      </c>
      <c r="D1096" s="63">
        <f t="shared" si="46"/>
        <v>8.9755749999999992</v>
      </c>
      <c r="E1096" s="63">
        <f t="shared" si="46"/>
        <v>10.500225000000002</v>
      </c>
      <c r="F1096" s="63">
        <f t="shared" si="46"/>
        <v>10.500225000000002</v>
      </c>
      <c r="G1096" s="63">
        <f t="shared" si="46"/>
        <v>10.506816666666666</v>
      </c>
      <c r="H1096" s="63">
        <f t="shared" si="46"/>
        <v>17.080841666666668</v>
      </c>
      <c r="I1096" s="63">
        <f t="shared" si="46"/>
        <v>17.087416666666666</v>
      </c>
      <c r="J1096" s="63">
        <f t="shared" si="46"/>
        <v>10.500225000000002</v>
      </c>
      <c r="K1096" s="63">
        <f t="shared" si="46"/>
        <v>10.506816666666666</v>
      </c>
    </row>
    <row r="1097" spans="1:11" ht="15">
      <c r="A1097" s="3">
        <v>2062</v>
      </c>
      <c r="B1097" s="63">
        <f t="shared" ref="B1097:K1106" ca="1" si="47">AVERAGE(OFFSET(B$581,($A1097-$A$1097)*12,0,12,1))</f>
        <v>9.2077833333333352</v>
      </c>
      <c r="C1097" s="63">
        <f t="shared" ca="1" si="47"/>
        <v>9.2077833333333352</v>
      </c>
      <c r="D1097" s="63">
        <f t="shared" ca="1" si="47"/>
        <v>9.2131833333333351</v>
      </c>
      <c r="E1097" s="63">
        <f t="shared" ca="1" si="47"/>
        <v>10.757233333333332</v>
      </c>
      <c r="F1097" s="63">
        <f t="shared" ca="1" si="47"/>
        <v>10.757233333333332</v>
      </c>
      <c r="G1097" s="63">
        <f t="shared" ca="1" si="47"/>
        <v>10.763833333333332</v>
      </c>
      <c r="H1097" s="63">
        <f t="shared" ca="1" si="47"/>
        <v>17.512791666666665</v>
      </c>
      <c r="I1097" s="63">
        <f t="shared" ca="1" si="47"/>
        <v>17.519358333333333</v>
      </c>
      <c r="J1097" s="63">
        <f t="shared" ca="1" si="47"/>
        <v>10.757233333333332</v>
      </c>
      <c r="K1097" s="63">
        <f t="shared" ca="1" si="47"/>
        <v>10.763833333333332</v>
      </c>
    </row>
    <row r="1098" spans="1:11" ht="15">
      <c r="A1098" s="3">
        <v>2063</v>
      </c>
      <c r="B1098" s="63">
        <f t="shared" ca="1" si="47"/>
        <v>9.4453666666666667</v>
      </c>
      <c r="C1098" s="63">
        <f t="shared" ca="1" si="47"/>
        <v>9.4453666666666667</v>
      </c>
      <c r="D1098" s="63">
        <f t="shared" ca="1" si="47"/>
        <v>9.4507999999999974</v>
      </c>
      <c r="E1098" s="63">
        <f t="shared" ca="1" si="47"/>
        <v>11.014258333333332</v>
      </c>
      <c r="F1098" s="63">
        <f t="shared" ca="1" si="47"/>
        <v>11.014258333333332</v>
      </c>
      <c r="G1098" s="63">
        <f t="shared" ca="1" si="47"/>
        <v>11.020850000000001</v>
      </c>
      <c r="H1098" s="63">
        <f t="shared" ca="1" si="47"/>
        <v>17.944733333333335</v>
      </c>
      <c r="I1098" s="63">
        <f t="shared" ca="1" si="47"/>
        <v>17.951308333333333</v>
      </c>
      <c r="J1098" s="63">
        <f t="shared" ca="1" si="47"/>
        <v>11.014258333333332</v>
      </c>
      <c r="K1098" s="63">
        <f t="shared" ca="1" si="47"/>
        <v>11.020850000000001</v>
      </c>
    </row>
    <row r="1099" spans="1:11" ht="15">
      <c r="A1099" s="3">
        <v>2064</v>
      </c>
      <c r="B1099" s="63">
        <f t="shared" ca="1" si="47"/>
        <v>9.6830083333333334</v>
      </c>
      <c r="C1099" s="63">
        <f t="shared" ca="1" si="47"/>
        <v>9.6830083333333334</v>
      </c>
      <c r="D1099" s="63">
        <f t="shared" ca="1" si="47"/>
        <v>9.6884250000000005</v>
      </c>
      <c r="E1099" s="63">
        <f t="shared" ca="1" si="47"/>
        <v>11.271266666666667</v>
      </c>
      <c r="F1099" s="63">
        <f t="shared" ca="1" si="47"/>
        <v>11.271266666666667</v>
      </c>
      <c r="G1099" s="63">
        <f t="shared" ca="1" si="47"/>
        <v>11.277858333333334</v>
      </c>
      <c r="H1099" s="63">
        <f t="shared" ca="1" si="47"/>
        <v>18.376683333333336</v>
      </c>
      <c r="I1099" s="63">
        <f t="shared" ca="1" si="47"/>
        <v>18.383241666666667</v>
      </c>
      <c r="J1099" s="63">
        <f t="shared" ca="1" si="47"/>
        <v>11.271266666666667</v>
      </c>
      <c r="K1099" s="63">
        <f t="shared" ca="1" si="47"/>
        <v>11.277858333333334</v>
      </c>
    </row>
    <row r="1100" spans="1:11" ht="15">
      <c r="A1100" s="3">
        <v>2065</v>
      </c>
      <c r="B1100" s="63">
        <f t="shared" ca="1" si="47"/>
        <v>9.9206166666666658</v>
      </c>
      <c r="C1100" s="63">
        <f t="shared" ca="1" si="47"/>
        <v>9.9206166666666658</v>
      </c>
      <c r="D1100" s="63">
        <f t="shared" ca="1" si="47"/>
        <v>9.9260249999999974</v>
      </c>
      <c r="E1100" s="63">
        <f t="shared" ca="1" si="47"/>
        <v>11.528291666666666</v>
      </c>
      <c r="F1100" s="63">
        <f t="shared" ca="1" si="47"/>
        <v>11.528291666666666</v>
      </c>
      <c r="G1100" s="63">
        <f t="shared" ca="1" si="47"/>
        <v>11.534849999999999</v>
      </c>
      <c r="H1100" s="63">
        <f t="shared" ca="1" si="47"/>
        <v>18.808624999999996</v>
      </c>
      <c r="I1100" s="63">
        <f t="shared" ca="1" si="47"/>
        <v>18.815199999999994</v>
      </c>
      <c r="J1100" s="63">
        <f t="shared" ca="1" si="47"/>
        <v>11.528291666666666</v>
      </c>
      <c r="K1100" s="63">
        <f t="shared" ca="1" si="47"/>
        <v>11.534849999999999</v>
      </c>
    </row>
    <row r="1101" spans="1:11" ht="15">
      <c r="A1101" s="3">
        <v>2066</v>
      </c>
      <c r="B1101" s="63">
        <f t="shared" ca="1" si="47"/>
        <v>10.158233333333335</v>
      </c>
      <c r="C1101" s="63">
        <f t="shared" ca="1" si="47"/>
        <v>10.158233333333335</v>
      </c>
      <c r="D1101" s="63">
        <f t="shared" ca="1" si="47"/>
        <v>10.163633333333333</v>
      </c>
      <c r="E1101" s="63">
        <f t="shared" ca="1" si="47"/>
        <v>11.785283333333332</v>
      </c>
      <c r="F1101" s="63">
        <f t="shared" ca="1" si="47"/>
        <v>11.785283333333332</v>
      </c>
      <c r="G1101" s="63">
        <f t="shared" ca="1" si="47"/>
        <v>11.791874999999999</v>
      </c>
      <c r="H1101" s="63">
        <f t="shared" ca="1" si="47"/>
        <v>19.240558333333329</v>
      </c>
      <c r="I1101" s="63">
        <f t="shared" ca="1" si="47"/>
        <v>19.247158333333331</v>
      </c>
      <c r="J1101" s="63">
        <f t="shared" ca="1" si="47"/>
        <v>11.785283333333332</v>
      </c>
      <c r="K1101" s="63">
        <f t="shared" ca="1" si="47"/>
        <v>11.791874999999999</v>
      </c>
    </row>
    <row r="1102" spans="1:11" ht="15">
      <c r="A1102" s="3">
        <v>2067</v>
      </c>
      <c r="B1102" s="63">
        <f t="shared" ca="1" si="47"/>
        <v>10.395849999999998</v>
      </c>
      <c r="C1102" s="63">
        <f t="shared" ca="1" si="47"/>
        <v>10.395849999999998</v>
      </c>
      <c r="D1102" s="63">
        <f t="shared" ca="1" si="47"/>
        <v>10.401258333333333</v>
      </c>
      <c r="E1102" s="63">
        <f t="shared" ca="1" si="47"/>
        <v>12.042299999999999</v>
      </c>
      <c r="F1102" s="63">
        <f t="shared" ca="1" si="47"/>
        <v>12.042299999999999</v>
      </c>
      <c r="G1102" s="63">
        <f t="shared" ca="1" si="47"/>
        <v>12.048875000000001</v>
      </c>
      <c r="H1102" s="63">
        <f t="shared" ca="1" si="47"/>
        <v>19.672508333333329</v>
      </c>
      <c r="I1102" s="63">
        <f t="shared" ca="1" si="47"/>
        <v>19.679100000000002</v>
      </c>
      <c r="J1102" s="63">
        <f t="shared" ca="1" si="47"/>
        <v>12.042299999999999</v>
      </c>
      <c r="K1102" s="63">
        <f t="shared" ca="1" si="47"/>
        <v>12.048875000000001</v>
      </c>
    </row>
    <row r="1103" spans="1:11" ht="15">
      <c r="A1103" s="3">
        <v>2068</v>
      </c>
      <c r="B1103" s="63">
        <f t="shared" ca="1" si="47"/>
        <v>10.633449999999998</v>
      </c>
      <c r="C1103" s="63">
        <f t="shared" ca="1" si="47"/>
        <v>10.633449999999998</v>
      </c>
      <c r="D1103" s="63">
        <f t="shared" ca="1" si="47"/>
        <v>10.638858333333333</v>
      </c>
      <c r="E1103" s="63">
        <f t="shared" ca="1" si="47"/>
        <v>12.299291666666669</v>
      </c>
      <c r="F1103" s="63">
        <f t="shared" ca="1" si="47"/>
        <v>12.299291666666669</v>
      </c>
      <c r="G1103" s="63">
        <f t="shared" ca="1" si="47"/>
        <v>12.305891666666668</v>
      </c>
      <c r="H1103" s="63">
        <f t="shared" ca="1" si="47"/>
        <v>20.104458333333334</v>
      </c>
      <c r="I1103" s="63">
        <f t="shared" ca="1" si="47"/>
        <v>20.111050000000002</v>
      </c>
      <c r="J1103" s="63">
        <f t="shared" ca="1" si="47"/>
        <v>12.299291666666669</v>
      </c>
      <c r="K1103" s="63">
        <f t="shared" ca="1" si="47"/>
        <v>12.305891666666668</v>
      </c>
    </row>
    <row r="1104" spans="1:11" ht="15">
      <c r="A1104" s="3">
        <v>2069</v>
      </c>
      <c r="B1104" s="63">
        <f t="shared" ca="1" si="47"/>
        <v>10.871066666666664</v>
      </c>
      <c r="C1104" s="63">
        <f t="shared" ca="1" si="47"/>
        <v>10.871066666666664</v>
      </c>
      <c r="D1104" s="63">
        <f t="shared" ca="1" si="47"/>
        <v>10.876483333333333</v>
      </c>
      <c r="E1104" s="63">
        <f t="shared" ca="1" si="47"/>
        <v>12.556333333333333</v>
      </c>
      <c r="F1104" s="63">
        <f t="shared" ca="1" si="47"/>
        <v>12.556333333333333</v>
      </c>
      <c r="G1104" s="63">
        <f t="shared" ca="1" si="47"/>
        <v>12.562908333333333</v>
      </c>
      <c r="H1104" s="63">
        <f t="shared" ca="1" si="47"/>
        <v>20.536424999999998</v>
      </c>
      <c r="I1104" s="63">
        <f t="shared" ca="1" si="47"/>
        <v>20.543008333333336</v>
      </c>
      <c r="J1104" s="63">
        <f t="shared" ca="1" si="47"/>
        <v>12.556333333333333</v>
      </c>
      <c r="K1104" s="63">
        <f t="shared" ca="1" si="47"/>
        <v>12.562908333333333</v>
      </c>
    </row>
    <row r="1105" spans="1:11" ht="15">
      <c r="A1105" s="3">
        <v>2070</v>
      </c>
      <c r="B1105" s="63">
        <f t="shared" ca="1" si="47"/>
        <v>11.108683333333333</v>
      </c>
      <c r="C1105" s="63">
        <f t="shared" ca="1" si="47"/>
        <v>11.108683333333333</v>
      </c>
      <c r="D1105" s="63">
        <f t="shared" ca="1" si="47"/>
        <v>11.114091666666667</v>
      </c>
      <c r="E1105" s="63">
        <f t="shared" ca="1" si="47"/>
        <v>12.813333333333333</v>
      </c>
      <c r="F1105" s="63">
        <f t="shared" ca="1" si="47"/>
        <v>12.813333333333333</v>
      </c>
      <c r="G1105" s="63">
        <f t="shared" ca="1" si="47"/>
        <v>12.819900000000002</v>
      </c>
      <c r="H1105" s="63">
        <f t="shared" ca="1" si="47"/>
        <v>20.968374999999998</v>
      </c>
      <c r="I1105" s="63">
        <f t="shared" ca="1" si="47"/>
        <v>20.974958333333333</v>
      </c>
      <c r="J1105" s="63">
        <f t="shared" ca="1" si="47"/>
        <v>12.813333333333333</v>
      </c>
      <c r="K1105" s="63">
        <f t="shared" ca="1" si="47"/>
        <v>12.819900000000002</v>
      </c>
    </row>
    <row r="1106" spans="1:11" ht="15">
      <c r="A1106" s="3">
        <v>2071</v>
      </c>
      <c r="B1106" s="63">
        <f t="shared" ca="1" si="47"/>
        <v>11.346308333333333</v>
      </c>
      <c r="C1106" s="63">
        <f t="shared" ca="1" si="47"/>
        <v>11.346308333333333</v>
      </c>
      <c r="D1106" s="63">
        <f t="shared" ca="1" si="47"/>
        <v>11.351708333333333</v>
      </c>
      <c r="E1106" s="63">
        <f t="shared" ca="1" si="47"/>
        <v>13.070333333333332</v>
      </c>
      <c r="F1106" s="63">
        <f t="shared" ca="1" si="47"/>
        <v>13.070333333333332</v>
      </c>
      <c r="G1106" s="63">
        <f t="shared" ca="1" si="47"/>
        <v>13.076916666666667</v>
      </c>
      <c r="H1106" s="63">
        <f t="shared" ca="1" si="47"/>
        <v>21.400316666666669</v>
      </c>
      <c r="I1106" s="63">
        <f t="shared" ca="1" si="47"/>
        <v>21.406900000000004</v>
      </c>
      <c r="J1106" s="63">
        <f t="shared" ca="1" si="47"/>
        <v>13.070333333333332</v>
      </c>
      <c r="K1106" s="63">
        <f t="shared" ca="1" si="47"/>
        <v>13.076916666666667</v>
      </c>
    </row>
    <row r="1107" spans="1:11" ht="15">
      <c r="A1107" s="3">
        <v>2072</v>
      </c>
      <c r="B1107" s="63">
        <f t="shared" ref="B1107:K1116" ca="1" si="48">AVERAGE(OFFSET(B$581,($A1107-$A$1097)*12,0,12,1))</f>
        <v>11.583908333333333</v>
      </c>
      <c r="C1107" s="63">
        <f t="shared" ca="1" si="48"/>
        <v>11.583908333333333</v>
      </c>
      <c r="D1107" s="63">
        <f t="shared" ca="1" si="48"/>
        <v>11.589325000000001</v>
      </c>
      <c r="E1107" s="63">
        <f t="shared" ca="1" si="48"/>
        <v>13.327350000000001</v>
      </c>
      <c r="F1107" s="63">
        <f t="shared" ca="1" si="48"/>
        <v>13.327350000000001</v>
      </c>
      <c r="G1107" s="63">
        <f t="shared" ca="1" si="48"/>
        <v>13.333941666666666</v>
      </c>
      <c r="H1107" s="63">
        <f t="shared" ca="1" si="48"/>
        <v>21.832266666666669</v>
      </c>
      <c r="I1107" s="63">
        <f t="shared" ca="1" si="48"/>
        <v>21.838841666666667</v>
      </c>
      <c r="J1107" s="63">
        <f t="shared" ca="1" si="48"/>
        <v>13.327350000000001</v>
      </c>
      <c r="K1107" s="63">
        <f t="shared" ca="1" si="48"/>
        <v>13.333941666666666</v>
      </c>
    </row>
    <row r="1108" spans="1:11" ht="15">
      <c r="A1108" s="3">
        <v>2073</v>
      </c>
      <c r="B1108" s="63">
        <f t="shared" ca="1" si="48"/>
        <v>11.821525000000001</v>
      </c>
      <c r="C1108" s="63">
        <f t="shared" ca="1" si="48"/>
        <v>11.821525000000001</v>
      </c>
      <c r="D1108" s="63">
        <f t="shared" ca="1" si="48"/>
        <v>11.826933333333331</v>
      </c>
      <c r="E1108" s="63">
        <f t="shared" ca="1" si="48"/>
        <v>13.584366666666666</v>
      </c>
      <c r="F1108" s="63">
        <f t="shared" ca="1" si="48"/>
        <v>13.584366666666666</v>
      </c>
      <c r="G1108" s="63">
        <f t="shared" ca="1" si="48"/>
        <v>13.590941666666666</v>
      </c>
      <c r="H1108" s="63">
        <f t="shared" ca="1" si="48"/>
        <v>22.264208333333329</v>
      </c>
      <c r="I1108" s="63">
        <f t="shared" ca="1" si="48"/>
        <v>22.270791666666668</v>
      </c>
      <c r="J1108" s="63">
        <f t="shared" ca="1" si="48"/>
        <v>13.584366666666666</v>
      </c>
      <c r="K1108" s="63">
        <f t="shared" ca="1" si="48"/>
        <v>13.590941666666666</v>
      </c>
    </row>
    <row r="1109" spans="1:11" ht="15">
      <c r="A1109" s="3">
        <v>2074</v>
      </c>
      <c r="B1109" s="63">
        <f t="shared" ca="1" si="48"/>
        <v>12.059150000000001</v>
      </c>
      <c r="C1109" s="63">
        <f t="shared" ca="1" si="48"/>
        <v>12.059150000000001</v>
      </c>
      <c r="D1109" s="63">
        <f t="shared" ca="1" si="48"/>
        <v>12.064549999999999</v>
      </c>
      <c r="E1109" s="63">
        <f t="shared" ca="1" si="48"/>
        <v>13.841366666666666</v>
      </c>
      <c r="F1109" s="63">
        <f t="shared" ca="1" si="48"/>
        <v>13.841366666666666</v>
      </c>
      <c r="G1109" s="63">
        <f t="shared" ca="1" si="48"/>
        <v>13.847941666666665</v>
      </c>
      <c r="H1109" s="63">
        <f t="shared" ca="1" si="48"/>
        <v>22.696166666666667</v>
      </c>
      <c r="I1109" s="63">
        <f t="shared" ca="1" si="48"/>
        <v>22.702741666666668</v>
      </c>
      <c r="J1109" s="63">
        <f t="shared" ca="1" si="48"/>
        <v>13.841366666666666</v>
      </c>
      <c r="K1109" s="63">
        <f t="shared" ca="1" si="48"/>
        <v>13.847941666666665</v>
      </c>
    </row>
    <row r="1110" spans="1:11" ht="15">
      <c r="A1110" s="3">
        <v>2075</v>
      </c>
      <c r="B1110" s="63">
        <f t="shared" ca="1" si="48"/>
        <v>12.296750000000001</v>
      </c>
      <c r="C1110" s="63">
        <f t="shared" ca="1" si="48"/>
        <v>12.296750000000001</v>
      </c>
      <c r="D1110" s="63">
        <f t="shared" ca="1" si="48"/>
        <v>12.302158333333333</v>
      </c>
      <c r="E1110" s="63">
        <f t="shared" ca="1" si="48"/>
        <v>14.098391666666664</v>
      </c>
      <c r="F1110" s="63">
        <f t="shared" ca="1" si="48"/>
        <v>14.098391666666664</v>
      </c>
      <c r="G1110" s="63">
        <f t="shared" ca="1" si="48"/>
        <v>14.104949999999997</v>
      </c>
      <c r="H1110" s="63">
        <f t="shared" ca="1" si="48"/>
        <v>23.128116666666671</v>
      </c>
      <c r="I1110" s="63">
        <f t="shared" ca="1" si="48"/>
        <v>23.134683333333339</v>
      </c>
      <c r="J1110" s="63">
        <f t="shared" ca="1" si="48"/>
        <v>14.098391666666664</v>
      </c>
      <c r="K1110" s="63">
        <f t="shared" ca="1" si="48"/>
        <v>14.104949999999997</v>
      </c>
    </row>
    <row r="1111" spans="1:11" ht="15">
      <c r="A1111" s="3">
        <v>2076</v>
      </c>
      <c r="B1111" s="63">
        <f t="shared" ca="1" si="48"/>
        <v>12.534383333333331</v>
      </c>
      <c r="C1111" s="63">
        <f t="shared" ca="1" si="48"/>
        <v>12.534383333333331</v>
      </c>
      <c r="D1111" s="63">
        <f t="shared" ca="1" si="48"/>
        <v>12.539774999999999</v>
      </c>
      <c r="E1111" s="63">
        <f t="shared" ca="1" si="48"/>
        <v>14.355391666666668</v>
      </c>
      <c r="F1111" s="63">
        <f t="shared" ca="1" si="48"/>
        <v>14.355391666666668</v>
      </c>
      <c r="G1111" s="63">
        <f t="shared" ca="1" si="48"/>
        <v>14.361983333333333</v>
      </c>
      <c r="H1111" s="63">
        <f t="shared" ca="1" si="48"/>
        <v>23.560049999999993</v>
      </c>
      <c r="I1111" s="63">
        <f t="shared" ca="1" si="48"/>
        <v>23.566641666666669</v>
      </c>
      <c r="J1111" s="63">
        <f t="shared" ca="1" si="48"/>
        <v>14.355391666666668</v>
      </c>
      <c r="K1111" s="63">
        <f t="shared" ca="1" si="48"/>
        <v>14.361983333333333</v>
      </c>
    </row>
    <row r="1112" spans="1:11" ht="15">
      <c r="A1112" s="3">
        <v>2077</v>
      </c>
      <c r="B1112" s="63">
        <f t="shared" ca="1" si="48"/>
        <v>12.771983333333333</v>
      </c>
      <c r="C1112" s="63">
        <f t="shared" ca="1" si="48"/>
        <v>12.771983333333333</v>
      </c>
      <c r="D1112" s="63">
        <f t="shared" ca="1" si="48"/>
        <v>12.777391666666666</v>
      </c>
      <c r="E1112" s="63">
        <f t="shared" ca="1" si="48"/>
        <v>14.612399999999999</v>
      </c>
      <c r="F1112" s="63">
        <f t="shared" ca="1" si="48"/>
        <v>14.612399999999999</v>
      </c>
      <c r="G1112" s="63">
        <f t="shared" ca="1" si="48"/>
        <v>14.618974999999999</v>
      </c>
      <c r="H1112" s="63">
        <f t="shared" ca="1" si="48"/>
        <v>23.992008333333334</v>
      </c>
      <c r="I1112" s="63">
        <f t="shared" ca="1" si="48"/>
        <v>23.998583333333332</v>
      </c>
      <c r="J1112" s="63">
        <f t="shared" ca="1" si="48"/>
        <v>14.612399999999999</v>
      </c>
      <c r="K1112" s="63">
        <f t="shared" ca="1" si="48"/>
        <v>14.618974999999999</v>
      </c>
    </row>
    <row r="1113" spans="1:11" ht="15">
      <c r="A1113" s="3">
        <v>2078</v>
      </c>
      <c r="B1113" s="63">
        <f t="shared" ca="1" si="48"/>
        <v>13.009583333333333</v>
      </c>
      <c r="C1113" s="63">
        <f t="shared" ca="1" si="48"/>
        <v>13.009583333333333</v>
      </c>
      <c r="D1113" s="63">
        <f t="shared" ca="1" si="48"/>
        <v>13.014991666666667</v>
      </c>
      <c r="E1113" s="63">
        <f t="shared" ca="1" si="48"/>
        <v>14.869391666666665</v>
      </c>
      <c r="F1113" s="63">
        <f t="shared" ca="1" si="48"/>
        <v>14.869391666666665</v>
      </c>
      <c r="G1113" s="63">
        <f t="shared" ca="1" si="48"/>
        <v>14.875991666666664</v>
      </c>
      <c r="H1113" s="63">
        <f t="shared" ca="1" si="48"/>
        <v>24.423966666666669</v>
      </c>
      <c r="I1113" s="63">
        <f t="shared" ca="1" si="48"/>
        <v>24.430533333333329</v>
      </c>
      <c r="J1113" s="63">
        <f t="shared" ca="1" si="48"/>
        <v>14.869391666666665</v>
      </c>
      <c r="K1113" s="63">
        <f t="shared" ca="1" si="48"/>
        <v>14.875991666666664</v>
      </c>
    </row>
    <row r="1114" spans="1:11" ht="15">
      <c r="A1114" s="3">
        <v>2079</v>
      </c>
      <c r="B1114" s="63">
        <f t="shared" ca="1" si="48"/>
        <v>13.247225000000002</v>
      </c>
      <c r="C1114" s="63">
        <f t="shared" ca="1" si="48"/>
        <v>13.247225000000002</v>
      </c>
      <c r="D1114" s="63">
        <f t="shared" ca="1" si="48"/>
        <v>13.252625000000002</v>
      </c>
      <c r="E1114" s="63">
        <f t="shared" ca="1" si="48"/>
        <v>15.126424999999999</v>
      </c>
      <c r="F1114" s="63">
        <f t="shared" ca="1" si="48"/>
        <v>15.126424999999999</v>
      </c>
      <c r="G1114" s="63">
        <f t="shared" ca="1" si="48"/>
        <v>15.132991666666667</v>
      </c>
      <c r="H1114" s="63">
        <f t="shared" ca="1" si="48"/>
        <v>24.855908333333332</v>
      </c>
      <c r="I1114" s="63">
        <f t="shared" ca="1" si="48"/>
        <v>24.862499999999997</v>
      </c>
      <c r="J1114" s="63">
        <f t="shared" ca="1" si="48"/>
        <v>15.126424999999999</v>
      </c>
      <c r="K1114" s="63">
        <f t="shared" ca="1" si="48"/>
        <v>15.132991666666667</v>
      </c>
    </row>
    <row r="1115" spans="1:11" ht="15">
      <c r="A1115" s="3">
        <v>2080</v>
      </c>
      <c r="B1115" s="63">
        <f t="shared" ca="1" si="48"/>
        <v>13.484824999999995</v>
      </c>
      <c r="C1115" s="63">
        <f t="shared" ca="1" si="48"/>
        <v>13.484824999999995</v>
      </c>
      <c r="D1115" s="63">
        <f t="shared" ca="1" si="48"/>
        <v>13.490233333333331</v>
      </c>
      <c r="E1115" s="63">
        <f t="shared" ca="1" si="48"/>
        <v>15.383441666666668</v>
      </c>
      <c r="F1115" s="63">
        <f t="shared" ca="1" si="48"/>
        <v>15.383441666666668</v>
      </c>
      <c r="G1115" s="63">
        <f t="shared" ca="1" si="48"/>
        <v>15.390016666666668</v>
      </c>
      <c r="H1115" s="63">
        <f t="shared" ca="1" si="48"/>
        <v>25.287858333333336</v>
      </c>
      <c r="I1115" s="63">
        <f t="shared" ca="1" si="48"/>
        <v>25.294441666666668</v>
      </c>
      <c r="J1115" s="63">
        <f t="shared" ca="1" si="48"/>
        <v>15.383441666666668</v>
      </c>
      <c r="K1115" s="63">
        <f t="shared" ca="1" si="48"/>
        <v>15.390016666666668</v>
      </c>
    </row>
    <row r="1116" spans="1:11" ht="15">
      <c r="A1116" s="3">
        <v>2081</v>
      </c>
      <c r="B1116" s="63">
        <f t="shared" ca="1" si="48"/>
        <v>13.72245</v>
      </c>
      <c r="C1116" s="63">
        <f t="shared" ca="1" si="48"/>
        <v>13.72245</v>
      </c>
      <c r="D1116" s="63">
        <f t="shared" ca="1" si="48"/>
        <v>13.727850000000002</v>
      </c>
      <c r="E1116" s="63">
        <f t="shared" ca="1" si="48"/>
        <v>15.640424999999999</v>
      </c>
      <c r="F1116" s="63">
        <f t="shared" ca="1" si="48"/>
        <v>15.640424999999999</v>
      </c>
      <c r="G1116" s="63">
        <f t="shared" ca="1" si="48"/>
        <v>15.647024999999998</v>
      </c>
      <c r="H1116" s="63">
        <f t="shared" ca="1" si="48"/>
        <v>25.719799999999996</v>
      </c>
      <c r="I1116" s="63">
        <f t="shared" ca="1" si="48"/>
        <v>25.726383333333342</v>
      </c>
      <c r="J1116" s="63">
        <f t="shared" ca="1" si="48"/>
        <v>15.640424999999999</v>
      </c>
      <c r="K1116" s="63">
        <f t="shared" ca="1" si="48"/>
        <v>15.647024999999998</v>
      </c>
    </row>
    <row r="1117" spans="1:11" ht="15">
      <c r="A1117" s="3">
        <v>2082</v>
      </c>
      <c r="B1117" s="63">
        <f t="shared" ref="B1117:K1126" ca="1" si="49">AVERAGE(OFFSET(B$581,($A1117-$A$1097)*12,0,12,1))</f>
        <v>13.960058333333334</v>
      </c>
      <c r="C1117" s="63">
        <f t="shared" ca="1" si="49"/>
        <v>13.960058333333334</v>
      </c>
      <c r="D1117" s="63">
        <f t="shared" ca="1" si="49"/>
        <v>13.965466666666666</v>
      </c>
      <c r="E1117" s="63">
        <f t="shared" ca="1" si="49"/>
        <v>15.897450000000001</v>
      </c>
      <c r="F1117" s="63">
        <f t="shared" ca="1" si="49"/>
        <v>15.897450000000001</v>
      </c>
      <c r="G1117" s="63">
        <f t="shared" ca="1" si="49"/>
        <v>15.904033333333333</v>
      </c>
      <c r="H1117" s="63">
        <f t="shared" ca="1" si="49"/>
        <v>26.151750000000003</v>
      </c>
      <c r="I1117" s="63">
        <f t="shared" ca="1" si="49"/>
        <v>26.158325000000001</v>
      </c>
      <c r="J1117" s="63">
        <f t="shared" ca="1" si="49"/>
        <v>15.897450000000001</v>
      </c>
      <c r="K1117" s="63">
        <f t="shared" ca="1" si="49"/>
        <v>15.904033333333333</v>
      </c>
    </row>
    <row r="1118" spans="1:11" ht="15">
      <c r="A1118" s="3">
        <v>2083</v>
      </c>
      <c r="B1118" s="63">
        <f t="shared" ca="1" si="49"/>
        <v>14.197650000000001</v>
      </c>
      <c r="C1118" s="63">
        <f t="shared" ca="1" si="49"/>
        <v>14.197650000000001</v>
      </c>
      <c r="D1118" s="63">
        <f t="shared" ca="1" si="49"/>
        <v>14.203066666666667</v>
      </c>
      <c r="E1118" s="63">
        <f t="shared" ca="1" si="49"/>
        <v>16.154466666666668</v>
      </c>
      <c r="F1118" s="63">
        <f t="shared" ca="1" si="49"/>
        <v>16.154466666666668</v>
      </c>
      <c r="G1118" s="63">
        <f t="shared" ca="1" si="49"/>
        <v>16.161033333333336</v>
      </c>
      <c r="H1118" s="63">
        <f t="shared" ca="1" si="49"/>
        <v>26.583700000000004</v>
      </c>
      <c r="I1118" s="63">
        <f t="shared" ca="1" si="49"/>
        <v>26.590266666666665</v>
      </c>
      <c r="J1118" s="63">
        <f t="shared" ca="1" si="49"/>
        <v>16.154466666666668</v>
      </c>
      <c r="K1118" s="63">
        <f t="shared" ca="1" si="49"/>
        <v>16.161033333333336</v>
      </c>
    </row>
    <row r="1119" spans="1:11" ht="15">
      <c r="A1119" s="3">
        <v>2084</v>
      </c>
      <c r="B1119" s="63">
        <f t="shared" ca="1" si="49"/>
        <v>14.435274999999997</v>
      </c>
      <c r="C1119" s="63">
        <f t="shared" ca="1" si="49"/>
        <v>14.435274999999997</v>
      </c>
      <c r="D1119" s="63">
        <f t="shared" ca="1" si="49"/>
        <v>14.440691666666666</v>
      </c>
      <c r="E1119" s="63">
        <f t="shared" ca="1" si="49"/>
        <v>16.411466666666669</v>
      </c>
      <c r="F1119" s="63">
        <f t="shared" ca="1" si="49"/>
        <v>16.411466666666669</v>
      </c>
      <c r="G1119" s="63">
        <f t="shared" ca="1" si="49"/>
        <v>16.418041666666667</v>
      </c>
      <c r="H1119" s="63">
        <f t="shared" ca="1" si="49"/>
        <v>27.01563333333333</v>
      </c>
      <c r="I1119" s="63">
        <f t="shared" ca="1" si="49"/>
        <v>27.022216666666669</v>
      </c>
      <c r="J1119" s="63">
        <f t="shared" ca="1" si="49"/>
        <v>16.411466666666669</v>
      </c>
      <c r="K1119" s="63">
        <f t="shared" ca="1" si="49"/>
        <v>16.418041666666667</v>
      </c>
    </row>
    <row r="1120" spans="1:11" ht="15">
      <c r="A1120" s="3">
        <v>2085</v>
      </c>
      <c r="B1120" s="63">
        <f t="shared" ca="1" si="49"/>
        <v>14.672899999999998</v>
      </c>
      <c r="C1120" s="63">
        <f t="shared" ca="1" si="49"/>
        <v>14.672899999999998</v>
      </c>
      <c r="D1120" s="63">
        <f t="shared" ca="1" si="49"/>
        <v>14.6783</v>
      </c>
      <c r="E1120" s="63">
        <f t="shared" ca="1" si="49"/>
        <v>16.668466666666667</v>
      </c>
      <c r="F1120" s="63">
        <f t="shared" ca="1" si="49"/>
        <v>16.668466666666667</v>
      </c>
      <c r="G1120" s="63">
        <f t="shared" ca="1" si="49"/>
        <v>16.675058333333329</v>
      </c>
      <c r="H1120" s="63">
        <f t="shared" ca="1" si="49"/>
        <v>27.447583333333338</v>
      </c>
      <c r="I1120" s="63">
        <f t="shared" ca="1" si="49"/>
        <v>27.454158333333336</v>
      </c>
      <c r="J1120" s="63">
        <f t="shared" ca="1" si="49"/>
        <v>16.668466666666667</v>
      </c>
      <c r="K1120" s="63">
        <f t="shared" ca="1" si="49"/>
        <v>16.675058333333329</v>
      </c>
    </row>
    <row r="1121" spans="1:11" ht="15">
      <c r="A1121" s="3">
        <v>2086</v>
      </c>
      <c r="B1121" s="63">
        <f t="shared" ca="1" si="49"/>
        <v>14.910500000000004</v>
      </c>
      <c r="C1121" s="63">
        <f t="shared" ca="1" si="49"/>
        <v>14.910500000000004</v>
      </c>
      <c r="D1121" s="63">
        <f t="shared" ca="1" si="49"/>
        <v>14.915925000000001</v>
      </c>
      <c r="E1121" s="63">
        <f t="shared" ca="1" si="49"/>
        <v>16.925483333333336</v>
      </c>
      <c r="F1121" s="63">
        <f t="shared" ca="1" si="49"/>
        <v>16.925483333333336</v>
      </c>
      <c r="G1121" s="63">
        <f t="shared" ca="1" si="49"/>
        <v>16.932083333333331</v>
      </c>
      <c r="H1121" s="63">
        <f t="shared" ca="1" si="49"/>
        <v>27.879516666666664</v>
      </c>
      <c r="I1121" s="63">
        <f t="shared" ca="1" si="49"/>
        <v>27.886108333333329</v>
      </c>
      <c r="J1121" s="63">
        <f t="shared" ca="1" si="49"/>
        <v>16.925483333333336</v>
      </c>
      <c r="K1121" s="63">
        <f t="shared" ca="1" si="49"/>
        <v>16.932083333333331</v>
      </c>
    </row>
    <row r="1122" spans="1:11" ht="15">
      <c r="A1122" s="3">
        <v>2087</v>
      </c>
      <c r="B1122" s="63">
        <f t="shared" ca="1" si="49"/>
        <v>15.148116666666667</v>
      </c>
      <c r="C1122" s="63">
        <f t="shared" ca="1" si="49"/>
        <v>15.148116666666667</v>
      </c>
      <c r="D1122" s="63">
        <f t="shared" ca="1" si="49"/>
        <v>15.153533333333336</v>
      </c>
      <c r="E1122" s="63">
        <f t="shared" ca="1" si="49"/>
        <v>17.182508333333335</v>
      </c>
      <c r="F1122" s="63">
        <f t="shared" ca="1" si="49"/>
        <v>17.182508333333335</v>
      </c>
      <c r="G1122" s="63">
        <f t="shared" ca="1" si="49"/>
        <v>17.189074999999999</v>
      </c>
      <c r="H1122" s="63">
        <f t="shared" ca="1" si="49"/>
        <v>28.311475000000002</v>
      </c>
      <c r="I1122" s="63">
        <f t="shared" ca="1" si="49"/>
        <v>28.318066666666667</v>
      </c>
      <c r="J1122" s="63">
        <f t="shared" ca="1" si="49"/>
        <v>17.182508333333335</v>
      </c>
      <c r="K1122" s="63">
        <f t="shared" ca="1" si="49"/>
        <v>17.189074999999999</v>
      </c>
    </row>
    <row r="1123" spans="1:11" ht="15">
      <c r="A1123" s="3">
        <v>2088</v>
      </c>
      <c r="B1123" s="63">
        <f t="shared" ca="1" si="49"/>
        <v>15.385741666666663</v>
      </c>
      <c r="C1123" s="63">
        <f t="shared" ca="1" si="49"/>
        <v>15.385741666666663</v>
      </c>
      <c r="D1123" s="63">
        <f t="shared" ca="1" si="49"/>
        <v>15.391133333333331</v>
      </c>
      <c r="E1123" s="63">
        <f t="shared" ca="1" si="49"/>
        <v>17.439516666666666</v>
      </c>
      <c r="F1123" s="63">
        <f t="shared" ca="1" si="49"/>
        <v>17.439516666666666</v>
      </c>
      <c r="G1123" s="63">
        <f t="shared" ca="1" si="49"/>
        <v>17.446108333333331</v>
      </c>
      <c r="H1123" s="63">
        <f t="shared" ca="1" si="49"/>
        <v>28.743433333333339</v>
      </c>
      <c r="I1123" s="63">
        <f t="shared" ca="1" si="49"/>
        <v>28.750008333333327</v>
      </c>
      <c r="J1123" s="63">
        <f t="shared" ca="1" si="49"/>
        <v>17.439516666666666</v>
      </c>
      <c r="K1123" s="63">
        <f t="shared" ca="1" si="49"/>
        <v>17.446108333333331</v>
      </c>
    </row>
    <row r="1124" spans="1:11" ht="15">
      <c r="A1124" s="3">
        <v>2089</v>
      </c>
      <c r="B1124" s="63">
        <f t="shared" ca="1" si="49"/>
        <v>15.623341666666667</v>
      </c>
      <c r="C1124" s="63">
        <f t="shared" ca="1" si="49"/>
        <v>15.623341666666667</v>
      </c>
      <c r="D1124" s="63">
        <f t="shared" ca="1" si="49"/>
        <v>15.628758333333332</v>
      </c>
      <c r="E1124" s="63">
        <f t="shared" ca="1" si="49"/>
        <v>17.696524999999998</v>
      </c>
      <c r="F1124" s="63">
        <f t="shared" ca="1" si="49"/>
        <v>17.696524999999998</v>
      </c>
      <c r="G1124" s="63">
        <f t="shared" ca="1" si="49"/>
        <v>17.703091666666669</v>
      </c>
      <c r="H1124" s="63">
        <f t="shared" ca="1" si="49"/>
        <v>29.175374999999999</v>
      </c>
      <c r="I1124" s="63">
        <f t="shared" ca="1" si="49"/>
        <v>29.181974999999998</v>
      </c>
      <c r="J1124" s="63">
        <f t="shared" ca="1" si="49"/>
        <v>17.696524999999998</v>
      </c>
      <c r="K1124" s="63">
        <f t="shared" ca="1" si="49"/>
        <v>17.703091666666669</v>
      </c>
    </row>
    <row r="1125" spans="1:11" ht="15">
      <c r="A1125" s="3">
        <v>2090</v>
      </c>
      <c r="B1125" s="63">
        <f t="shared" ca="1" si="49"/>
        <v>15.860966666666668</v>
      </c>
      <c r="C1125" s="63">
        <f t="shared" ca="1" si="49"/>
        <v>15.860966666666668</v>
      </c>
      <c r="D1125" s="63">
        <f t="shared" ca="1" si="49"/>
        <v>15.866374999999998</v>
      </c>
      <c r="E1125" s="63">
        <f t="shared" ca="1" si="49"/>
        <v>17.953533333333333</v>
      </c>
      <c r="F1125" s="63">
        <f t="shared" ca="1" si="49"/>
        <v>17.953533333333333</v>
      </c>
      <c r="G1125" s="63">
        <f t="shared" ca="1" si="49"/>
        <v>17.960091666666667</v>
      </c>
      <c r="H1125" s="63">
        <f t="shared" ca="1" si="49"/>
        <v>29.607325000000003</v>
      </c>
      <c r="I1125" s="63">
        <f t="shared" ca="1" si="49"/>
        <v>29.613924999999998</v>
      </c>
      <c r="J1125" s="63">
        <f t="shared" ca="1" si="49"/>
        <v>17.953533333333333</v>
      </c>
      <c r="K1125" s="63">
        <f t="shared" ca="1" si="49"/>
        <v>17.960091666666667</v>
      </c>
    </row>
    <row r="1126" spans="1:11" ht="15">
      <c r="A1126" s="3">
        <v>2091</v>
      </c>
      <c r="B1126" s="63">
        <f t="shared" ca="1" si="49"/>
        <v>16.098591666666668</v>
      </c>
      <c r="C1126" s="63">
        <f t="shared" ca="1" si="49"/>
        <v>16.098591666666668</v>
      </c>
      <c r="D1126" s="63">
        <f t="shared" ca="1" si="49"/>
        <v>16.103983333333336</v>
      </c>
      <c r="E1126" s="63">
        <f t="shared" ca="1" si="49"/>
        <v>18.210533333333338</v>
      </c>
      <c r="F1126" s="63">
        <f t="shared" ca="1" si="49"/>
        <v>18.210533333333338</v>
      </c>
      <c r="G1126" s="63">
        <f t="shared" ca="1" si="49"/>
        <v>18.217124999999999</v>
      </c>
      <c r="H1126" s="63">
        <f t="shared" ca="1" si="49"/>
        <v>30.039275</v>
      </c>
      <c r="I1126" s="63">
        <f t="shared" ca="1" si="49"/>
        <v>30.045866666666665</v>
      </c>
      <c r="J1126" s="63">
        <f t="shared" ca="1" si="49"/>
        <v>18.210533333333338</v>
      </c>
      <c r="K1126" s="63">
        <f t="shared" ca="1" si="49"/>
        <v>18.217124999999999</v>
      </c>
    </row>
    <row r="1127" spans="1:11" ht="15">
      <c r="A1127" s="3">
        <v>2092</v>
      </c>
      <c r="B1127" s="63">
        <f t="shared" ref="B1127:K1135" ca="1" si="50">AVERAGE(OFFSET(B$581,($A1127-$A$1097)*12,0,12,1))</f>
        <v>16.336183333333331</v>
      </c>
      <c r="C1127" s="63">
        <f t="shared" ca="1" si="50"/>
        <v>16.336183333333331</v>
      </c>
      <c r="D1127" s="63">
        <f t="shared" ca="1" si="50"/>
        <v>16.3416</v>
      </c>
      <c r="E1127" s="63">
        <f t="shared" ca="1" si="50"/>
        <v>18.467549999999999</v>
      </c>
      <c r="F1127" s="63">
        <f t="shared" ca="1" si="50"/>
        <v>18.467549999999999</v>
      </c>
      <c r="G1127" s="63">
        <f t="shared" ca="1" si="50"/>
        <v>18.474133333333331</v>
      </c>
      <c r="H1127" s="63">
        <f t="shared" ca="1" si="50"/>
        <v>30.471233333333327</v>
      </c>
      <c r="I1127" s="63">
        <f t="shared" ca="1" si="50"/>
        <v>30.477800000000002</v>
      </c>
      <c r="J1127" s="63">
        <f t="shared" ca="1" si="50"/>
        <v>18.467549999999999</v>
      </c>
      <c r="K1127" s="63">
        <f t="shared" ca="1" si="50"/>
        <v>18.474133333333331</v>
      </c>
    </row>
    <row r="1128" spans="1:11" ht="15">
      <c r="A1128" s="3">
        <v>2093</v>
      </c>
      <c r="B1128" s="63">
        <f t="shared" ca="1" si="50"/>
        <v>16.573799999999999</v>
      </c>
      <c r="C1128" s="63">
        <f t="shared" ca="1" si="50"/>
        <v>16.573799999999999</v>
      </c>
      <c r="D1128" s="63">
        <f t="shared" ca="1" si="50"/>
        <v>16.579208333333334</v>
      </c>
      <c r="E1128" s="63">
        <f t="shared" ca="1" si="50"/>
        <v>18.724558333333331</v>
      </c>
      <c r="F1128" s="63">
        <f t="shared" ca="1" si="50"/>
        <v>18.724558333333331</v>
      </c>
      <c r="G1128" s="63">
        <f t="shared" ca="1" si="50"/>
        <v>18.73115</v>
      </c>
      <c r="H1128" s="63">
        <f t="shared" ca="1" si="50"/>
        <v>30.903175000000005</v>
      </c>
      <c r="I1128" s="63">
        <f t="shared" ca="1" si="50"/>
        <v>30.909758333333329</v>
      </c>
      <c r="J1128" s="63">
        <f t="shared" ca="1" si="50"/>
        <v>18.724558333333331</v>
      </c>
      <c r="K1128" s="63">
        <f t="shared" ca="1" si="50"/>
        <v>18.73115</v>
      </c>
    </row>
    <row r="1129" spans="1:11" ht="15">
      <c r="A1129" s="3">
        <v>2094</v>
      </c>
      <c r="B1129" s="63">
        <f t="shared" ca="1" si="50"/>
        <v>16.81141666666667</v>
      </c>
      <c r="C1129" s="63">
        <f t="shared" ca="1" si="50"/>
        <v>16.81141666666667</v>
      </c>
      <c r="D1129" s="63">
        <f t="shared" ca="1" si="50"/>
        <v>16.816824999999998</v>
      </c>
      <c r="E1129" s="63">
        <f t="shared" ca="1" si="50"/>
        <v>18.981583333333333</v>
      </c>
      <c r="F1129" s="63">
        <f t="shared" ca="1" si="50"/>
        <v>18.981583333333333</v>
      </c>
      <c r="G1129" s="63">
        <f t="shared" ca="1" si="50"/>
        <v>18.988141666666667</v>
      </c>
      <c r="H1129" s="63">
        <f t="shared" ca="1" si="50"/>
        <v>31.335108333333334</v>
      </c>
      <c r="I1129" s="63">
        <f t="shared" ca="1" si="50"/>
        <v>31.341700000000003</v>
      </c>
      <c r="J1129" s="63">
        <f t="shared" ca="1" si="50"/>
        <v>18.981583333333333</v>
      </c>
      <c r="K1129" s="63">
        <f t="shared" ca="1" si="50"/>
        <v>18.988141666666667</v>
      </c>
    </row>
    <row r="1130" spans="1:11" ht="15">
      <c r="A1130" s="3">
        <v>2095</v>
      </c>
      <c r="B1130" s="63">
        <f t="shared" ca="1" si="50"/>
        <v>17.049025</v>
      </c>
      <c r="C1130" s="63">
        <f t="shared" ca="1" si="50"/>
        <v>17.049025</v>
      </c>
      <c r="D1130" s="63">
        <f t="shared" ca="1" si="50"/>
        <v>17.054433333333336</v>
      </c>
      <c r="E1130" s="63">
        <f t="shared" ca="1" si="50"/>
        <v>19.238591666666668</v>
      </c>
      <c r="F1130" s="63">
        <f t="shared" ca="1" si="50"/>
        <v>19.238591666666668</v>
      </c>
      <c r="G1130" s="63">
        <f t="shared" ca="1" si="50"/>
        <v>19.245158333333336</v>
      </c>
      <c r="H1130" s="63">
        <f t="shared" ca="1" si="50"/>
        <v>31.767058333333324</v>
      </c>
      <c r="I1130" s="63">
        <f t="shared" ca="1" si="50"/>
        <v>31.773650000000004</v>
      </c>
      <c r="J1130" s="63">
        <f t="shared" ca="1" si="50"/>
        <v>19.238591666666668</v>
      </c>
      <c r="K1130" s="63">
        <f t="shared" ca="1" si="50"/>
        <v>19.245158333333336</v>
      </c>
    </row>
    <row r="1131" spans="1:11" ht="15">
      <c r="A1131" s="3">
        <v>2096</v>
      </c>
      <c r="B1131" s="63">
        <f t="shared" ca="1" si="50"/>
        <v>17.286658333333332</v>
      </c>
      <c r="C1131" s="63">
        <f t="shared" ca="1" si="50"/>
        <v>17.286658333333332</v>
      </c>
      <c r="D1131" s="63">
        <f t="shared" ca="1" si="50"/>
        <v>17.292066666666667</v>
      </c>
      <c r="E1131" s="63">
        <f t="shared" ca="1" si="50"/>
        <v>19.49559166666667</v>
      </c>
      <c r="F1131" s="63">
        <f t="shared" ca="1" si="50"/>
        <v>19.49559166666667</v>
      </c>
      <c r="G1131" s="63">
        <f t="shared" ca="1" si="50"/>
        <v>19.502174999999998</v>
      </c>
      <c r="H1131" s="63">
        <f t="shared" ca="1" si="50"/>
        <v>32.199016666666672</v>
      </c>
      <c r="I1131" s="63">
        <f t="shared" ca="1" si="50"/>
        <v>32.205591666666663</v>
      </c>
      <c r="J1131" s="63">
        <f t="shared" ca="1" si="50"/>
        <v>19.49559166666667</v>
      </c>
      <c r="K1131" s="63">
        <f t="shared" ca="1" si="50"/>
        <v>19.502174999999998</v>
      </c>
    </row>
    <row r="1132" spans="1:11" ht="15">
      <c r="A1132" s="3">
        <v>2097</v>
      </c>
      <c r="B1132" s="63">
        <f t="shared" ca="1" si="50"/>
        <v>17.524258333333332</v>
      </c>
      <c r="C1132" s="63">
        <f t="shared" ca="1" si="50"/>
        <v>17.524258333333332</v>
      </c>
      <c r="D1132" s="63">
        <f t="shared" ca="1" si="50"/>
        <v>17.529674999999997</v>
      </c>
      <c r="E1132" s="63">
        <f t="shared" ca="1" si="50"/>
        <v>19.752591666666664</v>
      </c>
      <c r="F1132" s="63">
        <f t="shared" ca="1" si="50"/>
        <v>19.752591666666664</v>
      </c>
      <c r="G1132" s="63">
        <f t="shared" ca="1" si="50"/>
        <v>19.759174999999999</v>
      </c>
      <c r="H1132" s="63">
        <f t="shared" ca="1" si="50"/>
        <v>32.630966666666666</v>
      </c>
      <c r="I1132" s="63">
        <f t="shared" ca="1" si="50"/>
        <v>32.637541666666671</v>
      </c>
      <c r="J1132" s="63">
        <f t="shared" ca="1" si="50"/>
        <v>19.752591666666664</v>
      </c>
      <c r="K1132" s="63">
        <f t="shared" ca="1" si="50"/>
        <v>19.759174999999999</v>
      </c>
    </row>
    <row r="1133" spans="1:11" ht="15">
      <c r="A1133" s="3">
        <v>2098</v>
      </c>
      <c r="B1133" s="63">
        <f t="shared" ca="1" si="50"/>
        <v>17.761866666666666</v>
      </c>
      <c r="C1133" s="63">
        <f t="shared" ca="1" si="50"/>
        <v>17.761866666666666</v>
      </c>
      <c r="D1133" s="63">
        <f t="shared" ca="1" si="50"/>
        <v>17.767275000000001</v>
      </c>
      <c r="E1133" s="63">
        <f t="shared" ca="1" si="50"/>
        <v>20.009608333333329</v>
      </c>
      <c r="F1133" s="63">
        <f t="shared" ca="1" si="50"/>
        <v>20.009608333333329</v>
      </c>
      <c r="G1133" s="63">
        <f t="shared" ca="1" si="50"/>
        <v>20.016191666666664</v>
      </c>
      <c r="H1133" s="63">
        <f t="shared" ca="1" si="50"/>
        <v>33.062925</v>
      </c>
      <c r="I1133" s="63">
        <f t="shared" ca="1" si="50"/>
        <v>33.069508333333339</v>
      </c>
      <c r="J1133" s="63">
        <f t="shared" ca="1" si="50"/>
        <v>20.009608333333329</v>
      </c>
      <c r="K1133" s="63">
        <f t="shared" ca="1" si="50"/>
        <v>20.016191666666664</v>
      </c>
    </row>
    <row r="1134" spans="1:11" ht="15">
      <c r="A1134" s="3">
        <v>2099</v>
      </c>
      <c r="B1134" s="63">
        <f t="shared" ca="1" si="50"/>
        <v>17.999491666666668</v>
      </c>
      <c r="C1134" s="63">
        <f t="shared" ca="1" si="50"/>
        <v>17.999491666666668</v>
      </c>
      <c r="D1134" s="63">
        <f t="shared" ca="1" si="50"/>
        <v>18.004908333333336</v>
      </c>
      <c r="E1134" s="63">
        <f t="shared" ca="1" si="50"/>
        <v>20.266633333333331</v>
      </c>
      <c r="F1134" s="63">
        <f t="shared" ca="1" si="50"/>
        <v>20.266633333333331</v>
      </c>
      <c r="G1134" s="63">
        <f t="shared" ca="1" si="50"/>
        <v>20.273199999999999</v>
      </c>
      <c r="H1134" s="63">
        <f t="shared" ca="1" si="50"/>
        <v>33.494875</v>
      </c>
      <c r="I1134" s="63">
        <f t="shared" ca="1" si="50"/>
        <v>33.501449999999998</v>
      </c>
      <c r="J1134" s="63">
        <f t="shared" ca="1" si="50"/>
        <v>20.266633333333331</v>
      </c>
      <c r="K1134" s="63">
        <f t="shared" ca="1" si="50"/>
        <v>20.273199999999999</v>
      </c>
    </row>
    <row r="1135" spans="1:11" ht="15">
      <c r="A1135" s="3">
        <v>2100</v>
      </c>
      <c r="B1135" s="63">
        <f t="shared" ca="1" si="50"/>
        <v>18.237108333333328</v>
      </c>
      <c r="C1135" s="63">
        <f t="shared" ca="1" si="50"/>
        <v>18.237108333333328</v>
      </c>
      <c r="D1135" s="63">
        <f t="shared" ca="1" si="50"/>
        <v>18.242499999999996</v>
      </c>
      <c r="E1135" s="63">
        <f t="shared" ca="1" si="50"/>
        <v>20.523624999999999</v>
      </c>
      <c r="F1135" s="63">
        <f t="shared" ca="1" si="50"/>
        <v>20.523624999999999</v>
      </c>
      <c r="G1135" s="63">
        <f t="shared" ca="1" si="50"/>
        <v>20.530199999999997</v>
      </c>
      <c r="H1135" s="63">
        <f t="shared" ca="1" si="50"/>
        <v>33.926825000000001</v>
      </c>
      <c r="I1135" s="63">
        <f t="shared" ca="1" si="50"/>
        <v>33.933391666666672</v>
      </c>
      <c r="J1135" s="63">
        <f t="shared" ca="1" si="50"/>
        <v>20.523624999999999</v>
      </c>
      <c r="K1135" s="63">
        <f t="shared" ca="1" si="50"/>
        <v>20.530199999999997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47625</xdr:rowOff>
                  </from>
                  <to>
                    <xdr:col>6</xdr:col>
                    <xdr:colOff>381000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workbookViewId="0">
      <selection activeCell="A8" sqref="A8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70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scale="55" orientation="landscape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2016-07-29T16:30:13Z</dcterms:created>
  <dcterms:modified xsi:type="dcterms:W3CDTF">2016-07-29T16:30:17Z</dcterms:modified>
</cp:coreProperties>
</file>