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45" windowWidth="18195" windowHeight="11565" tabRatio="770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_xlnm.Print_Area" localSheetId="1">'RAP TEMPLATE-GAS AVAILABILITY'!$A$17:$J$1136</definedName>
    <definedName name="_xlnm.Print_Area" localSheetId="2">'RAP-HEAVY &amp; LIGHT OIL &amp; WTI'!$A$17:$I$1136</definedName>
    <definedName name="_xlnm.Print_Area" localSheetId="0">'RAP-NATURAL GAS PRICES'!$A$17:$S$1136</definedName>
    <definedName name="_xlnm.Print_Area" localSheetId="3">'RAP-SOLID FUEL PRICES'!$A$17:$K$1136</definedName>
    <definedName name="_xlnm.Print_Titles" localSheetId="1">'RAP TEMPLATE-GAS AVAILABILITY'!$1:$16</definedName>
    <definedName name="_xlnm.Print_Titles" localSheetId="2">'RAP-HEAVY &amp; LIGHT OIL &amp; WTI'!$1:$16</definedName>
    <definedName name="_xlnm.Print_Titles" localSheetId="0">'RAP-NATURAL GAS PRICES'!$1:$16</definedName>
    <definedName name="_xlnm.Print_Titles" localSheetId="3">'RAP-SOLID FUEL PRICES'!$1:$16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3" i="4" l="1"/>
  <c r="E13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G857" i="4"/>
  <c r="H857" i="4"/>
  <c r="I857" i="4"/>
  <c r="J857" i="4"/>
  <c r="K857" i="4"/>
  <c r="B858" i="4"/>
  <c r="C858" i="4"/>
  <c r="D858" i="4"/>
  <c r="E858" i="4"/>
  <c r="F858" i="4"/>
  <c r="G858" i="4"/>
  <c r="H858" i="4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C893" i="4"/>
  <c r="D893" i="4"/>
  <c r="E893" i="4"/>
  <c r="F893" i="4"/>
  <c r="G893" i="4"/>
  <c r="H893" i="4"/>
  <c r="I893" i="4"/>
  <c r="J893" i="4"/>
  <c r="K893" i="4"/>
  <c r="B894" i="4"/>
  <c r="C894" i="4"/>
  <c r="D894" i="4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G905" i="4"/>
  <c r="H905" i="4"/>
  <c r="I905" i="4"/>
  <c r="J905" i="4"/>
  <c r="K905" i="4"/>
  <c r="B906" i="4"/>
  <c r="C906" i="4"/>
  <c r="D906" i="4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E918" i="4"/>
  <c r="F918" i="4"/>
  <c r="G918" i="4"/>
  <c r="H918" i="4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G929" i="4"/>
  <c r="H929" i="4"/>
  <c r="I929" i="4"/>
  <c r="J929" i="4"/>
  <c r="K929" i="4"/>
  <c r="B930" i="4"/>
  <c r="C930" i="4"/>
  <c r="D930" i="4"/>
  <c r="E930" i="4"/>
  <c r="F930" i="4"/>
  <c r="G930" i="4"/>
  <c r="H930" i="4"/>
  <c r="I930" i="4"/>
  <c r="J930" i="4"/>
  <c r="K930" i="4"/>
  <c r="B931" i="4"/>
  <c r="C931" i="4"/>
  <c r="D931" i="4"/>
  <c r="E931" i="4"/>
  <c r="F931" i="4"/>
  <c r="G931" i="4"/>
  <c r="H931" i="4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G941" i="4"/>
  <c r="H941" i="4"/>
  <c r="I941" i="4"/>
  <c r="J941" i="4"/>
  <c r="K941" i="4"/>
  <c r="B942" i="4"/>
  <c r="C942" i="4"/>
  <c r="D942" i="4"/>
  <c r="E942" i="4"/>
  <c r="F942" i="4"/>
  <c r="G942" i="4"/>
  <c r="H942" i="4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C953" i="4"/>
  <c r="D953" i="4"/>
  <c r="E953" i="4"/>
  <c r="F953" i="4"/>
  <c r="G953" i="4"/>
  <c r="H953" i="4"/>
  <c r="I953" i="4"/>
  <c r="J953" i="4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C965" i="4"/>
  <c r="D965" i="4"/>
  <c r="E965" i="4"/>
  <c r="F965" i="4"/>
  <c r="G965" i="4"/>
  <c r="H965" i="4"/>
  <c r="I965" i="4"/>
  <c r="J965" i="4"/>
  <c r="K965" i="4"/>
  <c r="B966" i="4"/>
  <c r="C966" i="4"/>
  <c r="D966" i="4"/>
  <c r="E966" i="4"/>
  <c r="F966" i="4"/>
  <c r="G966" i="4"/>
  <c r="H966" i="4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C977" i="4"/>
  <c r="D977" i="4"/>
  <c r="E977" i="4"/>
  <c r="F977" i="4"/>
  <c r="G977" i="4"/>
  <c r="H977" i="4"/>
  <c r="I977" i="4"/>
  <c r="J977" i="4"/>
  <c r="K977" i="4"/>
  <c r="B978" i="4"/>
  <c r="C978" i="4"/>
  <c r="D978" i="4"/>
  <c r="E978" i="4"/>
  <c r="F978" i="4"/>
  <c r="G978" i="4"/>
  <c r="H978" i="4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E990" i="4"/>
  <c r="F990" i="4"/>
  <c r="G990" i="4"/>
  <c r="H990" i="4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C1001" i="4"/>
  <c r="D1001" i="4"/>
  <c r="E1001" i="4"/>
  <c r="F1001" i="4"/>
  <c r="G1001" i="4"/>
  <c r="H1001" i="4"/>
  <c r="I1001" i="4"/>
  <c r="J1001" i="4"/>
  <c r="K1001" i="4"/>
  <c r="B1002" i="4"/>
  <c r="C1002" i="4"/>
  <c r="D1002" i="4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C1013" i="4"/>
  <c r="D1013" i="4"/>
  <c r="E1013" i="4"/>
  <c r="F1013" i="4"/>
  <c r="G1013" i="4"/>
  <c r="H1013" i="4"/>
  <c r="I1013" i="4"/>
  <c r="J1013" i="4"/>
  <c r="K1013" i="4"/>
  <c r="B1014" i="4"/>
  <c r="C1014" i="4"/>
  <c r="D1014" i="4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C1025" i="4"/>
  <c r="D1025" i="4"/>
  <c r="E1025" i="4"/>
  <c r="F1025" i="4"/>
  <c r="G1025" i="4"/>
  <c r="H1025" i="4"/>
  <c r="I1025" i="4"/>
  <c r="J1025" i="4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B1030" i="4"/>
  <c r="C1030" i="4"/>
  <c r="D1030" i="4"/>
  <c r="E1030" i="4"/>
  <c r="F1030" i="4"/>
  <c r="G1030" i="4"/>
  <c r="H1030" i="4"/>
  <c r="I1030" i="4"/>
  <c r="J1030" i="4"/>
  <c r="K1030" i="4"/>
  <c r="B1031" i="4"/>
  <c r="C1031" i="4"/>
  <c r="D1031" i="4"/>
  <c r="E1031" i="4"/>
  <c r="F1031" i="4"/>
  <c r="G1031" i="4"/>
  <c r="H1031" i="4"/>
  <c r="I1031" i="4"/>
  <c r="J1031" i="4"/>
  <c r="K1031" i="4"/>
  <c r="B1032" i="4"/>
  <c r="C1032" i="4"/>
  <c r="D1032" i="4"/>
  <c r="E1032" i="4"/>
  <c r="F1032" i="4"/>
  <c r="G1032" i="4"/>
  <c r="H1032" i="4"/>
  <c r="I1032" i="4"/>
  <c r="J1032" i="4"/>
  <c r="K1032" i="4"/>
  <c r="B1033" i="4"/>
  <c r="C1033" i="4"/>
  <c r="D1033" i="4"/>
  <c r="E1033" i="4"/>
  <c r="F1033" i="4"/>
  <c r="G1033" i="4"/>
  <c r="H1033" i="4"/>
  <c r="I1033" i="4"/>
  <c r="J1033" i="4"/>
  <c r="K1033" i="4"/>
  <c r="B1034" i="4"/>
  <c r="C1034" i="4"/>
  <c r="D1034" i="4"/>
  <c r="E1034" i="4"/>
  <c r="F1034" i="4"/>
  <c r="G1034" i="4"/>
  <c r="H1034" i="4"/>
  <c r="I1034" i="4"/>
  <c r="J1034" i="4"/>
  <c r="K1034" i="4"/>
  <c r="B1035" i="4"/>
  <c r="C1035" i="4"/>
  <c r="D1035" i="4"/>
  <c r="E1035" i="4"/>
  <c r="F1035" i="4"/>
  <c r="G1035" i="4"/>
  <c r="H1035" i="4"/>
  <c r="I1035" i="4"/>
  <c r="J1035" i="4"/>
  <c r="K1035" i="4"/>
  <c r="B1036" i="4"/>
  <c r="C1036" i="4"/>
  <c r="D1036" i="4"/>
  <c r="E1036" i="4"/>
  <c r="F1036" i="4"/>
  <c r="G1036" i="4"/>
  <c r="H1036" i="4"/>
  <c r="I1036" i="4"/>
  <c r="J1036" i="4"/>
  <c r="K1036" i="4"/>
  <c r="B1037" i="4"/>
  <c r="C1037" i="4"/>
  <c r="D1037" i="4"/>
  <c r="E1037" i="4"/>
  <c r="F1037" i="4"/>
  <c r="G1037" i="4"/>
  <c r="H1037" i="4"/>
  <c r="I1037" i="4"/>
  <c r="J1037" i="4"/>
  <c r="K1037" i="4"/>
  <c r="B1038" i="4"/>
  <c r="C1038" i="4"/>
  <c r="D1038" i="4"/>
  <c r="E1038" i="4"/>
  <c r="F1038" i="4"/>
  <c r="G1038" i="4"/>
  <c r="H1038" i="4"/>
  <c r="I1038" i="4"/>
  <c r="J1038" i="4"/>
  <c r="K1038" i="4"/>
  <c r="B1039" i="4"/>
  <c r="C1039" i="4"/>
  <c r="D1039" i="4"/>
  <c r="E1039" i="4"/>
  <c r="F1039" i="4"/>
  <c r="G1039" i="4"/>
  <c r="H1039" i="4"/>
  <c r="I1039" i="4"/>
  <c r="J1039" i="4"/>
  <c r="K1039" i="4"/>
  <c r="B1040" i="4"/>
  <c r="C1040" i="4"/>
  <c r="D1040" i="4"/>
  <c r="E1040" i="4"/>
  <c r="F1040" i="4"/>
  <c r="G1040" i="4"/>
  <c r="H1040" i="4"/>
  <c r="I1040" i="4"/>
  <c r="J1040" i="4"/>
  <c r="K1040" i="4"/>
  <c r="B1041" i="4"/>
  <c r="C1041" i="4"/>
  <c r="D1041" i="4"/>
  <c r="E1041" i="4"/>
  <c r="F1041" i="4"/>
  <c r="G1041" i="4"/>
  <c r="H1041" i="4"/>
  <c r="I1041" i="4"/>
  <c r="J1041" i="4"/>
  <c r="K1041" i="4"/>
  <c r="B1042" i="4"/>
  <c r="C1042" i="4"/>
  <c r="D1042" i="4"/>
  <c r="E1042" i="4"/>
  <c r="F1042" i="4"/>
  <c r="G1042" i="4"/>
  <c r="H1042" i="4"/>
  <c r="I1042" i="4"/>
  <c r="J1042" i="4"/>
  <c r="K1042" i="4"/>
  <c r="B1043" i="4"/>
  <c r="C1043" i="4"/>
  <c r="D1043" i="4"/>
  <c r="E1043" i="4"/>
  <c r="F1043" i="4"/>
  <c r="G1043" i="4"/>
  <c r="H1043" i="4"/>
  <c r="I1043" i="4"/>
  <c r="J1043" i="4"/>
  <c r="K1043" i="4"/>
  <c r="B1044" i="4"/>
  <c r="C1044" i="4"/>
  <c r="D1044" i="4"/>
  <c r="E1044" i="4"/>
  <c r="F1044" i="4"/>
  <c r="G1044" i="4"/>
  <c r="H1044" i="4"/>
  <c r="I1044" i="4"/>
  <c r="J1044" i="4"/>
  <c r="K1044" i="4"/>
  <c r="B1045" i="4"/>
  <c r="C1045" i="4"/>
  <c r="D1045" i="4"/>
  <c r="E1045" i="4"/>
  <c r="F1045" i="4"/>
  <c r="G1045" i="4"/>
  <c r="H1045" i="4"/>
  <c r="I1045" i="4"/>
  <c r="J1045" i="4"/>
  <c r="K1045" i="4"/>
  <c r="B1046" i="4"/>
  <c r="C1046" i="4"/>
  <c r="D1046" i="4"/>
  <c r="E1046" i="4"/>
  <c r="F1046" i="4"/>
  <c r="G1046" i="4"/>
  <c r="H1046" i="4"/>
  <c r="I1046" i="4"/>
  <c r="J1046" i="4"/>
  <c r="K1046" i="4"/>
  <c r="B1047" i="4"/>
  <c r="C1047" i="4"/>
  <c r="D1047" i="4"/>
  <c r="E1047" i="4"/>
  <c r="F1047" i="4"/>
  <c r="G1047" i="4"/>
  <c r="H1047" i="4"/>
  <c r="I1047" i="4"/>
  <c r="J1047" i="4"/>
  <c r="K1047" i="4"/>
  <c r="B1048" i="4"/>
  <c r="C1048" i="4"/>
  <c r="D1048" i="4"/>
  <c r="E1048" i="4"/>
  <c r="F1048" i="4"/>
  <c r="G1048" i="4"/>
  <c r="H1048" i="4"/>
  <c r="I1048" i="4"/>
  <c r="J1048" i="4"/>
  <c r="K1048" i="4"/>
  <c r="J1097" i="4"/>
  <c r="F1102" i="4"/>
  <c r="C13" i="3"/>
  <c r="E13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B1037" i="3"/>
  <c r="C1037" i="3"/>
  <c r="D1037" i="3"/>
  <c r="E1037" i="3"/>
  <c r="B1038" i="3"/>
  <c r="C1038" i="3"/>
  <c r="D1038" i="3"/>
  <c r="E1038" i="3"/>
  <c r="B1039" i="3"/>
  <c r="C1039" i="3"/>
  <c r="D1039" i="3"/>
  <c r="E1039" i="3"/>
  <c r="B1040" i="3"/>
  <c r="C1040" i="3"/>
  <c r="D1040" i="3"/>
  <c r="E1040" i="3"/>
  <c r="B1041" i="3"/>
  <c r="C1041" i="3"/>
  <c r="D1041" i="3"/>
  <c r="E1041" i="3"/>
  <c r="B1042" i="3"/>
  <c r="C1042" i="3"/>
  <c r="D1042" i="3"/>
  <c r="E1042" i="3"/>
  <c r="B1043" i="3"/>
  <c r="C1043" i="3"/>
  <c r="D1043" i="3"/>
  <c r="E1043" i="3"/>
  <c r="B1044" i="3"/>
  <c r="C1044" i="3"/>
  <c r="D1044" i="3"/>
  <c r="E1044" i="3"/>
  <c r="B1045" i="3"/>
  <c r="C1045" i="3"/>
  <c r="D1045" i="3"/>
  <c r="E1045" i="3"/>
  <c r="B1046" i="3"/>
  <c r="C1046" i="3"/>
  <c r="D1046" i="3"/>
  <c r="E1046" i="3"/>
  <c r="B1047" i="3"/>
  <c r="C1047" i="3"/>
  <c r="D1047" i="3"/>
  <c r="E1047" i="3"/>
  <c r="B1048" i="3"/>
  <c r="C1048" i="3"/>
  <c r="D1048" i="3"/>
  <c r="E1048" i="3"/>
  <c r="B1050" i="3"/>
  <c r="C1050" i="3"/>
  <c r="D1050" i="3"/>
  <c r="B1051" i="3"/>
  <c r="B1052" i="3"/>
  <c r="D1052" i="3"/>
  <c r="E1052" i="3"/>
  <c r="B1053" i="3"/>
  <c r="B1054" i="3"/>
  <c r="D1054" i="3"/>
  <c r="E1054" i="3"/>
  <c r="B1055" i="3"/>
  <c r="E1055" i="3"/>
  <c r="B1056" i="3"/>
  <c r="C1056" i="3"/>
  <c r="D1056" i="3"/>
  <c r="B1057" i="3"/>
  <c r="B1058" i="3"/>
  <c r="D1058" i="3"/>
  <c r="E1058" i="3"/>
  <c r="B1059" i="3"/>
  <c r="B1060" i="3"/>
  <c r="E1060" i="3"/>
  <c r="B1061" i="3"/>
  <c r="E1061" i="3"/>
  <c r="B1062" i="3"/>
  <c r="D1062" i="3"/>
  <c r="B1063" i="3"/>
  <c r="B1064" i="3"/>
  <c r="D1064" i="3"/>
  <c r="B1065" i="3"/>
  <c r="E1065" i="3"/>
  <c r="B1066" i="3"/>
  <c r="E1066" i="3"/>
  <c r="B1067" i="3"/>
  <c r="B1068" i="3"/>
  <c r="D1068" i="3"/>
  <c r="B1069" i="3"/>
  <c r="B1070" i="3"/>
  <c r="E1070" i="3"/>
  <c r="B1071" i="3"/>
  <c r="E1071" i="3"/>
  <c r="B1072" i="3"/>
  <c r="A1073" i="3"/>
  <c r="A1074" i="3" s="1"/>
  <c r="A1075" i="3" s="1"/>
  <c r="A1076" i="3" s="1"/>
  <c r="B1073" i="3"/>
  <c r="C1073" i="3"/>
  <c r="D1073" i="3"/>
  <c r="E1073" i="3"/>
  <c r="B1074" i="3"/>
  <c r="E1074" i="3"/>
  <c r="B1075" i="3"/>
  <c r="D1075" i="3"/>
  <c r="B1076" i="3"/>
  <c r="D1076" i="3"/>
  <c r="A1077" i="3"/>
  <c r="A1078" i="3" s="1"/>
  <c r="A1079" i="3" s="1"/>
  <c r="B1077" i="3"/>
  <c r="B1078" i="3"/>
  <c r="B1079" i="3"/>
  <c r="D1079" i="3"/>
  <c r="A1080" i="3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B1080" i="3"/>
  <c r="D1080" i="3"/>
  <c r="B1081" i="3"/>
  <c r="E1081" i="3"/>
  <c r="B1082" i="3"/>
  <c r="D1082" i="3"/>
  <c r="E1082" i="3"/>
  <c r="B1083" i="3"/>
  <c r="D1083" i="3"/>
  <c r="B1084" i="3"/>
  <c r="D1084" i="3"/>
  <c r="B1085" i="3"/>
  <c r="C1085" i="3"/>
  <c r="B1086" i="3"/>
  <c r="D1086" i="3"/>
  <c r="B1087" i="3"/>
  <c r="D1087" i="3"/>
  <c r="E1087" i="3"/>
  <c r="B1088" i="3"/>
  <c r="B1089" i="3"/>
  <c r="D1089" i="3"/>
  <c r="E1089" i="3"/>
  <c r="B1090" i="3"/>
  <c r="E1090" i="3"/>
  <c r="B1091" i="3"/>
  <c r="D1091" i="3"/>
  <c r="B1092" i="3"/>
  <c r="D1092" i="3"/>
  <c r="B1093" i="3"/>
  <c r="C1093" i="3"/>
  <c r="B1094" i="3"/>
  <c r="B1095" i="3"/>
  <c r="D1095" i="3"/>
  <c r="B1096" i="3"/>
  <c r="D1096" i="3"/>
  <c r="A1098" i="3"/>
  <c r="C1098" i="3" s="1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50" i="2"/>
  <c r="C1050" i="2"/>
  <c r="D1050" i="2"/>
  <c r="E1050" i="2"/>
  <c r="F1050" i="2"/>
  <c r="G1050" i="2"/>
  <c r="I1050" i="2"/>
  <c r="J1050" i="2"/>
  <c r="B1051" i="2"/>
  <c r="C1051" i="2"/>
  <c r="D1051" i="2"/>
  <c r="E1051" i="2"/>
  <c r="F1051" i="2"/>
  <c r="G1051" i="2"/>
  <c r="I1051" i="2"/>
  <c r="J1051" i="2"/>
  <c r="B1052" i="2"/>
  <c r="C1052" i="2"/>
  <c r="D1052" i="2"/>
  <c r="E1052" i="2"/>
  <c r="F1052" i="2"/>
  <c r="G1052" i="2"/>
  <c r="H1052" i="2"/>
  <c r="I1052" i="2"/>
  <c r="J1052" i="2"/>
  <c r="B1053" i="2"/>
  <c r="C1053" i="2"/>
  <c r="D1053" i="2"/>
  <c r="E1053" i="2"/>
  <c r="F1053" i="2"/>
  <c r="G1053" i="2"/>
  <c r="H1053" i="2"/>
  <c r="I1053" i="2"/>
  <c r="J1053" i="2"/>
  <c r="B1054" i="2"/>
  <c r="C1054" i="2"/>
  <c r="D1054" i="2"/>
  <c r="E1054" i="2"/>
  <c r="F1054" i="2"/>
  <c r="G1054" i="2"/>
  <c r="H1054" i="2"/>
  <c r="I1054" i="2"/>
  <c r="J1054" i="2"/>
  <c r="B1055" i="2"/>
  <c r="C1055" i="2"/>
  <c r="D1055" i="2"/>
  <c r="E1055" i="2"/>
  <c r="F1055" i="2"/>
  <c r="G1055" i="2"/>
  <c r="H1055" i="2"/>
  <c r="I1055" i="2"/>
  <c r="J1055" i="2"/>
  <c r="B1056" i="2"/>
  <c r="C1056" i="2"/>
  <c r="D1056" i="2"/>
  <c r="E1056" i="2"/>
  <c r="F1056" i="2"/>
  <c r="G1056" i="2"/>
  <c r="H1056" i="2"/>
  <c r="I1056" i="2"/>
  <c r="J1056" i="2"/>
  <c r="B1057" i="2"/>
  <c r="C1057" i="2"/>
  <c r="D1057" i="2"/>
  <c r="E1057" i="2"/>
  <c r="F1057" i="2"/>
  <c r="G1057" i="2"/>
  <c r="H1057" i="2"/>
  <c r="I1057" i="2"/>
  <c r="J1057" i="2"/>
  <c r="B1058" i="2"/>
  <c r="C1058" i="2"/>
  <c r="D1058" i="2"/>
  <c r="E1058" i="2"/>
  <c r="F1058" i="2"/>
  <c r="G1058" i="2"/>
  <c r="H1058" i="2"/>
  <c r="I1058" i="2"/>
  <c r="J1058" i="2"/>
  <c r="B1059" i="2"/>
  <c r="C1059" i="2"/>
  <c r="D1059" i="2"/>
  <c r="E1059" i="2"/>
  <c r="F1059" i="2"/>
  <c r="G1059" i="2"/>
  <c r="H1059" i="2"/>
  <c r="I1059" i="2"/>
  <c r="J1059" i="2"/>
  <c r="B1060" i="2"/>
  <c r="C1060" i="2"/>
  <c r="D1060" i="2"/>
  <c r="E1060" i="2"/>
  <c r="F1060" i="2"/>
  <c r="G1060" i="2"/>
  <c r="H1060" i="2"/>
  <c r="I1060" i="2"/>
  <c r="J1060" i="2"/>
  <c r="B1061" i="2"/>
  <c r="C1061" i="2"/>
  <c r="D1061" i="2"/>
  <c r="E1061" i="2"/>
  <c r="F1061" i="2"/>
  <c r="G1061" i="2"/>
  <c r="H1061" i="2"/>
  <c r="I1061" i="2"/>
  <c r="J1061" i="2"/>
  <c r="B1062" i="2"/>
  <c r="C1062" i="2"/>
  <c r="D1062" i="2"/>
  <c r="E1062" i="2"/>
  <c r="F1062" i="2"/>
  <c r="G1062" i="2"/>
  <c r="H1062" i="2"/>
  <c r="I1062" i="2"/>
  <c r="J1062" i="2"/>
  <c r="B1063" i="2"/>
  <c r="C1063" i="2"/>
  <c r="D1063" i="2"/>
  <c r="E1063" i="2"/>
  <c r="F1063" i="2"/>
  <c r="G1063" i="2"/>
  <c r="H1063" i="2"/>
  <c r="I1063" i="2"/>
  <c r="J1063" i="2"/>
  <c r="B1064" i="2"/>
  <c r="C1064" i="2"/>
  <c r="D1064" i="2"/>
  <c r="E1064" i="2"/>
  <c r="F1064" i="2"/>
  <c r="G1064" i="2"/>
  <c r="H1064" i="2"/>
  <c r="I1064" i="2"/>
  <c r="J1064" i="2"/>
  <c r="B1065" i="2"/>
  <c r="C1065" i="2"/>
  <c r="D1065" i="2"/>
  <c r="E1065" i="2"/>
  <c r="F1065" i="2"/>
  <c r="G1065" i="2"/>
  <c r="H1065" i="2"/>
  <c r="I1065" i="2"/>
  <c r="J1065" i="2"/>
  <c r="B1066" i="2"/>
  <c r="C1066" i="2"/>
  <c r="D1066" i="2"/>
  <c r="E1066" i="2"/>
  <c r="F1066" i="2"/>
  <c r="G1066" i="2"/>
  <c r="H1066" i="2"/>
  <c r="I1066" i="2"/>
  <c r="J1066" i="2"/>
  <c r="B1067" i="2"/>
  <c r="C1067" i="2"/>
  <c r="D1067" i="2"/>
  <c r="E1067" i="2"/>
  <c r="F1067" i="2"/>
  <c r="G1067" i="2"/>
  <c r="H1067" i="2"/>
  <c r="I1067" i="2"/>
  <c r="J1067" i="2"/>
  <c r="B1068" i="2"/>
  <c r="C1068" i="2"/>
  <c r="D1068" i="2"/>
  <c r="E1068" i="2"/>
  <c r="F1068" i="2"/>
  <c r="G1068" i="2"/>
  <c r="H1068" i="2"/>
  <c r="I1068" i="2"/>
  <c r="J1068" i="2"/>
  <c r="B1069" i="2"/>
  <c r="C1069" i="2"/>
  <c r="D1069" i="2"/>
  <c r="E1069" i="2"/>
  <c r="F1069" i="2"/>
  <c r="G1069" i="2"/>
  <c r="H1069" i="2"/>
  <c r="I1069" i="2"/>
  <c r="J1069" i="2"/>
  <c r="B1070" i="2"/>
  <c r="C1070" i="2"/>
  <c r="D1070" i="2"/>
  <c r="E1070" i="2"/>
  <c r="F1070" i="2"/>
  <c r="G1070" i="2"/>
  <c r="H1070" i="2"/>
  <c r="I1070" i="2"/>
  <c r="J1070" i="2"/>
  <c r="B1071" i="2"/>
  <c r="C1071" i="2"/>
  <c r="D1071" i="2"/>
  <c r="E1071" i="2"/>
  <c r="F1071" i="2"/>
  <c r="G1071" i="2"/>
  <c r="H1071" i="2"/>
  <c r="I1071" i="2"/>
  <c r="J1071" i="2"/>
  <c r="B1072" i="2"/>
  <c r="C1072" i="2"/>
  <c r="D1072" i="2"/>
  <c r="E1072" i="2"/>
  <c r="F1072" i="2"/>
  <c r="G1072" i="2"/>
  <c r="H1072" i="2"/>
  <c r="I1072" i="2"/>
  <c r="J1072" i="2"/>
  <c r="A1073" i="2"/>
  <c r="B1073" i="2"/>
  <c r="C1073" i="2"/>
  <c r="D1073" i="2"/>
  <c r="E1073" i="2"/>
  <c r="F1073" i="2"/>
  <c r="G1073" i="2"/>
  <c r="H1073" i="2"/>
  <c r="I1073" i="2"/>
  <c r="J1073" i="2"/>
  <c r="A1074" i="2"/>
  <c r="C1074" i="2"/>
  <c r="D1074" i="2"/>
  <c r="E1074" i="2"/>
  <c r="F1074" i="2"/>
  <c r="G1074" i="2"/>
  <c r="H1074" i="2"/>
  <c r="I1074" i="2"/>
  <c r="J1074" i="2"/>
  <c r="C1075" i="2"/>
  <c r="D1075" i="2"/>
  <c r="E1075" i="2"/>
  <c r="F1075" i="2"/>
  <c r="G1075" i="2"/>
  <c r="H1075" i="2"/>
  <c r="I1075" i="2"/>
  <c r="J1075" i="2"/>
  <c r="C1076" i="2"/>
  <c r="D1076" i="2"/>
  <c r="E1076" i="2"/>
  <c r="F1076" i="2"/>
  <c r="G1076" i="2"/>
  <c r="H1076" i="2"/>
  <c r="I1076" i="2"/>
  <c r="J1076" i="2"/>
  <c r="C1077" i="2"/>
  <c r="D1077" i="2"/>
  <c r="E1077" i="2"/>
  <c r="F1077" i="2"/>
  <c r="G1077" i="2"/>
  <c r="H1077" i="2"/>
  <c r="I1077" i="2"/>
  <c r="J1077" i="2"/>
  <c r="C1078" i="2"/>
  <c r="D1078" i="2"/>
  <c r="E1078" i="2"/>
  <c r="F1078" i="2"/>
  <c r="G1078" i="2"/>
  <c r="H1078" i="2"/>
  <c r="I1078" i="2"/>
  <c r="J1078" i="2"/>
  <c r="C1079" i="2"/>
  <c r="D1079" i="2"/>
  <c r="E1079" i="2"/>
  <c r="F1079" i="2"/>
  <c r="G1079" i="2"/>
  <c r="H1079" i="2"/>
  <c r="I1079" i="2"/>
  <c r="J1079" i="2"/>
  <c r="C1080" i="2"/>
  <c r="D1080" i="2"/>
  <c r="E1080" i="2"/>
  <c r="F1080" i="2"/>
  <c r="G1080" i="2"/>
  <c r="H1080" i="2"/>
  <c r="I1080" i="2"/>
  <c r="J1080" i="2"/>
  <c r="C1081" i="2"/>
  <c r="D1081" i="2"/>
  <c r="E1081" i="2"/>
  <c r="F1081" i="2"/>
  <c r="G1081" i="2"/>
  <c r="H1081" i="2"/>
  <c r="I1081" i="2"/>
  <c r="J1081" i="2"/>
  <c r="C1082" i="2"/>
  <c r="D1082" i="2"/>
  <c r="E1082" i="2"/>
  <c r="F1082" i="2"/>
  <c r="G1082" i="2"/>
  <c r="H1082" i="2"/>
  <c r="I1082" i="2"/>
  <c r="J1082" i="2"/>
  <c r="C1083" i="2"/>
  <c r="D1083" i="2"/>
  <c r="E1083" i="2"/>
  <c r="F1083" i="2"/>
  <c r="G1083" i="2"/>
  <c r="H1083" i="2"/>
  <c r="I1083" i="2"/>
  <c r="J1083" i="2"/>
  <c r="C1084" i="2"/>
  <c r="D1084" i="2"/>
  <c r="E1084" i="2"/>
  <c r="F1084" i="2"/>
  <c r="G1084" i="2"/>
  <c r="H1084" i="2"/>
  <c r="I1084" i="2"/>
  <c r="J1084" i="2"/>
  <c r="C1085" i="2"/>
  <c r="D1085" i="2"/>
  <c r="E1085" i="2"/>
  <c r="F1085" i="2"/>
  <c r="G1085" i="2"/>
  <c r="H1085" i="2"/>
  <c r="I1085" i="2"/>
  <c r="J1085" i="2"/>
  <c r="C1086" i="2"/>
  <c r="D1086" i="2"/>
  <c r="E1086" i="2"/>
  <c r="F1086" i="2"/>
  <c r="G1086" i="2"/>
  <c r="H1086" i="2"/>
  <c r="I1086" i="2"/>
  <c r="J1086" i="2"/>
  <c r="C1087" i="2"/>
  <c r="D1087" i="2"/>
  <c r="E1087" i="2"/>
  <c r="F1087" i="2"/>
  <c r="G1087" i="2"/>
  <c r="H1087" i="2"/>
  <c r="I1087" i="2"/>
  <c r="J1087" i="2"/>
  <c r="C1088" i="2"/>
  <c r="D1088" i="2"/>
  <c r="E1088" i="2"/>
  <c r="F1088" i="2"/>
  <c r="G1088" i="2"/>
  <c r="H1088" i="2"/>
  <c r="I1088" i="2"/>
  <c r="J1088" i="2"/>
  <c r="C1089" i="2"/>
  <c r="D1089" i="2"/>
  <c r="E1089" i="2"/>
  <c r="F1089" i="2"/>
  <c r="G1089" i="2"/>
  <c r="H1089" i="2"/>
  <c r="I1089" i="2"/>
  <c r="J1089" i="2"/>
  <c r="C1090" i="2"/>
  <c r="D1090" i="2"/>
  <c r="E1090" i="2"/>
  <c r="F1090" i="2"/>
  <c r="G1090" i="2"/>
  <c r="H1090" i="2"/>
  <c r="I1090" i="2"/>
  <c r="J1090" i="2"/>
  <c r="C1091" i="2"/>
  <c r="D1091" i="2"/>
  <c r="E1091" i="2"/>
  <c r="F1091" i="2"/>
  <c r="G1091" i="2"/>
  <c r="H1091" i="2"/>
  <c r="I1091" i="2"/>
  <c r="J1091" i="2"/>
  <c r="C1092" i="2"/>
  <c r="D1092" i="2"/>
  <c r="E1092" i="2"/>
  <c r="F1092" i="2"/>
  <c r="G1092" i="2"/>
  <c r="H1092" i="2"/>
  <c r="I1092" i="2"/>
  <c r="J1092" i="2"/>
  <c r="C1093" i="2"/>
  <c r="D1093" i="2"/>
  <c r="E1093" i="2"/>
  <c r="F1093" i="2"/>
  <c r="G1093" i="2"/>
  <c r="H1093" i="2"/>
  <c r="I1093" i="2"/>
  <c r="J1093" i="2"/>
  <c r="C1094" i="2"/>
  <c r="D1094" i="2"/>
  <c r="E1094" i="2"/>
  <c r="F1094" i="2"/>
  <c r="G1094" i="2"/>
  <c r="H1094" i="2"/>
  <c r="I1094" i="2"/>
  <c r="J1094" i="2"/>
  <c r="C1095" i="2"/>
  <c r="D1095" i="2"/>
  <c r="E1095" i="2"/>
  <c r="F1095" i="2"/>
  <c r="G1095" i="2"/>
  <c r="H1095" i="2"/>
  <c r="I1095" i="2"/>
  <c r="J1095" i="2"/>
  <c r="C1096" i="2"/>
  <c r="D1096" i="2"/>
  <c r="E1096" i="2"/>
  <c r="F1096" i="2"/>
  <c r="G1096" i="2"/>
  <c r="H1096" i="2"/>
  <c r="I1096" i="2"/>
  <c r="J1096" i="2"/>
  <c r="D11" i="1"/>
  <c r="F11" i="1"/>
  <c r="B17" i="1"/>
  <c r="C17" i="1"/>
  <c r="D17" i="1"/>
  <c r="E17" i="1"/>
  <c r="F17" i="1"/>
  <c r="G17" i="1"/>
  <c r="H17" i="1"/>
  <c r="I17" i="1"/>
  <c r="J17" i="1"/>
  <c r="K17" i="1"/>
  <c r="R17" i="1"/>
  <c r="B18" i="1"/>
  <c r="C18" i="1"/>
  <c r="D18" i="1"/>
  <c r="E18" i="1"/>
  <c r="F18" i="1"/>
  <c r="G18" i="1"/>
  <c r="H18" i="1"/>
  <c r="I18" i="1"/>
  <c r="J18" i="1"/>
  <c r="K18" i="1"/>
  <c r="R18" i="1"/>
  <c r="B19" i="1"/>
  <c r="C19" i="1"/>
  <c r="D19" i="1"/>
  <c r="E19" i="1"/>
  <c r="F19" i="1"/>
  <c r="G19" i="1"/>
  <c r="H19" i="1"/>
  <c r="I19" i="1"/>
  <c r="J19" i="1"/>
  <c r="K19" i="1"/>
  <c r="R19" i="1"/>
  <c r="B20" i="1"/>
  <c r="C20" i="1"/>
  <c r="D20" i="1"/>
  <c r="E20" i="1"/>
  <c r="F20" i="1"/>
  <c r="G20" i="1"/>
  <c r="H20" i="1"/>
  <c r="I20" i="1"/>
  <c r="J20" i="1"/>
  <c r="K20" i="1"/>
  <c r="R20" i="1"/>
  <c r="B21" i="1"/>
  <c r="C21" i="1"/>
  <c r="D21" i="1"/>
  <c r="E21" i="1"/>
  <c r="F21" i="1"/>
  <c r="G21" i="1"/>
  <c r="H21" i="1"/>
  <c r="I21" i="1"/>
  <c r="J21" i="1"/>
  <c r="K21" i="1"/>
  <c r="R21" i="1"/>
  <c r="B22" i="1"/>
  <c r="C22" i="1"/>
  <c r="D22" i="1"/>
  <c r="E22" i="1"/>
  <c r="F22" i="1"/>
  <c r="G22" i="1"/>
  <c r="H22" i="1"/>
  <c r="I22" i="1"/>
  <c r="J22" i="1"/>
  <c r="K22" i="1"/>
  <c r="R22" i="1"/>
  <c r="B23" i="1"/>
  <c r="C23" i="1"/>
  <c r="D23" i="1"/>
  <c r="E23" i="1"/>
  <c r="F23" i="1"/>
  <c r="G23" i="1"/>
  <c r="H23" i="1"/>
  <c r="I23" i="1"/>
  <c r="J23" i="1"/>
  <c r="K23" i="1"/>
  <c r="R23" i="1"/>
  <c r="B24" i="1"/>
  <c r="C24" i="1"/>
  <c r="D24" i="1"/>
  <c r="E24" i="1"/>
  <c r="F24" i="1"/>
  <c r="G24" i="1"/>
  <c r="H24" i="1"/>
  <c r="I24" i="1"/>
  <c r="J24" i="1"/>
  <c r="K24" i="1"/>
  <c r="R24" i="1"/>
  <c r="B25" i="1"/>
  <c r="C25" i="1"/>
  <c r="D25" i="1"/>
  <c r="E25" i="1"/>
  <c r="F25" i="1"/>
  <c r="G25" i="1"/>
  <c r="H25" i="1"/>
  <c r="I25" i="1"/>
  <c r="J25" i="1"/>
  <c r="K25" i="1"/>
  <c r="R25" i="1"/>
  <c r="B26" i="1"/>
  <c r="C26" i="1"/>
  <c r="D26" i="1"/>
  <c r="E26" i="1"/>
  <c r="F26" i="1"/>
  <c r="G26" i="1"/>
  <c r="H26" i="1"/>
  <c r="I26" i="1"/>
  <c r="J26" i="1"/>
  <c r="K26" i="1"/>
  <c r="R26" i="1"/>
  <c r="B27" i="1"/>
  <c r="C27" i="1"/>
  <c r="D27" i="1"/>
  <c r="E27" i="1"/>
  <c r="F27" i="1"/>
  <c r="G27" i="1"/>
  <c r="H27" i="1"/>
  <c r="I27" i="1"/>
  <c r="J27" i="1"/>
  <c r="K27" i="1"/>
  <c r="R27" i="1"/>
  <c r="B28" i="1"/>
  <c r="C28" i="1"/>
  <c r="D28" i="1"/>
  <c r="E28" i="1"/>
  <c r="F28" i="1"/>
  <c r="G28" i="1"/>
  <c r="H28" i="1"/>
  <c r="I28" i="1"/>
  <c r="J28" i="1"/>
  <c r="K28" i="1"/>
  <c r="R28" i="1"/>
  <c r="B29" i="1"/>
  <c r="C29" i="1"/>
  <c r="D29" i="1"/>
  <c r="E29" i="1"/>
  <c r="F29" i="1"/>
  <c r="G29" i="1"/>
  <c r="H29" i="1"/>
  <c r="I29" i="1"/>
  <c r="J29" i="1"/>
  <c r="R29" i="1"/>
  <c r="B30" i="1"/>
  <c r="C30" i="1"/>
  <c r="D30" i="1"/>
  <c r="E30" i="1"/>
  <c r="F30" i="1"/>
  <c r="G30" i="1"/>
  <c r="H30" i="1"/>
  <c r="I30" i="1"/>
  <c r="J30" i="1"/>
  <c r="R30" i="1"/>
  <c r="B31" i="1"/>
  <c r="C31" i="1"/>
  <c r="D31" i="1"/>
  <c r="E31" i="1"/>
  <c r="F31" i="1"/>
  <c r="G31" i="1"/>
  <c r="H31" i="1"/>
  <c r="I31" i="1"/>
  <c r="J31" i="1"/>
  <c r="R31" i="1"/>
  <c r="B32" i="1"/>
  <c r="C32" i="1"/>
  <c r="D32" i="1"/>
  <c r="E32" i="1"/>
  <c r="F32" i="1"/>
  <c r="G32" i="1"/>
  <c r="H32" i="1"/>
  <c r="I32" i="1"/>
  <c r="J32" i="1"/>
  <c r="R32" i="1"/>
  <c r="B33" i="1"/>
  <c r="C33" i="1"/>
  <c r="D33" i="1"/>
  <c r="E33" i="1"/>
  <c r="F33" i="1"/>
  <c r="G33" i="1"/>
  <c r="H33" i="1"/>
  <c r="I33" i="1"/>
  <c r="J33" i="1"/>
  <c r="R33" i="1"/>
  <c r="B34" i="1"/>
  <c r="C34" i="1"/>
  <c r="D34" i="1"/>
  <c r="E34" i="1"/>
  <c r="F34" i="1"/>
  <c r="G34" i="1"/>
  <c r="H34" i="1"/>
  <c r="I34" i="1"/>
  <c r="J34" i="1"/>
  <c r="R34" i="1"/>
  <c r="B35" i="1"/>
  <c r="C35" i="1"/>
  <c r="D35" i="1"/>
  <c r="E35" i="1"/>
  <c r="F35" i="1"/>
  <c r="G35" i="1"/>
  <c r="H35" i="1"/>
  <c r="I35" i="1"/>
  <c r="J35" i="1"/>
  <c r="R35" i="1"/>
  <c r="B36" i="1"/>
  <c r="C36" i="1"/>
  <c r="D36" i="1"/>
  <c r="E36" i="1"/>
  <c r="F36" i="1"/>
  <c r="G36" i="1"/>
  <c r="H36" i="1"/>
  <c r="I36" i="1"/>
  <c r="J36" i="1"/>
  <c r="R36" i="1"/>
  <c r="B37" i="1"/>
  <c r="C37" i="1"/>
  <c r="D37" i="1"/>
  <c r="E37" i="1"/>
  <c r="F37" i="1"/>
  <c r="G37" i="1"/>
  <c r="H37" i="1"/>
  <c r="I37" i="1"/>
  <c r="J37" i="1"/>
  <c r="R37" i="1"/>
  <c r="B38" i="1"/>
  <c r="C38" i="1"/>
  <c r="D38" i="1"/>
  <c r="E38" i="1"/>
  <c r="F38" i="1"/>
  <c r="G38" i="1"/>
  <c r="H38" i="1"/>
  <c r="I38" i="1"/>
  <c r="J38" i="1"/>
  <c r="R38" i="1"/>
  <c r="B39" i="1"/>
  <c r="C39" i="1"/>
  <c r="D39" i="1"/>
  <c r="E39" i="1"/>
  <c r="F39" i="1"/>
  <c r="G39" i="1"/>
  <c r="H39" i="1"/>
  <c r="I39" i="1"/>
  <c r="J39" i="1"/>
  <c r="R39" i="1"/>
  <c r="B40" i="1"/>
  <c r="C40" i="1"/>
  <c r="D40" i="1"/>
  <c r="E40" i="1"/>
  <c r="F40" i="1"/>
  <c r="G40" i="1"/>
  <c r="H40" i="1"/>
  <c r="I40" i="1"/>
  <c r="J40" i="1"/>
  <c r="R40" i="1"/>
  <c r="B41" i="1"/>
  <c r="C41" i="1"/>
  <c r="D41" i="1"/>
  <c r="E41" i="1"/>
  <c r="F41" i="1"/>
  <c r="G41" i="1"/>
  <c r="H41" i="1"/>
  <c r="I41" i="1"/>
  <c r="J41" i="1"/>
  <c r="R41" i="1"/>
  <c r="B42" i="1"/>
  <c r="C42" i="1"/>
  <c r="D42" i="1"/>
  <c r="E42" i="1"/>
  <c r="F42" i="1"/>
  <c r="G42" i="1"/>
  <c r="H42" i="1"/>
  <c r="I42" i="1"/>
  <c r="J42" i="1"/>
  <c r="R42" i="1"/>
  <c r="B43" i="1"/>
  <c r="C43" i="1"/>
  <c r="D43" i="1"/>
  <c r="E43" i="1"/>
  <c r="F43" i="1"/>
  <c r="G43" i="1"/>
  <c r="H43" i="1"/>
  <c r="I43" i="1"/>
  <c r="J43" i="1"/>
  <c r="R43" i="1"/>
  <c r="B44" i="1"/>
  <c r="C44" i="1"/>
  <c r="D44" i="1"/>
  <c r="E44" i="1"/>
  <c r="F44" i="1"/>
  <c r="G44" i="1"/>
  <c r="H44" i="1"/>
  <c r="I44" i="1"/>
  <c r="J44" i="1"/>
  <c r="R44" i="1"/>
  <c r="B45" i="1"/>
  <c r="C45" i="1"/>
  <c r="D45" i="1"/>
  <c r="E45" i="1"/>
  <c r="F45" i="1"/>
  <c r="G45" i="1"/>
  <c r="H45" i="1"/>
  <c r="I45" i="1"/>
  <c r="J45" i="1"/>
  <c r="B46" i="1"/>
  <c r="C46" i="1"/>
  <c r="D46" i="1"/>
  <c r="E46" i="1"/>
  <c r="F46" i="1"/>
  <c r="G46" i="1"/>
  <c r="H46" i="1"/>
  <c r="I46" i="1"/>
  <c r="J46" i="1"/>
  <c r="B47" i="1"/>
  <c r="C47" i="1"/>
  <c r="D47" i="1"/>
  <c r="E47" i="1"/>
  <c r="F47" i="1"/>
  <c r="G47" i="1"/>
  <c r="H47" i="1"/>
  <c r="I47" i="1"/>
  <c r="J47" i="1"/>
  <c r="B48" i="1"/>
  <c r="C48" i="1"/>
  <c r="D48" i="1"/>
  <c r="E48" i="1"/>
  <c r="F48" i="1"/>
  <c r="G48" i="1"/>
  <c r="H48" i="1"/>
  <c r="I48" i="1"/>
  <c r="J48" i="1"/>
  <c r="B49" i="1"/>
  <c r="C49" i="1"/>
  <c r="D49" i="1"/>
  <c r="E49" i="1"/>
  <c r="F49" i="1"/>
  <c r="G49" i="1"/>
  <c r="H49" i="1"/>
  <c r="I49" i="1"/>
  <c r="J49" i="1"/>
  <c r="B50" i="1"/>
  <c r="C50" i="1"/>
  <c r="D50" i="1"/>
  <c r="E50" i="1"/>
  <c r="F50" i="1"/>
  <c r="G50" i="1"/>
  <c r="H50" i="1"/>
  <c r="I50" i="1"/>
  <c r="J50" i="1"/>
  <c r="B51" i="1"/>
  <c r="C51" i="1"/>
  <c r="D51" i="1"/>
  <c r="E51" i="1"/>
  <c r="F51" i="1"/>
  <c r="G51" i="1"/>
  <c r="H51" i="1"/>
  <c r="I51" i="1"/>
  <c r="J51" i="1"/>
  <c r="B52" i="1"/>
  <c r="C52" i="1"/>
  <c r="D52" i="1"/>
  <c r="E52" i="1"/>
  <c r="F52" i="1"/>
  <c r="G52" i="1"/>
  <c r="H52" i="1"/>
  <c r="I52" i="1"/>
  <c r="J52" i="1"/>
  <c r="B53" i="1"/>
  <c r="C53" i="1"/>
  <c r="D53" i="1"/>
  <c r="E53" i="1"/>
  <c r="F53" i="1"/>
  <c r="G53" i="1"/>
  <c r="H53" i="1"/>
  <c r="I53" i="1"/>
  <c r="J53" i="1"/>
  <c r="B54" i="1"/>
  <c r="C54" i="1"/>
  <c r="D54" i="1"/>
  <c r="E54" i="1"/>
  <c r="F54" i="1"/>
  <c r="G54" i="1"/>
  <c r="H54" i="1"/>
  <c r="I54" i="1"/>
  <c r="J54" i="1"/>
  <c r="B55" i="1"/>
  <c r="C55" i="1"/>
  <c r="D55" i="1"/>
  <c r="E55" i="1"/>
  <c r="F55" i="1"/>
  <c r="G55" i="1"/>
  <c r="H55" i="1"/>
  <c r="I55" i="1"/>
  <c r="J55" i="1"/>
  <c r="B56" i="1"/>
  <c r="C56" i="1"/>
  <c r="D56" i="1"/>
  <c r="E56" i="1"/>
  <c r="F56" i="1"/>
  <c r="G56" i="1"/>
  <c r="H56" i="1"/>
  <c r="I56" i="1"/>
  <c r="J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B1037" i="1"/>
  <c r="C1037" i="1"/>
  <c r="D1037" i="1"/>
  <c r="E1037" i="1"/>
  <c r="F1037" i="1"/>
  <c r="G1037" i="1"/>
  <c r="H1037" i="1"/>
  <c r="I1037" i="1"/>
  <c r="J1037" i="1"/>
  <c r="B1038" i="1"/>
  <c r="C1038" i="1"/>
  <c r="D1038" i="1"/>
  <c r="E1038" i="1"/>
  <c r="F1038" i="1"/>
  <c r="G1038" i="1"/>
  <c r="H1038" i="1"/>
  <c r="I1038" i="1"/>
  <c r="J1038" i="1"/>
  <c r="B1039" i="1"/>
  <c r="C1039" i="1"/>
  <c r="D1039" i="1"/>
  <c r="E1039" i="1"/>
  <c r="F1039" i="1"/>
  <c r="G1039" i="1"/>
  <c r="H1039" i="1"/>
  <c r="I1039" i="1"/>
  <c r="J1039" i="1"/>
  <c r="B1040" i="1"/>
  <c r="C1040" i="1"/>
  <c r="D1040" i="1"/>
  <c r="E1040" i="1"/>
  <c r="F1040" i="1"/>
  <c r="G1040" i="1"/>
  <c r="H1040" i="1"/>
  <c r="I1040" i="1"/>
  <c r="J1040" i="1"/>
  <c r="B1041" i="1"/>
  <c r="C1041" i="1"/>
  <c r="D1041" i="1"/>
  <c r="E1041" i="1"/>
  <c r="F1041" i="1"/>
  <c r="G1041" i="1"/>
  <c r="H1041" i="1"/>
  <c r="I1041" i="1"/>
  <c r="J1041" i="1"/>
  <c r="B1042" i="1"/>
  <c r="C1042" i="1"/>
  <c r="D1042" i="1"/>
  <c r="E1042" i="1"/>
  <c r="F1042" i="1"/>
  <c r="G1042" i="1"/>
  <c r="H1042" i="1"/>
  <c r="I1042" i="1"/>
  <c r="J1042" i="1"/>
  <c r="B1043" i="1"/>
  <c r="C1043" i="1"/>
  <c r="D1043" i="1"/>
  <c r="E1043" i="1"/>
  <c r="F1043" i="1"/>
  <c r="G1043" i="1"/>
  <c r="H1043" i="1"/>
  <c r="I1043" i="1"/>
  <c r="J1043" i="1"/>
  <c r="B1044" i="1"/>
  <c r="C1044" i="1"/>
  <c r="D1044" i="1"/>
  <c r="E1044" i="1"/>
  <c r="F1044" i="1"/>
  <c r="G1044" i="1"/>
  <c r="H1044" i="1"/>
  <c r="I1044" i="1"/>
  <c r="J1044" i="1"/>
  <c r="B1045" i="1"/>
  <c r="C1045" i="1"/>
  <c r="D1045" i="1"/>
  <c r="E1045" i="1"/>
  <c r="F1045" i="1"/>
  <c r="G1045" i="1"/>
  <c r="H1045" i="1"/>
  <c r="I1045" i="1"/>
  <c r="J1045" i="1"/>
  <c r="B1046" i="1"/>
  <c r="C1046" i="1"/>
  <c r="D1046" i="1"/>
  <c r="E1046" i="1"/>
  <c r="F1046" i="1"/>
  <c r="G1046" i="1"/>
  <c r="H1046" i="1"/>
  <c r="I1046" i="1"/>
  <c r="J1046" i="1"/>
  <c r="B1047" i="1"/>
  <c r="C1047" i="1"/>
  <c r="D1047" i="1"/>
  <c r="E1047" i="1"/>
  <c r="F1047" i="1"/>
  <c r="G1047" i="1"/>
  <c r="H1047" i="1"/>
  <c r="I1047" i="1"/>
  <c r="J1047" i="1"/>
  <c r="B1048" i="1"/>
  <c r="C1048" i="1"/>
  <c r="D1048" i="1"/>
  <c r="E1048" i="1"/>
  <c r="F1048" i="1"/>
  <c r="G1048" i="1"/>
  <c r="H1048" i="1"/>
  <c r="I1048" i="1"/>
  <c r="J1048" i="1"/>
  <c r="C1050" i="1"/>
  <c r="E1050" i="1"/>
  <c r="F1050" i="1"/>
  <c r="L1050" i="1"/>
  <c r="M1050" i="1"/>
  <c r="N1050" i="1"/>
  <c r="O1050" i="1"/>
  <c r="P1050" i="1"/>
  <c r="S1050" i="1"/>
  <c r="D1051" i="1"/>
  <c r="F1051" i="1"/>
  <c r="G1051" i="1"/>
  <c r="J1051" i="1"/>
  <c r="L1051" i="1"/>
  <c r="M1051" i="1"/>
  <c r="N1051" i="1"/>
  <c r="O1051" i="1"/>
  <c r="P1051" i="1"/>
  <c r="R1051" i="1"/>
  <c r="C1052" i="1"/>
  <c r="L1052" i="1"/>
  <c r="M1052" i="1"/>
  <c r="N1052" i="1"/>
  <c r="O1052" i="1"/>
  <c r="P1052" i="1"/>
  <c r="Q1052" i="1"/>
  <c r="H1053" i="1"/>
  <c r="L1053" i="1"/>
  <c r="M1053" i="1"/>
  <c r="N1053" i="1"/>
  <c r="O1053" i="1"/>
  <c r="P1053" i="1"/>
  <c r="Q1053" i="1"/>
  <c r="C1054" i="1"/>
  <c r="F1054" i="1"/>
  <c r="J1054" i="1"/>
  <c r="L1054" i="1"/>
  <c r="M1054" i="1"/>
  <c r="N1054" i="1"/>
  <c r="O1054" i="1"/>
  <c r="P1054" i="1"/>
  <c r="Q1054" i="1"/>
  <c r="C1055" i="1"/>
  <c r="F1055" i="1"/>
  <c r="G1055" i="1"/>
  <c r="L1055" i="1"/>
  <c r="M1055" i="1"/>
  <c r="N1055" i="1"/>
  <c r="O1055" i="1"/>
  <c r="P1055" i="1"/>
  <c r="Q1055" i="1"/>
  <c r="L1056" i="1"/>
  <c r="M1056" i="1"/>
  <c r="N1056" i="1"/>
  <c r="O1056" i="1"/>
  <c r="P1056" i="1"/>
  <c r="Q1056" i="1"/>
  <c r="L1057" i="1"/>
  <c r="M1057" i="1"/>
  <c r="N1057" i="1"/>
  <c r="O1057" i="1"/>
  <c r="P1057" i="1"/>
  <c r="Q1057" i="1"/>
  <c r="F1058" i="1"/>
  <c r="I1058" i="1"/>
  <c r="L1058" i="1"/>
  <c r="M1058" i="1"/>
  <c r="N1058" i="1"/>
  <c r="O1058" i="1"/>
  <c r="P1058" i="1"/>
  <c r="Q1058" i="1"/>
  <c r="L1059" i="1"/>
  <c r="M1059" i="1"/>
  <c r="N1059" i="1"/>
  <c r="O1059" i="1"/>
  <c r="P1059" i="1"/>
  <c r="Q1059" i="1"/>
  <c r="H1060" i="1"/>
  <c r="L1060" i="1"/>
  <c r="M1060" i="1"/>
  <c r="N1060" i="1"/>
  <c r="O1060" i="1"/>
  <c r="P1060" i="1"/>
  <c r="Q1060" i="1"/>
  <c r="G1061" i="1"/>
  <c r="H1061" i="1"/>
  <c r="L1061" i="1"/>
  <c r="M1061" i="1"/>
  <c r="N1061" i="1"/>
  <c r="O1061" i="1"/>
  <c r="P1061" i="1"/>
  <c r="Q1061" i="1"/>
  <c r="B1062" i="1"/>
  <c r="L1062" i="1"/>
  <c r="M1062" i="1"/>
  <c r="N1062" i="1"/>
  <c r="O1062" i="1"/>
  <c r="P1062" i="1"/>
  <c r="Q1062" i="1"/>
  <c r="I1063" i="1"/>
  <c r="L1063" i="1"/>
  <c r="M1063" i="1"/>
  <c r="N1063" i="1"/>
  <c r="O1063" i="1"/>
  <c r="P1063" i="1"/>
  <c r="Q1063" i="1"/>
  <c r="I1064" i="1"/>
  <c r="J1064" i="1"/>
  <c r="L1064" i="1"/>
  <c r="M1064" i="1"/>
  <c r="N1064" i="1"/>
  <c r="O1064" i="1"/>
  <c r="P1064" i="1"/>
  <c r="Q1064" i="1"/>
  <c r="B1065" i="1"/>
  <c r="C1065" i="1"/>
  <c r="L1065" i="1"/>
  <c r="M1065" i="1"/>
  <c r="N1065" i="1"/>
  <c r="O1065" i="1"/>
  <c r="P1065" i="1"/>
  <c r="Q1065" i="1"/>
  <c r="L1066" i="1"/>
  <c r="M1066" i="1"/>
  <c r="N1066" i="1"/>
  <c r="O1066" i="1"/>
  <c r="P1066" i="1"/>
  <c r="Q1066" i="1"/>
  <c r="L1067" i="1"/>
  <c r="M1067" i="1"/>
  <c r="N1067" i="1"/>
  <c r="O1067" i="1"/>
  <c r="P1067" i="1"/>
  <c r="Q1067" i="1"/>
  <c r="G1068" i="1"/>
  <c r="L1068" i="1"/>
  <c r="M1068" i="1"/>
  <c r="N1068" i="1"/>
  <c r="O1068" i="1"/>
  <c r="P1068" i="1"/>
  <c r="Q1068" i="1"/>
  <c r="L1069" i="1"/>
  <c r="M1069" i="1"/>
  <c r="N1069" i="1"/>
  <c r="O1069" i="1"/>
  <c r="P1069" i="1"/>
  <c r="Q1069" i="1"/>
  <c r="L1070" i="1"/>
  <c r="M1070" i="1"/>
  <c r="N1070" i="1"/>
  <c r="O1070" i="1"/>
  <c r="P1070" i="1"/>
  <c r="Q1070" i="1"/>
  <c r="H1071" i="1"/>
  <c r="L1071" i="1"/>
  <c r="M1071" i="1"/>
  <c r="N1071" i="1"/>
  <c r="O1071" i="1"/>
  <c r="P1071" i="1"/>
  <c r="Q1071" i="1"/>
  <c r="L1072" i="1"/>
  <c r="M1072" i="1"/>
  <c r="N1072" i="1"/>
  <c r="O1072" i="1"/>
  <c r="P1072" i="1"/>
  <c r="Q1072" i="1"/>
  <c r="A1073" i="1"/>
  <c r="L1073" i="1"/>
  <c r="M1073" i="1"/>
  <c r="N1073" i="1"/>
  <c r="O1073" i="1"/>
  <c r="P1073" i="1"/>
  <c r="Q1073" i="1"/>
  <c r="A1074" i="1"/>
  <c r="G1074" i="1"/>
  <c r="L1074" i="1"/>
  <c r="M1074" i="1"/>
  <c r="N1074" i="1"/>
  <c r="O1074" i="1"/>
  <c r="P1074" i="1"/>
  <c r="Q1074" i="1"/>
  <c r="A1075" i="1"/>
  <c r="L1075" i="1"/>
  <c r="M1075" i="1"/>
  <c r="N1075" i="1"/>
  <c r="O1075" i="1"/>
  <c r="P1075" i="1"/>
  <c r="Q1075" i="1"/>
  <c r="A1076" i="1"/>
  <c r="A1077" i="1" s="1"/>
  <c r="A1078" i="1" s="1"/>
  <c r="A1079" i="1" s="1"/>
  <c r="C1076" i="1"/>
  <c r="L1076" i="1"/>
  <c r="M1076" i="1"/>
  <c r="N1076" i="1"/>
  <c r="O1076" i="1"/>
  <c r="P1076" i="1"/>
  <c r="Q1076" i="1"/>
  <c r="B1077" i="1"/>
  <c r="L1077" i="1"/>
  <c r="M1077" i="1"/>
  <c r="N1077" i="1"/>
  <c r="O1077" i="1"/>
  <c r="P1077" i="1"/>
  <c r="Q1077" i="1"/>
  <c r="J1078" i="1"/>
  <c r="L1078" i="1"/>
  <c r="M1078" i="1"/>
  <c r="N1078" i="1"/>
  <c r="O1078" i="1"/>
  <c r="P1078" i="1"/>
  <c r="Q1078" i="1"/>
  <c r="B1079" i="1"/>
  <c r="G1079" i="1"/>
  <c r="L1079" i="1"/>
  <c r="M1079" i="1"/>
  <c r="N1079" i="1"/>
  <c r="O1079" i="1"/>
  <c r="P1079" i="1"/>
  <c r="Q1079" i="1"/>
  <c r="A1080" i="1"/>
  <c r="A1081" i="1" s="1"/>
  <c r="L1080" i="1"/>
  <c r="M1080" i="1"/>
  <c r="N1080" i="1"/>
  <c r="O1080" i="1"/>
  <c r="P1080" i="1"/>
  <c r="Q1080" i="1"/>
  <c r="G1081" i="1"/>
  <c r="H1081" i="1"/>
  <c r="L1081" i="1"/>
  <c r="M1081" i="1"/>
  <c r="N1081" i="1"/>
  <c r="O1081" i="1"/>
  <c r="P1081" i="1"/>
  <c r="Q1081" i="1"/>
  <c r="A1082" i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G1082" i="1"/>
  <c r="L1082" i="1"/>
  <c r="M1082" i="1"/>
  <c r="N1082" i="1"/>
  <c r="O1082" i="1"/>
  <c r="P1082" i="1"/>
  <c r="Q1082" i="1"/>
  <c r="L1083" i="1"/>
  <c r="M1083" i="1"/>
  <c r="N1083" i="1"/>
  <c r="O1083" i="1"/>
  <c r="P1083" i="1"/>
  <c r="Q1083" i="1"/>
  <c r="E1084" i="1"/>
  <c r="G1084" i="1"/>
  <c r="L1084" i="1"/>
  <c r="M1084" i="1"/>
  <c r="N1084" i="1"/>
  <c r="O1084" i="1"/>
  <c r="P1084" i="1"/>
  <c r="Q1084" i="1"/>
  <c r="C1085" i="1"/>
  <c r="D1085" i="1"/>
  <c r="L1085" i="1"/>
  <c r="M1085" i="1"/>
  <c r="N1085" i="1"/>
  <c r="O1085" i="1"/>
  <c r="P1085" i="1"/>
  <c r="Q1085" i="1"/>
  <c r="J1086" i="1"/>
  <c r="L1086" i="1"/>
  <c r="M1086" i="1"/>
  <c r="N1086" i="1"/>
  <c r="O1086" i="1"/>
  <c r="P1086" i="1"/>
  <c r="Q1086" i="1"/>
  <c r="C1087" i="1"/>
  <c r="I1087" i="1"/>
  <c r="L1087" i="1"/>
  <c r="M1087" i="1"/>
  <c r="N1087" i="1"/>
  <c r="O1087" i="1"/>
  <c r="P1087" i="1"/>
  <c r="Q1087" i="1"/>
  <c r="E1088" i="1"/>
  <c r="L1088" i="1"/>
  <c r="M1088" i="1"/>
  <c r="N1088" i="1"/>
  <c r="O1088" i="1"/>
  <c r="P1088" i="1"/>
  <c r="Q1088" i="1"/>
  <c r="E1089" i="1"/>
  <c r="H1089" i="1"/>
  <c r="L1089" i="1"/>
  <c r="M1089" i="1"/>
  <c r="N1089" i="1"/>
  <c r="O1089" i="1"/>
  <c r="P1089" i="1"/>
  <c r="Q1089" i="1"/>
  <c r="H1090" i="1"/>
  <c r="L1090" i="1"/>
  <c r="M1090" i="1"/>
  <c r="N1090" i="1"/>
  <c r="O1090" i="1"/>
  <c r="P1090" i="1"/>
  <c r="Q1090" i="1"/>
  <c r="L1091" i="1"/>
  <c r="M1091" i="1"/>
  <c r="N1091" i="1"/>
  <c r="O1091" i="1"/>
  <c r="P1091" i="1"/>
  <c r="Q1091" i="1"/>
  <c r="B1092" i="1"/>
  <c r="H1092" i="1"/>
  <c r="L1092" i="1"/>
  <c r="M1092" i="1"/>
  <c r="N1092" i="1"/>
  <c r="O1092" i="1"/>
  <c r="P1092" i="1"/>
  <c r="Q1092" i="1"/>
  <c r="G1093" i="1"/>
  <c r="L1093" i="1"/>
  <c r="M1093" i="1"/>
  <c r="N1093" i="1"/>
  <c r="O1093" i="1"/>
  <c r="P1093" i="1"/>
  <c r="Q1093" i="1"/>
  <c r="L1094" i="1"/>
  <c r="M1094" i="1"/>
  <c r="N1094" i="1"/>
  <c r="O1094" i="1"/>
  <c r="P1094" i="1"/>
  <c r="Q1094" i="1"/>
  <c r="L1095" i="1"/>
  <c r="M1095" i="1"/>
  <c r="N1095" i="1"/>
  <c r="O1095" i="1"/>
  <c r="P1095" i="1"/>
  <c r="Q1095" i="1"/>
  <c r="L1096" i="1"/>
  <c r="M1096" i="1"/>
  <c r="N1096" i="1"/>
  <c r="O1096" i="1"/>
  <c r="P1096" i="1"/>
  <c r="Q1096" i="1"/>
  <c r="G1096" i="1" l="1"/>
  <c r="B1096" i="1"/>
  <c r="C1095" i="1"/>
  <c r="D1095" i="1"/>
  <c r="H1094" i="1"/>
  <c r="I1094" i="1"/>
  <c r="J1094" i="1"/>
  <c r="D1093" i="1"/>
  <c r="G1092" i="1"/>
  <c r="D1091" i="1"/>
  <c r="E1091" i="1"/>
  <c r="I1090" i="1"/>
  <c r="D1089" i="1"/>
  <c r="H1086" i="1"/>
  <c r="I1086" i="1"/>
  <c r="D1083" i="1"/>
  <c r="E1083" i="1"/>
  <c r="H1082" i="1"/>
  <c r="I1082" i="1"/>
  <c r="C1081" i="1"/>
  <c r="D1081" i="1"/>
  <c r="E1081" i="1"/>
  <c r="G1080" i="1"/>
  <c r="H1080" i="1"/>
  <c r="C1079" i="1"/>
  <c r="D1079" i="1"/>
  <c r="E1079" i="1"/>
  <c r="B1095" i="1"/>
  <c r="H1078" i="1"/>
  <c r="I1078" i="1"/>
  <c r="C1077" i="1"/>
  <c r="D1077" i="1"/>
  <c r="G1076" i="1"/>
  <c r="H1076" i="1"/>
  <c r="I1076" i="1"/>
  <c r="E1076" i="1"/>
  <c r="D1075" i="1"/>
  <c r="E1075" i="1"/>
  <c r="H1074" i="1"/>
  <c r="I1074" i="1"/>
  <c r="C1073" i="1"/>
  <c r="D1073" i="1"/>
  <c r="E1073" i="1"/>
  <c r="G1072" i="1"/>
  <c r="H1072" i="1"/>
  <c r="C1071" i="1"/>
  <c r="D1071" i="1"/>
  <c r="G1070" i="1"/>
  <c r="H1070" i="1"/>
  <c r="I1070" i="1"/>
  <c r="D1069" i="1"/>
  <c r="E1069" i="1"/>
  <c r="I1068" i="1"/>
  <c r="C1067" i="1"/>
  <c r="D1067" i="1"/>
  <c r="G1066" i="1"/>
  <c r="I1066" i="1"/>
  <c r="D1065" i="1"/>
  <c r="E1065" i="1"/>
  <c r="G1064" i="1"/>
  <c r="J1063" i="1"/>
  <c r="B1063" i="1"/>
  <c r="C1063" i="1"/>
  <c r="D1063" i="1"/>
  <c r="F1062" i="1"/>
  <c r="G1062" i="1"/>
  <c r="H1062" i="1"/>
  <c r="I1062" i="1"/>
  <c r="B1061" i="1"/>
  <c r="D1061" i="1"/>
  <c r="E1061" i="1"/>
  <c r="F1060" i="1"/>
  <c r="I1060" i="1"/>
  <c r="J1059" i="1"/>
  <c r="B1059" i="1"/>
  <c r="C1059" i="1"/>
  <c r="E1059" i="1"/>
  <c r="G1058" i="1"/>
  <c r="J1057" i="1"/>
  <c r="B1057" i="1"/>
  <c r="C1057" i="1"/>
  <c r="D1057" i="1"/>
  <c r="E1057" i="1"/>
  <c r="H1056" i="1"/>
  <c r="I1056" i="1"/>
  <c r="J1056" i="1"/>
  <c r="B1056" i="1"/>
  <c r="J1055" i="1"/>
  <c r="B1055" i="1"/>
  <c r="H1055" i="1"/>
  <c r="I1055" i="1"/>
  <c r="G1054" i="1"/>
  <c r="H1054" i="1"/>
  <c r="I1054" i="1"/>
  <c r="E1054" i="1"/>
  <c r="J1053" i="1"/>
  <c r="B1053" i="1"/>
  <c r="D1053" i="1"/>
  <c r="E1053" i="1"/>
  <c r="F1053" i="1"/>
  <c r="G1053" i="1"/>
  <c r="D1052" i="1"/>
  <c r="H1052" i="1"/>
  <c r="E1052" i="1"/>
  <c r="G1052" i="1"/>
  <c r="K1050" i="1"/>
  <c r="D1050" i="1"/>
  <c r="B1050" i="1"/>
  <c r="C1096" i="3"/>
  <c r="C1084" i="3"/>
  <c r="C1077" i="3"/>
  <c r="I1125" i="4"/>
  <c r="K1109" i="4"/>
  <c r="E1096" i="3"/>
  <c r="E1094" i="3"/>
  <c r="E1078" i="3"/>
  <c r="E1069" i="3"/>
  <c r="E1063" i="3"/>
  <c r="B1051" i="1"/>
  <c r="D1094" i="3"/>
  <c r="D1090" i="3"/>
  <c r="D1088" i="3"/>
  <c r="D1081" i="3"/>
  <c r="D1078" i="3"/>
  <c r="D1074" i="3"/>
  <c r="D1072" i="3"/>
  <c r="D1070" i="3"/>
  <c r="D1066" i="3"/>
  <c r="D1060" i="3"/>
  <c r="F1097" i="1"/>
  <c r="O1097" i="1"/>
  <c r="J1097" i="1"/>
  <c r="B1097" i="1"/>
  <c r="M1097" i="1"/>
  <c r="C1097" i="1"/>
  <c r="N1097" i="1"/>
  <c r="D1097" i="1"/>
  <c r="P1097" i="1"/>
  <c r="A1098" i="1"/>
  <c r="E1097" i="1"/>
  <c r="H1097" i="1"/>
  <c r="L1097" i="1"/>
  <c r="Q1097" i="1"/>
  <c r="G1097" i="1"/>
  <c r="I1097" i="1"/>
  <c r="G1135" i="4"/>
  <c r="G1134" i="4"/>
  <c r="G1133" i="4"/>
  <c r="G1130" i="4"/>
  <c r="G1129" i="4"/>
  <c r="G1128" i="4"/>
  <c r="G1127" i="4"/>
  <c r="K1126" i="4"/>
  <c r="G1125" i="4"/>
  <c r="G1123" i="4"/>
  <c r="G1122" i="4"/>
  <c r="G1120" i="4"/>
  <c r="G1119" i="4"/>
  <c r="G1118" i="4"/>
  <c r="G1116" i="4"/>
  <c r="G1113" i="4"/>
  <c r="G1112" i="4"/>
  <c r="G1111" i="4"/>
  <c r="G1109" i="4"/>
  <c r="G1107" i="4"/>
  <c r="G1106" i="4"/>
  <c r="G1104" i="4"/>
  <c r="G1100" i="4"/>
  <c r="G1099" i="4"/>
  <c r="G1097" i="4"/>
  <c r="G1096" i="4"/>
  <c r="G1095" i="4"/>
  <c r="G1094" i="4"/>
  <c r="G1093" i="4"/>
  <c r="G1092" i="4"/>
  <c r="G1088" i="4"/>
  <c r="G1083" i="4"/>
  <c r="G1082" i="4"/>
  <c r="G1080" i="4"/>
  <c r="G1078" i="4"/>
  <c r="G1075" i="4"/>
  <c r="G1074" i="4"/>
  <c r="G1073" i="4"/>
  <c r="G1071" i="4"/>
  <c r="G1070" i="4"/>
  <c r="G1065" i="4"/>
  <c r="G1064" i="4"/>
  <c r="I1063" i="4"/>
  <c r="G1061" i="4"/>
  <c r="E1057" i="4"/>
  <c r="G1056" i="4"/>
  <c r="G1055" i="4"/>
  <c r="G1053" i="4"/>
  <c r="G1052" i="4"/>
  <c r="G1050" i="4"/>
  <c r="G1090" i="4"/>
  <c r="H1135" i="4"/>
  <c r="J1135" i="4"/>
  <c r="B1135" i="4"/>
  <c r="D1135" i="4"/>
  <c r="F1135" i="4"/>
  <c r="H1134" i="4"/>
  <c r="J1134" i="4"/>
  <c r="B1134" i="4"/>
  <c r="D1134" i="4"/>
  <c r="F1134" i="4"/>
  <c r="H1133" i="4"/>
  <c r="J1133" i="4"/>
  <c r="B1133" i="4"/>
  <c r="D1133" i="4"/>
  <c r="F1133" i="4"/>
  <c r="H1132" i="4"/>
  <c r="J1132" i="4"/>
  <c r="B1132" i="4"/>
  <c r="D1132" i="4"/>
  <c r="F1132" i="4"/>
  <c r="H1131" i="4"/>
  <c r="J1131" i="4"/>
  <c r="B1131" i="4"/>
  <c r="D1131" i="4"/>
  <c r="F1131" i="4"/>
  <c r="H1130" i="4"/>
  <c r="J1130" i="4"/>
  <c r="B1130" i="4"/>
  <c r="D1130" i="4"/>
  <c r="F1130" i="4"/>
  <c r="H1129" i="4"/>
  <c r="J1129" i="4"/>
  <c r="B1129" i="4"/>
  <c r="D1129" i="4"/>
  <c r="F1129" i="4"/>
  <c r="H1128" i="4"/>
  <c r="J1128" i="4"/>
  <c r="B1128" i="4"/>
  <c r="D1128" i="4"/>
  <c r="F1128" i="4"/>
  <c r="H1127" i="4"/>
  <c r="J1127" i="4"/>
  <c r="B1127" i="4"/>
  <c r="D1127" i="4"/>
  <c r="F1127" i="4"/>
  <c r="H1126" i="4"/>
  <c r="J1126" i="4"/>
  <c r="B1126" i="4"/>
  <c r="D1126" i="4"/>
  <c r="F1126" i="4"/>
  <c r="H1125" i="4"/>
  <c r="J1125" i="4"/>
  <c r="B1125" i="4"/>
  <c r="D1125" i="4"/>
  <c r="F1125" i="4"/>
  <c r="H1124" i="4"/>
  <c r="J1124" i="4"/>
  <c r="B1124" i="4"/>
  <c r="D1124" i="4"/>
  <c r="F1124" i="4"/>
  <c r="H1123" i="4"/>
  <c r="J1123" i="4"/>
  <c r="B1123" i="4"/>
  <c r="D1123" i="4"/>
  <c r="F1123" i="4"/>
  <c r="H1122" i="4"/>
  <c r="J1122" i="4"/>
  <c r="B1122" i="4"/>
  <c r="D1122" i="4"/>
  <c r="F1122" i="4"/>
  <c r="H1121" i="4"/>
  <c r="J1121" i="4"/>
  <c r="B1121" i="4"/>
  <c r="D1121" i="4"/>
  <c r="F1121" i="4"/>
  <c r="H1120" i="4"/>
  <c r="J1120" i="4"/>
  <c r="B1120" i="4"/>
  <c r="D1120" i="4"/>
  <c r="F1120" i="4"/>
  <c r="H1119" i="4"/>
  <c r="J1119" i="4"/>
  <c r="B1119" i="4"/>
  <c r="D1119" i="4"/>
  <c r="F1119" i="4"/>
  <c r="H1118" i="4"/>
  <c r="J1118" i="4"/>
  <c r="B1118" i="4"/>
  <c r="D1118" i="4"/>
  <c r="F1118" i="4"/>
  <c r="H1117" i="4"/>
  <c r="J1117" i="4"/>
  <c r="B1117" i="4"/>
  <c r="D1117" i="4"/>
  <c r="F1117" i="4"/>
  <c r="H1116" i="4"/>
  <c r="J1116" i="4"/>
  <c r="B1116" i="4"/>
  <c r="D1116" i="4"/>
  <c r="F1116" i="4"/>
  <c r="H1115" i="4"/>
  <c r="J1115" i="4"/>
  <c r="B1115" i="4"/>
  <c r="D1115" i="4"/>
  <c r="F1115" i="4"/>
  <c r="H1114" i="4"/>
  <c r="J1114" i="4"/>
  <c r="B1114" i="4"/>
  <c r="D1114" i="4"/>
  <c r="F1114" i="4"/>
  <c r="H1113" i="4"/>
  <c r="J1113" i="4"/>
  <c r="B1113" i="4"/>
  <c r="D1113" i="4"/>
  <c r="F1113" i="4"/>
  <c r="H1112" i="4"/>
  <c r="J1112" i="4"/>
  <c r="B1112" i="4"/>
  <c r="D1112" i="4"/>
  <c r="F1112" i="4"/>
  <c r="H1111" i="4"/>
  <c r="J1111" i="4"/>
  <c r="B1111" i="4"/>
  <c r="D1111" i="4"/>
  <c r="F1111" i="4"/>
  <c r="H1110" i="4"/>
  <c r="J1110" i="4"/>
  <c r="B1110" i="4"/>
  <c r="D1110" i="4"/>
  <c r="F1110" i="4"/>
  <c r="H1109" i="4"/>
  <c r="J1109" i="4"/>
  <c r="B1109" i="4"/>
  <c r="D1109" i="4"/>
  <c r="F1109" i="4"/>
  <c r="H1108" i="4"/>
  <c r="J1108" i="4"/>
  <c r="B1108" i="4"/>
  <c r="D1108" i="4"/>
  <c r="F1108" i="4"/>
  <c r="H1107" i="4"/>
  <c r="J1107" i="4"/>
  <c r="B1107" i="4"/>
  <c r="D1107" i="4"/>
  <c r="F1107" i="4"/>
  <c r="H1106" i="4"/>
  <c r="J1106" i="4"/>
  <c r="B1106" i="4"/>
  <c r="D1106" i="4"/>
  <c r="F1106" i="4"/>
  <c r="H1105" i="4"/>
  <c r="J1105" i="4"/>
  <c r="B1105" i="4"/>
  <c r="D1105" i="4"/>
  <c r="F1105" i="4"/>
  <c r="H1104" i="4"/>
  <c r="J1104" i="4"/>
  <c r="B1104" i="4"/>
  <c r="D1104" i="4"/>
  <c r="F1104" i="4"/>
  <c r="H1103" i="4"/>
  <c r="J1103" i="4"/>
  <c r="B1103" i="4"/>
  <c r="D1103" i="4"/>
  <c r="F1103" i="4"/>
  <c r="G1132" i="4"/>
  <c r="G1131" i="4"/>
  <c r="G1126" i="4"/>
  <c r="G1124" i="4"/>
  <c r="G1121" i="4"/>
  <c r="G1117" i="4"/>
  <c r="G1115" i="4"/>
  <c r="G1114" i="4"/>
  <c r="G1110" i="4"/>
  <c r="G1108" i="4"/>
  <c r="G1105" i="4"/>
  <c r="G1103" i="4"/>
  <c r="G1102" i="4"/>
  <c r="G1101" i="4"/>
  <c r="G1098" i="4"/>
  <c r="G1091" i="4"/>
  <c r="G1089" i="4"/>
  <c r="G1087" i="4"/>
  <c r="G1086" i="4"/>
  <c r="G1085" i="4"/>
  <c r="G1084" i="4"/>
  <c r="G1081" i="4"/>
  <c r="G1079" i="4"/>
  <c r="G1077" i="4"/>
  <c r="G1076" i="4"/>
  <c r="G1072" i="4"/>
  <c r="G1069" i="4"/>
  <c r="G1068" i="4"/>
  <c r="G1067" i="4"/>
  <c r="G1066" i="4"/>
  <c r="G1063" i="4"/>
  <c r="G1062" i="4"/>
  <c r="G1060" i="4"/>
  <c r="G1059" i="4"/>
  <c r="G1058" i="4"/>
  <c r="G1057" i="4"/>
  <c r="G1054" i="4"/>
  <c r="G1051" i="4"/>
  <c r="F1096" i="1"/>
  <c r="J1095" i="1"/>
  <c r="F1094" i="1"/>
  <c r="J1093" i="1"/>
  <c r="B1093" i="1"/>
  <c r="F1092" i="1"/>
  <c r="J1091" i="1"/>
  <c r="B1091" i="1"/>
  <c r="F1090" i="1"/>
  <c r="J1089" i="1"/>
  <c r="B1089" i="1"/>
  <c r="F1088" i="1"/>
  <c r="J1087" i="1"/>
  <c r="B1087" i="1"/>
  <c r="F1086" i="1"/>
  <c r="J1085" i="1"/>
  <c r="B1085" i="1"/>
  <c r="F1084" i="1"/>
  <c r="J1083" i="1"/>
  <c r="B1083" i="1"/>
  <c r="F1082" i="1"/>
  <c r="J1081" i="1"/>
  <c r="B1081" i="1"/>
  <c r="F1080" i="1"/>
  <c r="J1079" i="1"/>
  <c r="F1078" i="1"/>
  <c r="J1077" i="1"/>
  <c r="F1076" i="1"/>
  <c r="J1075" i="1"/>
  <c r="B1075" i="1"/>
  <c r="F1074" i="1"/>
  <c r="J1073" i="1"/>
  <c r="B1073" i="1"/>
  <c r="F1072" i="1"/>
  <c r="J1071" i="1"/>
  <c r="B1071" i="1"/>
  <c r="F1070" i="1"/>
  <c r="J1069" i="1"/>
  <c r="B1069" i="1"/>
  <c r="F1068" i="1"/>
  <c r="J1067" i="1"/>
  <c r="B1067" i="1"/>
  <c r="F1066" i="1"/>
  <c r="J1065" i="1"/>
  <c r="F1064" i="1"/>
  <c r="J1061" i="1"/>
  <c r="C1096" i="1"/>
  <c r="D1096" i="1"/>
  <c r="E1096" i="1"/>
  <c r="I1095" i="1"/>
  <c r="B1094" i="1"/>
  <c r="C1094" i="1"/>
  <c r="D1094" i="1"/>
  <c r="E1094" i="1"/>
  <c r="H1093" i="1"/>
  <c r="I1093" i="1"/>
  <c r="C1092" i="1"/>
  <c r="E1092" i="1"/>
  <c r="G1091" i="1"/>
  <c r="H1091" i="1"/>
  <c r="I1091" i="1"/>
  <c r="J1090" i="1"/>
  <c r="C1090" i="1"/>
  <c r="D1090" i="1"/>
  <c r="E1090" i="1"/>
  <c r="G1089" i="1"/>
  <c r="I1089" i="1"/>
  <c r="B1088" i="1"/>
  <c r="C1088" i="1"/>
  <c r="D1088" i="1"/>
  <c r="G1087" i="1"/>
  <c r="C1086" i="1"/>
  <c r="D1086" i="1"/>
  <c r="E1086" i="1"/>
  <c r="G1085" i="1"/>
  <c r="H1085" i="1"/>
  <c r="I1085" i="1"/>
  <c r="B1084" i="1"/>
  <c r="C1084" i="1"/>
  <c r="G1083" i="1"/>
  <c r="H1083" i="1"/>
  <c r="I1083" i="1"/>
  <c r="J1082" i="1"/>
  <c r="C1082" i="1"/>
  <c r="D1082" i="1"/>
  <c r="E1082" i="1"/>
  <c r="I1081" i="1"/>
  <c r="J1080" i="1"/>
  <c r="B1080" i="1"/>
  <c r="C1080" i="1"/>
  <c r="D1080" i="1"/>
  <c r="E1080" i="1"/>
  <c r="I1079" i="1"/>
  <c r="B1078" i="1"/>
  <c r="C1078" i="1"/>
  <c r="D1078" i="1"/>
  <c r="E1078" i="1"/>
  <c r="G1077" i="1"/>
  <c r="H1077" i="1"/>
  <c r="I1077" i="1"/>
  <c r="J1076" i="1"/>
  <c r="B1076" i="1"/>
  <c r="G1075" i="1"/>
  <c r="H1075" i="1"/>
  <c r="I1075" i="1"/>
  <c r="J1074" i="1"/>
  <c r="C1074" i="1"/>
  <c r="D1074" i="1"/>
  <c r="E1074" i="1"/>
  <c r="G1073" i="1"/>
  <c r="H1073" i="1"/>
  <c r="I1073" i="1"/>
  <c r="J1072" i="1"/>
  <c r="B1072" i="1"/>
  <c r="C1072" i="1"/>
  <c r="D1072" i="1"/>
  <c r="E1072" i="1"/>
  <c r="F1071" i="1"/>
  <c r="I1071" i="1"/>
  <c r="J1070" i="1"/>
  <c r="B1070" i="1"/>
  <c r="C1070" i="1"/>
  <c r="E1070" i="1"/>
  <c r="F1069" i="1"/>
  <c r="G1069" i="1"/>
  <c r="H1069" i="1"/>
  <c r="I1069" i="1"/>
  <c r="C1068" i="1"/>
  <c r="D1068" i="1"/>
  <c r="E1068" i="1"/>
  <c r="F1067" i="1"/>
  <c r="G1067" i="1"/>
  <c r="H1067" i="1"/>
  <c r="I1067" i="1"/>
  <c r="J1066" i="1"/>
  <c r="B1066" i="1"/>
  <c r="D1066" i="1"/>
  <c r="E1066" i="1"/>
  <c r="F1065" i="1"/>
  <c r="H1065" i="1"/>
  <c r="I1065" i="1"/>
  <c r="B1064" i="1"/>
  <c r="C1064" i="1"/>
  <c r="D1064" i="1"/>
  <c r="E1064" i="1"/>
  <c r="G1063" i="1"/>
  <c r="H1063" i="1"/>
  <c r="J1062" i="1"/>
  <c r="E1062" i="1"/>
  <c r="F1061" i="1"/>
  <c r="I1061" i="1"/>
  <c r="C1060" i="1"/>
  <c r="D1060" i="1"/>
  <c r="E1060" i="1"/>
  <c r="F1059" i="1"/>
  <c r="G1059" i="1"/>
  <c r="H1059" i="1"/>
  <c r="I1059" i="1"/>
  <c r="J1058" i="1"/>
  <c r="C1058" i="1"/>
  <c r="D1058" i="1"/>
  <c r="E1058" i="1"/>
  <c r="H1102" i="4"/>
  <c r="J1102" i="4"/>
  <c r="B1102" i="4"/>
  <c r="D1102" i="4"/>
  <c r="H1101" i="4"/>
  <c r="J1101" i="4"/>
  <c r="B1101" i="4"/>
  <c r="D1101" i="4"/>
  <c r="F1101" i="4"/>
  <c r="H1100" i="4"/>
  <c r="J1100" i="4"/>
  <c r="B1100" i="4"/>
  <c r="D1100" i="4"/>
  <c r="F1100" i="4"/>
  <c r="H1099" i="4"/>
  <c r="J1099" i="4"/>
  <c r="B1099" i="4"/>
  <c r="D1099" i="4"/>
  <c r="F1099" i="4"/>
  <c r="H1098" i="4"/>
  <c r="J1098" i="4"/>
  <c r="B1098" i="4"/>
  <c r="D1098" i="4"/>
  <c r="F1098" i="4"/>
  <c r="H1097" i="4"/>
  <c r="B1097" i="4"/>
  <c r="D1097" i="4"/>
  <c r="F1097" i="4"/>
  <c r="H1096" i="4"/>
  <c r="J1096" i="4"/>
  <c r="B1096" i="4"/>
  <c r="D1096" i="4"/>
  <c r="F1096" i="4"/>
  <c r="H1095" i="4"/>
  <c r="J1095" i="4"/>
  <c r="B1095" i="4"/>
  <c r="D1095" i="4"/>
  <c r="F1095" i="4"/>
  <c r="H1094" i="4"/>
  <c r="J1094" i="4"/>
  <c r="B1094" i="4"/>
  <c r="D1094" i="4"/>
  <c r="F1094" i="4"/>
  <c r="H1093" i="4"/>
  <c r="J1093" i="4"/>
  <c r="B1093" i="4"/>
  <c r="D1093" i="4"/>
  <c r="F1093" i="4"/>
  <c r="H1092" i="4"/>
  <c r="J1092" i="4"/>
  <c r="B1092" i="4"/>
  <c r="D1092" i="4"/>
  <c r="F1092" i="4"/>
  <c r="H1091" i="4"/>
  <c r="J1091" i="4"/>
  <c r="B1091" i="4"/>
  <c r="D1091" i="4"/>
  <c r="F1091" i="4"/>
  <c r="H1089" i="4"/>
  <c r="J1089" i="4"/>
  <c r="B1089" i="4"/>
  <c r="D1089" i="4"/>
  <c r="F1089" i="4"/>
  <c r="H1088" i="4"/>
  <c r="J1088" i="4"/>
  <c r="B1088" i="4"/>
  <c r="D1088" i="4"/>
  <c r="F1088" i="4"/>
  <c r="H1087" i="4"/>
  <c r="J1087" i="4"/>
  <c r="B1087" i="4"/>
  <c r="D1087" i="4"/>
  <c r="F1087" i="4"/>
  <c r="H1086" i="4"/>
  <c r="J1086" i="4"/>
  <c r="B1086" i="4"/>
  <c r="D1086" i="4"/>
  <c r="F1086" i="4"/>
  <c r="H1085" i="4"/>
  <c r="J1085" i="4"/>
  <c r="B1085" i="4"/>
  <c r="D1085" i="4"/>
  <c r="F1085" i="4"/>
  <c r="H1084" i="4"/>
  <c r="J1084" i="4"/>
  <c r="B1084" i="4"/>
  <c r="D1084" i="4"/>
  <c r="F1084" i="4"/>
  <c r="H1083" i="4"/>
  <c r="J1083" i="4"/>
  <c r="B1083" i="4"/>
  <c r="D1083" i="4"/>
  <c r="F1083" i="4"/>
  <c r="H1082" i="4"/>
  <c r="J1082" i="4"/>
  <c r="B1082" i="4"/>
  <c r="D1082" i="4"/>
  <c r="F1082" i="4"/>
  <c r="H1081" i="4"/>
  <c r="J1081" i="4"/>
  <c r="B1081" i="4"/>
  <c r="D1081" i="4"/>
  <c r="F1081" i="4"/>
  <c r="H1080" i="4"/>
  <c r="J1080" i="4"/>
  <c r="B1080" i="4"/>
  <c r="D1080" i="4"/>
  <c r="F1080" i="4"/>
  <c r="H1079" i="4"/>
  <c r="J1079" i="4"/>
  <c r="B1079" i="4"/>
  <c r="D1079" i="4"/>
  <c r="F1079" i="4"/>
  <c r="H1078" i="4"/>
  <c r="J1078" i="4"/>
  <c r="B1078" i="4"/>
  <c r="D1078" i="4"/>
  <c r="F1078" i="4"/>
  <c r="H1077" i="4"/>
  <c r="J1077" i="4"/>
  <c r="B1077" i="4"/>
  <c r="D1077" i="4"/>
  <c r="F1077" i="4"/>
  <c r="H1076" i="4"/>
  <c r="J1076" i="4"/>
  <c r="B1076" i="4"/>
  <c r="D1076" i="4"/>
  <c r="F1076" i="4"/>
  <c r="H1075" i="4"/>
  <c r="J1075" i="4"/>
  <c r="B1075" i="4"/>
  <c r="D1075" i="4"/>
  <c r="F1075" i="4"/>
  <c r="H1074" i="4"/>
  <c r="J1074" i="4"/>
  <c r="B1074" i="4"/>
  <c r="D1074" i="4"/>
  <c r="F1074" i="4"/>
  <c r="H1073" i="4"/>
  <c r="J1073" i="4"/>
  <c r="B1073" i="4"/>
  <c r="D1073" i="4"/>
  <c r="F1073" i="4"/>
  <c r="H1072" i="4"/>
  <c r="J1072" i="4"/>
  <c r="B1072" i="4"/>
  <c r="D1072" i="4"/>
  <c r="F1072" i="4"/>
  <c r="H1071" i="4"/>
  <c r="J1071" i="4"/>
  <c r="B1071" i="4"/>
  <c r="D1071" i="4"/>
  <c r="F1071" i="4"/>
  <c r="H1070" i="4"/>
  <c r="J1070" i="4"/>
  <c r="B1070" i="4"/>
  <c r="D1070" i="4"/>
  <c r="F1070" i="4"/>
  <c r="H1069" i="4"/>
  <c r="J1069" i="4"/>
  <c r="B1069" i="4"/>
  <c r="D1069" i="4"/>
  <c r="F1069" i="4"/>
  <c r="H1068" i="4"/>
  <c r="J1068" i="4"/>
  <c r="B1068" i="4"/>
  <c r="D1068" i="4"/>
  <c r="F1068" i="4"/>
  <c r="H1067" i="4"/>
  <c r="J1067" i="4"/>
  <c r="F1057" i="1"/>
  <c r="H1057" i="1"/>
  <c r="I1057" i="1"/>
  <c r="C1056" i="1"/>
  <c r="D1056" i="1"/>
  <c r="E1056" i="1"/>
  <c r="I1053" i="1"/>
  <c r="I1052" i="1"/>
  <c r="C1051" i="1"/>
  <c r="E1051" i="1"/>
  <c r="G1050" i="1"/>
  <c r="J1050" i="1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55" i="4"/>
  <c r="H1095" i="1"/>
  <c r="D1092" i="1"/>
  <c r="H1087" i="1"/>
  <c r="D1084" i="1"/>
  <c r="H1079" i="1"/>
  <c r="D1076" i="1"/>
  <c r="H1068" i="1"/>
  <c r="E1067" i="1"/>
  <c r="C1066" i="1"/>
  <c r="H1064" i="1"/>
  <c r="F1063" i="1"/>
  <c r="C1062" i="1"/>
  <c r="G1060" i="1"/>
  <c r="D1059" i="1"/>
  <c r="B1058" i="1"/>
  <c r="G1056" i="1"/>
  <c r="D1055" i="1"/>
  <c r="B1054" i="1"/>
  <c r="F1052" i="1"/>
  <c r="K1135" i="4"/>
  <c r="K1134" i="4"/>
  <c r="I1133" i="4"/>
  <c r="C1133" i="4"/>
  <c r="K1132" i="4"/>
  <c r="I1131" i="4"/>
  <c r="C1131" i="4"/>
  <c r="I1130" i="4"/>
  <c r="K1130" i="4"/>
  <c r="I1129" i="4"/>
  <c r="C1129" i="4"/>
  <c r="I1128" i="4"/>
  <c r="C1128" i="4"/>
  <c r="I1127" i="4"/>
  <c r="C1127" i="4"/>
  <c r="C1126" i="4"/>
  <c r="K1125" i="4"/>
  <c r="I1124" i="4"/>
  <c r="C1124" i="4"/>
  <c r="I1123" i="4"/>
  <c r="C1123" i="4"/>
  <c r="I1122" i="4"/>
  <c r="K1122" i="4"/>
  <c r="K1121" i="4"/>
  <c r="K1120" i="4"/>
  <c r="I1119" i="4"/>
  <c r="C1119" i="4"/>
  <c r="I1118" i="4"/>
  <c r="C1118" i="4"/>
  <c r="I1117" i="4"/>
  <c r="C1117" i="4"/>
  <c r="I1116" i="4"/>
  <c r="C1116" i="4"/>
  <c r="I1115" i="4"/>
  <c r="C1115" i="4"/>
  <c r="K1114" i="4"/>
  <c r="K1113" i="4"/>
  <c r="I1112" i="4"/>
  <c r="K1112" i="4"/>
  <c r="I1111" i="4"/>
  <c r="K1110" i="4"/>
  <c r="I1109" i="4"/>
  <c r="I1108" i="4"/>
  <c r="C1107" i="4"/>
  <c r="C1106" i="4"/>
  <c r="C1105" i="4"/>
  <c r="I1104" i="4"/>
  <c r="C1103" i="4"/>
  <c r="K1102" i="4"/>
  <c r="K1101" i="4"/>
  <c r="I1100" i="4"/>
  <c r="I1099" i="4"/>
  <c r="I1098" i="4"/>
  <c r="C1097" i="4"/>
  <c r="C1096" i="4"/>
  <c r="C1095" i="4"/>
  <c r="K1094" i="4"/>
  <c r="C1093" i="4"/>
  <c r="C1092" i="4"/>
  <c r="I1091" i="4"/>
  <c r="C1089" i="4"/>
  <c r="C1088" i="4"/>
  <c r="I1087" i="4"/>
  <c r="I1086" i="4"/>
  <c r="C1085" i="4"/>
  <c r="K1084" i="4"/>
  <c r="K1083" i="4"/>
  <c r="K1082" i="4"/>
  <c r="C1081" i="4"/>
  <c r="C1080" i="4"/>
  <c r="K1079" i="4"/>
  <c r="C1078" i="4"/>
  <c r="I1077" i="4"/>
  <c r="I1076" i="4"/>
  <c r="K1075" i="4"/>
  <c r="K1074" i="4"/>
  <c r="K1073" i="4"/>
  <c r="K1072" i="4"/>
  <c r="K1071" i="4"/>
  <c r="K1070" i="4"/>
  <c r="I1069" i="4"/>
  <c r="K1068" i="4"/>
  <c r="I1067" i="4"/>
  <c r="I1066" i="4"/>
  <c r="I1065" i="4"/>
  <c r="K1064" i="4"/>
  <c r="K1063" i="4"/>
  <c r="K1062" i="4"/>
  <c r="C1061" i="4"/>
  <c r="K1060" i="4"/>
  <c r="I1059" i="4"/>
  <c r="C1058" i="4"/>
  <c r="I1057" i="4"/>
  <c r="I1056" i="4"/>
  <c r="K1055" i="4"/>
  <c r="K1054" i="4"/>
  <c r="K1053" i="4"/>
  <c r="C1052" i="4"/>
  <c r="K1051" i="4"/>
  <c r="K1090" i="4"/>
  <c r="K1050" i="4"/>
  <c r="H1096" i="1"/>
  <c r="I1096" i="1"/>
  <c r="J1096" i="1"/>
  <c r="E1095" i="1"/>
  <c r="F1095" i="1"/>
  <c r="G1094" i="1"/>
  <c r="C1093" i="1"/>
  <c r="E1093" i="1"/>
  <c r="F1093" i="1"/>
  <c r="I1092" i="1"/>
  <c r="J1092" i="1"/>
  <c r="C1091" i="1"/>
  <c r="F1091" i="1"/>
  <c r="G1090" i="1"/>
  <c r="B1090" i="1"/>
  <c r="C1089" i="1"/>
  <c r="F1089" i="1"/>
  <c r="G1088" i="1"/>
  <c r="H1088" i="1"/>
  <c r="I1088" i="1"/>
  <c r="J1088" i="1"/>
  <c r="D1087" i="1"/>
  <c r="E1087" i="1"/>
  <c r="F1087" i="1"/>
  <c r="G1086" i="1"/>
  <c r="B1086" i="1"/>
  <c r="E1085" i="1"/>
  <c r="F1085" i="1"/>
  <c r="H1084" i="1"/>
  <c r="I1084" i="1"/>
  <c r="J1084" i="1"/>
  <c r="G1095" i="1"/>
  <c r="I1135" i="4"/>
  <c r="C1135" i="4"/>
  <c r="I1134" i="4"/>
  <c r="C1134" i="4"/>
  <c r="K1133" i="4"/>
  <c r="I1132" i="4"/>
  <c r="C1132" i="4"/>
  <c r="K1131" i="4"/>
  <c r="C1130" i="4"/>
  <c r="K1129" i="4"/>
  <c r="K1128" i="4"/>
  <c r="K1127" i="4"/>
  <c r="I1126" i="4"/>
  <c r="C1125" i="4"/>
  <c r="K1124" i="4"/>
  <c r="K1123" i="4"/>
  <c r="C1122" i="4"/>
  <c r="I1121" i="4"/>
  <c r="C1121" i="4"/>
  <c r="I1120" i="4"/>
  <c r="C1120" i="4"/>
  <c r="K1119" i="4"/>
  <c r="K1118" i="4"/>
  <c r="K1117" i="4"/>
  <c r="K1116" i="4"/>
  <c r="K1115" i="4"/>
  <c r="I1114" i="4"/>
  <c r="C1114" i="4"/>
  <c r="I1113" i="4"/>
  <c r="C1113" i="4"/>
  <c r="C1112" i="4"/>
  <c r="C1111" i="4"/>
  <c r="C1110" i="4"/>
  <c r="C1109" i="4"/>
  <c r="C1108" i="4"/>
  <c r="K1107" i="4"/>
  <c r="K1106" i="4"/>
  <c r="K1105" i="4"/>
  <c r="K1104" i="4"/>
  <c r="K1103" i="4"/>
  <c r="C1102" i="4"/>
  <c r="I1101" i="4"/>
  <c r="K1100" i="4"/>
  <c r="K1099" i="4"/>
  <c r="C1098" i="4"/>
  <c r="K1097" i="4"/>
  <c r="I1096" i="4"/>
  <c r="I1095" i="4"/>
  <c r="C1094" i="4"/>
  <c r="K1093" i="4"/>
  <c r="K1092" i="4"/>
  <c r="K1091" i="4"/>
  <c r="I1089" i="4"/>
  <c r="K1088" i="4"/>
  <c r="K1087" i="4"/>
  <c r="C1086" i="4"/>
  <c r="K1085" i="4"/>
  <c r="I1084" i="4"/>
  <c r="I1083" i="4"/>
  <c r="I1082" i="4"/>
  <c r="I1081" i="4"/>
  <c r="I1080" i="4"/>
  <c r="I1079" i="4"/>
  <c r="I1078" i="4"/>
  <c r="C1077" i="4"/>
  <c r="C1076" i="4"/>
  <c r="C1075" i="4"/>
  <c r="C1074" i="4"/>
  <c r="C1073" i="4"/>
  <c r="I1072" i="4"/>
  <c r="I1071" i="4"/>
  <c r="C1070" i="4"/>
  <c r="C1069" i="4"/>
  <c r="C1068" i="4"/>
  <c r="C1067" i="4"/>
  <c r="C1066" i="4"/>
  <c r="C1065" i="4"/>
  <c r="I1064" i="4"/>
  <c r="I1062" i="4"/>
  <c r="K1061" i="4"/>
  <c r="I1060" i="4"/>
  <c r="K1059" i="4"/>
  <c r="K1058" i="4"/>
  <c r="C1057" i="4"/>
  <c r="C1056" i="4"/>
  <c r="I1055" i="4"/>
  <c r="I1054" i="4"/>
  <c r="C1053" i="4"/>
  <c r="I1052" i="4"/>
  <c r="C1051" i="4"/>
  <c r="I1050" i="4"/>
  <c r="I1090" i="4"/>
  <c r="K1111" i="4"/>
  <c r="I1110" i="4"/>
  <c r="K1108" i="4"/>
  <c r="I1107" i="4"/>
  <c r="I1106" i="4"/>
  <c r="I1105" i="4"/>
  <c r="C1104" i="4"/>
  <c r="I1103" i="4"/>
  <c r="I1102" i="4"/>
  <c r="C1101" i="4"/>
  <c r="C1100" i="4"/>
  <c r="C1099" i="4"/>
  <c r="K1098" i="4"/>
  <c r="I1097" i="4"/>
  <c r="K1096" i="4"/>
  <c r="K1095" i="4"/>
  <c r="I1094" i="4"/>
  <c r="I1093" i="4"/>
  <c r="I1092" i="4"/>
  <c r="C1091" i="4"/>
  <c r="K1089" i="4"/>
  <c r="I1088" i="4"/>
  <c r="C1087" i="4"/>
  <c r="K1086" i="4"/>
  <c r="I1085" i="4"/>
  <c r="C1084" i="4"/>
  <c r="C1083" i="4"/>
  <c r="C1082" i="4"/>
  <c r="K1081" i="4"/>
  <c r="K1080" i="4"/>
  <c r="C1079" i="4"/>
  <c r="K1078" i="4"/>
  <c r="K1077" i="4"/>
  <c r="K1076" i="4"/>
  <c r="I1075" i="4"/>
  <c r="I1074" i="4"/>
  <c r="I1073" i="4"/>
  <c r="C1072" i="4"/>
  <c r="C1071" i="4"/>
  <c r="I1070" i="4"/>
  <c r="K1069" i="4"/>
  <c r="I1068" i="4"/>
  <c r="K1067" i="4"/>
  <c r="K1066" i="4"/>
  <c r="K1065" i="4"/>
  <c r="C1064" i="4"/>
  <c r="C1063" i="4"/>
  <c r="C1062" i="4"/>
  <c r="I1061" i="4"/>
  <c r="C1060" i="4"/>
  <c r="C1059" i="4"/>
  <c r="I1058" i="4"/>
  <c r="K1057" i="4"/>
  <c r="K1056" i="4"/>
  <c r="C1055" i="4"/>
  <c r="C1054" i="4"/>
  <c r="I1053" i="4"/>
  <c r="K1052" i="4"/>
  <c r="I1051" i="4"/>
  <c r="C1050" i="4"/>
  <c r="C1090" i="4"/>
  <c r="D1098" i="3"/>
  <c r="E1098" i="3"/>
  <c r="A1099" i="3"/>
  <c r="B1098" i="3"/>
  <c r="C1083" i="1"/>
  <c r="F1083" i="1"/>
  <c r="B1082" i="1"/>
  <c r="F1081" i="1"/>
  <c r="I1080" i="1"/>
  <c r="F1079" i="1"/>
  <c r="G1078" i="1"/>
  <c r="E1077" i="1"/>
  <c r="F1077" i="1"/>
  <c r="C1075" i="1"/>
  <c r="F1075" i="1"/>
  <c r="B1074" i="1"/>
  <c r="F1073" i="1"/>
  <c r="I1072" i="1"/>
  <c r="E1071" i="1"/>
  <c r="G1071" i="1"/>
  <c r="C1069" i="1"/>
  <c r="J1068" i="1"/>
  <c r="B1068" i="1"/>
  <c r="H1066" i="1"/>
  <c r="G1065" i="1"/>
  <c r="E1063" i="1"/>
  <c r="C1061" i="1"/>
  <c r="J1060" i="1"/>
  <c r="B1060" i="1"/>
  <c r="H1058" i="1"/>
  <c r="G1057" i="1"/>
  <c r="E1055" i="1"/>
  <c r="B1097" i="3"/>
  <c r="C1097" i="3"/>
  <c r="E1097" i="3"/>
  <c r="D1097" i="3"/>
  <c r="A1075" i="2"/>
  <c r="B1074" i="2"/>
  <c r="E1067" i="4"/>
  <c r="E1066" i="4"/>
  <c r="E1065" i="4"/>
  <c r="E1064" i="4"/>
  <c r="E1063" i="4"/>
  <c r="E1062" i="4"/>
  <c r="E1061" i="4"/>
  <c r="E1060" i="4"/>
  <c r="E1059" i="4"/>
  <c r="E1058" i="4"/>
  <c r="E1056" i="4"/>
  <c r="E1054" i="4"/>
  <c r="E1053" i="4"/>
  <c r="E1052" i="4"/>
  <c r="E1051" i="4"/>
  <c r="E1050" i="4"/>
  <c r="E1090" i="4"/>
  <c r="F1056" i="1"/>
  <c r="J1052" i="1"/>
  <c r="B1052" i="1"/>
  <c r="H1050" i="1"/>
  <c r="C1095" i="3"/>
  <c r="C1094" i="3"/>
  <c r="C1092" i="3"/>
  <c r="C1091" i="3"/>
  <c r="C1090" i="3"/>
  <c r="C1089" i="3"/>
  <c r="C1088" i="3"/>
  <c r="C1087" i="3"/>
  <c r="C1086" i="3"/>
  <c r="C1083" i="3"/>
  <c r="C1082" i="3"/>
  <c r="C1081" i="3"/>
  <c r="C1080" i="3"/>
  <c r="C1079" i="3"/>
  <c r="C1078" i="3"/>
  <c r="C1076" i="3"/>
  <c r="C1075" i="3"/>
  <c r="C1074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5" i="3"/>
  <c r="C1054" i="3"/>
  <c r="C1053" i="3"/>
  <c r="C1052" i="3"/>
  <c r="C1051" i="3"/>
  <c r="D1070" i="1"/>
  <c r="D1062" i="1"/>
  <c r="D1054" i="1"/>
  <c r="C1053" i="1"/>
  <c r="H1051" i="1"/>
  <c r="R1050" i="1"/>
  <c r="E1093" i="3"/>
  <c r="E1091" i="3"/>
  <c r="E1086" i="3"/>
  <c r="E1084" i="3"/>
  <c r="E1077" i="3"/>
  <c r="E1075" i="3"/>
  <c r="E1068" i="3"/>
  <c r="E1062" i="3"/>
  <c r="E1057" i="3"/>
  <c r="E1053" i="3"/>
  <c r="E1050" i="3"/>
  <c r="E1095" i="3"/>
  <c r="E1092" i="3"/>
  <c r="E1085" i="3"/>
  <c r="E1083" i="3"/>
  <c r="E1079" i="3"/>
  <c r="E1076" i="3"/>
  <c r="E1088" i="3"/>
  <c r="E1080" i="3"/>
  <c r="E1072" i="3"/>
  <c r="E1067" i="3"/>
  <c r="E1064" i="3"/>
  <c r="E1059" i="3"/>
  <c r="E1056" i="3"/>
  <c r="E1051" i="3"/>
  <c r="D1093" i="3"/>
  <c r="D1085" i="3"/>
  <c r="D1077" i="3"/>
  <c r="D1071" i="3"/>
  <c r="D1069" i="3"/>
  <c r="D1067" i="3"/>
  <c r="D1065" i="3"/>
  <c r="D1063" i="3"/>
  <c r="D1061" i="3"/>
  <c r="D1059" i="3"/>
  <c r="D1057" i="3"/>
  <c r="D1055" i="3"/>
  <c r="D1053" i="3"/>
  <c r="D1051" i="3"/>
  <c r="B1067" i="4"/>
  <c r="D1067" i="4"/>
  <c r="F1067" i="4"/>
  <c r="H1066" i="4"/>
  <c r="J1066" i="4"/>
  <c r="B1066" i="4"/>
  <c r="D1066" i="4"/>
  <c r="F1066" i="4"/>
  <c r="H1065" i="4"/>
  <c r="J1065" i="4"/>
  <c r="B1065" i="4"/>
  <c r="D1065" i="4"/>
  <c r="F1065" i="4"/>
  <c r="H1064" i="4"/>
  <c r="J1064" i="4"/>
  <c r="B1064" i="4"/>
  <c r="D1064" i="4"/>
  <c r="F1064" i="4"/>
  <c r="H1063" i="4"/>
  <c r="J1063" i="4"/>
  <c r="B1063" i="4"/>
  <c r="D1063" i="4"/>
  <c r="F1063" i="4"/>
  <c r="H1062" i="4"/>
  <c r="J1062" i="4"/>
  <c r="B1062" i="4"/>
  <c r="D1062" i="4"/>
  <c r="F1062" i="4"/>
  <c r="H1061" i="4"/>
  <c r="J1061" i="4"/>
  <c r="B1061" i="4"/>
  <c r="D1061" i="4"/>
  <c r="F1061" i="4"/>
  <c r="H1060" i="4"/>
  <c r="J1060" i="4"/>
  <c r="B1060" i="4"/>
  <c r="D1060" i="4"/>
  <c r="F1060" i="4"/>
  <c r="H1059" i="4"/>
  <c r="J1059" i="4"/>
  <c r="B1059" i="4"/>
  <c r="D1059" i="4"/>
  <c r="F1059" i="4"/>
  <c r="H1058" i="4"/>
  <c r="J1058" i="4"/>
  <c r="B1058" i="4"/>
  <c r="D1058" i="4"/>
  <c r="F1058" i="4"/>
  <c r="H1057" i="4"/>
  <c r="J1057" i="4"/>
  <c r="B1057" i="4"/>
  <c r="D1057" i="4"/>
  <c r="F1057" i="4"/>
  <c r="H1056" i="4"/>
  <c r="J1056" i="4"/>
  <c r="B1056" i="4"/>
  <c r="D1056" i="4"/>
  <c r="F1056" i="4"/>
  <c r="H1055" i="4"/>
  <c r="J1055" i="4"/>
  <c r="B1055" i="4"/>
  <c r="D1055" i="4"/>
  <c r="F1055" i="4"/>
  <c r="H1054" i="4"/>
  <c r="J1054" i="4"/>
  <c r="B1054" i="4"/>
  <c r="D1054" i="4"/>
  <c r="F1054" i="4"/>
  <c r="H1053" i="4"/>
  <c r="J1053" i="4"/>
  <c r="B1053" i="4"/>
  <c r="D1053" i="4"/>
  <c r="F1053" i="4"/>
  <c r="H1052" i="4"/>
  <c r="J1052" i="4"/>
  <c r="B1052" i="4"/>
  <c r="D1052" i="4"/>
  <c r="F1052" i="4"/>
  <c r="H1051" i="4"/>
  <c r="J1051" i="4"/>
  <c r="B1051" i="4"/>
  <c r="D1051" i="4"/>
  <c r="F1051" i="4"/>
  <c r="H1050" i="4"/>
  <c r="H1090" i="4"/>
  <c r="J1050" i="4"/>
  <c r="J1090" i="4"/>
  <c r="B1050" i="4"/>
  <c r="B1090" i="4"/>
  <c r="D1050" i="4"/>
  <c r="D1090" i="4"/>
  <c r="F1050" i="4"/>
  <c r="F1090" i="4"/>
  <c r="F1098" i="1" l="1"/>
  <c r="O1098" i="1"/>
  <c r="C1098" i="1"/>
  <c r="M1098" i="1"/>
  <c r="G1098" i="1"/>
  <c r="A1099" i="1"/>
  <c r="H1098" i="1"/>
  <c r="I1098" i="1"/>
  <c r="Q1098" i="1"/>
  <c r="B1098" i="1"/>
  <c r="D1098" i="1"/>
  <c r="J1098" i="1"/>
  <c r="N1098" i="1"/>
  <c r="L1098" i="1"/>
  <c r="P1098" i="1"/>
  <c r="E1098" i="1"/>
  <c r="B1075" i="2"/>
  <c r="A1076" i="2"/>
  <c r="C1099" i="3"/>
  <c r="E1099" i="3"/>
  <c r="A1100" i="3"/>
  <c r="B1099" i="3"/>
  <c r="D1099" i="3"/>
  <c r="F1099" i="1" l="1"/>
  <c r="O1099" i="1"/>
  <c r="E1099" i="1"/>
  <c r="P1099" i="1"/>
  <c r="L1099" i="1"/>
  <c r="B1099" i="1"/>
  <c r="M1099" i="1"/>
  <c r="N1099" i="1"/>
  <c r="C1099" i="1"/>
  <c r="G1099" i="1"/>
  <c r="D1099" i="1"/>
  <c r="I1099" i="1"/>
  <c r="Q1099" i="1"/>
  <c r="A1100" i="1"/>
  <c r="H1099" i="1"/>
  <c r="J1099" i="1"/>
  <c r="B1100" i="3"/>
  <c r="C1100" i="3"/>
  <c r="D1100" i="3"/>
  <c r="A1101" i="3"/>
  <c r="E1100" i="3"/>
  <c r="A1077" i="2"/>
  <c r="B1076" i="2"/>
  <c r="B1077" i="2" l="1"/>
  <c r="A1078" i="2"/>
  <c r="F1100" i="1"/>
  <c r="O1100" i="1"/>
  <c r="H1100" i="1"/>
  <c r="A1101" i="1"/>
  <c r="E1100" i="1"/>
  <c r="Q1100" i="1"/>
  <c r="G1100" i="1"/>
  <c r="I1100" i="1"/>
  <c r="B1100" i="1"/>
  <c r="C1100" i="1"/>
  <c r="D1100" i="1"/>
  <c r="L1100" i="1"/>
  <c r="N1100" i="1"/>
  <c r="J1100" i="1"/>
  <c r="M1100" i="1"/>
  <c r="P1100" i="1"/>
  <c r="E1101" i="3"/>
  <c r="A1102" i="3"/>
  <c r="C1101" i="3"/>
  <c r="B1101" i="3"/>
  <c r="D1101" i="3"/>
  <c r="F1101" i="1" l="1"/>
  <c r="O1101" i="1"/>
  <c r="J1101" i="1"/>
  <c r="L1101" i="1"/>
  <c r="B1101" i="1"/>
  <c r="M1101" i="1"/>
  <c r="C1101" i="1"/>
  <c r="N1101" i="1"/>
  <c r="D1101" i="1"/>
  <c r="E1101" i="1"/>
  <c r="G1101" i="1"/>
  <c r="I1101" i="1"/>
  <c r="Q1101" i="1"/>
  <c r="A1102" i="1"/>
  <c r="P1101" i="1"/>
  <c r="H1101" i="1"/>
  <c r="A1079" i="2"/>
  <c r="B1078" i="2"/>
  <c r="B1102" i="3"/>
  <c r="D1102" i="3"/>
  <c r="A1103" i="3"/>
  <c r="C1102" i="3"/>
  <c r="E1102" i="3"/>
  <c r="B1079" i="2" l="1"/>
  <c r="A1080" i="2"/>
  <c r="C1103" i="3"/>
  <c r="D1103" i="3"/>
  <c r="E1103" i="3"/>
  <c r="B1103" i="3"/>
  <c r="A1104" i="3"/>
  <c r="F1102" i="1"/>
  <c r="O1102" i="1"/>
  <c r="C1102" i="1"/>
  <c r="M1102" i="1"/>
  <c r="E1102" i="1"/>
  <c r="Q1102" i="1"/>
  <c r="G1102" i="1"/>
  <c r="A1103" i="1"/>
  <c r="H1102" i="1"/>
  <c r="B1102" i="1"/>
  <c r="I1102" i="1"/>
  <c r="D1102" i="1"/>
  <c r="L1102" i="1"/>
  <c r="P1102" i="1"/>
  <c r="J1102" i="1"/>
  <c r="N1102" i="1"/>
  <c r="F1103" i="1" l="1"/>
  <c r="O1103" i="1"/>
  <c r="E1103" i="1"/>
  <c r="P1103" i="1"/>
  <c r="J1103" i="1"/>
  <c r="L1103" i="1"/>
  <c r="B1103" i="1"/>
  <c r="M1103" i="1"/>
  <c r="D1103" i="1"/>
  <c r="G1103" i="1"/>
  <c r="H1103" i="1"/>
  <c r="N1103" i="1"/>
  <c r="A1104" i="1"/>
  <c r="C1103" i="1"/>
  <c r="I1103" i="1"/>
  <c r="Q1103" i="1"/>
  <c r="A1105" i="3"/>
  <c r="B1104" i="3"/>
  <c r="D1104" i="3"/>
  <c r="C1104" i="3"/>
  <c r="E1104" i="3"/>
  <c r="A1081" i="2"/>
  <c r="B1080" i="2"/>
  <c r="B1081" i="2" l="1"/>
  <c r="A1082" i="2"/>
  <c r="F1104" i="1"/>
  <c r="O1104" i="1"/>
  <c r="H1104" i="1"/>
  <c r="A1105" i="1"/>
  <c r="D1104" i="1"/>
  <c r="P1104" i="1"/>
  <c r="E1104" i="1"/>
  <c r="Q1104" i="1"/>
  <c r="G1104" i="1"/>
  <c r="C1104" i="1"/>
  <c r="J1104" i="1"/>
  <c r="I1104" i="1"/>
  <c r="M1104" i="1"/>
  <c r="B1104" i="1"/>
  <c r="N1104" i="1"/>
  <c r="L1104" i="1"/>
  <c r="B1105" i="3"/>
  <c r="C1105" i="3"/>
  <c r="E1105" i="3"/>
  <c r="D1105" i="3"/>
  <c r="A1106" i="3"/>
  <c r="A1083" i="2" l="1"/>
  <c r="B1082" i="2"/>
  <c r="D1106" i="3"/>
  <c r="E1106" i="3"/>
  <c r="A1107" i="3"/>
  <c r="B1106" i="3"/>
  <c r="C1106" i="3"/>
  <c r="F1105" i="1"/>
  <c r="O1105" i="1"/>
  <c r="J1105" i="1"/>
  <c r="I1105" i="1"/>
  <c r="L1105" i="1"/>
  <c r="M1105" i="1"/>
  <c r="B1105" i="1"/>
  <c r="E1105" i="1"/>
  <c r="G1105" i="1"/>
  <c r="H1105" i="1"/>
  <c r="P1105" i="1"/>
  <c r="A1106" i="1"/>
  <c r="C1105" i="1"/>
  <c r="D1105" i="1"/>
  <c r="N1105" i="1"/>
  <c r="Q1105" i="1"/>
  <c r="C1107" i="3" l="1"/>
  <c r="B1107" i="3"/>
  <c r="E1107" i="3"/>
  <c r="D1107" i="3"/>
  <c r="A1108" i="3"/>
  <c r="F1106" i="1"/>
  <c r="O1106" i="1"/>
  <c r="C1106" i="1"/>
  <c r="M1106" i="1"/>
  <c r="D1106" i="1"/>
  <c r="P1106" i="1"/>
  <c r="E1106" i="1"/>
  <c r="Q1106" i="1"/>
  <c r="G1106" i="1"/>
  <c r="A1107" i="1"/>
  <c r="H1106" i="1"/>
  <c r="I1106" i="1"/>
  <c r="J1106" i="1"/>
  <c r="N1106" i="1"/>
  <c r="B1106" i="1"/>
  <c r="L1106" i="1"/>
  <c r="B1083" i="2"/>
  <c r="A1084" i="2"/>
  <c r="A1085" i="2" l="1"/>
  <c r="B1084" i="2"/>
  <c r="B1108" i="3"/>
  <c r="C1108" i="3"/>
  <c r="D1108" i="3"/>
  <c r="A1109" i="3"/>
  <c r="E1108" i="3"/>
  <c r="F1107" i="1"/>
  <c r="O1107" i="1"/>
  <c r="E1107" i="1"/>
  <c r="P1107" i="1"/>
  <c r="I1107" i="1"/>
  <c r="J1107" i="1"/>
  <c r="L1107" i="1"/>
  <c r="G1107" i="1"/>
  <c r="M1107" i="1"/>
  <c r="H1107" i="1"/>
  <c r="Q1107" i="1"/>
  <c r="C1107" i="1"/>
  <c r="B1107" i="1"/>
  <c r="D1107" i="1"/>
  <c r="A1108" i="1"/>
  <c r="N1107" i="1"/>
  <c r="B1085" i="2" l="1"/>
  <c r="A1086" i="2"/>
  <c r="F1108" i="1"/>
  <c r="O1108" i="1"/>
  <c r="H1108" i="1"/>
  <c r="A1109" i="1"/>
  <c r="C1108" i="1"/>
  <c r="N1108" i="1"/>
  <c r="D1108" i="1"/>
  <c r="P1108" i="1"/>
  <c r="Q1108" i="1"/>
  <c r="E1108" i="1"/>
  <c r="I1108" i="1"/>
  <c r="J1108" i="1"/>
  <c r="L1108" i="1"/>
  <c r="B1108" i="1"/>
  <c r="G1108" i="1"/>
  <c r="M1108" i="1"/>
  <c r="E1109" i="3"/>
  <c r="A1110" i="3"/>
  <c r="C1109" i="3"/>
  <c r="D1109" i="3"/>
  <c r="B1109" i="3"/>
  <c r="F1109" i="1" l="1"/>
  <c r="O1109" i="1"/>
  <c r="J1109" i="1"/>
  <c r="H1109" i="1"/>
  <c r="I1109" i="1"/>
  <c r="L1109" i="1"/>
  <c r="G1109" i="1"/>
  <c r="M1109" i="1"/>
  <c r="N1109" i="1"/>
  <c r="B1109" i="1"/>
  <c r="Q1109" i="1"/>
  <c r="D1109" i="1"/>
  <c r="C1109" i="1"/>
  <c r="E1109" i="1"/>
  <c r="P1109" i="1"/>
  <c r="A1110" i="1"/>
  <c r="A1087" i="2"/>
  <c r="B1086" i="2"/>
  <c r="B1110" i="3"/>
  <c r="D1110" i="3"/>
  <c r="C1110" i="3"/>
  <c r="A1111" i="3"/>
  <c r="E1110" i="3"/>
  <c r="C1111" i="3" l="1"/>
  <c r="D1111" i="3"/>
  <c r="E1111" i="3"/>
  <c r="A1112" i="3"/>
  <c r="B1111" i="3"/>
  <c r="F1110" i="1"/>
  <c r="O1110" i="1"/>
  <c r="C1110" i="1"/>
  <c r="M1110" i="1"/>
  <c r="B1110" i="1"/>
  <c r="N1110" i="1"/>
  <c r="D1110" i="1"/>
  <c r="P1110" i="1"/>
  <c r="E1110" i="1"/>
  <c r="Q1110" i="1"/>
  <c r="I1110" i="1"/>
  <c r="L1110" i="1"/>
  <c r="J1110" i="1"/>
  <c r="G1110" i="1"/>
  <c r="H1110" i="1"/>
  <c r="A1111" i="1"/>
  <c r="B1087" i="2"/>
  <c r="A1088" i="2"/>
  <c r="F1111" i="1" l="1"/>
  <c r="O1111" i="1"/>
  <c r="E1111" i="1"/>
  <c r="P1111" i="1"/>
  <c r="H1111" i="1"/>
  <c r="I1111" i="1"/>
  <c r="J1111" i="1"/>
  <c r="L1111" i="1"/>
  <c r="M1111" i="1"/>
  <c r="N1111" i="1"/>
  <c r="B1111" i="1"/>
  <c r="A1112" i="1"/>
  <c r="D1111" i="1"/>
  <c r="Q1111" i="1"/>
  <c r="G1111" i="1"/>
  <c r="C1111" i="1"/>
  <c r="A1113" i="3"/>
  <c r="B1112" i="3"/>
  <c r="D1112" i="3"/>
  <c r="E1112" i="3"/>
  <c r="C1112" i="3"/>
  <c r="A1089" i="2"/>
  <c r="B1088" i="2"/>
  <c r="B1089" i="2" l="1"/>
  <c r="A1090" i="2"/>
  <c r="F1112" i="1"/>
  <c r="O1112" i="1"/>
  <c r="H1112" i="1"/>
  <c r="A1113" i="1"/>
  <c r="B1112" i="1"/>
  <c r="M1112" i="1"/>
  <c r="C1112" i="1"/>
  <c r="N1112" i="1"/>
  <c r="D1112" i="1"/>
  <c r="P1112" i="1"/>
  <c r="J1112" i="1"/>
  <c r="L1112" i="1"/>
  <c r="Q1112" i="1"/>
  <c r="G1112" i="1"/>
  <c r="I1112" i="1"/>
  <c r="E1112" i="1"/>
  <c r="B1113" i="3"/>
  <c r="C1113" i="3"/>
  <c r="E1113" i="3"/>
  <c r="D1113" i="3"/>
  <c r="A1114" i="3"/>
  <c r="F1113" i="1" l="1"/>
  <c r="O1113" i="1"/>
  <c r="J1113" i="1"/>
  <c r="H1113" i="1"/>
  <c r="I1113" i="1"/>
  <c r="L1113" i="1"/>
  <c r="N1113" i="1"/>
  <c r="M1113" i="1"/>
  <c r="C1113" i="1"/>
  <c r="Q1113" i="1"/>
  <c r="E1113" i="1"/>
  <c r="B1113" i="1"/>
  <c r="D1113" i="1"/>
  <c r="G1113" i="1"/>
  <c r="P1113" i="1"/>
  <c r="A1114" i="1"/>
  <c r="D1114" i="3"/>
  <c r="E1114" i="3"/>
  <c r="A1115" i="3"/>
  <c r="B1114" i="3"/>
  <c r="C1114" i="3"/>
  <c r="B1090" i="2"/>
  <c r="A1091" i="2"/>
  <c r="C1115" i="3" l="1"/>
  <c r="E1115" i="3"/>
  <c r="A1116" i="3"/>
  <c r="B1115" i="3"/>
  <c r="D1115" i="3"/>
  <c r="F1114" i="1"/>
  <c r="O1114" i="1"/>
  <c r="C1114" i="1"/>
  <c r="M1114" i="1"/>
  <c r="B1114" i="1"/>
  <c r="N1114" i="1"/>
  <c r="D1114" i="1"/>
  <c r="P1114" i="1"/>
  <c r="H1114" i="1"/>
  <c r="I1114" i="1"/>
  <c r="J1114" i="1"/>
  <c r="Q1114" i="1"/>
  <c r="E1114" i="1"/>
  <c r="G1114" i="1"/>
  <c r="A1115" i="1"/>
  <c r="L1114" i="1"/>
  <c r="B1091" i="2"/>
  <c r="A1092" i="2"/>
  <c r="A1093" i="2" l="1"/>
  <c r="B1092" i="2"/>
  <c r="F1115" i="1"/>
  <c r="O1115" i="1"/>
  <c r="E1115" i="1"/>
  <c r="P1115" i="1"/>
  <c r="H1115" i="1"/>
  <c r="I1115" i="1"/>
  <c r="D1115" i="1"/>
  <c r="J1115" i="1"/>
  <c r="G1115" i="1"/>
  <c r="M1115" i="1"/>
  <c r="Q1115" i="1"/>
  <c r="A1116" i="1"/>
  <c r="B1115" i="1"/>
  <c r="C1115" i="1"/>
  <c r="L1115" i="1"/>
  <c r="N1115" i="1"/>
  <c r="B1116" i="3"/>
  <c r="C1116" i="3"/>
  <c r="D1116" i="3"/>
  <c r="A1117" i="3"/>
  <c r="E1116" i="3"/>
  <c r="E1117" i="3" l="1"/>
  <c r="A1118" i="3"/>
  <c r="C1117" i="3"/>
  <c r="B1117" i="3"/>
  <c r="D1117" i="3"/>
  <c r="F1116" i="1"/>
  <c r="O1116" i="1"/>
  <c r="H1116" i="1"/>
  <c r="A1117" i="1"/>
  <c r="B1116" i="1"/>
  <c r="M1116" i="1"/>
  <c r="N1116" i="1"/>
  <c r="C1116" i="1"/>
  <c r="D1116" i="1"/>
  <c r="E1116" i="1"/>
  <c r="G1116" i="1"/>
  <c r="J1116" i="1"/>
  <c r="P1116" i="1"/>
  <c r="I1116" i="1"/>
  <c r="L1116" i="1"/>
  <c r="Q1116" i="1"/>
  <c r="B1093" i="2"/>
  <c r="A1094" i="2"/>
  <c r="A1095" i="2" l="1"/>
  <c r="B1094" i="2"/>
  <c r="B1118" i="3"/>
  <c r="D1118" i="3"/>
  <c r="A1119" i="3"/>
  <c r="C1118" i="3"/>
  <c r="E1118" i="3"/>
  <c r="F1117" i="1"/>
  <c r="O1117" i="1"/>
  <c r="J1117" i="1"/>
  <c r="G1117" i="1"/>
  <c r="A1118" i="1"/>
  <c r="H1117" i="1"/>
  <c r="B1117" i="1"/>
  <c r="P1117" i="1"/>
  <c r="C1117" i="1"/>
  <c r="Q1117" i="1"/>
  <c r="D1117" i="1"/>
  <c r="I1117" i="1"/>
  <c r="M1117" i="1"/>
  <c r="N1117" i="1"/>
  <c r="L1117" i="1"/>
  <c r="E1117" i="1"/>
  <c r="C1119" i="3" l="1"/>
  <c r="D1119" i="3"/>
  <c r="E1119" i="3"/>
  <c r="B1119" i="3"/>
  <c r="A1120" i="3"/>
  <c r="F1118" i="1"/>
  <c r="O1118" i="1"/>
  <c r="C1118" i="1"/>
  <c r="M1118" i="1"/>
  <c r="L1118" i="1"/>
  <c r="B1118" i="1"/>
  <c r="N1118" i="1"/>
  <c r="P1118" i="1"/>
  <c r="D1118" i="1"/>
  <c r="Q1118" i="1"/>
  <c r="A1119" i="1"/>
  <c r="G1118" i="1"/>
  <c r="I1118" i="1"/>
  <c r="E1118" i="1"/>
  <c r="H1118" i="1"/>
  <c r="J1118" i="1"/>
  <c r="B1095" i="2"/>
  <c r="A1096" i="2"/>
  <c r="A1121" i="3" l="1"/>
  <c r="B1120" i="3"/>
  <c r="D1120" i="3"/>
  <c r="C1120" i="3"/>
  <c r="E1120" i="3"/>
  <c r="F1119" i="1"/>
  <c r="O1119" i="1"/>
  <c r="E1119" i="1"/>
  <c r="P1119" i="1"/>
  <c r="G1119" i="1"/>
  <c r="A1120" i="1"/>
  <c r="H1119" i="1"/>
  <c r="L1119" i="1"/>
  <c r="M1119" i="1"/>
  <c r="N1119" i="1"/>
  <c r="C1119" i="1"/>
  <c r="I1119" i="1"/>
  <c r="J1119" i="1"/>
  <c r="B1119" i="1"/>
  <c r="D1119" i="1"/>
  <c r="Q1119" i="1"/>
  <c r="A1097" i="2"/>
  <c r="B1096" i="2"/>
  <c r="F1097" i="2" l="1"/>
  <c r="G1097" i="2"/>
  <c r="I1097" i="2"/>
  <c r="D1097" i="2"/>
  <c r="E1097" i="2"/>
  <c r="H1097" i="2"/>
  <c r="A1098" i="2"/>
  <c r="J1097" i="2"/>
  <c r="B1097" i="2"/>
  <c r="C1097" i="2"/>
  <c r="F1120" i="1"/>
  <c r="O1120" i="1"/>
  <c r="H1120" i="1"/>
  <c r="A1121" i="1"/>
  <c r="L1120" i="1"/>
  <c r="B1120" i="1"/>
  <c r="M1120" i="1"/>
  <c r="I1120" i="1"/>
  <c r="N1120" i="1"/>
  <c r="J1120" i="1"/>
  <c r="C1120" i="1"/>
  <c r="Q1120" i="1"/>
  <c r="E1120" i="1"/>
  <c r="G1120" i="1"/>
  <c r="P1120" i="1"/>
  <c r="D1120" i="1"/>
  <c r="B1121" i="3"/>
  <c r="C1121" i="3"/>
  <c r="E1121" i="3"/>
  <c r="D1121" i="3"/>
  <c r="A1122" i="3"/>
  <c r="D1122" i="3" l="1"/>
  <c r="E1122" i="3"/>
  <c r="A1123" i="3"/>
  <c r="B1122" i="3"/>
  <c r="C1122" i="3"/>
  <c r="D1098" i="2"/>
  <c r="E1098" i="2"/>
  <c r="G1098" i="2"/>
  <c r="H1098" i="2"/>
  <c r="I1098" i="2"/>
  <c r="J1098" i="2"/>
  <c r="C1098" i="2"/>
  <c r="A1099" i="2"/>
  <c r="B1098" i="2"/>
  <c r="F1098" i="2"/>
  <c r="F1121" i="1"/>
  <c r="O1121" i="1"/>
  <c r="J1121" i="1"/>
  <c r="E1121" i="1"/>
  <c r="Q1121" i="1"/>
  <c r="G1121" i="1"/>
  <c r="A1122" i="1"/>
  <c r="H1121" i="1"/>
  <c r="L1121" i="1"/>
  <c r="I1121" i="1"/>
  <c r="N1121" i="1"/>
  <c r="C1121" i="1"/>
  <c r="D1121" i="1"/>
  <c r="B1121" i="1"/>
  <c r="M1121" i="1"/>
  <c r="P1121" i="1"/>
  <c r="C1122" i="1" l="1"/>
  <c r="L1122" i="1"/>
  <c r="I1122" i="1"/>
  <c r="J1122" i="1"/>
  <c r="E1122" i="1"/>
  <c r="Q1122" i="1"/>
  <c r="F1122" i="1"/>
  <c r="A1123" i="1"/>
  <c r="G1122" i="1"/>
  <c r="M1122" i="1"/>
  <c r="O1122" i="1"/>
  <c r="P1122" i="1"/>
  <c r="B1122" i="1"/>
  <c r="D1122" i="1"/>
  <c r="N1122" i="1"/>
  <c r="H1122" i="1"/>
  <c r="B1099" i="2"/>
  <c r="J1099" i="2"/>
  <c r="C1099" i="2"/>
  <c r="A1100" i="2"/>
  <c r="E1099" i="2"/>
  <c r="I1099" i="2"/>
  <c r="D1099" i="2"/>
  <c r="F1099" i="2"/>
  <c r="G1099" i="2"/>
  <c r="H1099" i="2"/>
  <c r="C1123" i="3"/>
  <c r="B1123" i="3"/>
  <c r="E1123" i="3"/>
  <c r="D1123" i="3"/>
  <c r="A1124" i="3"/>
  <c r="C1123" i="1" l="1"/>
  <c r="L1123" i="1"/>
  <c r="B1123" i="1"/>
  <c r="M1123" i="1"/>
  <c r="D1123" i="1"/>
  <c r="N1123" i="1"/>
  <c r="O1123" i="1"/>
  <c r="Q1123" i="1"/>
  <c r="P1123" i="1"/>
  <c r="E1123" i="1"/>
  <c r="G1123" i="1"/>
  <c r="I1123" i="1"/>
  <c r="F1123" i="1"/>
  <c r="H1123" i="1"/>
  <c r="J1123" i="1"/>
  <c r="A1124" i="1"/>
  <c r="B1124" i="3"/>
  <c r="C1124" i="3"/>
  <c r="D1124" i="3"/>
  <c r="A1125" i="3"/>
  <c r="E1124" i="3"/>
  <c r="H1100" i="2"/>
  <c r="I1100" i="2"/>
  <c r="C1100" i="2"/>
  <c r="A1101" i="2"/>
  <c r="B1100" i="2"/>
  <c r="D1100" i="2"/>
  <c r="F1100" i="2"/>
  <c r="E1100" i="2"/>
  <c r="J1100" i="2"/>
  <c r="G1100" i="2"/>
  <c r="C1124" i="1" l="1"/>
  <c r="L1124" i="1"/>
  <c r="E1124" i="1"/>
  <c r="O1124" i="1"/>
  <c r="F1124" i="1"/>
  <c r="P1124" i="1"/>
  <c r="I1124" i="1"/>
  <c r="J1124" i="1"/>
  <c r="M1124" i="1"/>
  <c r="B1124" i="1"/>
  <c r="Q1124" i="1"/>
  <c r="G1124" i="1"/>
  <c r="H1124" i="1"/>
  <c r="D1124" i="1"/>
  <c r="N1124" i="1"/>
  <c r="A1125" i="1"/>
  <c r="E1125" i="3"/>
  <c r="A1126" i="3"/>
  <c r="C1125" i="3"/>
  <c r="D1125" i="3"/>
  <c r="B1125" i="3"/>
  <c r="F1101" i="2"/>
  <c r="G1101" i="2"/>
  <c r="I1101" i="2"/>
  <c r="C1101" i="2"/>
  <c r="D1101" i="2"/>
  <c r="E1101" i="2"/>
  <c r="J1101" i="2"/>
  <c r="H1101" i="2"/>
  <c r="B1101" i="2"/>
  <c r="A1102" i="2"/>
  <c r="C1125" i="1" l="1"/>
  <c r="L1125" i="1"/>
  <c r="G1125" i="1"/>
  <c r="Q1125" i="1"/>
  <c r="H1125" i="1"/>
  <c r="A1126" i="1"/>
  <c r="E1125" i="1"/>
  <c r="F1125" i="1"/>
  <c r="I1125" i="1"/>
  <c r="M1125" i="1"/>
  <c r="O1125" i="1"/>
  <c r="P1125" i="1"/>
  <c r="B1125" i="1"/>
  <c r="J1125" i="1"/>
  <c r="N1125" i="1"/>
  <c r="D1125" i="1"/>
  <c r="D1102" i="2"/>
  <c r="E1102" i="2"/>
  <c r="G1102" i="2"/>
  <c r="F1102" i="2"/>
  <c r="H1102" i="2"/>
  <c r="I1102" i="2"/>
  <c r="A1103" i="2"/>
  <c r="J1102" i="2"/>
  <c r="B1102" i="2"/>
  <c r="C1102" i="2"/>
  <c r="B1126" i="3"/>
  <c r="D1126" i="3"/>
  <c r="C1126" i="3"/>
  <c r="A1127" i="3"/>
  <c r="E1126" i="3"/>
  <c r="C1126" i="1" l="1"/>
  <c r="L1126" i="1"/>
  <c r="I1126" i="1"/>
  <c r="J1126" i="1"/>
  <c r="B1126" i="1"/>
  <c r="O1126" i="1"/>
  <c r="E1126" i="1"/>
  <c r="D1126" i="1"/>
  <c r="P1126" i="1"/>
  <c r="Q1126" i="1"/>
  <c r="G1126" i="1"/>
  <c r="M1126" i="1"/>
  <c r="F1126" i="1"/>
  <c r="H1126" i="1"/>
  <c r="N1126" i="1"/>
  <c r="A1127" i="1"/>
  <c r="C1127" i="3"/>
  <c r="D1127" i="3"/>
  <c r="E1127" i="3"/>
  <c r="A1128" i="3"/>
  <c r="B1127" i="3"/>
  <c r="B1103" i="2"/>
  <c r="J1103" i="2"/>
  <c r="C1103" i="2"/>
  <c r="A1104" i="2"/>
  <c r="E1103" i="2"/>
  <c r="H1103" i="2"/>
  <c r="I1103" i="2"/>
  <c r="F1103" i="2"/>
  <c r="D1103" i="2"/>
  <c r="G1103" i="2"/>
  <c r="A1129" i="3" l="1"/>
  <c r="B1128" i="3"/>
  <c r="D1128" i="3"/>
  <c r="E1128" i="3"/>
  <c r="C1128" i="3"/>
  <c r="C1127" i="1"/>
  <c r="L1127" i="1"/>
  <c r="B1127" i="1"/>
  <c r="M1127" i="1"/>
  <c r="N1127" i="1"/>
  <c r="D1127" i="1"/>
  <c r="I1127" i="1"/>
  <c r="O1127" i="1"/>
  <c r="J1127" i="1"/>
  <c r="E1127" i="1"/>
  <c r="Q1127" i="1"/>
  <c r="G1127" i="1"/>
  <c r="H1127" i="1"/>
  <c r="A1128" i="1"/>
  <c r="P1127" i="1"/>
  <c r="F1127" i="1"/>
  <c r="H1104" i="2"/>
  <c r="I1104" i="2"/>
  <c r="C1104" i="2"/>
  <c r="A1105" i="2"/>
  <c r="B1104" i="2"/>
  <c r="E1104" i="2"/>
  <c r="D1104" i="2"/>
  <c r="J1104" i="2"/>
  <c r="G1104" i="2"/>
  <c r="F1104" i="2"/>
  <c r="C1128" i="1" l="1"/>
  <c r="L1128" i="1"/>
  <c r="E1128" i="1"/>
  <c r="O1128" i="1"/>
  <c r="F1128" i="1"/>
  <c r="P1128" i="1"/>
  <c r="G1128" i="1"/>
  <c r="H1128" i="1"/>
  <c r="I1128" i="1"/>
  <c r="M1128" i="1"/>
  <c r="Q1128" i="1"/>
  <c r="A1129" i="1"/>
  <c r="B1128" i="1"/>
  <c r="D1128" i="1"/>
  <c r="J1128" i="1"/>
  <c r="N1128" i="1"/>
  <c r="G1105" i="2"/>
  <c r="I1105" i="2"/>
  <c r="B1105" i="2"/>
  <c r="C1105" i="2"/>
  <c r="D1105" i="2"/>
  <c r="F1105" i="2"/>
  <c r="E1105" i="2"/>
  <c r="J1105" i="2"/>
  <c r="H1105" i="2"/>
  <c r="A1106" i="2"/>
  <c r="B1129" i="3"/>
  <c r="C1129" i="3"/>
  <c r="E1129" i="3"/>
  <c r="D1129" i="3"/>
  <c r="A1130" i="3"/>
  <c r="D1130" i="3" l="1"/>
  <c r="E1130" i="3"/>
  <c r="A1131" i="3"/>
  <c r="B1130" i="3"/>
  <c r="C1130" i="3"/>
  <c r="E1106" i="2"/>
  <c r="G1106" i="2"/>
  <c r="B1106" i="2"/>
  <c r="C1106" i="2"/>
  <c r="D1106" i="2"/>
  <c r="H1106" i="2"/>
  <c r="F1106" i="2"/>
  <c r="J1106" i="2"/>
  <c r="I1106" i="2"/>
  <c r="A1107" i="2"/>
  <c r="C1129" i="1"/>
  <c r="L1129" i="1"/>
  <c r="G1129" i="1"/>
  <c r="Q1129" i="1"/>
  <c r="H1129" i="1"/>
  <c r="A1130" i="1"/>
  <c r="B1129" i="1"/>
  <c r="O1129" i="1"/>
  <c r="D1129" i="1"/>
  <c r="P1129" i="1"/>
  <c r="E1129" i="1"/>
  <c r="I1129" i="1"/>
  <c r="M1129" i="1"/>
  <c r="F1129" i="1"/>
  <c r="J1129" i="1"/>
  <c r="N1129" i="1"/>
  <c r="C1130" i="1" l="1"/>
  <c r="L1130" i="1"/>
  <c r="I1130" i="1"/>
  <c r="J1130" i="1"/>
  <c r="M1130" i="1"/>
  <c r="B1130" i="1"/>
  <c r="N1130" i="1"/>
  <c r="O1130" i="1"/>
  <c r="E1130" i="1"/>
  <c r="Q1130" i="1"/>
  <c r="G1130" i="1"/>
  <c r="H1130" i="1"/>
  <c r="F1130" i="1"/>
  <c r="P1130" i="1"/>
  <c r="A1131" i="1"/>
  <c r="D1130" i="1"/>
  <c r="C1107" i="2"/>
  <c r="A1108" i="2"/>
  <c r="E1107" i="2"/>
  <c r="B1107" i="2"/>
  <c r="D1107" i="2"/>
  <c r="F1107" i="2"/>
  <c r="H1107" i="2"/>
  <c r="G1107" i="2"/>
  <c r="J1107" i="2"/>
  <c r="I1107" i="2"/>
  <c r="C1131" i="3"/>
  <c r="E1131" i="3"/>
  <c r="A1132" i="3"/>
  <c r="B1131" i="3"/>
  <c r="D1131" i="3"/>
  <c r="B1132" i="3" l="1"/>
  <c r="C1132" i="3"/>
  <c r="D1132" i="3"/>
  <c r="A1133" i="3"/>
  <c r="E1132" i="3"/>
  <c r="C1131" i="1"/>
  <c r="L1131" i="1"/>
  <c r="B1131" i="1"/>
  <c r="M1131" i="1"/>
  <c r="N1131" i="1"/>
  <c r="D1131" i="1"/>
  <c r="G1131" i="1"/>
  <c r="H1131" i="1"/>
  <c r="I1131" i="1"/>
  <c r="O1131" i="1"/>
  <c r="Q1131" i="1"/>
  <c r="A1132" i="1"/>
  <c r="E1131" i="1"/>
  <c r="F1131" i="1"/>
  <c r="J1131" i="1"/>
  <c r="P1131" i="1"/>
  <c r="I1108" i="2"/>
  <c r="C1108" i="2"/>
  <c r="A1109" i="2"/>
  <c r="D1108" i="2"/>
  <c r="E1108" i="2"/>
  <c r="F1108" i="2"/>
  <c r="H1108" i="2"/>
  <c r="G1108" i="2"/>
  <c r="J1108" i="2"/>
  <c r="B1108" i="2"/>
  <c r="G1109" i="2" l="1"/>
  <c r="I1109" i="2"/>
  <c r="D1109" i="2"/>
  <c r="E1109" i="2"/>
  <c r="F1109" i="2"/>
  <c r="J1109" i="2"/>
  <c r="H1109" i="2"/>
  <c r="B1109" i="2"/>
  <c r="C1109" i="2"/>
  <c r="A1110" i="2"/>
  <c r="E1133" i="3"/>
  <c r="A1134" i="3"/>
  <c r="C1133" i="3"/>
  <c r="B1133" i="3"/>
  <c r="D1133" i="3"/>
  <c r="C1132" i="1"/>
  <c r="L1132" i="1"/>
  <c r="E1132" i="1"/>
  <c r="O1132" i="1"/>
  <c r="P1132" i="1"/>
  <c r="F1132" i="1"/>
  <c r="B1132" i="1"/>
  <c r="Q1132" i="1"/>
  <c r="G1132" i="1"/>
  <c r="D1132" i="1"/>
  <c r="A1133" i="1"/>
  <c r="I1132" i="1"/>
  <c r="M1132" i="1"/>
  <c r="N1132" i="1"/>
  <c r="J1132" i="1"/>
  <c r="H1132" i="1"/>
  <c r="B1134" i="3" l="1"/>
  <c r="D1134" i="3"/>
  <c r="A1135" i="3"/>
  <c r="C1134" i="3"/>
  <c r="E1134" i="3"/>
  <c r="C1133" i="1"/>
  <c r="L1133" i="1"/>
  <c r="G1133" i="1"/>
  <c r="Q1133" i="1"/>
  <c r="H1133" i="1"/>
  <c r="A1134" i="1"/>
  <c r="M1133" i="1"/>
  <c r="N1133" i="1"/>
  <c r="O1133" i="1"/>
  <c r="B1133" i="1"/>
  <c r="E1133" i="1"/>
  <c r="I1133" i="1"/>
  <c r="J1133" i="1"/>
  <c r="D1133" i="1"/>
  <c r="F1133" i="1"/>
  <c r="P1133" i="1"/>
  <c r="E1110" i="2"/>
  <c r="G1110" i="2"/>
  <c r="D1110" i="2"/>
  <c r="F1110" i="2"/>
  <c r="H1110" i="2"/>
  <c r="J1110" i="2"/>
  <c r="B1110" i="2"/>
  <c r="I1110" i="2"/>
  <c r="C1110" i="2"/>
  <c r="A1111" i="2"/>
  <c r="C1111" i="2" l="1"/>
  <c r="A1112" i="2"/>
  <c r="E1111" i="2"/>
  <c r="F1111" i="2"/>
  <c r="G1111" i="2"/>
  <c r="H1111" i="2"/>
  <c r="J1111" i="2"/>
  <c r="I1111" i="2"/>
  <c r="D1111" i="2"/>
  <c r="B1111" i="2"/>
  <c r="C1134" i="1"/>
  <c r="L1134" i="1"/>
  <c r="I1134" i="1"/>
  <c r="J1134" i="1"/>
  <c r="G1134" i="1"/>
  <c r="M1134" i="1"/>
  <c r="H1134" i="1"/>
  <c r="B1134" i="1"/>
  <c r="O1134" i="1"/>
  <c r="Q1134" i="1"/>
  <c r="A1135" i="1"/>
  <c r="E1134" i="1"/>
  <c r="D1134" i="1"/>
  <c r="F1134" i="1"/>
  <c r="P1134" i="1"/>
  <c r="N1134" i="1"/>
  <c r="C1135" i="3"/>
  <c r="D1135" i="3"/>
  <c r="E1135" i="3"/>
  <c r="B1135" i="3"/>
  <c r="C1135" i="1" l="1"/>
  <c r="L1135" i="1"/>
  <c r="B1135" i="1"/>
  <c r="M1135" i="1"/>
  <c r="D1135" i="1"/>
  <c r="N1135" i="1"/>
  <c r="E1135" i="1"/>
  <c r="Q1135" i="1"/>
  <c r="F1135" i="1"/>
  <c r="G1135" i="1"/>
  <c r="I1135" i="1"/>
  <c r="O1135" i="1"/>
  <c r="H1135" i="1"/>
  <c r="J1135" i="1"/>
  <c r="P1135" i="1"/>
  <c r="I1112" i="2"/>
  <c r="C1112" i="2"/>
  <c r="A1113" i="2"/>
  <c r="F1112" i="2"/>
  <c r="G1112" i="2"/>
  <c r="H1112" i="2"/>
  <c r="D1112" i="2"/>
  <c r="J1112" i="2"/>
  <c r="B1112" i="2"/>
  <c r="E1112" i="2"/>
  <c r="G1113" i="2" l="1"/>
  <c r="I1113" i="2"/>
  <c r="F1113" i="2"/>
  <c r="H1113" i="2"/>
  <c r="J1113" i="2"/>
  <c r="B1113" i="2"/>
  <c r="A1114" i="2"/>
  <c r="C1113" i="2"/>
  <c r="E1113" i="2"/>
  <c r="D1113" i="2"/>
  <c r="E1114" i="2" l="1"/>
  <c r="G1114" i="2"/>
  <c r="H1114" i="2"/>
  <c r="I1114" i="2"/>
  <c r="J1114" i="2"/>
  <c r="B1114" i="2"/>
  <c r="D1114" i="2"/>
  <c r="A1115" i="2"/>
  <c r="C1114" i="2"/>
  <c r="F1114" i="2"/>
  <c r="C1115" i="2" l="1"/>
  <c r="A1116" i="2"/>
  <c r="E1115" i="2"/>
  <c r="H1115" i="2"/>
  <c r="I1115" i="2"/>
  <c r="J1115" i="2"/>
  <c r="B1115" i="2"/>
  <c r="F1115" i="2"/>
  <c r="G1115" i="2"/>
  <c r="D1115" i="2"/>
  <c r="I1116" i="2" l="1"/>
  <c r="C1116" i="2"/>
  <c r="A1117" i="2"/>
  <c r="H1116" i="2"/>
  <c r="J1116" i="2"/>
  <c r="D1116" i="2"/>
  <c r="B1116" i="2"/>
  <c r="F1116" i="2"/>
  <c r="E1116" i="2"/>
  <c r="G1116" i="2"/>
  <c r="G1117" i="2" l="1"/>
  <c r="I1117" i="2"/>
  <c r="J1117" i="2"/>
  <c r="A1118" i="2"/>
  <c r="B1117" i="2"/>
  <c r="D1117" i="2"/>
  <c r="C1117" i="2"/>
  <c r="E1117" i="2"/>
  <c r="F1117" i="2"/>
  <c r="H1117" i="2"/>
  <c r="E1118" i="2" l="1"/>
  <c r="G1118" i="2"/>
  <c r="J1118" i="2"/>
  <c r="A1119" i="2"/>
  <c r="B1118" i="2"/>
  <c r="D1118" i="2"/>
  <c r="C1118" i="2"/>
  <c r="H1118" i="2"/>
  <c r="I1118" i="2"/>
  <c r="F1118" i="2"/>
  <c r="C1119" i="2" l="1"/>
  <c r="A1120" i="2"/>
  <c r="E1119" i="2"/>
  <c r="J1119" i="2"/>
  <c r="B1119" i="2"/>
  <c r="F1119" i="2"/>
  <c r="D1119" i="2"/>
  <c r="G1119" i="2"/>
  <c r="H1119" i="2"/>
  <c r="I1119" i="2"/>
  <c r="I1120" i="2" l="1"/>
  <c r="C1120" i="2"/>
  <c r="A1121" i="2"/>
  <c r="B1120" i="2"/>
  <c r="D1120" i="2"/>
  <c r="F1120" i="2"/>
  <c r="E1120" i="2"/>
  <c r="H1120" i="2"/>
  <c r="G1120" i="2"/>
  <c r="J1120" i="2"/>
  <c r="G1121" i="2" l="1"/>
  <c r="I1121" i="2"/>
  <c r="B1121" i="2"/>
  <c r="C1121" i="2"/>
  <c r="D1121" i="2"/>
  <c r="F1121" i="2"/>
  <c r="E1121" i="2"/>
  <c r="A1122" i="2"/>
  <c r="J1121" i="2"/>
  <c r="H1121" i="2"/>
  <c r="E1122" i="2" l="1"/>
  <c r="G1122" i="2"/>
  <c r="B1122" i="2"/>
  <c r="C1122" i="2"/>
  <c r="D1122" i="2"/>
  <c r="H1122" i="2"/>
  <c r="F1122" i="2"/>
  <c r="J1122" i="2"/>
  <c r="I1122" i="2"/>
  <c r="A1123" i="2"/>
  <c r="C1123" i="2" l="1"/>
  <c r="A1124" i="2"/>
  <c r="E1123" i="2"/>
  <c r="B1123" i="2"/>
  <c r="D1123" i="2"/>
  <c r="F1123" i="2"/>
  <c r="H1123" i="2"/>
  <c r="G1123" i="2"/>
  <c r="J1123" i="2"/>
  <c r="I1123" i="2"/>
  <c r="I1124" i="2" l="1"/>
  <c r="C1124" i="2"/>
  <c r="A1125" i="2"/>
  <c r="D1124" i="2"/>
  <c r="E1124" i="2"/>
  <c r="F1124" i="2"/>
  <c r="H1124" i="2"/>
  <c r="G1124" i="2"/>
  <c r="B1124" i="2"/>
  <c r="J1124" i="2"/>
  <c r="G1125" i="2" l="1"/>
  <c r="I1125" i="2"/>
  <c r="D1125" i="2"/>
  <c r="E1125" i="2"/>
  <c r="F1125" i="2"/>
  <c r="J1125" i="2"/>
  <c r="B1125" i="2"/>
  <c r="H1125" i="2"/>
  <c r="A1126" i="2"/>
  <c r="C1125" i="2"/>
  <c r="E1126" i="2" l="1"/>
  <c r="G1126" i="2"/>
  <c r="D1126" i="2"/>
  <c r="F1126" i="2"/>
  <c r="H1126" i="2"/>
  <c r="J1126" i="2"/>
  <c r="I1126" i="2"/>
  <c r="B1126" i="2"/>
  <c r="C1126" i="2"/>
  <c r="A1127" i="2"/>
  <c r="C1127" i="2" l="1"/>
  <c r="A1128" i="2"/>
  <c r="E1127" i="2"/>
  <c r="F1127" i="2"/>
  <c r="G1127" i="2"/>
  <c r="H1127" i="2"/>
  <c r="J1127" i="2"/>
  <c r="B1127" i="2"/>
  <c r="I1127" i="2"/>
  <c r="D1127" i="2"/>
  <c r="I1128" i="2" l="1"/>
  <c r="C1128" i="2"/>
  <c r="A1129" i="2"/>
  <c r="F1128" i="2"/>
  <c r="G1128" i="2"/>
  <c r="H1128" i="2"/>
  <c r="J1128" i="2"/>
  <c r="B1128" i="2"/>
  <c r="D1128" i="2"/>
  <c r="E1128" i="2"/>
  <c r="G1129" i="2" l="1"/>
  <c r="I1129" i="2"/>
  <c r="F1129" i="2"/>
  <c r="H1129" i="2"/>
  <c r="J1129" i="2"/>
  <c r="B1129" i="2"/>
  <c r="D1129" i="2"/>
  <c r="A1130" i="2"/>
  <c r="C1129" i="2"/>
  <c r="E1129" i="2"/>
  <c r="E1130" i="2" l="1"/>
  <c r="G1130" i="2"/>
  <c r="H1130" i="2"/>
  <c r="I1130" i="2"/>
  <c r="J1130" i="2"/>
  <c r="B1130" i="2"/>
  <c r="A1131" i="2"/>
  <c r="C1130" i="2"/>
  <c r="F1130" i="2"/>
  <c r="D1130" i="2"/>
  <c r="C1131" i="2" l="1"/>
  <c r="A1132" i="2"/>
  <c r="E1131" i="2"/>
  <c r="H1131" i="2"/>
  <c r="I1131" i="2"/>
  <c r="J1131" i="2"/>
  <c r="B1131" i="2"/>
  <c r="F1131" i="2"/>
  <c r="D1131" i="2"/>
  <c r="G1131" i="2"/>
  <c r="I1132" i="2" l="1"/>
  <c r="C1132" i="2"/>
  <c r="A1133" i="2"/>
  <c r="H1132" i="2"/>
  <c r="J1132" i="2"/>
  <c r="D1132" i="2"/>
  <c r="B1132" i="2"/>
  <c r="F1132" i="2"/>
  <c r="G1132" i="2"/>
  <c r="E1132" i="2"/>
  <c r="G1133" i="2" l="1"/>
  <c r="I1133" i="2"/>
  <c r="J1133" i="2"/>
  <c r="A1134" i="2"/>
  <c r="B1133" i="2"/>
  <c r="D1133" i="2"/>
  <c r="C1133" i="2"/>
  <c r="F1133" i="2"/>
  <c r="E1133" i="2"/>
  <c r="H1133" i="2"/>
  <c r="E1134" i="2" l="1"/>
  <c r="G1134" i="2"/>
  <c r="J1134" i="2"/>
  <c r="A1135" i="2"/>
  <c r="B1134" i="2"/>
  <c r="D1134" i="2"/>
  <c r="C1134" i="2"/>
  <c r="F1134" i="2"/>
  <c r="H1134" i="2"/>
  <c r="I1134" i="2"/>
  <c r="C1135" i="2" l="1"/>
  <c r="E1135" i="2"/>
  <c r="J1135" i="2"/>
  <c r="B1135" i="2"/>
  <c r="F1135" i="2"/>
  <c r="D1135" i="2"/>
  <c r="H1135" i="2"/>
  <c r="I1135" i="2"/>
  <c r="G1135" i="2"/>
</calcChain>
</file>

<file path=xl/sharedStrings.xml><?xml version="1.0" encoding="utf-8"?>
<sst xmlns="http://schemas.openxmlformats.org/spreadsheetml/2006/main" count="161" uniqueCount="74">
  <si>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</si>
  <si>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</si>
  <si>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</si>
  <si>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</si>
  <si>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</si>
  <si>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</si>
  <si>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</si>
  <si>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</si>
  <si>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</si>
  <si>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</si>
  <si>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</si>
  <si>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</si>
  <si>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</si>
  <si>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</si>
  <si>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</si>
  <si>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</si>
  <si>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</si>
  <si>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</si>
  <si>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</si>
  <si>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</si>
  <si>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</si>
  <si>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</si>
  <si>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</si>
  <si>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</si>
  <si>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</si>
  <si>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March 02, 2015 - LYSTRA LOUTAN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</si>
  <si>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</si>
  <si>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</si>
  <si>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</si>
  <si>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</si>
  <si>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</si>
  <si>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</si>
  <si>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</si>
  <si>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</si>
  <si>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</si>
  <si>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</si>
  <si>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</si>
  <si>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</si>
  <si>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</si>
  <si>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</si>
  <si>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</si>
  <si>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</si>
  <si>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</si>
  <si>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</si>
  <si>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</si>
  <si>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</si>
  <si>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</si>
  <si>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</si>
  <si>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</si>
  <si>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</si>
  <si>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</si>
  <si>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</si>
  <si>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</si>
  <si>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</si>
  <si>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</si>
  <si>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</si>
  <si>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</si>
  <si>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</si>
  <si>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</si>
  <si>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</si>
  <si>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</si>
  <si>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</si>
  <si>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</si>
  <si>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</si>
  <si>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</si>
  <si>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</si>
  <si>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</si>
  <si>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</si>
  <si>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Tab 1 of 5</t>
  </si>
  <si>
    <t>Attachment No. 38</t>
  </si>
  <si>
    <t>Tab 2 of 5</t>
  </si>
  <si>
    <t>Tab 3 of 5</t>
  </si>
  <si>
    <t>Tab 4 of 5</t>
  </si>
  <si>
    <t>Tab 5 of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</si>
</sst>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164" fontId="0" fillId="0" borderId="0">
      <alignment horizontal="left" wrapText="1"/>
    </xf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>
      <alignment wrapText="1"/>
    </xf>
    <xf numFmtId="0" fontId="2" fillId="0" borderId="0"/>
    <xf numFmtId="0" fontId="4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</cellStyleXfs>
  <cellXfs count="96">
    <xf numFmtId="164" fontId="0" fillId="0" borderId="0" xfId="0">
      <alignment horizontal="left" wrapText="1"/>
    </xf>
    <xf numFmtId="0" fontId="3" fillId="0" borderId="0" xfId="4" applyFont="1"/>
    <xf numFmtId="0" fontId="3" fillId="0" borderId="0" xfId="4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4" applyNumberFormat="1" applyFont="1" applyAlignment="1">
      <alignment horizontal="center"/>
    </xf>
    <xf numFmtId="167" fontId="3" fillId="0" borderId="0" xfId="4" applyNumberFormat="1" applyFont="1" applyAlignment="1">
      <alignment horizontal="center"/>
    </xf>
    <xf numFmtId="167" fontId="3" fillId="0" borderId="0" xfId="4" applyNumberFormat="1" applyFont="1"/>
    <xf numFmtId="166" fontId="3" fillId="0" borderId="0" xfId="4" applyNumberFormat="1" applyFont="1"/>
    <xf numFmtId="166" fontId="3" fillId="2" borderId="0" xfId="4" applyNumberFormat="1" applyFont="1" applyFill="1" applyAlignment="1">
      <alignment horizontal="center"/>
    </xf>
    <xf numFmtId="168" fontId="3" fillId="0" borderId="0" xfId="4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4" applyNumberFormat="1" applyFont="1" applyAlignment="1">
      <alignment horizontal="center"/>
    </xf>
    <xf numFmtId="166" fontId="6" fillId="2" borderId="0" xfId="4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167" fontId="5" fillId="3" borderId="0" xfId="4" applyNumberFormat="1" applyFont="1" applyFill="1" applyAlignment="1">
      <alignment horizontal="center"/>
    </xf>
    <xf numFmtId="167" fontId="5" fillId="4" borderId="0" xfId="4" applyNumberFormat="1" applyFont="1" applyFill="1" applyAlignment="1">
      <alignment horizontal="center"/>
    </xf>
    <xf numFmtId="167" fontId="5" fillId="5" borderId="0" xfId="4" applyNumberFormat="1" applyFont="1" applyFill="1" applyAlignment="1">
      <alignment horizontal="center"/>
    </xf>
    <xf numFmtId="0" fontId="3" fillId="0" borderId="0" xfId="4" applyFont="1" applyAlignment="1">
      <alignment horizontal="center" wrapText="1"/>
    </xf>
    <xf numFmtId="0" fontId="6" fillId="6" borderId="0" xfId="4" applyFont="1" applyFill="1" applyAlignment="1">
      <alignment horizontal="center" wrapText="1"/>
    </xf>
    <xf numFmtId="0" fontId="6" fillId="0" borderId="0" xfId="4" applyFont="1" applyAlignment="1">
      <alignment horizontal="center" wrapText="1"/>
    </xf>
    <xf numFmtId="0" fontId="6" fillId="2" borderId="0" xfId="4" applyFont="1" applyFill="1" applyAlignment="1">
      <alignment horizontal="center" wrapText="1"/>
    </xf>
    <xf numFmtId="0" fontId="6" fillId="6" borderId="0" xfId="4" quotePrefix="1" applyFont="1" applyFill="1" applyAlignment="1">
      <alignment horizontal="center" wrapText="1"/>
    </xf>
    <xf numFmtId="0" fontId="6" fillId="0" borderId="0" xfId="4" quotePrefix="1" applyFont="1" applyAlignment="1">
      <alignment horizontal="center" wrapText="1"/>
    </xf>
    <xf numFmtId="0" fontId="6" fillId="0" borderId="0" xfId="4" applyFont="1" applyAlignment="1">
      <alignment horizontal="center"/>
    </xf>
    <xf numFmtId="0" fontId="6" fillId="0" borderId="0" xfId="4" applyFont="1" applyAlignment="1"/>
    <xf numFmtId="10" fontId="8" fillId="7" borderId="0" xfId="4" applyNumberFormat="1" applyFont="1" applyFill="1" applyAlignment="1">
      <alignment horizontal="center"/>
    </xf>
    <xf numFmtId="0" fontId="6" fillId="7" borderId="0" xfId="4" applyFont="1" applyFill="1" applyAlignment="1">
      <alignment horizontal="center"/>
    </xf>
    <xf numFmtId="170" fontId="3" fillId="0" borderId="0" xfId="4" applyNumberFormat="1" applyFont="1"/>
    <xf numFmtId="1" fontId="3" fillId="0" borderId="0" xfId="4" applyNumberFormat="1" applyFont="1"/>
    <xf numFmtId="15" fontId="6" fillId="0" borderId="0" xfId="4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0" xfId="4"/>
    <xf numFmtId="1" fontId="3" fillId="0" borderId="0" xfId="4" applyNumberFormat="1" applyFont="1" applyAlignment="1">
      <alignment horizontal="center"/>
    </xf>
    <xf numFmtId="1" fontId="2" fillId="0" borderId="0" xfId="4" applyNumberFormat="1" applyFont="1" applyAlignment="1">
      <alignment horizontal="center"/>
    </xf>
    <xf numFmtId="1" fontId="3" fillId="8" borderId="0" xfId="4" applyNumberFormat="1" applyFont="1" applyFill="1" applyAlignment="1">
      <alignment horizontal="center"/>
    </xf>
    <xf numFmtId="3" fontId="3" fillId="0" borderId="0" xfId="4" applyNumberFormat="1" applyFont="1" applyAlignment="1">
      <alignment horizontal="center"/>
    </xf>
    <xf numFmtId="3" fontId="3" fillId="8" borderId="0" xfId="4" applyNumberFormat="1" applyFont="1" applyFill="1" applyAlignment="1">
      <alignment horizontal="center"/>
    </xf>
    <xf numFmtId="171" fontId="6" fillId="9" borderId="0" xfId="4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4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4" applyFont="1" applyFill="1" applyAlignment="1">
      <alignment horizontal="center" wrapText="1"/>
    </xf>
    <xf numFmtId="0" fontId="6" fillId="9" borderId="0" xfId="4" applyFont="1" applyFill="1" applyAlignment="1">
      <alignment horizontal="center" wrapText="1"/>
    </xf>
    <xf numFmtId="0" fontId="6" fillId="2" borderId="0" xfId="4" quotePrefix="1" applyFont="1" applyFill="1" applyAlignment="1">
      <alignment horizontal="center" wrapText="1"/>
    </xf>
    <xf numFmtId="0" fontId="6" fillId="0" borderId="0" xfId="4" quotePrefix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4" applyFont="1" applyFill="1" applyAlignment="1"/>
    <xf numFmtId="0" fontId="6" fillId="10" borderId="0" xfId="4" applyFont="1" applyFill="1" applyAlignment="1">
      <alignment horizontal="center"/>
    </xf>
    <xf numFmtId="0" fontId="6" fillId="0" borderId="0" xfId="4" applyFont="1"/>
    <xf numFmtId="0" fontId="2" fillId="0" borderId="0" xfId="4" applyFont="1" applyAlignment="1">
      <alignment horizontal="center" wrapText="1"/>
    </xf>
    <xf numFmtId="0" fontId="6" fillId="0" borderId="0" xfId="4" quotePrefix="1" applyFont="1" applyFill="1" applyAlignment="1">
      <alignment horizontal="center" wrapText="1"/>
    </xf>
    <xf numFmtId="0" fontId="6" fillId="8" borderId="0" xfId="4" applyFont="1" applyFill="1" applyAlignment="1"/>
    <xf numFmtId="15" fontId="6" fillId="0" borderId="0" xfId="4" applyNumberFormat="1" applyFont="1" applyFill="1" applyAlignment="1">
      <alignment horizontal="left"/>
    </xf>
    <xf numFmtId="9" fontId="11" fillId="13" borderId="0" xfId="3" applyFont="1" applyFill="1" applyAlignment="1">
      <alignment horizontal="center"/>
    </xf>
    <xf numFmtId="0" fontId="12" fillId="13" borderId="0" xfId="4" applyFont="1" applyFill="1" applyAlignment="1">
      <alignment horizontal="center"/>
    </xf>
    <xf numFmtId="0" fontId="2" fillId="0" borderId="0" xfId="4" applyFont="1" applyFill="1"/>
    <xf numFmtId="0" fontId="13" fillId="0" borderId="0" xfId="4" applyFont="1" applyFill="1"/>
    <xf numFmtId="0" fontId="14" fillId="0" borderId="0" xfId="4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2" applyNumberFormat="1" applyFont="1" applyAlignment="1">
      <alignment horizontal="center"/>
    </xf>
    <xf numFmtId="44" fontId="15" fillId="0" borderId="0" xfId="2" applyFont="1" applyAlignment="1">
      <alignment horizontal="center"/>
    </xf>
    <xf numFmtId="44" fontId="6" fillId="0" borderId="0" xfId="2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4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10" borderId="0" xfId="0" quotePrefix="1" applyNumberFormat="1" applyFont="1" applyFill="1" applyAlignment="1">
      <alignment horizontal="center" vertical="center" wrapText="1"/>
    </xf>
    <xf numFmtId="0" fontId="16" fillId="0" borderId="0" xfId="4" applyFont="1"/>
    <xf numFmtId="10" fontId="8" fillId="7" borderId="0" xfId="4" quotePrefix="1" applyNumberFormat="1" applyFont="1" applyFill="1" applyAlignment="1">
      <alignment horizontal="center"/>
    </xf>
    <xf numFmtId="15" fontId="6" fillId="7" borderId="0" xfId="4" applyNumberFormat="1" applyFont="1" applyFill="1" applyAlignment="1">
      <alignment horizontal="left"/>
    </xf>
    <xf numFmtId="15" fontId="6" fillId="0" borderId="0" xfId="4" quotePrefix="1" applyNumberFormat="1" applyFont="1" applyAlignment="1">
      <alignment horizontal="left"/>
    </xf>
    <xf numFmtId="0" fontId="17" fillId="0" borderId="0" xfId="4" applyFont="1"/>
    <xf numFmtId="165" fontId="0" fillId="0" borderId="0" xfId="0" applyNumberFormat="1" applyAlignment="1"/>
    <xf numFmtId="43" fontId="0" fillId="0" borderId="0" xfId="1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19" fillId="0" borderId="0" xfId="0" applyNumberFormat="1" applyFont="1" applyAlignment="1">
      <alignment horizontal="left"/>
    </xf>
    <xf numFmtId="0" fontId="6" fillId="6" borderId="0" xfId="4" quotePrefix="1" applyFont="1" applyFill="1" applyAlignment="1">
      <alignment horizontal="center"/>
    </xf>
    <xf numFmtId="0" fontId="6" fillId="11" borderId="0" xfId="4" quotePrefix="1" applyFont="1" applyFill="1" applyAlignment="1">
      <alignment horizontal="center"/>
    </xf>
    <xf numFmtId="0" fontId="6" fillId="12" borderId="0" xfId="4" applyFont="1" applyFill="1" applyAlignment="1">
      <alignment horizontal="center"/>
    </xf>
    <xf numFmtId="165" fontId="6" fillId="11" borderId="0" xfId="0" quotePrefix="1" applyNumberFormat="1" applyFont="1" applyFill="1" applyAlignment="1">
      <alignment horizontal="center"/>
    </xf>
    <xf numFmtId="0" fontId="6" fillId="0" borderId="0" xfId="4" applyFont="1" applyAlignment="1">
      <alignment horizontal="center"/>
    </xf>
    <xf numFmtId="0" fontId="6" fillId="9" borderId="0" xfId="4" quotePrefix="1" applyFont="1" applyFill="1" applyAlignment="1">
      <alignment horizontal="center"/>
    </xf>
    <xf numFmtId="0" fontId="6" fillId="9" borderId="0" xfId="4" applyFont="1" applyFill="1" applyAlignment="1">
      <alignment horizontal="center"/>
    </xf>
    <xf numFmtId="0" fontId="6" fillId="11" borderId="0" xfId="4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52">
    <cellStyle name="_x0013_" xfId="5"/>
    <cellStyle name="_CC Oil" xfId="6"/>
    <cellStyle name="_DSO Oil" xfId="7"/>
    <cellStyle name="_FLCC Oil" xfId="8"/>
    <cellStyle name="_FLPEGT Oil" xfId="9"/>
    <cellStyle name="_FMCT Oil" xfId="10"/>
    <cellStyle name="_GTDW_DataTemplate" xfId="11"/>
    <cellStyle name="_Gulfstream Gas" xfId="12"/>
    <cellStyle name="_MR .7 Oil" xfId="13"/>
    <cellStyle name="_MR 1 Oil" xfId="14"/>
    <cellStyle name="_MRCT Oil" xfId="15"/>
    <cellStyle name="_MT Gulfstream Gas" xfId="16"/>
    <cellStyle name="_MT Oil" xfId="17"/>
    <cellStyle name="_OLCT Oil" xfId="18"/>
    <cellStyle name="_PE Oil" xfId="19"/>
    <cellStyle name="_PN Oil" xfId="20"/>
    <cellStyle name="_RV Oil" xfId="21"/>
    <cellStyle name="_SHCT Oil" xfId="22"/>
    <cellStyle name="_SN Oil" xfId="23"/>
    <cellStyle name="_TP Oil" xfId="24"/>
    <cellStyle name="Comma" xfId="1" builtinId="3"/>
    <cellStyle name="Comma 2" xfId="25"/>
    <cellStyle name="Comma 3" xfId="26"/>
    <cellStyle name="Comma 3 2" xfId="27"/>
    <cellStyle name="Comma 4" xfId="28"/>
    <cellStyle name="Comma 5" xfId="29"/>
    <cellStyle name="Currency" xfId="2" builtinId="4"/>
    <cellStyle name="Normal" xfId="0" builtinId="0"/>
    <cellStyle name="Normal 10" xfId="30"/>
    <cellStyle name="Normal 10 2" xfId="31"/>
    <cellStyle name="Normal 2" xfId="32"/>
    <cellStyle name="Normal 2 2" xfId="33"/>
    <cellStyle name="Normal 2 2 2" xfId="34"/>
    <cellStyle name="Normal 2 3" xfId="35"/>
    <cellStyle name="Normal 2 3 2" xfId="36"/>
    <cellStyle name="Normal 2 4" xfId="37"/>
    <cellStyle name="Normal 2 4 2" xfId="38"/>
    <cellStyle name="Normal 2 5" xfId="39"/>
    <cellStyle name="Normal 2 6" xfId="40"/>
    <cellStyle name="Normal 2 7" xfId="41"/>
    <cellStyle name="Normal 3" xfId="42"/>
    <cellStyle name="Normal 4" xfId="43"/>
    <cellStyle name="Normal 5" xfId="44"/>
    <cellStyle name="Normal 5 2" xfId="45"/>
    <cellStyle name="Normal 6" xfId="46"/>
    <cellStyle name="Normal 6 2" xfId="47"/>
    <cellStyle name="Normal 7" xfId="48"/>
    <cellStyle name="Normal 7 2" xfId="49"/>
    <cellStyle name="Normal 8" xfId="50"/>
    <cellStyle name="Normal 9" xfId="51"/>
    <cellStyle name="Normal_060415 RAP Fuel Price Forecast Template - Case 1 (Historical Spread)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5" fmlaRange="CONTROL!$B$15:$B$17" sel="2" val="0"/>
</file>

<file path=xl/ctrlProps/ctrlProp2.xml><?xml version="1.0" encoding="utf-8"?>
<formControlPr xmlns="http://schemas.microsoft.com/office/spreadsheetml/2009/9/main" objectType="Drop" dropLines="2" dropStyle="combo" dx="18" fmlaLink="CONTROL!$C$32" fmlaRange="CONTROL!$B$32:$B$33" val="0"/>
</file>

<file path=xl/ctrlProps/ctrlProp3.xml><?xml version="1.0" encoding="utf-8"?>
<formControlPr xmlns="http://schemas.microsoft.com/office/spreadsheetml/2009/9/main" objectType="Drop" dropLines="3" dropStyle="combo" dx="18" fmlaLink="CONTROL!$C$9" fmlaRange="CONTROL!$B$9:$B$11" sel="2" val="0"/>
</file>

<file path=xl/ctrlProps/ctrlProp4.xml><?xml version="1.0" encoding="utf-8"?>
<formControlPr xmlns="http://schemas.microsoft.com/office/spreadsheetml/2009/9/main" objectType="Drop" dropLines="2" dropStyle="combo" dx="18" fmlaLink="CONTROL!$C$28" fmlaRange="CONTROL!$B$28:$B$29" val="0"/>
</file>

<file path=xl/ctrlProps/ctrlProp5.xml><?xml version="1.0" encoding="utf-8"?>
<formControlPr xmlns="http://schemas.microsoft.com/office/spreadsheetml/2009/9/main" objectType="Drop" dropLines="3" dropStyle="combo" dx="18" fmlaLink="CONTROL!$C$22" fmlaRange="CONTROL!$B$22:$B$24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171450</xdr:rowOff>
        </xdr:from>
        <xdr:to>
          <xdr:col>4</xdr:col>
          <xdr:colOff>533400</xdr:colOff>
          <xdr:row>13</xdr:row>
          <xdr:rowOff>104775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171450</xdr:rowOff>
        </xdr:from>
        <xdr:to>
          <xdr:col>6</xdr:col>
          <xdr:colOff>257175</xdr:colOff>
          <xdr:row>13</xdr:row>
          <xdr:rowOff>95250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171450</xdr:rowOff>
        </xdr:from>
        <xdr:to>
          <xdr:col>2</xdr:col>
          <xdr:colOff>666750</xdr:colOff>
          <xdr:row>11</xdr:row>
          <xdr:rowOff>104775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171450</xdr:rowOff>
        </xdr:from>
        <xdr:to>
          <xdr:col>4</xdr:col>
          <xdr:colOff>371475</xdr:colOff>
          <xdr:row>11</xdr:row>
          <xdr:rowOff>95250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381000</xdr:colOff>
          <xdr:row>12</xdr:row>
          <xdr:rowOff>142875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XD0FJ7\AppData\Local\Temp\Temp1_2015.zip\2015\3.%20March\150302%202015%20-%202100%20SPOT%20FORWARD%20CURVE%20PROJECTION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GAS BASIS"/>
      <sheetName val="FPL LONG TERM GAS &amp; OIL INDEX"/>
      <sheetName val="OIL &amp; GAS SEASONALITY"/>
      <sheetName val="TRANSPORT"/>
      <sheetName val="DEMAND CHARGE"/>
      <sheetName val="CAPACITY"/>
      <sheetName val="GAS AVAILABILITY WORKSHEET"/>
      <sheetName val="NATURAL GAS PRICES WORKSHEET"/>
      <sheetName val="FGT PRIMARY FIRM ZONE 1"/>
      <sheetName val="FGT PRIMARY FIRM ZONE 2"/>
      <sheetName val="FGT PRIMARY FIRM ZONE 3"/>
      <sheetName val="FGT NON-FIRM"/>
      <sheetName val="SESH TO FTS 3"/>
      <sheetName val="TRANSCO 4A  FTS 3"/>
      <sheetName val="GULF SOUTH TO FTS 1&amp;2"/>
      <sheetName val="INCREMENTAL Z3"/>
      <sheetName val="SESH TO GULFSTREAM"/>
      <sheetName val="TRANSCO 4A TO GULFSTREAM"/>
      <sheetName val="GULF SOUTH TO GULFSTREAM"/>
      <sheetName val="GULFSTREAM FIRM "/>
      <sheetName val="GULFSTREAM NON-FIRM"/>
      <sheetName val="FSC DLVD"/>
      <sheetName val="UPS REPLACEMENT"/>
      <sheetName val="Upload"/>
      <sheetName val="DISTILLATE &amp; RESIDUAL FUEL OIL"/>
      <sheetName val="COAL SO2 &amp; NOX Calculations"/>
      <sheetName val="COAL - Monthly"/>
      <sheetName val="COAL &amp; PET COKE FORECAST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50"/>
  <sheetViews>
    <sheetView tabSelected="1" zoomScale="70" zoomScaleNormal="70" workbookViewId="0">
      <pane xSplit="1" ySplit="16" topLeftCell="B17" activePane="bottomRight" state="frozen"/>
      <selection activeCell="J39" sqref="J39"/>
      <selection pane="topRight" activeCell="J39" sqref="J39"/>
      <selection pane="bottomLeft" activeCell="J39" sqref="J39"/>
      <selection pane="bottomRight" activeCell="B17" sqref="B17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21875" style="1" bestFit="1" customWidth="1"/>
    <col min="13" max="13" width="13.6640625" style="1" bestFit="1" customWidth="1"/>
    <col min="14" max="14" width="6.109375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84" t="s">
        <v>64</v>
      </c>
    </row>
    <row r="2" spans="1:19" ht="15.75">
      <c r="A2" s="84" t="s">
        <v>65</v>
      </c>
    </row>
    <row r="3" spans="1:19" ht="15.75">
      <c r="A3" s="84" t="s">
        <v>66</v>
      </c>
    </row>
    <row r="4" spans="1:19" ht="15.75">
      <c r="A4" s="84" t="s">
        <v>67</v>
      </c>
    </row>
    <row r="5" spans="1:19" ht="15.75">
      <c r="A5" s="84" t="s">
        <v>69</v>
      </c>
    </row>
    <row r="6" spans="1:19" ht="15.75">
      <c r="A6" s="84" t="s">
        <v>68</v>
      </c>
    </row>
    <row r="8" spans="1:19" ht="24.75" customHeight="1">
      <c r="A8" s="31" t="s">
        <v>26</v>
      </c>
    </row>
    <row r="9" spans="1:19" ht="15" customHeight="1">
      <c r="A9" s="30" t="s">
        <v>25</v>
      </c>
    </row>
    <row r="10" spans="1:19" ht="15" customHeight="1">
      <c r="A10" s="1"/>
      <c r="G10" s="29"/>
      <c r="N10" s="28"/>
    </row>
    <row r="11" spans="1:19" ht="15" customHeight="1">
      <c r="C11" s="27" t="s">
        <v>24</v>
      </c>
      <c r="D11" s="26">
        <f>1-0.198</f>
        <v>0.80200000000000005</v>
      </c>
      <c r="E11" s="27" t="s">
        <v>23</v>
      </c>
      <c r="F11" s="26">
        <f>1+0.198</f>
        <v>1.198</v>
      </c>
    </row>
    <row r="12" spans="1:19" ht="15" customHeight="1">
      <c r="A12" s="1"/>
    </row>
    <row r="13" spans="1:19" ht="15" customHeight="1">
      <c r="D13" s="10"/>
      <c r="E13" s="10"/>
      <c r="F13" s="10"/>
      <c r="G13" s="10"/>
      <c r="I13" s="10"/>
      <c r="K13" s="25"/>
      <c r="L13" s="85" t="s">
        <v>22</v>
      </c>
      <c r="M13" s="85"/>
      <c r="N13" s="85"/>
      <c r="O13" s="85"/>
      <c r="P13" s="85"/>
      <c r="Q13" s="85"/>
      <c r="R13" s="85"/>
      <c r="S13" s="85"/>
    </row>
    <row r="14" spans="1:19" ht="15" customHeight="1">
      <c r="B14" s="10"/>
      <c r="C14" s="10"/>
      <c r="D14" s="10"/>
      <c r="E14" s="10"/>
      <c r="F14" s="10"/>
      <c r="G14" s="10"/>
      <c r="I14" s="10"/>
      <c r="K14" s="24"/>
      <c r="L14" s="85" t="s">
        <v>21</v>
      </c>
      <c r="M14" s="85"/>
      <c r="N14" s="85"/>
      <c r="O14" s="85"/>
      <c r="P14" s="85"/>
      <c r="Q14" s="85"/>
      <c r="R14" s="85"/>
      <c r="S14" s="85"/>
    </row>
    <row r="15" spans="1:19" s="18" customFormat="1" ht="112.5" customHeight="1">
      <c r="B15" s="21" t="s">
        <v>20</v>
      </c>
      <c r="C15" s="21" t="s">
        <v>19</v>
      </c>
      <c r="D15" s="21" t="s">
        <v>18</v>
      </c>
      <c r="E15" s="21" t="s">
        <v>17</v>
      </c>
      <c r="F15" s="20" t="s">
        <v>16</v>
      </c>
      <c r="G15" s="21" t="s">
        <v>15</v>
      </c>
      <c r="H15" s="20" t="s">
        <v>14</v>
      </c>
      <c r="I15" s="21" t="s">
        <v>13</v>
      </c>
      <c r="J15" s="20" t="s">
        <v>12</v>
      </c>
      <c r="K15" s="23" t="s">
        <v>11</v>
      </c>
      <c r="L15" s="19" t="s">
        <v>10</v>
      </c>
      <c r="M15" s="19" t="s">
        <v>9</v>
      </c>
      <c r="N15" s="19" t="s">
        <v>8</v>
      </c>
      <c r="O15" s="19" t="s">
        <v>7</v>
      </c>
      <c r="P15" s="19" t="s">
        <v>6</v>
      </c>
      <c r="Q15" s="19" t="s">
        <v>5</v>
      </c>
      <c r="R15" s="19" t="s">
        <v>4</v>
      </c>
      <c r="S15" s="22" t="s">
        <v>3</v>
      </c>
    </row>
    <row r="16" spans="1:19" s="18" customFormat="1" ht="15" customHeight="1">
      <c r="A16" s="20" t="s">
        <v>2</v>
      </c>
      <c r="B16" s="21" t="s">
        <v>1</v>
      </c>
      <c r="C16" s="21" t="s">
        <v>1</v>
      </c>
      <c r="D16" s="21" t="s">
        <v>1</v>
      </c>
      <c r="E16" s="21" t="s">
        <v>1</v>
      </c>
      <c r="F16" s="20" t="s">
        <v>1</v>
      </c>
      <c r="G16" s="21" t="s">
        <v>1</v>
      </c>
      <c r="H16" s="20" t="s">
        <v>1</v>
      </c>
      <c r="I16" s="21" t="s">
        <v>1</v>
      </c>
      <c r="J16" s="20" t="s">
        <v>1</v>
      </c>
      <c r="K16" s="20" t="s">
        <v>1</v>
      </c>
      <c r="L16" s="19" t="s">
        <v>0</v>
      </c>
      <c r="M16" s="19" t="s">
        <v>0</v>
      </c>
      <c r="N16" s="19" t="s">
        <v>0</v>
      </c>
      <c r="O16" s="19" t="s">
        <v>0</v>
      </c>
      <c r="P16" s="19" t="s">
        <v>0</v>
      </c>
      <c r="Q16" s="19" t="s">
        <v>0</v>
      </c>
      <c r="R16" s="19" t="s">
        <v>0</v>
      </c>
      <c r="S16" s="19" t="s">
        <v>0</v>
      </c>
    </row>
    <row r="17" spans="1:19" ht="15" customHeight="1">
      <c r="A17" s="13">
        <v>42005</v>
      </c>
      <c r="B17" s="8">
        <f>3.295 * CHOOSE(CONTROL!$C$15, $D$11, 100%, $F$11)</f>
        <v>3.2949999999999999</v>
      </c>
      <c r="C17" s="8">
        <f>3.3 * CHOOSE(CONTROL!$C$15, $D$11, 100%, $F$11)</f>
        <v>3.3</v>
      </c>
      <c r="D17" s="8">
        <f>3.2953 * CHOOSE( CONTROL!$C$15, $D$11, 100%, $F$11)</f>
        <v>3.2953000000000001</v>
      </c>
      <c r="E17" s="12">
        <f>3.2965 * CHOOSE( CONTROL!$C$15, $D$11, 100%, $F$11)</f>
        <v>3.2965</v>
      </c>
      <c r="F17" s="4">
        <f>3.9371 * CHOOSE(CONTROL!$C$15, $D$11, 100%, $F$11)</f>
        <v>3.9371</v>
      </c>
      <c r="G17" s="8">
        <f>3.2665 * CHOOSE( CONTROL!$C$15, $D$11, 100%, $F$11)</f>
        <v>3.2665000000000002</v>
      </c>
      <c r="H17" s="4">
        <f>4.1376 * CHOOSE(CONTROL!$C$15, $D$11, 100%, $F$11)</f>
        <v>4.1375999999999999</v>
      </c>
      <c r="I17" s="8">
        <f>3.3042 * CHOOSE(CONTROL!$C$15, $D$11, 100%, $F$11)</f>
        <v>3.3041999999999998</v>
      </c>
      <c r="J17" s="4">
        <f>3.189 * CHOOSE(CONTROL!$C$15, $D$11, 100%, $F$11)</f>
        <v>3.1890000000000001</v>
      </c>
      <c r="K17" s="4">
        <f>3.2683 * CHOOSE(CONTROL!$C$15, $D$11, 100%, $F$11)</f>
        <v>3.2683</v>
      </c>
      <c r="L17" s="9">
        <v>28.872</v>
      </c>
      <c r="M17" s="9">
        <v>12.063700000000001</v>
      </c>
      <c r="N17" s="9">
        <v>4.9444999999999997</v>
      </c>
      <c r="O17" s="9">
        <v>0.61570000000000003</v>
      </c>
      <c r="P17" s="9">
        <v>0</v>
      </c>
      <c r="Q17" s="9"/>
      <c r="R17" s="9">
        <f t="shared" ref="R17:R44" si="0">(0.12*2500000)/1000000</f>
        <v>0.3</v>
      </c>
      <c r="S17" s="17">
        <v>1.0592999999999999</v>
      </c>
    </row>
    <row r="18" spans="1:19" ht="15" customHeight="1">
      <c r="A18" s="13">
        <v>42036</v>
      </c>
      <c r="B18" s="8">
        <f>2.9621 * CHOOSE(CONTROL!$C$15, $D$11, 100%, $F$11)</f>
        <v>2.9621</v>
      </c>
      <c r="C18" s="8">
        <f>2.9672 * CHOOSE(CONTROL!$C$15, $D$11, 100%, $F$11)</f>
        <v>2.9672000000000001</v>
      </c>
      <c r="D18" s="8">
        <f>2.9523 * CHOOSE( CONTROL!$C$15, $D$11, 100%, $F$11)</f>
        <v>2.9523000000000001</v>
      </c>
      <c r="E18" s="12">
        <f>2.9572 * CHOOSE( CONTROL!$C$15, $D$11, 100%, $F$11)</f>
        <v>2.9571999999999998</v>
      </c>
      <c r="F18" s="4">
        <f>3.6042 * CHOOSE(CONTROL!$C$15, $D$11, 100%, $F$11)</f>
        <v>3.6042000000000001</v>
      </c>
      <c r="G18" s="8">
        <f>2.9278 * CHOOSE( CONTROL!$C$15, $D$11, 100%, $F$11)</f>
        <v>2.9278</v>
      </c>
      <c r="H18" s="4">
        <f>3.8087 * CHOOSE(CONTROL!$C$15, $D$11, 100%, $F$11)</f>
        <v>3.8087</v>
      </c>
      <c r="I18" s="8">
        <f>2.9815 * CHOOSE(CONTROL!$C$15, $D$11, 100%, $F$11)</f>
        <v>2.9815</v>
      </c>
      <c r="J18" s="4">
        <f>2.866 * CHOOSE(CONTROL!$C$15, $D$11, 100%, $F$11)</f>
        <v>2.8660000000000001</v>
      </c>
      <c r="K18" s="4">
        <f>2.9325 * CHOOSE(CONTROL!$C$15, $D$11, 100%, $F$11)</f>
        <v>2.9325000000000001</v>
      </c>
      <c r="L18" s="9">
        <v>26.0779</v>
      </c>
      <c r="M18" s="9">
        <v>10.8962</v>
      </c>
      <c r="N18" s="9">
        <v>4.4660000000000002</v>
      </c>
      <c r="O18" s="9">
        <v>0.55610000000000004</v>
      </c>
      <c r="P18" s="9">
        <v>0</v>
      </c>
      <c r="Q18" s="9"/>
      <c r="R18" s="9">
        <f t="shared" si="0"/>
        <v>0.3</v>
      </c>
      <c r="S18" s="17">
        <v>1.0592999999999999</v>
      </c>
    </row>
    <row r="19" spans="1:19" ht="15" customHeight="1">
      <c r="A19" s="13">
        <v>42064</v>
      </c>
      <c r="B19" s="8">
        <f>2.991 * CHOOSE(CONTROL!$C$15, $D$11, 100%, $F$11)</f>
        <v>2.9910000000000001</v>
      </c>
      <c r="C19" s="8">
        <f>2.9961 * CHOOSE(CONTROL!$C$15, $D$11, 100%, $F$11)</f>
        <v>2.9961000000000002</v>
      </c>
      <c r="D19" s="8">
        <f>2.9722 * CHOOSE( CONTROL!$C$15, $D$11, 100%, $F$11)</f>
        <v>2.9722</v>
      </c>
      <c r="E19" s="12">
        <f>2.9804 * CHOOSE( CONTROL!$C$15, $D$11, 100%, $F$11)</f>
        <v>2.9803999999999999</v>
      </c>
      <c r="F19" s="4">
        <f>3.6382 * CHOOSE(CONTROL!$C$15, $D$11, 100%, $F$11)</f>
        <v>3.6381999999999999</v>
      </c>
      <c r="G19" s="8">
        <f>2.9474 * CHOOSE( CONTROL!$C$15, $D$11, 100%, $F$11)</f>
        <v>2.9474</v>
      </c>
      <c r="H19" s="4">
        <f>3.8423 * CHOOSE(CONTROL!$C$15, $D$11, 100%, $F$11)</f>
        <v>3.8422999999999998</v>
      </c>
      <c r="I19" s="8">
        <f>2.9743 * CHOOSE(CONTROL!$C$15, $D$11, 100%, $F$11)</f>
        <v>2.9742999999999999</v>
      </c>
      <c r="J19" s="4">
        <f>2.894 * CHOOSE(CONTROL!$C$15, $D$11, 100%, $F$11)</f>
        <v>2.8940000000000001</v>
      </c>
      <c r="K19" s="4">
        <f>2.9622 * CHOOSE(CONTROL!$C$15, $D$11, 100%, $F$11)</f>
        <v>2.9622000000000002</v>
      </c>
      <c r="L19" s="9">
        <v>28.872</v>
      </c>
      <c r="M19" s="9">
        <v>12.063700000000001</v>
      </c>
      <c r="N19" s="9">
        <v>4.9444999999999997</v>
      </c>
      <c r="O19" s="9">
        <v>0.61570000000000003</v>
      </c>
      <c r="P19" s="9">
        <v>0</v>
      </c>
      <c r="Q19" s="9"/>
      <c r="R19" s="9">
        <f t="shared" si="0"/>
        <v>0.3</v>
      </c>
      <c r="S19" s="17">
        <v>1.0592999999999999</v>
      </c>
    </row>
    <row r="20" spans="1:19" ht="15" customHeight="1">
      <c r="A20" s="13">
        <v>42095</v>
      </c>
      <c r="B20" s="8">
        <f>2.7898 * CHOOSE(CONTROL!$C$15, $D$11, 100%, $F$11)</f>
        <v>2.7898000000000001</v>
      </c>
      <c r="C20" s="8">
        <f>2.7943 * CHOOSE(CONTROL!$C$15, $D$11, 100%, $F$11)</f>
        <v>2.7942999999999998</v>
      </c>
      <c r="D20" s="8">
        <f>2.7745 * CHOOSE( CONTROL!$C$15, $D$11, 100%, $F$11)</f>
        <v>2.7745000000000002</v>
      </c>
      <c r="E20" s="12">
        <f>2.7805 * CHOOSE( CONTROL!$C$15, $D$11, 100%, $F$11)</f>
        <v>2.7805</v>
      </c>
      <c r="F20" s="4">
        <f>3.4981 * CHOOSE(CONTROL!$C$15, $D$11, 100%, $F$11)</f>
        <v>3.4981</v>
      </c>
      <c r="G20" s="8">
        <f>2.7436 * CHOOSE( CONTROL!$C$15, $D$11, 100%, $F$11)</f>
        <v>2.7435999999999998</v>
      </c>
      <c r="H20" s="4">
        <f>3.7038 * CHOOSE(CONTROL!$C$15, $D$11, 100%, $F$11)</f>
        <v>3.7038000000000002</v>
      </c>
      <c r="I20" s="8">
        <f>2.7787 * CHOOSE(CONTROL!$C$15, $D$11, 100%, $F$11)</f>
        <v>2.7787000000000002</v>
      </c>
      <c r="J20" s="4">
        <f>2.698 * CHOOSE(CONTROL!$C$15, $D$11, 100%, $F$11)</f>
        <v>2.698</v>
      </c>
      <c r="K20" s="4">
        <f>2.7503 * CHOOSE(CONTROL!$C$15, $D$11, 100%, $F$11)</f>
        <v>2.7503000000000002</v>
      </c>
      <c r="L20" s="9">
        <v>30.092199999999998</v>
      </c>
      <c r="M20" s="9">
        <v>11.6745</v>
      </c>
      <c r="N20" s="9">
        <v>4.7850000000000001</v>
      </c>
      <c r="O20" s="9">
        <v>0.59589999999999999</v>
      </c>
      <c r="P20" s="9">
        <v>2.0339999999999998</v>
      </c>
      <c r="Q20" s="9"/>
      <c r="R20" s="9">
        <f t="shared" si="0"/>
        <v>0.3</v>
      </c>
      <c r="S20" s="17">
        <v>1.0592999999999999</v>
      </c>
    </row>
    <row r="21" spans="1:19" ht="15" customHeight="1">
      <c r="A21" s="13">
        <v>42125</v>
      </c>
      <c r="B21" s="8">
        <f>CHOOSE( CONTROL!$C$32, 2.837, 2.8334) * CHOOSE(CONTROL!$C$15, $D$11, 100%, $F$11)</f>
        <v>2.8370000000000002</v>
      </c>
      <c r="C21" s="8">
        <f>CHOOSE( CONTROL!$C$32, 2.845, 2.8414) * CHOOSE(CONTROL!$C$15, $D$11, 100%, $F$11)</f>
        <v>2.8450000000000002</v>
      </c>
      <c r="D21" s="8">
        <f>CHOOSE( CONTROL!$C$32, 2.829, 2.8254) * CHOOSE( CONTROL!$C$15, $D$11, 100%, $F$11)</f>
        <v>2.8290000000000002</v>
      </c>
      <c r="E21" s="12">
        <f>CHOOSE( CONTROL!$C$32, 2.8332, 2.8296) * CHOOSE( CONTROL!$C$15, $D$11, 100%, $F$11)</f>
        <v>2.8332000000000002</v>
      </c>
      <c r="F21" s="4">
        <f>CHOOSE( CONTROL!$C$32, 3.544, 3.5403) * CHOOSE(CONTROL!$C$15, $D$11, 100%, $F$11)</f>
        <v>3.544</v>
      </c>
      <c r="G21" s="8">
        <f>CHOOSE( CONTROL!$C$32, 2.7899, 2.7863) * CHOOSE( CONTROL!$C$15, $D$11, 100%, $F$11)</f>
        <v>2.7898999999999998</v>
      </c>
      <c r="H21" s="4">
        <f>CHOOSE( CONTROL!$C$32, 3.7491, 3.7455) * CHOOSE(CONTROL!$C$15, $D$11, 100%, $F$11)</f>
        <v>3.7490999999999999</v>
      </c>
      <c r="I21" s="8">
        <f>CHOOSE( CONTROL!$C$32, 2.8238, 2.8203) * CHOOSE(CONTROL!$C$15, $D$11, 100%, $F$11)</f>
        <v>2.8237999999999999</v>
      </c>
      <c r="J21" s="4">
        <f>CHOOSE( CONTROL!$C$32, 2.7425, 2.739) * CHOOSE(CONTROL!$C$15, $D$11, 100%, $F$11)</f>
        <v>2.7425000000000002</v>
      </c>
      <c r="K21" s="4">
        <f>CHOOSE( CONTROL!$C$32, 2.7959, 2.7923) * CHOOSE(CONTROL!$C$15, $D$11, 100%, $F$11)</f>
        <v>2.7959000000000001</v>
      </c>
      <c r="L21" s="9">
        <v>33.7545</v>
      </c>
      <c r="M21" s="9">
        <v>12.063700000000001</v>
      </c>
      <c r="N21" s="9">
        <v>4.9444999999999997</v>
      </c>
      <c r="O21" s="9">
        <v>0.61570000000000003</v>
      </c>
      <c r="P21" s="9">
        <v>1.4925999999999999</v>
      </c>
      <c r="Q21" s="9"/>
      <c r="R21" s="9">
        <f t="shared" si="0"/>
        <v>0.3</v>
      </c>
      <c r="S21" s="17">
        <v>1.0592999999999999</v>
      </c>
    </row>
    <row r="22" spans="1:19" ht="15" customHeight="1">
      <c r="A22" s="13">
        <v>42156</v>
      </c>
      <c r="B22" s="8">
        <f>CHOOSE( CONTROL!$C$32, 2.8793, 2.8757) * CHOOSE(CONTROL!$C$15, $D$11, 100%, $F$11)</f>
        <v>2.8793000000000002</v>
      </c>
      <c r="C22" s="8">
        <f>CHOOSE( CONTROL!$C$32, 2.8873, 2.8836) * CHOOSE(CONTROL!$C$15, $D$11, 100%, $F$11)</f>
        <v>2.8873000000000002</v>
      </c>
      <c r="D22" s="8">
        <f>CHOOSE( CONTROL!$C$32, 2.8717, 2.868) * CHOOSE( CONTROL!$C$15, $D$11, 100%, $F$11)</f>
        <v>2.8717000000000001</v>
      </c>
      <c r="E22" s="12">
        <f>CHOOSE( CONTROL!$C$32, 2.8758, 2.8721) * CHOOSE( CONTROL!$C$15, $D$11, 100%, $F$11)</f>
        <v>2.8757999999999999</v>
      </c>
      <c r="F22" s="4">
        <f>CHOOSE( CONTROL!$C$32, 3.5862, 3.5826) * CHOOSE(CONTROL!$C$15, $D$11, 100%, $F$11)</f>
        <v>3.5861999999999998</v>
      </c>
      <c r="G22" s="8">
        <f>CHOOSE( CONTROL!$C$32, 2.8321, 2.8285) * CHOOSE( CONTROL!$C$15, $D$11, 100%, $F$11)</f>
        <v>2.8321000000000001</v>
      </c>
      <c r="H22" s="4">
        <f>CHOOSE( CONTROL!$C$32, 3.7909, 3.7873) * CHOOSE(CONTROL!$C$15, $D$11, 100%, $F$11)</f>
        <v>3.7909000000000002</v>
      </c>
      <c r="I22" s="8">
        <f>CHOOSE( CONTROL!$C$32, 2.8663, 2.8627) * CHOOSE(CONTROL!$C$15, $D$11, 100%, $F$11)</f>
        <v>2.8662999999999998</v>
      </c>
      <c r="J22" s="4">
        <f>CHOOSE( CONTROL!$C$32, 2.7835, 2.78) * CHOOSE(CONTROL!$C$15, $D$11, 100%, $F$11)</f>
        <v>2.7835000000000001</v>
      </c>
      <c r="K22" s="4">
        <f>CHOOSE( CONTROL!$C$32, 2.8379, 2.8343) * CHOOSE(CONTROL!$C$15, $D$11, 100%, $F$11)</f>
        <v>2.8378999999999999</v>
      </c>
      <c r="L22" s="9">
        <v>32.665700000000001</v>
      </c>
      <c r="M22" s="9">
        <v>11.6745</v>
      </c>
      <c r="N22" s="9">
        <v>4.7850000000000001</v>
      </c>
      <c r="O22" s="9">
        <v>0.59589999999999999</v>
      </c>
      <c r="P22" s="9">
        <v>1.4443999999999999</v>
      </c>
      <c r="Q22" s="9"/>
      <c r="R22" s="9">
        <f t="shared" si="0"/>
        <v>0.3</v>
      </c>
      <c r="S22" s="16">
        <v>1.0722</v>
      </c>
    </row>
    <row r="23" spans="1:19" ht="15" customHeight="1">
      <c r="A23" s="13">
        <v>42186</v>
      </c>
      <c r="B23" s="8">
        <f>CHOOSE( CONTROL!$C$32, 2.9339, 2.9303) * CHOOSE(CONTROL!$C$15, $D$11, 100%, $F$11)</f>
        <v>2.9339</v>
      </c>
      <c r="C23" s="8">
        <f>CHOOSE( CONTROL!$C$32, 2.9419, 2.9382) * CHOOSE(CONTROL!$C$15, $D$11, 100%, $F$11)</f>
        <v>2.9419</v>
      </c>
      <c r="D23" s="8">
        <f>CHOOSE( CONTROL!$C$32, 2.9267, 2.9231) * CHOOSE( CONTROL!$C$15, $D$11, 100%, $F$11)</f>
        <v>2.9266999999999999</v>
      </c>
      <c r="E23" s="12">
        <f>CHOOSE( CONTROL!$C$32, 2.9307, 2.9271) * CHOOSE( CONTROL!$C$15, $D$11, 100%, $F$11)</f>
        <v>2.9306999999999999</v>
      </c>
      <c r="F23" s="4">
        <f>CHOOSE( CONTROL!$C$32, 3.6408, 3.6372) * CHOOSE(CONTROL!$C$15, $D$11, 100%, $F$11)</f>
        <v>3.6408</v>
      </c>
      <c r="G23" s="8">
        <f>CHOOSE( CONTROL!$C$32, 2.8865, 2.8829) * CHOOSE( CONTROL!$C$15, $D$11, 100%, $F$11)</f>
        <v>2.8864999999999998</v>
      </c>
      <c r="H23" s="4">
        <f>CHOOSE( CONTROL!$C$32, 3.8449, 3.8413) * CHOOSE(CONTROL!$C$15, $D$11, 100%, $F$11)</f>
        <v>3.8449</v>
      </c>
      <c r="I23" s="8">
        <f>CHOOSE( CONTROL!$C$32, 2.9209, 2.9173) * CHOOSE(CONTROL!$C$15, $D$11, 100%, $F$11)</f>
        <v>2.9209000000000001</v>
      </c>
      <c r="J23" s="4">
        <f>CHOOSE( CONTROL!$C$32, 2.8365, 2.833) * CHOOSE(CONTROL!$C$15, $D$11, 100%, $F$11)</f>
        <v>2.8365</v>
      </c>
      <c r="K23" s="4">
        <f>CHOOSE( CONTROL!$C$32, 2.8921, 2.8885) * CHOOSE(CONTROL!$C$15, $D$11, 100%, $F$11)</f>
        <v>2.8921000000000001</v>
      </c>
      <c r="L23" s="9">
        <v>33.7545</v>
      </c>
      <c r="M23" s="9">
        <v>12.063700000000001</v>
      </c>
      <c r="N23" s="9">
        <v>4.9444999999999997</v>
      </c>
      <c r="O23" s="9">
        <v>0.61570000000000003</v>
      </c>
      <c r="P23" s="9">
        <v>1.4925999999999999</v>
      </c>
      <c r="Q23" s="9"/>
      <c r="R23" s="9">
        <f t="shared" si="0"/>
        <v>0.3</v>
      </c>
      <c r="S23" s="15">
        <v>1.0738000000000001</v>
      </c>
    </row>
    <row r="24" spans="1:19" ht="15" customHeight="1">
      <c r="A24" s="13">
        <v>42217</v>
      </c>
      <c r="B24" s="8">
        <f>CHOOSE( CONTROL!$C$32, 2.9504, 2.9467) * CHOOSE(CONTROL!$C$15, $D$11, 100%, $F$11)</f>
        <v>2.9504000000000001</v>
      </c>
      <c r="C24" s="8">
        <f>CHOOSE( CONTROL!$C$32, 2.9584, 2.9547) * CHOOSE(CONTROL!$C$15, $D$11, 100%, $F$11)</f>
        <v>2.9584000000000001</v>
      </c>
      <c r="D24" s="8">
        <f>CHOOSE( CONTROL!$C$32, 2.9433, 2.9397) * CHOOSE( CONTROL!$C$15, $D$11, 100%, $F$11)</f>
        <v>2.9432999999999998</v>
      </c>
      <c r="E24" s="12">
        <f>CHOOSE( CONTROL!$C$32, 2.9472, 2.9436) * CHOOSE( CONTROL!$C$15, $D$11, 100%, $F$11)</f>
        <v>2.9472</v>
      </c>
      <c r="F24" s="4">
        <f>CHOOSE( CONTROL!$C$32, 3.6573, 3.6537) * CHOOSE(CONTROL!$C$15, $D$11, 100%, $F$11)</f>
        <v>3.6573000000000002</v>
      </c>
      <c r="G24" s="8">
        <f>CHOOSE( CONTROL!$C$32, 2.903, 2.8994) * CHOOSE( CONTROL!$C$15, $D$11, 100%, $F$11)</f>
        <v>2.903</v>
      </c>
      <c r="H24" s="4">
        <f>CHOOSE( CONTROL!$C$32, 3.8611, 3.8575) * CHOOSE(CONTROL!$C$15, $D$11, 100%, $F$11)</f>
        <v>3.8611</v>
      </c>
      <c r="I24" s="8">
        <f>CHOOSE( CONTROL!$C$32, 2.9373, 2.9338) * CHOOSE(CONTROL!$C$15, $D$11, 100%, $F$11)</f>
        <v>2.9373</v>
      </c>
      <c r="J24" s="4">
        <f>CHOOSE( CONTROL!$C$32, 2.8525, 2.849) * CHOOSE(CONTROL!$C$15, $D$11, 100%, $F$11)</f>
        <v>2.8525</v>
      </c>
      <c r="K24" s="4">
        <f>CHOOSE( CONTROL!$C$32, 2.9085, 2.9049) * CHOOSE(CONTROL!$C$15, $D$11, 100%, $F$11)</f>
        <v>2.9085000000000001</v>
      </c>
      <c r="L24" s="9">
        <v>33.7545</v>
      </c>
      <c r="M24" s="9">
        <v>12.063700000000001</v>
      </c>
      <c r="N24" s="9">
        <v>4.9444999999999997</v>
      </c>
      <c r="O24" s="9">
        <v>0.61570000000000003</v>
      </c>
      <c r="P24" s="9">
        <v>1.4925999999999999</v>
      </c>
      <c r="Q24" s="9"/>
      <c r="R24" s="9">
        <f t="shared" si="0"/>
        <v>0.3</v>
      </c>
      <c r="S24" s="15">
        <v>1.0738000000000001</v>
      </c>
    </row>
    <row r="25" spans="1:19" ht="15" customHeight="1">
      <c r="A25" s="13">
        <v>42248</v>
      </c>
      <c r="B25" s="8">
        <f>CHOOSE( CONTROL!$C$32, 2.9421, 2.9385) * CHOOSE(CONTROL!$C$15, $D$11, 100%, $F$11)</f>
        <v>2.9420999999999999</v>
      </c>
      <c r="C25" s="8">
        <f>CHOOSE( CONTROL!$C$32, 2.9501, 2.9465) * CHOOSE(CONTROL!$C$15, $D$11, 100%, $F$11)</f>
        <v>2.9500999999999999</v>
      </c>
      <c r="D25" s="8">
        <f>CHOOSE( CONTROL!$C$32, 2.9349, 2.9313) * CHOOSE( CONTROL!$C$15, $D$11, 100%, $F$11)</f>
        <v>2.9348999999999998</v>
      </c>
      <c r="E25" s="12">
        <f>CHOOSE( CONTROL!$C$32, 2.9389, 2.9353) * CHOOSE( CONTROL!$C$15, $D$11, 100%, $F$11)</f>
        <v>2.9388999999999998</v>
      </c>
      <c r="F25" s="4">
        <f>CHOOSE( CONTROL!$C$32, 3.6491, 3.6454) * CHOOSE(CONTROL!$C$15, $D$11, 100%, $F$11)</f>
        <v>3.6490999999999998</v>
      </c>
      <c r="G25" s="8">
        <f>CHOOSE( CONTROL!$C$32, 2.8947, 2.8911) * CHOOSE( CONTROL!$C$15, $D$11, 100%, $F$11)</f>
        <v>2.8946999999999998</v>
      </c>
      <c r="H25" s="4">
        <f>CHOOSE( CONTROL!$C$32, 3.853, 3.8494) * CHOOSE(CONTROL!$C$15, $D$11, 100%, $F$11)</f>
        <v>3.8530000000000002</v>
      </c>
      <c r="I25" s="8">
        <f>CHOOSE( CONTROL!$C$32, 2.9288, 2.9253) * CHOOSE(CONTROL!$C$15, $D$11, 100%, $F$11)</f>
        <v>2.9287999999999998</v>
      </c>
      <c r="J25" s="4">
        <f>CHOOSE( CONTROL!$C$32, 2.8445, 2.841) * CHOOSE(CONTROL!$C$15, $D$11, 100%, $F$11)</f>
        <v>2.8445</v>
      </c>
      <c r="K25" s="4">
        <f>CHOOSE( CONTROL!$C$32, 2.9003, 2.8967) * CHOOSE(CONTROL!$C$15, $D$11, 100%, $F$11)</f>
        <v>2.9003000000000001</v>
      </c>
      <c r="L25" s="9">
        <v>32.665700000000001</v>
      </c>
      <c r="M25" s="9">
        <v>11.6745</v>
      </c>
      <c r="N25" s="9">
        <v>4.7850000000000001</v>
      </c>
      <c r="O25" s="9">
        <v>0.59589999999999999</v>
      </c>
      <c r="P25" s="9">
        <v>1.4443999999999999</v>
      </c>
      <c r="Q25" s="9"/>
      <c r="R25" s="9">
        <f t="shared" si="0"/>
        <v>0.3</v>
      </c>
      <c r="S25" s="15">
        <v>1.0738000000000001</v>
      </c>
    </row>
    <row r="26" spans="1:19" ht="15" customHeight="1">
      <c r="A26" s="13">
        <v>42278</v>
      </c>
      <c r="B26" s="8">
        <f>2.9667 * CHOOSE(CONTROL!$C$15, $D$11, 100%, $F$11)</f>
        <v>2.9666999999999999</v>
      </c>
      <c r="C26" s="8">
        <f>2.972 * CHOOSE(CONTROL!$C$15, $D$11, 100%, $F$11)</f>
        <v>2.972</v>
      </c>
      <c r="D26" s="8">
        <f>2.953 * CHOOSE( CONTROL!$C$15, $D$11, 100%, $F$11)</f>
        <v>2.9529999999999998</v>
      </c>
      <c r="E26" s="12">
        <f>2.9587 * CHOOSE( CONTROL!$C$15, $D$11, 100%, $F$11)</f>
        <v>2.9586999999999999</v>
      </c>
      <c r="F26" s="4">
        <f>3.6753 * CHOOSE(CONTROL!$C$15, $D$11, 100%, $F$11)</f>
        <v>3.6753</v>
      </c>
      <c r="G26" s="8">
        <f>2.9201 * CHOOSE( CONTROL!$C$15, $D$11, 100%, $F$11)</f>
        <v>2.9201000000000001</v>
      </c>
      <c r="H26" s="4">
        <f>3.8789 * CHOOSE(CONTROL!$C$15, $D$11, 100%, $F$11)</f>
        <v>3.8788999999999998</v>
      </c>
      <c r="I26" s="8">
        <f>2.955 * CHOOSE(CONTROL!$C$15, $D$11, 100%, $F$11)</f>
        <v>2.9550000000000001</v>
      </c>
      <c r="J26" s="4">
        <f>2.87 * CHOOSE(CONTROL!$C$15, $D$11, 100%, $F$11)</f>
        <v>2.87</v>
      </c>
      <c r="K26" s="4">
        <f>2.9264 * CHOOSE(CONTROL!$C$15, $D$11, 100%, $F$11)</f>
        <v>2.9264000000000001</v>
      </c>
      <c r="L26" s="9">
        <v>31.095300000000002</v>
      </c>
      <c r="M26" s="9">
        <v>12.063700000000001</v>
      </c>
      <c r="N26" s="9">
        <v>4.9444999999999997</v>
      </c>
      <c r="O26" s="9">
        <v>0.61570000000000003</v>
      </c>
      <c r="P26" s="9">
        <v>2.1017999999999999</v>
      </c>
      <c r="Q26" s="9"/>
      <c r="R26" s="9">
        <f t="shared" si="0"/>
        <v>0.3</v>
      </c>
      <c r="S26" s="15">
        <v>1.0738000000000001</v>
      </c>
    </row>
    <row r="27" spans="1:19" ht="15" customHeight="1">
      <c r="A27" s="13">
        <v>42309</v>
      </c>
      <c r="B27" s="8">
        <f>3.0734 * CHOOSE(CONTROL!$C$15, $D$11, 100%, $F$11)</f>
        <v>3.0733999999999999</v>
      </c>
      <c r="C27" s="8">
        <f>3.0785 * CHOOSE(CONTROL!$C$15, $D$11, 100%, $F$11)</f>
        <v>3.0785</v>
      </c>
      <c r="D27" s="8">
        <f>3.0449 * CHOOSE( CONTROL!$C$15, $D$11, 100%, $F$11)</f>
        <v>3.0449000000000002</v>
      </c>
      <c r="E27" s="12">
        <f>3.0566 * CHOOSE( CONTROL!$C$15, $D$11, 100%, $F$11)</f>
        <v>3.0566</v>
      </c>
      <c r="F27" s="4">
        <f>3.7387 * CHOOSE(CONTROL!$C$15, $D$11, 100%, $F$11)</f>
        <v>3.7387000000000001</v>
      </c>
      <c r="G27" s="8">
        <f>3.0356 * CHOOSE( CONTROL!$C$15, $D$11, 100%, $F$11)</f>
        <v>3.0356000000000001</v>
      </c>
      <c r="H27" s="4">
        <f>3.9416 * CHOOSE(CONTROL!$C$15, $D$11, 100%, $F$11)</f>
        <v>3.9416000000000002</v>
      </c>
      <c r="I27" s="8">
        <f>3.1099 * CHOOSE(CONTROL!$C$15, $D$11, 100%, $F$11)</f>
        <v>3.1099000000000001</v>
      </c>
      <c r="J27" s="4">
        <f>2.974 * CHOOSE(CONTROL!$C$15, $D$11, 100%, $F$11)</f>
        <v>2.9740000000000002</v>
      </c>
      <c r="K27" s="4">
        <f>3.0456 * CHOOSE(CONTROL!$C$15, $D$11, 100%, $F$11)</f>
        <v>3.0455999999999999</v>
      </c>
      <c r="L27" s="9">
        <v>28.360600000000002</v>
      </c>
      <c r="M27" s="9">
        <v>11.6745</v>
      </c>
      <c r="N27" s="9">
        <v>4.7850000000000001</v>
      </c>
      <c r="O27" s="9">
        <v>0.59589999999999999</v>
      </c>
      <c r="P27" s="9">
        <v>1.2509999999999999</v>
      </c>
      <c r="Q27" s="9"/>
      <c r="R27" s="9">
        <f t="shared" si="0"/>
        <v>0.3</v>
      </c>
      <c r="S27" s="15">
        <v>1.0738000000000001</v>
      </c>
    </row>
    <row r="28" spans="1:19" ht="15" customHeight="1">
      <c r="A28" s="13">
        <v>42339</v>
      </c>
      <c r="B28" s="8">
        <f>3.2434 * CHOOSE(CONTROL!$C$15, $D$11, 100%, $F$11)</f>
        <v>3.2433999999999998</v>
      </c>
      <c r="C28" s="8">
        <f>3.2485 * CHOOSE(CONTROL!$C$15, $D$11, 100%, $F$11)</f>
        <v>3.2484999999999999</v>
      </c>
      <c r="D28" s="8">
        <f>3.2168 * CHOOSE( CONTROL!$C$15, $D$11, 100%, $F$11)</f>
        <v>3.2168000000000001</v>
      </c>
      <c r="E28" s="12">
        <f>3.2278 * CHOOSE( CONTROL!$C$15, $D$11, 100%, $F$11)</f>
        <v>3.2277999999999998</v>
      </c>
      <c r="F28" s="4">
        <f>3.9087 * CHOOSE(CONTROL!$C$15, $D$11, 100%, $F$11)</f>
        <v>3.9087000000000001</v>
      </c>
      <c r="G28" s="8">
        <f>3.2049 * CHOOSE( CONTROL!$C$15, $D$11, 100%, $F$11)</f>
        <v>3.2048999999999999</v>
      </c>
      <c r="H28" s="4">
        <f>4.1096 * CHOOSE(CONTROL!$C$15, $D$11, 100%, $F$11)</f>
        <v>4.1096000000000004</v>
      </c>
      <c r="I28" s="8">
        <f>3.2806 * CHOOSE(CONTROL!$C$15, $D$11, 100%, $F$11)</f>
        <v>3.2806000000000002</v>
      </c>
      <c r="J28" s="4">
        <f>3.139 * CHOOSE(CONTROL!$C$15, $D$11, 100%, $F$11)</f>
        <v>3.1389999999999998</v>
      </c>
      <c r="K28" s="4">
        <f>3.2145 * CHOOSE(CONTROL!$C$15, $D$11, 100%, $F$11)</f>
        <v>3.2145000000000001</v>
      </c>
      <c r="L28" s="9">
        <v>29.306000000000001</v>
      </c>
      <c r="M28" s="9">
        <v>12.063700000000001</v>
      </c>
      <c r="N28" s="9">
        <v>4.9444999999999997</v>
      </c>
      <c r="O28" s="9">
        <v>0.61570000000000003</v>
      </c>
      <c r="P28" s="9">
        <v>1.2927</v>
      </c>
      <c r="Q28" s="9"/>
      <c r="R28" s="9">
        <f t="shared" si="0"/>
        <v>0.3</v>
      </c>
      <c r="S28" s="15">
        <v>1.0738000000000001</v>
      </c>
    </row>
    <row r="29" spans="1:19" ht="15" customHeight="1">
      <c r="A29" s="13">
        <v>42370</v>
      </c>
      <c r="B29" s="8">
        <f>3.3661 * CHOOSE(CONTROL!$C$15, $D$11, 100%, $F$11)</f>
        <v>3.3660999999999999</v>
      </c>
      <c r="C29" s="8">
        <f>3.3711 * CHOOSE(CONTROL!$C$15, $D$11, 100%, $F$11)</f>
        <v>3.3711000000000002</v>
      </c>
      <c r="D29" s="8">
        <f>3.3409 * CHOOSE( CONTROL!$C$15, $D$11, 100%, $F$11)</f>
        <v>3.3409</v>
      </c>
      <c r="E29" s="12">
        <f>3.3514 * CHOOSE( CONTROL!$C$15, $D$11, 100%, $F$11)</f>
        <v>3.3513999999999999</v>
      </c>
      <c r="F29" s="4">
        <f>4.0313 * CHOOSE(CONTROL!$C$15, $D$11, 100%, $F$11)</f>
        <v>4.0312999999999999</v>
      </c>
      <c r="G29" s="8">
        <f>3.3271 * CHOOSE( CONTROL!$C$15, $D$11, 100%, $F$11)</f>
        <v>3.3271000000000002</v>
      </c>
      <c r="H29" s="4">
        <f>4.2308 * CHOOSE(CONTROL!$C$15, $D$11, 100%, $F$11)</f>
        <v>4.2308000000000003</v>
      </c>
      <c r="I29" s="8">
        <f>3.4041 * CHOOSE(CONTROL!$C$15, $D$11, 100%, $F$11)</f>
        <v>3.4041000000000001</v>
      </c>
      <c r="J29" s="4">
        <f>3.258 * CHOOSE(CONTROL!$C$15, $D$11, 100%, $F$11)</f>
        <v>3.258</v>
      </c>
      <c r="K29" s="4"/>
      <c r="L29" s="9">
        <v>29.306000000000001</v>
      </c>
      <c r="M29" s="9">
        <v>12.063700000000001</v>
      </c>
      <c r="N29" s="9">
        <v>4.9444999999999997</v>
      </c>
      <c r="O29" s="9">
        <v>0.61570000000000003</v>
      </c>
      <c r="P29" s="9">
        <v>1.2927</v>
      </c>
      <c r="Q29" s="9"/>
      <c r="R29" s="9">
        <f t="shared" si="0"/>
        <v>0.3</v>
      </c>
      <c r="S29" s="11"/>
    </row>
    <row r="30" spans="1:19" ht="15" customHeight="1">
      <c r="A30" s="13">
        <v>42401</v>
      </c>
      <c r="B30" s="8">
        <f>3.3578 * CHOOSE(CONTROL!$C$15, $D$11, 100%, $F$11)</f>
        <v>3.3578000000000001</v>
      </c>
      <c r="C30" s="8">
        <f>3.3629 * CHOOSE(CONTROL!$C$15, $D$11, 100%, $F$11)</f>
        <v>3.3628999999999998</v>
      </c>
      <c r="D30" s="8">
        <f>3.3326 * CHOOSE( CONTROL!$C$15, $D$11, 100%, $F$11)</f>
        <v>3.3325999999999998</v>
      </c>
      <c r="E30" s="12">
        <f>3.3431 * CHOOSE( CONTROL!$C$15, $D$11, 100%, $F$11)</f>
        <v>3.3431000000000002</v>
      </c>
      <c r="F30" s="4">
        <f>4.0231 * CHOOSE(CONTROL!$C$15, $D$11, 100%, $F$11)</f>
        <v>4.0231000000000003</v>
      </c>
      <c r="G30" s="8">
        <f>3.319 * CHOOSE( CONTROL!$C$15, $D$11, 100%, $F$11)</f>
        <v>3.319</v>
      </c>
      <c r="H30" s="4">
        <f>4.2226 * CHOOSE(CONTROL!$C$15, $D$11, 100%, $F$11)</f>
        <v>4.2225999999999999</v>
      </c>
      <c r="I30" s="8">
        <f>3.3961 * CHOOSE(CONTROL!$C$15, $D$11, 100%, $F$11)</f>
        <v>3.3961000000000001</v>
      </c>
      <c r="J30" s="4">
        <f>3.25 * CHOOSE(CONTROL!$C$15, $D$11, 100%, $F$11)</f>
        <v>3.25</v>
      </c>
      <c r="K30" s="4"/>
      <c r="L30" s="9">
        <v>27.415299999999998</v>
      </c>
      <c r="M30" s="9">
        <v>11.285299999999999</v>
      </c>
      <c r="N30" s="9">
        <v>4.6254999999999997</v>
      </c>
      <c r="O30" s="9">
        <v>0.57599999999999996</v>
      </c>
      <c r="P30" s="9">
        <v>1.2093</v>
      </c>
      <c r="Q30" s="9"/>
      <c r="R30" s="9">
        <f t="shared" si="0"/>
        <v>0.3</v>
      </c>
      <c r="S30" s="11"/>
    </row>
    <row r="31" spans="1:19" ht="15" customHeight="1">
      <c r="A31" s="13">
        <v>42430</v>
      </c>
      <c r="B31" s="8">
        <f>3.3063 * CHOOSE(CONTROL!$C$15, $D$11, 100%, $F$11)</f>
        <v>3.3062999999999998</v>
      </c>
      <c r="C31" s="8">
        <f>3.3114 * CHOOSE(CONTROL!$C$15, $D$11, 100%, $F$11)</f>
        <v>3.3113999999999999</v>
      </c>
      <c r="D31" s="8">
        <f>3.2807 * CHOOSE( CONTROL!$C$15, $D$11, 100%, $F$11)</f>
        <v>3.2806999999999999</v>
      </c>
      <c r="E31" s="12">
        <f>3.2914 * CHOOSE( CONTROL!$C$15, $D$11, 100%, $F$11)</f>
        <v>3.2913999999999999</v>
      </c>
      <c r="F31" s="4">
        <f>3.9716 * CHOOSE(CONTROL!$C$15, $D$11, 100%, $F$11)</f>
        <v>3.9716</v>
      </c>
      <c r="G31" s="8">
        <f>3.2678 * CHOOSE( CONTROL!$C$15, $D$11, 100%, $F$11)</f>
        <v>3.2677999999999998</v>
      </c>
      <c r="H31" s="4">
        <f>4.1717 * CHOOSE(CONTROL!$C$15, $D$11, 100%, $F$11)</f>
        <v>4.1717000000000004</v>
      </c>
      <c r="I31" s="8">
        <f>3.3448 * CHOOSE(CONTROL!$C$15, $D$11, 100%, $F$11)</f>
        <v>3.3448000000000002</v>
      </c>
      <c r="J31" s="4">
        <f>3.2 * CHOOSE(CONTROL!$C$15, $D$11, 100%, $F$11)</f>
        <v>3.2</v>
      </c>
      <c r="K31" s="4"/>
      <c r="L31" s="9">
        <v>29.306000000000001</v>
      </c>
      <c r="M31" s="9">
        <v>12.063700000000001</v>
      </c>
      <c r="N31" s="9">
        <v>4.9444999999999997</v>
      </c>
      <c r="O31" s="9">
        <v>0.61570000000000003</v>
      </c>
      <c r="P31" s="9">
        <v>1.2927</v>
      </c>
      <c r="Q31" s="9"/>
      <c r="R31" s="9">
        <f t="shared" si="0"/>
        <v>0.3</v>
      </c>
      <c r="S31" s="11"/>
    </row>
    <row r="32" spans="1:19" ht="15" customHeight="1">
      <c r="A32" s="13">
        <v>42461</v>
      </c>
      <c r="B32" s="8">
        <f>3.1638 * CHOOSE(CONTROL!$C$15, $D$11, 100%, $F$11)</f>
        <v>3.1638000000000002</v>
      </c>
      <c r="C32" s="8">
        <f>3.1683 * CHOOSE(CONTROL!$C$15, $D$11, 100%, $F$11)</f>
        <v>3.1682999999999999</v>
      </c>
      <c r="D32" s="8">
        <f>3.1719 * CHOOSE( CONTROL!$C$15, $D$11, 100%, $F$11)</f>
        <v>3.1718999999999999</v>
      </c>
      <c r="E32" s="12">
        <f>3.1702 * CHOOSE( CONTROL!$C$15, $D$11, 100%, $F$11)</f>
        <v>3.1701999999999999</v>
      </c>
      <c r="F32" s="4">
        <f>3.9082 * CHOOSE(CONTROL!$C$15, $D$11, 100%, $F$11)</f>
        <v>3.9081999999999999</v>
      </c>
      <c r="G32" s="8">
        <f>3.1364 * CHOOSE( CONTROL!$C$15, $D$11, 100%, $F$11)</f>
        <v>3.1364000000000001</v>
      </c>
      <c r="H32" s="4">
        <f>4.1091 * CHOOSE(CONTROL!$C$15, $D$11, 100%, $F$11)</f>
        <v>4.1090999999999998</v>
      </c>
      <c r="I32" s="8">
        <f>3.2039 * CHOOSE(CONTROL!$C$15, $D$11, 100%, $F$11)</f>
        <v>3.2039</v>
      </c>
      <c r="J32" s="4">
        <f>3.061 * CHOOSE(CONTROL!$C$15, $D$11, 100%, $F$11)</f>
        <v>3.0609999999999999</v>
      </c>
      <c r="K32" s="4"/>
      <c r="L32" s="9">
        <v>30.092199999999998</v>
      </c>
      <c r="M32" s="9">
        <v>11.6745</v>
      </c>
      <c r="N32" s="9">
        <v>4.7850000000000001</v>
      </c>
      <c r="O32" s="9">
        <v>0.59589999999999999</v>
      </c>
      <c r="P32" s="9">
        <v>2.0339999999999998</v>
      </c>
      <c r="Q32" s="9"/>
      <c r="R32" s="9">
        <f t="shared" si="0"/>
        <v>0.3</v>
      </c>
      <c r="S32" s="11"/>
    </row>
    <row r="33" spans="1:19" ht="15" customHeight="1">
      <c r="A33" s="13">
        <v>42491</v>
      </c>
      <c r="B33" s="8">
        <f>CHOOSE( CONTROL!$C$32, 3.174, 3.1703) * CHOOSE(CONTROL!$C$15, $D$11, 100%, $F$11)</f>
        <v>3.1739999999999999</v>
      </c>
      <c r="C33" s="8">
        <f>CHOOSE( CONTROL!$C$32, 3.182, 3.1783) * CHOOSE(CONTROL!$C$15, $D$11, 100%, $F$11)</f>
        <v>3.1819999999999999</v>
      </c>
      <c r="D33" s="8">
        <f>CHOOSE( CONTROL!$C$32, 3.1998, 3.1962) * CHOOSE( CONTROL!$C$15, $D$11, 100%, $F$11)</f>
        <v>3.1998000000000002</v>
      </c>
      <c r="E33" s="12">
        <f>CHOOSE( CONTROL!$C$32, 3.1927, 3.1891) * CHOOSE( CONTROL!$C$15, $D$11, 100%, $F$11)</f>
        <v>3.1926999999999999</v>
      </c>
      <c r="F33" s="4">
        <f>CHOOSE( CONTROL!$C$32, 3.917, 3.9134) * CHOOSE(CONTROL!$C$15, $D$11, 100%, $F$11)</f>
        <v>3.9169999999999998</v>
      </c>
      <c r="G33" s="8">
        <f>CHOOSE( CONTROL!$C$32, 3.1427, 3.1391) * CHOOSE( CONTROL!$C$15, $D$11, 100%, $F$11)</f>
        <v>3.1427</v>
      </c>
      <c r="H33" s="4">
        <f>CHOOSE( CONTROL!$C$32, 4.1178, 4.1142) * CHOOSE(CONTROL!$C$15, $D$11, 100%, $F$11)</f>
        <v>4.1177999999999999</v>
      </c>
      <c r="I33" s="8">
        <f>CHOOSE( CONTROL!$C$32, 3.2126, 3.2091) * CHOOSE(CONTROL!$C$15, $D$11, 100%, $F$11)</f>
        <v>3.2126000000000001</v>
      </c>
      <c r="J33" s="4">
        <f>CHOOSE( CONTROL!$C$32, 3.0695, 3.066) * CHOOSE(CONTROL!$C$15, $D$11, 100%, $F$11)</f>
        <v>3.0695000000000001</v>
      </c>
      <c r="K33" s="4"/>
      <c r="L33" s="9">
        <v>33.7545</v>
      </c>
      <c r="M33" s="9">
        <v>12.063700000000001</v>
      </c>
      <c r="N33" s="9">
        <v>4.9444999999999997</v>
      </c>
      <c r="O33" s="9">
        <v>0.37409999999999999</v>
      </c>
      <c r="P33" s="9">
        <v>1.4925999999999999</v>
      </c>
      <c r="Q33" s="9"/>
      <c r="R33" s="9">
        <f t="shared" si="0"/>
        <v>0.3</v>
      </c>
      <c r="S33" s="11"/>
    </row>
    <row r="34" spans="1:19" ht="15" customHeight="1">
      <c r="A34" s="13">
        <v>42522</v>
      </c>
      <c r="B34" s="8">
        <f>CHOOSE( CONTROL!$C$32, 3.2131, 3.2095) * CHOOSE(CONTROL!$C$15, $D$11, 100%, $F$11)</f>
        <v>3.2130999999999998</v>
      </c>
      <c r="C34" s="8">
        <f>CHOOSE( CONTROL!$C$32, 3.2211, 3.2175) * CHOOSE(CONTROL!$C$15, $D$11, 100%, $F$11)</f>
        <v>3.2210999999999999</v>
      </c>
      <c r="D34" s="8">
        <f>CHOOSE( CONTROL!$C$32, 3.2392, 3.2356) * CHOOSE( CONTROL!$C$15, $D$11, 100%, $F$11)</f>
        <v>3.2391999999999999</v>
      </c>
      <c r="E34" s="12">
        <f>CHOOSE( CONTROL!$C$32, 3.232, 3.2284) * CHOOSE( CONTROL!$C$15, $D$11, 100%, $F$11)</f>
        <v>3.2320000000000002</v>
      </c>
      <c r="F34" s="4">
        <f>CHOOSE( CONTROL!$C$32, 3.9561, 3.9525) * CHOOSE(CONTROL!$C$15, $D$11, 100%, $F$11)</f>
        <v>3.9561000000000002</v>
      </c>
      <c r="G34" s="8">
        <f>CHOOSE( CONTROL!$C$32, 3.1817, 3.1781) * CHOOSE( CONTROL!$C$15, $D$11, 100%, $F$11)</f>
        <v>3.1817000000000002</v>
      </c>
      <c r="H34" s="4">
        <f>CHOOSE( CONTROL!$C$32, 4.1565, 4.1529) * CHOOSE(CONTROL!$C$15, $D$11, 100%, $F$11)</f>
        <v>4.1565000000000003</v>
      </c>
      <c r="I34" s="8">
        <f>CHOOSE( CONTROL!$C$32, 3.2517, 3.2481) * CHOOSE(CONTROL!$C$15, $D$11, 100%, $F$11)</f>
        <v>3.2517</v>
      </c>
      <c r="J34" s="4">
        <f>CHOOSE( CONTROL!$C$32, 3.1075, 3.104) * CHOOSE(CONTROL!$C$15, $D$11, 100%, $F$11)</f>
        <v>3.1074999999999999</v>
      </c>
      <c r="K34" s="4"/>
      <c r="L34" s="9">
        <v>32.665700000000001</v>
      </c>
      <c r="M34" s="9">
        <v>11.6745</v>
      </c>
      <c r="N34" s="9">
        <v>4.7850000000000001</v>
      </c>
      <c r="O34" s="9">
        <v>0.36199999999999999</v>
      </c>
      <c r="P34" s="9">
        <v>1.4443999999999999</v>
      </c>
      <c r="Q34" s="9"/>
      <c r="R34" s="9">
        <f t="shared" si="0"/>
        <v>0.3</v>
      </c>
      <c r="S34" s="11"/>
    </row>
    <row r="35" spans="1:19" ht="15" customHeight="1">
      <c r="A35" s="13">
        <v>42552</v>
      </c>
      <c r="B35" s="8">
        <f>CHOOSE( CONTROL!$C$32, 3.2595, 3.2559) * CHOOSE(CONTROL!$C$15, $D$11, 100%, $F$11)</f>
        <v>3.2595000000000001</v>
      </c>
      <c r="C35" s="8">
        <f>CHOOSE( CONTROL!$C$32, 3.2675, 3.2638) * CHOOSE(CONTROL!$C$15, $D$11, 100%, $F$11)</f>
        <v>3.2675000000000001</v>
      </c>
      <c r="D35" s="8">
        <f>CHOOSE( CONTROL!$C$32, 3.2859, 3.2823) * CHOOSE( CONTROL!$C$15, $D$11, 100%, $F$11)</f>
        <v>3.2858999999999998</v>
      </c>
      <c r="E35" s="12">
        <f>CHOOSE( CONTROL!$C$32, 3.2786, 3.275) * CHOOSE( CONTROL!$C$15, $D$11, 100%, $F$11)</f>
        <v>3.2786</v>
      </c>
      <c r="F35" s="4">
        <f>CHOOSE( CONTROL!$C$32, 4.0025, 3.9989) * CHOOSE(CONTROL!$C$15, $D$11, 100%, $F$11)</f>
        <v>4.0025000000000004</v>
      </c>
      <c r="G35" s="8">
        <f>CHOOSE( CONTROL!$C$32, 3.2279, 3.2243) * CHOOSE( CONTROL!$C$15, $D$11, 100%, $F$11)</f>
        <v>3.2279</v>
      </c>
      <c r="H35" s="4">
        <f>CHOOSE( CONTROL!$C$32, 4.2023, 4.1987) * CHOOSE(CONTROL!$C$15, $D$11, 100%, $F$11)</f>
        <v>4.2023000000000001</v>
      </c>
      <c r="I35" s="8">
        <f>CHOOSE( CONTROL!$C$32, 3.2978, 3.2943) * CHOOSE(CONTROL!$C$15, $D$11, 100%, $F$11)</f>
        <v>3.2978000000000001</v>
      </c>
      <c r="J35" s="4">
        <f>CHOOSE( CONTROL!$C$32, 3.1525, 3.149) * CHOOSE(CONTROL!$C$15, $D$11, 100%, $F$11)</f>
        <v>3.1524999999999999</v>
      </c>
      <c r="K35" s="4"/>
      <c r="L35" s="9">
        <v>33.7545</v>
      </c>
      <c r="M35" s="9">
        <v>12.063700000000001</v>
      </c>
      <c r="N35" s="9">
        <v>4.9444999999999997</v>
      </c>
      <c r="O35" s="9">
        <v>0.37409999999999999</v>
      </c>
      <c r="P35" s="9">
        <v>1.4925999999999999</v>
      </c>
      <c r="Q35" s="9"/>
      <c r="R35" s="9">
        <f t="shared" si="0"/>
        <v>0.3</v>
      </c>
      <c r="S35" s="11"/>
    </row>
    <row r="36" spans="1:19" ht="15" customHeight="1">
      <c r="A36" s="13">
        <v>42583</v>
      </c>
      <c r="B36" s="8">
        <f>CHOOSE( CONTROL!$C$32, 3.2678, 3.2641) * CHOOSE(CONTROL!$C$15, $D$11, 100%, $F$11)</f>
        <v>3.2677999999999998</v>
      </c>
      <c r="C36" s="8">
        <f>CHOOSE( CONTROL!$C$32, 3.2757, 3.2721) * CHOOSE(CONTROL!$C$15, $D$11, 100%, $F$11)</f>
        <v>3.2757000000000001</v>
      </c>
      <c r="D36" s="8">
        <f>CHOOSE( CONTROL!$C$32, 3.2942, 3.2906) * CHOOSE( CONTROL!$C$15, $D$11, 100%, $F$11)</f>
        <v>3.2942</v>
      </c>
      <c r="E36" s="12">
        <f>CHOOSE( CONTROL!$C$32, 3.2869, 3.2833) * CHOOSE( CONTROL!$C$15, $D$11, 100%, $F$11)</f>
        <v>3.2869000000000002</v>
      </c>
      <c r="F36" s="4">
        <f>CHOOSE( CONTROL!$C$32, 4.0108, 4.0071) * CHOOSE(CONTROL!$C$15, $D$11, 100%, $F$11)</f>
        <v>4.0107999999999997</v>
      </c>
      <c r="G36" s="8">
        <f>CHOOSE( CONTROL!$C$32, 3.2362, 3.2326) * CHOOSE( CONTROL!$C$15, $D$11, 100%, $F$11)</f>
        <v>3.2362000000000002</v>
      </c>
      <c r="H36" s="4">
        <f>CHOOSE( CONTROL!$C$32, 4.2104, 4.2068) * CHOOSE(CONTROL!$C$15, $D$11, 100%, $F$11)</f>
        <v>4.2103999999999999</v>
      </c>
      <c r="I36" s="8">
        <f>CHOOSE( CONTROL!$C$32, 3.3061, 3.3026) * CHOOSE(CONTROL!$C$15, $D$11, 100%, $F$11)</f>
        <v>3.3060999999999998</v>
      </c>
      <c r="J36" s="4">
        <f>CHOOSE( CONTROL!$C$32, 3.1605, 3.157) * CHOOSE(CONTROL!$C$15, $D$11, 100%, $F$11)</f>
        <v>3.1604999999999999</v>
      </c>
      <c r="K36" s="4"/>
      <c r="L36" s="9">
        <v>33.7545</v>
      </c>
      <c r="M36" s="9">
        <v>12.063700000000001</v>
      </c>
      <c r="N36" s="9">
        <v>4.9444999999999997</v>
      </c>
      <c r="O36" s="9">
        <v>0.37409999999999999</v>
      </c>
      <c r="P36" s="9">
        <v>1.4925999999999999</v>
      </c>
      <c r="Q36" s="9"/>
      <c r="R36" s="9">
        <f t="shared" si="0"/>
        <v>0.3</v>
      </c>
      <c r="S36" s="11"/>
    </row>
    <row r="37" spans="1:19" ht="15" customHeight="1">
      <c r="A37" s="13">
        <v>42614</v>
      </c>
      <c r="B37" s="8">
        <f>CHOOSE( CONTROL!$C$32, 3.2523, 3.2487) * CHOOSE(CONTROL!$C$15, $D$11, 100%, $F$11)</f>
        <v>3.2523</v>
      </c>
      <c r="C37" s="8">
        <f>CHOOSE( CONTROL!$C$32, 3.2603, 3.2566) * CHOOSE(CONTROL!$C$15, $D$11, 100%, $F$11)</f>
        <v>3.2603</v>
      </c>
      <c r="D37" s="8">
        <f>CHOOSE( CONTROL!$C$32, 3.2787, 3.275) * CHOOSE( CONTROL!$C$15, $D$11, 100%, $F$11)</f>
        <v>3.2787000000000002</v>
      </c>
      <c r="E37" s="12">
        <f>CHOOSE( CONTROL!$C$32, 3.2714, 3.2677) * CHOOSE( CONTROL!$C$15, $D$11, 100%, $F$11)</f>
        <v>3.2713999999999999</v>
      </c>
      <c r="F37" s="4">
        <f>CHOOSE( CONTROL!$C$32, 3.9953, 3.9917) * CHOOSE(CONTROL!$C$15, $D$11, 100%, $F$11)</f>
        <v>3.9952999999999999</v>
      </c>
      <c r="G37" s="8">
        <f>CHOOSE( CONTROL!$C$32, 3.2208, 3.2172) * CHOOSE( CONTROL!$C$15, $D$11, 100%, $F$11)</f>
        <v>3.2208000000000001</v>
      </c>
      <c r="H37" s="4">
        <f>CHOOSE( CONTROL!$C$32, 4.1952, 4.1916) * CHOOSE(CONTROL!$C$15, $D$11, 100%, $F$11)</f>
        <v>4.1951999999999998</v>
      </c>
      <c r="I37" s="8">
        <f>CHOOSE( CONTROL!$C$32, 3.2907, 3.2872) * CHOOSE(CONTROL!$C$15, $D$11, 100%, $F$11)</f>
        <v>3.2907000000000002</v>
      </c>
      <c r="J37" s="4">
        <f>CHOOSE( CONTROL!$C$32, 3.1455, 3.142) * CHOOSE(CONTROL!$C$15, $D$11, 100%, $F$11)</f>
        <v>3.1455000000000002</v>
      </c>
      <c r="K37" s="4"/>
      <c r="L37" s="9">
        <v>32.665700000000001</v>
      </c>
      <c r="M37" s="9">
        <v>11.6745</v>
      </c>
      <c r="N37" s="9">
        <v>4.7850000000000001</v>
      </c>
      <c r="O37" s="9">
        <v>0.36199999999999999</v>
      </c>
      <c r="P37" s="9">
        <v>1.4443999999999999</v>
      </c>
      <c r="Q37" s="9"/>
      <c r="R37" s="9">
        <f t="shared" si="0"/>
        <v>0.3</v>
      </c>
      <c r="S37" s="11"/>
    </row>
    <row r="38" spans="1:19" ht="15" customHeight="1">
      <c r="A38" s="13">
        <v>42644</v>
      </c>
      <c r="B38" s="8">
        <f>3.2696 * CHOOSE(CONTROL!$C$15, $D$11, 100%, $F$11)</f>
        <v>3.2696000000000001</v>
      </c>
      <c r="C38" s="8">
        <f>3.2749 * CHOOSE(CONTROL!$C$15, $D$11, 100%, $F$11)</f>
        <v>3.2749000000000001</v>
      </c>
      <c r="D38" s="8">
        <f>3.2895 * CHOOSE( CONTROL!$C$15, $D$11, 100%, $F$11)</f>
        <v>3.2894999999999999</v>
      </c>
      <c r="E38" s="12">
        <f>3.2841 * CHOOSE( CONTROL!$C$15, $D$11, 100%, $F$11)</f>
        <v>3.2841</v>
      </c>
      <c r="F38" s="4">
        <f>4.0143 * CHOOSE(CONTROL!$C$15, $D$11, 100%, $F$11)</f>
        <v>4.0143000000000004</v>
      </c>
      <c r="G38" s="8">
        <f>3.2391 * CHOOSE( CONTROL!$C$15, $D$11, 100%, $F$11)</f>
        <v>3.2391000000000001</v>
      </c>
      <c r="H38" s="4">
        <f>4.214 * CHOOSE(CONTROL!$C$15, $D$11, 100%, $F$11)</f>
        <v>4.2140000000000004</v>
      </c>
      <c r="I38" s="8">
        <f>3.31 * CHOOSE(CONTROL!$C$15, $D$11, 100%, $F$11)</f>
        <v>3.31</v>
      </c>
      <c r="J38" s="4">
        <f>3.164 * CHOOSE(CONTROL!$C$15, $D$11, 100%, $F$11)</f>
        <v>3.1640000000000001</v>
      </c>
      <c r="K38" s="4"/>
      <c r="L38" s="9">
        <v>31.095300000000002</v>
      </c>
      <c r="M38" s="9">
        <v>12.063700000000001</v>
      </c>
      <c r="N38" s="9">
        <v>4.9444999999999997</v>
      </c>
      <c r="O38" s="9">
        <v>0.37409999999999999</v>
      </c>
      <c r="P38" s="9">
        <v>2.1017999999999999</v>
      </c>
      <c r="Q38" s="9"/>
      <c r="R38" s="9">
        <f t="shared" si="0"/>
        <v>0.3</v>
      </c>
      <c r="S38" s="11"/>
    </row>
    <row r="39" spans="1:19" ht="15" customHeight="1">
      <c r="A39" s="13">
        <v>42675</v>
      </c>
      <c r="B39" s="8">
        <f>3.3454 * CHOOSE(CONTROL!$C$15, $D$11, 100%, $F$11)</f>
        <v>3.3454000000000002</v>
      </c>
      <c r="C39" s="8">
        <f>3.3505 * CHOOSE(CONTROL!$C$15, $D$11, 100%, $F$11)</f>
        <v>3.3504999999999998</v>
      </c>
      <c r="D39" s="8">
        <f>3.3342 * CHOOSE( CONTROL!$C$15, $D$11, 100%, $F$11)</f>
        <v>3.3342000000000001</v>
      </c>
      <c r="E39" s="12">
        <f>3.3396 * CHOOSE( CONTROL!$C$15, $D$11, 100%, $F$11)</f>
        <v>3.3395999999999999</v>
      </c>
      <c r="F39" s="4">
        <f>4.0107 * CHOOSE(CONTROL!$C$15, $D$11, 100%, $F$11)</f>
        <v>4.0106999999999999</v>
      </c>
      <c r="G39" s="8">
        <f>3.315 * CHOOSE( CONTROL!$C$15, $D$11, 100%, $F$11)</f>
        <v>3.3149999999999999</v>
      </c>
      <c r="H39" s="4">
        <f>4.2104 * CHOOSE(CONTROL!$C$15, $D$11, 100%, $F$11)</f>
        <v>4.2103999999999999</v>
      </c>
      <c r="I39" s="8">
        <f>3.3841 * CHOOSE(CONTROL!$C$15, $D$11, 100%, $F$11)</f>
        <v>3.3841000000000001</v>
      </c>
      <c r="J39" s="4">
        <f>3.238 * CHOOSE(CONTROL!$C$15, $D$11, 100%, $F$11)</f>
        <v>3.238</v>
      </c>
      <c r="K39" s="4"/>
      <c r="L39" s="9">
        <v>28.360600000000002</v>
      </c>
      <c r="M39" s="9">
        <v>11.6745</v>
      </c>
      <c r="N39" s="9">
        <v>4.7850000000000001</v>
      </c>
      <c r="O39" s="9">
        <v>0.36199999999999999</v>
      </c>
      <c r="P39" s="9">
        <v>1.2509999999999999</v>
      </c>
      <c r="Q39" s="9"/>
      <c r="R39" s="9">
        <f t="shared" si="0"/>
        <v>0.3</v>
      </c>
      <c r="S39" s="11"/>
    </row>
    <row r="40" spans="1:19" ht="15" customHeight="1">
      <c r="A40" s="13">
        <v>42705</v>
      </c>
      <c r="B40" s="8">
        <f>3.5371 * CHOOSE(CONTROL!$C$15, $D$11, 100%, $F$11)</f>
        <v>3.5371000000000001</v>
      </c>
      <c r="C40" s="8">
        <f>3.5422 * CHOOSE(CONTROL!$C$15, $D$11, 100%, $F$11)</f>
        <v>3.5421999999999998</v>
      </c>
      <c r="D40" s="8">
        <f>3.5275 * CHOOSE( CONTROL!$C$15, $D$11, 100%, $F$11)</f>
        <v>3.5274999999999999</v>
      </c>
      <c r="E40" s="12">
        <f>3.5323 * CHOOSE( CONTROL!$C$15, $D$11, 100%, $F$11)</f>
        <v>3.5323000000000002</v>
      </c>
      <c r="F40" s="4">
        <f>4.2024 * CHOOSE(CONTROL!$C$15, $D$11, 100%, $F$11)</f>
        <v>4.2023999999999999</v>
      </c>
      <c r="G40" s="8">
        <f>3.5057 * CHOOSE( CONTROL!$C$15, $D$11, 100%, $F$11)</f>
        <v>3.5057</v>
      </c>
      <c r="H40" s="4">
        <f>4.3998 * CHOOSE(CONTROL!$C$15, $D$11, 100%, $F$11)</f>
        <v>4.3997999999999999</v>
      </c>
      <c r="I40" s="8">
        <f>3.5756 * CHOOSE(CONTROL!$C$15, $D$11, 100%, $F$11)</f>
        <v>3.5756000000000001</v>
      </c>
      <c r="J40" s="4">
        <f>3.424 * CHOOSE(CONTROL!$C$15, $D$11, 100%, $F$11)</f>
        <v>3.4239999999999999</v>
      </c>
      <c r="K40" s="4"/>
      <c r="L40" s="9">
        <v>29.306000000000001</v>
      </c>
      <c r="M40" s="9">
        <v>12.063700000000001</v>
      </c>
      <c r="N40" s="9">
        <v>4.9444999999999997</v>
      </c>
      <c r="O40" s="9">
        <v>0.37409999999999999</v>
      </c>
      <c r="P40" s="9">
        <v>1.2927</v>
      </c>
      <c r="Q40" s="9"/>
      <c r="R40" s="9">
        <f t="shared" si="0"/>
        <v>0.3</v>
      </c>
      <c r="S40" s="11"/>
    </row>
    <row r="41" spans="1:19" ht="15" customHeight="1">
      <c r="A41" s="13">
        <v>42736</v>
      </c>
      <c r="B41" s="8">
        <f>3.6968 * CHOOSE(CONTROL!$C$15, $D$11, 100%, $F$11)</f>
        <v>3.6968000000000001</v>
      </c>
      <c r="C41" s="8">
        <f>3.7019 * CHOOSE(CONTROL!$C$15, $D$11, 100%, $F$11)</f>
        <v>3.7019000000000002</v>
      </c>
      <c r="D41" s="8">
        <f>3.673 * CHOOSE( CONTROL!$C$15, $D$11, 100%, $F$11)</f>
        <v>3.673</v>
      </c>
      <c r="E41" s="12">
        <f>3.683 * CHOOSE( CONTROL!$C$15, $D$11, 100%, $F$11)</f>
        <v>3.6829999999999998</v>
      </c>
      <c r="F41" s="4">
        <f>4.3621 * CHOOSE(CONTROL!$C$15, $D$11, 100%, $F$11)</f>
        <v>4.3620999999999999</v>
      </c>
      <c r="G41" s="8">
        <f>3.6532 * CHOOSE( CONTROL!$C$15, $D$11, 100%, $F$11)</f>
        <v>3.6532</v>
      </c>
      <c r="H41" s="4">
        <f>4.5576 * CHOOSE(CONTROL!$C$15, $D$11, 100%, $F$11)</f>
        <v>4.5575999999999999</v>
      </c>
      <c r="I41" s="8">
        <f>3.7253 * CHOOSE(CONTROL!$C$15, $D$11, 100%, $F$11)</f>
        <v>3.7252999999999998</v>
      </c>
      <c r="J41" s="4">
        <f>3.579 * CHOOSE(CONTROL!$C$15, $D$11, 100%, $F$11)</f>
        <v>3.5790000000000002</v>
      </c>
      <c r="K41" s="4"/>
      <c r="L41" s="9">
        <v>29.306000000000001</v>
      </c>
      <c r="M41" s="9">
        <v>12.063700000000001</v>
      </c>
      <c r="N41" s="9">
        <v>4.9444999999999997</v>
      </c>
      <c r="O41" s="9">
        <v>0.37409999999999999</v>
      </c>
      <c r="P41" s="9">
        <v>1.2927</v>
      </c>
      <c r="Q41" s="9"/>
      <c r="R41" s="9">
        <f t="shared" si="0"/>
        <v>0.3</v>
      </c>
      <c r="S41" s="11"/>
    </row>
    <row r="42" spans="1:19" ht="15" customHeight="1">
      <c r="A42" s="13">
        <v>42767</v>
      </c>
      <c r="B42" s="8">
        <f>3.6875 * CHOOSE(CONTROL!$C$15, $D$11, 100%, $F$11)</f>
        <v>3.6875</v>
      </c>
      <c r="C42" s="8">
        <f>3.6926 * CHOOSE(CONTROL!$C$15, $D$11, 100%, $F$11)</f>
        <v>3.6926000000000001</v>
      </c>
      <c r="D42" s="8">
        <f>3.6637 * CHOOSE( CONTROL!$C$15, $D$11, 100%, $F$11)</f>
        <v>3.6637</v>
      </c>
      <c r="E42" s="12">
        <f>3.6737 * CHOOSE( CONTROL!$C$15, $D$11, 100%, $F$11)</f>
        <v>3.6737000000000002</v>
      </c>
      <c r="F42" s="4">
        <f>4.3528 * CHOOSE(CONTROL!$C$15, $D$11, 100%, $F$11)</f>
        <v>4.3528000000000002</v>
      </c>
      <c r="G42" s="8">
        <f>3.6441 * CHOOSE( CONTROL!$C$15, $D$11, 100%, $F$11)</f>
        <v>3.6440999999999999</v>
      </c>
      <c r="H42" s="4">
        <f>4.5485 * CHOOSE(CONTROL!$C$15, $D$11, 100%, $F$11)</f>
        <v>4.5484999999999998</v>
      </c>
      <c r="I42" s="8">
        <f>3.7162 * CHOOSE(CONTROL!$C$15, $D$11, 100%, $F$11)</f>
        <v>3.7162000000000002</v>
      </c>
      <c r="J42" s="4">
        <f>3.57 * CHOOSE(CONTROL!$C$15, $D$11, 100%, $F$11)</f>
        <v>3.57</v>
      </c>
      <c r="K42" s="4"/>
      <c r="L42" s="9">
        <v>26.469899999999999</v>
      </c>
      <c r="M42" s="9">
        <v>10.8962</v>
      </c>
      <c r="N42" s="9">
        <v>4.4660000000000002</v>
      </c>
      <c r="O42" s="9">
        <v>0.33789999999999998</v>
      </c>
      <c r="P42" s="9">
        <v>1.1676</v>
      </c>
      <c r="Q42" s="9"/>
      <c r="R42" s="9">
        <f t="shared" si="0"/>
        <v>0.3</v>
      </c>
      <c r="S42" s="11"/>
    </row>
    <row r="43" spans="1:19" ht="15" customHeight="1">
      <c r="A43" s="13">
        <v>42795</v>
      </c>
      <c r="B43" s="8">
        <f>3.6401 * CHOOSE(CONTROL!$C$15, $D$11, 100%, $F$11)</f>
        <v>3.6400999999999999</v>
      </c>
      <c r="C43" s="8">
        <f>3.6452 * CHOOSE(CONTROL!$C$15, $D$11, 100%, $F$11)</f>
        <v>3.6452</v>
      </c>
      <c r="D43" s="8">
        <f>3.6159 * CHOOSE( CONTROL!$C$15, $D$11, 100%, $F$11)</f>
        <v>3.6158999999999999</v>
      </c>
      <c r="E43" s="12">
        <f>3.6261 * CHOOSE( CONTROL!$C$15, $D$11, 100%, $F$11)</f>
        <v>3.6261000000000001</v>
      </c>
      <c r="F43" s="4">
        <f>4.3054 * CHOOSE(CONTROL!$C$15, $D$11, 100%, $F$11)</f>
        <v>4.3053999999999997</v>
      </c>
      <c r="G43" s="8">
        <f>3.5969 * CHOOSE( CONTROL!$C$15, $D$11, 100%, $F$11)</f>
        <v>3.5969000000000002</v>
      </c>
      <c r="H43" s="4">
        <f>4.5016 * CHOOSE(CONTROL!$C$15, $D$11, 100%, $F$11)</f>
        <v>4.5015999999999998</v>
      </c>
      <c r="I43" s="8">
        <f>3.669 * CHOOSE(CONTROL!$C$15, $D$11, 100%, $F$11)</f>
        <v>3.669</v>
      </c>
      <c r="J43" s="4">
        <f>3.524 * CHOOSE(CONTROL!$C$15, $D$11, 100%, $F$11)</f>
        <v>3.524</v>
      </c>
      <c r="K43" s="4"/>
      <c r="L43" s="9">
        <v>29.306000000000001</v>
      </c>
      <c r="M43" s="9">
        <v>12.063700000000001</v>
      </c>
      <c r="N43" s="9">
        <v>4.9444999999999997</v>
      </c>
      <c r="O43" s="9">
        <v>0.37409999999999999</v>
      </c>
      <c r="P43" s="9">
        <v>1.2927</v>
      </c>
      <c r="Q43" s="9"/>
      <c r="R43" s="9">
        <f t="shared" si="0"/>
        <v>0.3</v>
      </c>
      <c r="S43" s="11"/>
    </row>
    <row r="44" spans="1:19" ht="15" customHeight="1">
      <c r="A44" s="13">
        <v>42826</v>
      </c>
      <c r="B44" s="8">
        <f>3.4348 * CHOOSE(CONTROL!$C$15, $D$11, 100%, $F$11)</f>
        <v>3.4348000000000001</v>
      </c>
      <c r="C44" s="8">
        <f>3.4393 * CHOOSE(CONTROL!$C$15, $D$11, 100%, $F$11)</f>
        <v>3.4392999999999998</v>
      </c>
      <c r="D44" s="8">
        <f>3.4534 * CHOOSE( CONTROL!$C$15, $D$11, 100%, $F$11)</f>
        <v>3.4533999999999998</v>
      </c>
      <c r="E44" s="12">
        <f>3.4482 * CHOOSE( CONTROL!$C$15, $D$11, 100%, $F$11)</f>
        <v>3.4481999999999999</v>
      </c>
      <c r="F44" s="4">
        <f>4.1792 * CHOOSE(CONTROL!$C$15, $D$11, 100%, $F$11)</f>
        <v>4.1791999999999998</v>
      </c>
      <c r="G44" s="8">
        <f>3.401 * CHOOSE( CONTROL!$C$15, $D$11, 100%, $F$11)</f>
        <v>3.4009999999999998</v>
      </c>
      <c r="H44" s="4">
        <f>4.3769 * CHOOSE(CONTROL!$C$15, $D$11, 100%, $F$11)</f>
        <v>4.3769</v>
      </c>
      <c r="I44" s="8">
        <f>3.4671 * CHOOSE(CONTROL!$C$15, $D$11, 100%, $F$11)</f>
        <v>3.4670999999999998</v>
      </c>
      <c r="J44" s="4">
        <f>3.324 * CHOOSE(CONTROL!$C$15, $D$11, 100%, $F$11)</f>
        <v>3.3239999999999998</v>
      </c>
      <c r="K44" s="4"/>
      <c r="L44" s="9">
        <v>30.092199999999998</v>
      </c>
      <c r="M44" s="9">
        <v>11.6745</v>
      </c>
      <c r="N44" s="9">
        <v>4.7850000000000001</v>
      </c>
      <c r="O44" s="9">
        <v>0.36199999999999999</v>
      </c>
      <c r="P44" s="9">
        <v>2.0339999999999998</v>
      </c>
      <c r="Q44" s="9"/>
      <c r="R44" s="9">
        <f t="shared" si="0"/>
        <v>0.3</v>
      </c>
      <c r="S44" s="11"/>
    </row>
    <row r="45" spans="1:19" ht="15" customHeight="1">
      <c r="A45" s="13">
        <v>42856</v>
      </c>
      <c r="B45" s="8">
        <f>CHOOSE( CONTROL!$C$32, 3.447, 3.4434) * CHOOSE(CONTROL!$C$15, $D$11, 100%, $F$11)</f>
        <v>3.4470000000000001</v>
      </c>
      <c r="C45" s="8">
        <f>CHOOSE( CONTROL!$C$32, 3.455, 3.4514) * CHOOSE(CONTROL!$C$15, $D$11, 100%, $F$11)</f>
        <v>3.4550000000000001</v>
      </c>
      <c r="D45" s="8">
        <f>CHOOSE( CONTROL!$C$32, 3.4635, 3.4599) * CHOOSE( CONTROL!$C$15, $D$11, 100%, $F$11)</f>
        <v>3.4634999999999998</v>
      </c>
      <c r="E45" s="12">
        <f>CHOOSE( CONTROL!$C$32, 3.4592, 3.4556) * CHOOSE( CONTROL!$C$15, $D$11, 100%, $F$11)</f>
        <v>3.4592000000000001</v>
      </c>
      <c r="F45" s="4">
        <f>CHOOSE( CONTROL!$C$32, 4.19, 4.1864) * CHOOSE(CONTROL!$C$15, $D$11, 100%, $F$11)</f>
        <v>4.1900000000000004</v>
      </c>
      <c r="G45" s="8">
        <f>CHOOSE( CONTROL!$C$32, 3.4126, 3.409) * CHOOSE( CONTROL!$C$15, $D$11, 100%, $F$11)</f>
        <v>3.4125999999999999</v>
      </c>
      <c r="H45" s="4">
        <f>CHOOSE( CONTROL!$C$32, 4.3876, 4.384) * CHOOSE(CONTROL!$C$15, $D$11, 100%, $F$11)</f>
        <v>4.3875999999999999</v>
      </c>
      <c r="I45" s="8">
        <f>CHOOSE( CONTROL!$C$32, 3.4778, 3.4742) * CHOOSE(CONTROL!$C$15, $D$11, 100%, $F$11)</f>
        <v>3.4777999999999998</v>
      </c>
      <c r="J45" s="4">
        <f>CHOOSE( CONTROL!$C$32, 3.3345, 3.331) * CHOOSE(CONTROL!$C$15, $D$11, 100%, $F$11)</f>
        <v>3.3344999999999998</v>
      </c>
      <c r="K45" s="4"/>
      <c r="L45" s="9">
        <v>30.7165</v>
      </c>
      <c r="M45" s="9">
        <v>12.063700000000001</v>
      </c>
      <c r="N45" s="9">
        <v>4.9444999999999997</v>
      </c>
      <c r="O45" s="9">
        <v>0.37409999999999999</v>
      </c>
      <c r="P45" s="9">
        <v>2.1017999999999999</v>
      </c>
      <c r="Q45" s="9">
        <v>25.076499999999999</v>
      </c>
      <c r="R45" s="9"/>
      <c r="S45" s="11"/>
    </row>
    <row r="46" spans="1:19" ht="15" customHeight="1">
      <c r="A46" s="13">
        <v>42887</v>
      </c>
      <c r="B46" s="8">
        <f>CHOOSE( CONTROL!$C$32, 3.4862, 3.4826) * CHOOSE(CONTROL!$C$15, $D$11, 100%, $F$11)</f>
        <v>3.4862000000000002</v>
      </c>
      <c r="C46" s="8">
        <f>CHOOSE( CONTROL!$C$32, 3.4942, 3.4905) * CHOOSE(CONTROL!$C$15, $D$11, 100%, $F$11)</f>
        <v>3.4942000000000002</v>
      </c>
      <c r="D46" s="8">
        <f>CHOOSE( CONTROL!$C$32, 3.503, 3.4994) * CHOOSE( CONTROL!$C$15, $D$11, 100%, $F$11)</f>
        <v>3.5030000000000001</v>
      </c>
      <c r="E46" s="12">
        <f>CHOOSE( CONTROL!$C$32, 3.4986, 3.495) * CHOOSE( CONTROL!$C$15, $D$11, 100%, $F$11)</f>
        <v>3.4986000000000002</v>
      </c>
      <c r="F46" s="4">
        <f>CHOOSE( CONTROL!$C$32, 4.2292, 4.2256) * CHOOSE(CONTROL!$C$15, $D$11, 100%, $F$11)</f>
        <v>4.2291999999999996</v>
      </c>
      <c r="G46" s="8">
        <f>CHOOSE( CONTROL!$C$32, 3.4516, 3.448) * CHOOSE( CONTROL!$C$15, $D$11, 100%, $F$11)</f>
        <v>3.4516</v>
      </c>
      <c r="H46" s="4">
        <f>CHOOSE( CONTROL!$C$32, 4.4263, 4.4227) * CHOOSE(CONTROL!$C$15, $D$11, 100%, $F$11)</f>
        <v>4.4263000000000003</v>
      </c>
      <c r="I46" s="8">
        <f>CHOOSE( CONTROL!$C$32, 3.5168, 3.5133) * CHOOSE(CONTROL!$C$15, $D$11, 100%, $F$11)</f>
        <v>3.5167999999999999</v>
      </c>
      <c r="J46" s="4">
        <f>CHOOSE( CONTROL!$C$32, 3.3725, 3.369) * CHOOSE(CONTROL!$C$15, $D$11, 100%, $F$11)</f>
        <v>3.3725000000000001</v>
      </c>
      <c r="K46" s="4"/>
      <c r="L46" s="9">
        <v>29.7257</v>
      </c>
      <c r="M46" s="9">
        <v>11.6745</v>
      </c>
      <c r="N46" s="9">
        <v>4.7850000000000001</v>
      </c>
      <c r="O46" s="9">
        <v>0.36199999999999999</v>
      </c>
      <c r="P46" s="9">
        <v>2.0339999999999998</v>
      </c>
      <c r="Q46" s="9">
        <v>24.267600000000002</v>
      </c>
      <c r="R46" s="9"/>
      <c r="S46" s="11"/>
    </row>
    <row r="47" spans="1:19" ht="15" customHeight="1">
      <c r="A47" s="13">
        <v>42917</v>
      </c>
      <c r="B47" s="8">
        <f>CHOOSE( CONTROL!$C$32, 3.5284, 3.5248) * CHOOSE(CONTROL!$C$15, $D$11, 100%, $F$11)</f>
        <v>3.5284</v>
      </c>
      <c r="C47" s="8">
        <f>CHOOSE( CONTROL!$C$32, 3.5364, 3.5328) * CHOOSE(CONTROL!$C$15, $D$11, 100%, $F$11)</f>
        <v>3.5364</v>
      </c>
      <c r="D47" s="8">
        <f>CHOOSE( CONTROL!$C$32, 3.5456, 3.542) * CHOOSE( CONTROL!$C$15, $D$11, 100%, $F$11)</f>
        <v>3.5455999999999999</v>
      </c>
      <c r="E47" s="12">
        <f>CHOOSE( CONTROL!$C$32, 3.541, 3.5374) * CHOOSE( CONTROL!$C$15, $D$11, 100%, $F$11)</f>
        <v>3.5409999999999999</v>
      </c>
      <c r="F47" s="4">
        <f>CHOOSE( CONTROL!$C$32, 4.2715, 4.2678) * CHOOSE(CONTROL!$C$15, $D$11, 100%, $F$11)</f>
        <v>4.2714999999999996</v>
      </c>
      <c r="G47" s="8">
        <f>CHOOSE( CONTROL!$C$32, 3.4937, 3.4901) * CHOOSE( CONTROL!$C$15, $D$11, 100%, $F$11)</f>
        <v>3.4937</v>
      </c>
      <c r="H47" s="4">
        <f>CHOOSE( CONTROL!$C$32, 4.4681, 4.4645) * CHOOSE(CONTROL!$C$15, $D$11, 100%, $F$11)</f>
        <v>4.4680999999999997</v>
      </c>
      <c r="I47" s="8">
        <f>CHOOSE( CONTROL!$C$32, 3.559, 3.5554) * CHOOSE(CONTROL!$C$15, $D$11, 100%, $F$11)</f>
        <v>3.5590000000000002</v>
      </c>
      <c r="J47" s="4">
        <f>CHOOSE( CONTROL!$C$32, 3.4135, 3.41) * CHOOSE(CONTROL!$C$15, $D$11, 100%, $F$11)</f>
        <v>3.4135</v>
      </c>
      <c r="K47" s="4"/>
      <c r="L47" s="9">
        <v>30.7165</v>
      </c>
      <c r="M47" s="9">
        <v>12.063700000000001</v>
      </c>
      <c r="N47" s="9">
        <v>4.9444999999999997</v>
      </c>
      <c r="O47" s="9">
        <v>0.37409999999999999</v>
      </c>
      <c r="P47" s="9">
        <v>2.1017999999999999</v>
      </c>
      <c r="Q47" s="9">
        <v>25.076499999999999</v>
      </c>
      <c r="R47" s="9"/>
      <c r="S47" s="11"/>
    </row>
    <row r="48" spans="1:19" ht="15" customHeight="1">
      <c r="A48" s="13">
        <v>42948</v>
      </c>
      <c r="B48" s="8">
        <f>CHOOSE( CONTROL!$C$32, 3.5398, 3.5361) * CHOOSE(CONTROL!$C$15, $D$11, 100%, $F$11)</f>
        <v>3.5398000000000001</v>
      </c>
      <c r="C48" s="8">
        <f>CHOOSE( CONTROL!$C$32, 3.5478, 3.5441) * CHOOSE(CONTROL!$C$15, $D$11, 100%, $F$11)</f>
        <v>3.5478000000000001</v>
      </c>
      <c r="D48" s="8">
        <f>CHOOSE( CONTROL!$C$32, 3.557, 3.5534) * CHOOSE( CONTROL!$C$15, $D$11, 100%, $F$11)</f>
        <v>3.5569999999999999</v>
      </c>
      <c r="E48" s="12">
        <f>CHOOSE( CONTROL!$C$32, 3.5524, 3.5488) * CHOOSE( CONTROL!$C$15, $D$11, 100%, $F$11)</f>
        <v>3.5524</v>
      </c>
      <c r="F48" s="4">
        <f>CHOOSE( CONTROL!$C$32, 4.2828, 4.2791) * CHOOSE(CONTROL!$C$15, $D$11, 100%, $F$11)</f>
        <v>4.2827999999999999</v>
      </c>
      <c r="G48" s="8">
        <f>CHOOSE( CONTROL!$C$32, 3.505, 3.5014) * CHOOSE( CONTROL!$C$15, $D$11, 100%, $F$11)</f>
        <v>3.5049999999999999</v>
      </c>
      <c r="H48" s="4">
        <f>CHOOSE( CONTROL!$C$32, 4.4793, 4.4757) * CHOOSE(CONTROL!$C$15, $D$11, 100%, $F$11)</f>
        <v>4.4793000000000003</v>
      </c>
      <c r="I48" s="8">
        <f>CHOOSE( CONTROL!$C$32, 3.5703, 3.5667) * CHOOSE(CONTROL!$C$15, $D$11, 100%, $F$11)</f>
        <v>3.5703</v>
      </c>
      <c r="J48" s="4">
        <f>CHOOSE( CONTROL!$C$32, 3.4245, 3.421) * CHOOSE(CONTROL!$C$15, $D$11, 100%, $F$11)</f>
        <v>3.4245000000000001</v>
      </c>
      <c r="K48" s="4"/>
      <c r="L48" s="9">
        <v>30.7165</v>
      </c>
      <c r="M48" s="9">
        <v>12.063700000000001</v>
      </c>
      <c r="N48" s="9">
        <v>4.9444999999999997</v>
      </c>
      <c r="O48" s="9">
        <v>0.37409999999999999</v>
      </c>
      <c r="P48" s="9">
        <v>2.1017999999999999</v>
      </c>
      <c r="Q48" s="9">
        <v>25.076499999999999</v>
      </c>
      <c r="R48" s="9"/>
      <c r="S48" s="11"/>
    </row>
    <row r="49" spans="1:19" ht="15" customHeight="1">
      <c r="A49" s="13">
        <v>42979</v>
      </c>
      <c r="B49" s="8">
        <f>CHOOSE( CONTROL!$C$32, 3.5274, 3.5238) * CHOOSE(CONTROL!$C$15, $D$11, 100%, $F$11)</f>
        <v>3.5274000000000001</v>
      </c>
      <c r="C49" s="8">
        <f>CHOOSE( CONTROL!$C$32, 3.5354, 3.5317) * CHOOSE(CONTROL!$C$15, $D$11, 100%, $F$11)</f>
        <v>3.5354000000000001</v>
      </c>
      <c r="D49" s="8">
        <f>CHOOSE( CONTROL!$C$32, 3.5446, 3.5409) * CHOOSE( CONTROL!$C$15, $D$11, 100%, $F$11)</f>
        <v>3.5446</v>
      </c>
      <c r="E49" s="12">
        <f>CHOOSE( CONTROL!$C$32, 3.54, 3.5364) * CHOOSE( CONTROL!$C$15, $D$11, 100%, $F$11)</f>
        <v>3.54</v>
      </c>
      <c r="F49" s="4">
        <f>CHOOSE( CONTROL!$C$32, 4.2704, 4.2668) * CHOOSE(CONTROL!$C$15, $D$11, 100%, $F$11)</f>
        <v>4.2704000000000004</v>
      </c>
      <c r="G49" s="8">
        <f>CHOOSE( CONTROL!$C$32, 3.4927, 3.4891) * CHOOSE( CONTROL!$C$15, $D$11, 100%, $F$11)</f>
        <v>3.4927000000000001</v>
      </c>
      <c r="H49" s="4">
        <f>CHOOSE( CONTROL!$C$32, 4.4671, 4.4635) * CHOOSE(CONTROL!$C$15, $D$11, 100%, $F$11)</f>
        <v>4.4671000000000003</v>
      </c>
      <c r="I49" s="8">
        <f>CHOOSE( CONTROL!$C$32, 3.5579, 3.5543) * CHOOSE(CONTROL!$C$15, $D$11, 100%, $F$11)</f>
        <v>3.5579000000000001</v>
      </c>
      <c r="J49" s="4">
        <f>CHOOSE( CONTROL!$C$32, 3.4125, 3.409) * CHOOSE(CONTROL!$C$15, $D$11, 100%, $F$11)</f>
        <v>3.4125000000000001</v>
      </c>
      <c r="K49" s="4"/>
      <c r="L49" s="9">
        <v>29.7257</v>
      </c>
      <c r="M49" s="9">
        <v>11.6745</v>
      </c>
      <c r="N49" s="9">
        <v>4.7850000000000001</v>
      </c>
      <c r="O49" s="9">
        <v>0.36199999999999999</v>
      </c>
      <c r="P49" s="9">
        <v>2.0339999999999998</v>
      </c>
      <c r="Q49" s="9">
        <v>24.267600000000002</v>
      </c>
      <c r="R49" s="9"/>
      <c r="S49" s="11"/>
    </row>
    <row r="50" spans="1:19" ht="15" customHeight="1">
      <c r="A50" s="13">
        <v>43009</v>
      </c>
      <c r="B50" s="8">
        <f>3.5478 * CHOOSE(CONTROL!$C$15, $D$11, 100%, $F$11)</f>
        <v>3.5478000000000001</v>
      </c>
      <c r="C50" s="8">
        <f>3.5531 * CHOOSE(CONTROL!$C$15, $D$11, 100%, $F$11)</f>
        <v>3.5531000000000001</v>
      </c>
      <c r="D50" s="8">
        <f>3.5677 * CHOOSE( CONTROL!$C$15, $D$11, 100%, $F$11)</f>
        <v>3.5676999999999999</v>
      </c>
      <c r="E50" s="12">
        <f>3.5623 * CHOOSE( CONTROL!$C$15, $D$11, 100%, $F$11)</f>
        <v>3.5623</v>
      </c>
      <c r="F50" s="4">
        <f>4.2925 * CHOOSE(CONTROL!$C$15, $D$11, 100%, $F$11)</f>
        <v>4.2925000000000004</v>
      </c>
      <c r="G50" s="8">
        <f>3.514 * CHOOSE( CONTROL!$C$15, $D$11, 100%, $F$11)</f>
        <v>3.5139999999999998</v>
      </c>
      <c r="H50" s="4">
        <f>4.4889 * CHOOSE(CONTROL!$C$15, $D$11, 100%, $F$11)</f>
        <v>4.4889000000000001</v>
      </c>
      <c r="I50" s="8">
        <f>3.5801 * CHOOSE(CONTROL!$C$15, $D$11, 100%, $F$11)</f>
        <v>3.5800999999999998</v>
      </c>
      <c r="J50" s="4">
        <f>3.434 * CHOOSE(CONTROL!$C$15, $D$11, 100%, $F$11)</f>
        <v>3.4340000000000002</v>
      </c>
      <c r="K50" s="4"/>
      <c r="L50" s="9">
        <v>31.095300000000002</v>
      </c>
      <c r="M50" s="9">
        <v>12.063700000000001</v>
      </c>
      <c r="N50" s="9">
        <v>4.9444999999999997</v>
      </c>
      <c r="O50" s="9">
        <v>0.37409999999999999</v>
      </c>
      <c r="P50" s="9">
        <v>2.1017999999999999</v>
      </c>
      <c r="Q50" s="9">
        <v>25.076499999999999</v>
      </c>
      <c r="R50" s="9"/>
      <c r="S50" s="11"/>
    </row>
    <row r="51" spans="1:19" ht="15" customHeight="1">
      <c r="A51" s="13">
        <v>43040</v>
      </c>
      <c r="B51" s="8">
        <f>3.6237 * CHOOSE(CONTROL!$C$15, $D$11, 100%, $F$11)</f>
        <v>3.6236999999999999</v>
      </c>
      <c r="C51" s="8">
        <f>3.6287 * CHOOSE(CONTROL!$C$15, $D$11, 100%, $F$11)</f>
        <v>3.6286999999999998</v>
      </c>
      <c r="D51" s="8">
        <f>3.6124 * CHOOSE( CONTROL!$C$15, $D$11, 100%, $F$11)</f>
        <v>3.6124000000000001</v>
      </c>
      <c r="E51" s="12">
        <f>3.6178 * CHOOSE( CONTROL!$C$15, $D$11, 100%, $F$11)</f>
        <v>3.6177999999999999</v>
      </c>
      <c r="F51" s="4">
        <f>4.2889 * CHOOSE(CONTROL!$C$15, $D$11, 100%, $F$11)</f>
        <v>4.2888999999999999</v>
      </c>
      <c r="G51" s="8">
        <f>3.5899 * CHOOSE( CONTROL!$C$15, $D$11, 100%, $F$11)</f>
        <v>3.5899000000000001</v>
      </c>
      <c r="H51" s="4">
        <f>4.4853 * CHOOSE(CONTROL!$C$15, $D$11, 100%, $F$11)</f>
        <v>4.4852999999999996</v>
      </c>
      <c r="I51" s="8">
        <f>3.6542 * CHOOSE(CONTROL!$C$15, $D$11, 100%, $F$11)</f>
        <v>3.6541999999999999</v>
      </c>
      <c r="J51" s="4">
        <f>3.508 * CHOOSE(CONTROL!$C$15, $D$11, 100%, $F$11)</f>
        <v>3.508</v>
      </c>
      <c r="K51" s="4"/>
      <c r="L51" s="9">
        <v>28.360600000000002</v>
      </c>
      <c r="M51" s="9">
        <v>11.6745</v>
      </c>
      <c r="N51" s="9">
        <v>4.7850000000000001</v>
      </c>
      <c r="O51" s="9">
        <v>0.36199999999999999</v>
      </c>
      <c r="P51" s="9">
        <v>1.2509999999999999</v>
      </c>
      <c r="Q51" s="9">
        <v>24.267600000000002</v>
      </c>
      <c r="R51" s="9"/>
      <c r="S51" s="11"/>
    </row>
    <row r="52" spans="1:19" ht="15" customHeight="1">
      <c r="A52" s="13">
        <v>43070</v>
      </c>
      <c r="B52" s="8">
        <f>3.8009 * CHOOSE(CONTROL!$C$15, $D$11, 100%, $F$11)</f>
        <v>3.8008999999999999</v>
      </c>
      <c r="C52" s="8">
        <f>3.806 * CHOOSE(CONTROL!$C$15, $D$11, 100%, $F$11)</f>
        <v>3.806</v>
      </c>
      <c r="D52" s="8">
        <f>3.7913 * CHOOSE( CONTROL!$C$15, $D$11, 100%, $F$11)</f>
        <v>3.7913000000000001</v>
      </c>
      <c r="E52" s="12">
        <f>3.7961 * CHOOSE( CONTROL!$C$15, $D$11, 100%, $F$11)</f>
        <v>3.7961</v>
      </c>
      <c r="F52" s="4">
        <f>4.4662 * CHOOSE(CONTROL!$C$15, $D$11, 100%, $F$11)</f>
        <v>4.4661999999999997</v>
      </c>
      <c r="G52" s="8">
        <f>3.7663 * CHOOSE( CONTROL!$C$15, $D$11, 100%, $F$11)</f>
        <v>3.7663000000000002</v>
      </c>
      <c r="H52" s="4">
        <f>4.6605 * CHOOSE(CONTROL!$C$15, $D$11, 100%, $F$11)</f>
        <v>4.6604999999999999</v>
      </c>
      <c r="I52" s="8">
        <f>3.8317 * CHOOSE(CONTROL!$C$15, $D$11, 100%, $F$11)</f>
        <v>3.8317000000000001</v>
      </c>
      <c r="J52" s="4">
        <f>3.68 * CHOOSE(CONTROL!$C$15, $D$11, 100%, $F$11)</f>
        <v>3.68</v>
      </c>
      <c r="K52" s="4"/>
      <c r="L52" s="9">
        <v>29.306000000000001</v>
      </c>
      <c r="M52" s="9">
        <v>12.063700000000001</v>
      </c>
      <c r="N52" s="9">
        <v>4.9444999999999997</v>
      </c>
      <c r="O52" s="9">
        <v>0.37409999999999999</v>
      </c>
      <c r="P52" s="9">
        <v>1.2927</v>
      </c>
      <c r="Q52" s="9">
        <v>25.076499999999999</v>
      </c>
      <c r="R52" s="9"/>
      <c r="S52" s="11"/>
    </row>
    <row r="53" spans="1:19" ht="15" customHeight="1">
      <c r="A53" s="13">
        <v>43101</v>
      </c>
      <c r="B53" s="8">
        <f>4.2716 * CHOOSE(CONTROL!$C$15, $D$11, 100%, $F$11)</f>
        <v>4.2716000000000003</v>
      </c>
      <c r="C53" s="8">
        <f>4.2767 * CHOOSE(CONTROL!$C$15, $D$11, 100%, $F$11)</f>
        <v>4.2766999999999999</v>
      </c>
      <c r="D53" s="8">
        <f>4.2478 * CHOOSE( CONTROL!$C$15, $D$11, 100%, $F$11)</f>
        <v>4.2477999999999998</v>
      </c>
      <c r="E53" s="12">
        <f>4.2578 * CHOOSE( CONTROL!$C$15, $D$11, 100%, $F$11)</f>
        <v>4.2577999999999996</v>
      </c>
      <c r="F53" s="4">
        <f>4.9369 * CHOOSE(CONTROL!$C$15, $D$11, 100%, $F$11)</f>
        <v>4.9368999999999996</v>
      </c>
      <c r="G53" s="8">
        <f>4.2213 * CHOOSE( CONTROL!$C$15, $D$11, 100%, $F$11)</f>
        <v>4.2213000000000003</v>
      </c>
      <c r="H53" s="4">
        <f>5.1257 * CHOOSE(CONTROL!$C$15, $D$11, 100%, $F$11)</f>
        <v>5.1257000000000001</v>
      </c>
      <c r="I53" s="8">
        <f>4.2834 * CHOOSE(CONTROL!$C$15, $D$11, 100%, $F$11)</f>
        <v>4.2834000000000003</v>
      </c>
      <c r="J53" s="4">
        <f>4.1368 * CHOOSE(CONTROL!$C$15, $D$11, 100%, $F$11)</f>
        <v>4.1368</v>
      </c>
      <c r="K53" s="4"/>
      <c r="L53" s="9">
        <v>29.306000000000001</v>
      </c>
      <c r="M53" s="9">
        <v>12.063700000000001</v>
      </c>
      <c r="N53" s="9">
        <v>4.9444999999999997</v>
      </c>
      <c r="O53" s="9">
        <v>0.37409999999999999</v>
      </c>
      <c r="P53" s="9">
        <v>1.2927</v>
      </c>
      <c r="Q53" s="9">
        <v>24.901700000000002</v>
      </c>
      <c r="R53" s="9"/>
      <c r="S53" s="11"/>
    </row>
    <row r="54" spans="1:19" ht="15" customHeight="1">
      <c r="A54" s="13">
        <v>43132</v>
      </c>
      <c r="B54" s="8">
        <f>3.996 * CHOOSE(CONTROL!$C$15, $D$11, 100%, $F$11)</f>
        <v>3.996</v>
      </c>
      <c r="C54" s="8">
        <f>4.0011 * CHOOSE(CONTROL!$C$15, $D$11, 100%, $F$11)</f>
        <v>4.0011000000000001</v>
      </c>
      <c r="D54" s="8">
        <f>3.9722 * CHOOSE( CONTROL!$C$15, $D$11, 100%, $F$11)</f>
        <v>3.9722</v>
      </c>
      <c r="E54" s="12">
        <f>3.9822 * CHOOSE( CONTROL!$C$15, $D$11, 100%, $F$11)</f>
        <v>3.9822000000000002</v>
      </c>
      <c r="F54" s="4">
        <f>4.6613 * CHOOSE(CONTROL!$C$15, $D$11, 100%, $F$11)</f>
        <v>4.6612999999999998</v>
      </c>
      <c r="G54" s="8">
        <f>3.9489 * CHOOSE( CONTROL!$C$15, $D$11, 100%, $F$11)</f>
        <v>3.9489000000000001</v>
      </c>
      <c r="H54" s="4">
        <f>4.8534 * CHOOSE(CONTROL!$C$15, $D$11, 100%, $F$11)</f>
        <v>4.8533999999999997</v>
      </c>
      <c r="I54" s="8">
        <f>4.0158 * CHOOSE(CONTROL!$C$15, $D$11, 100%, $F$11)</f>
        <v>4.0157999999999996</v>
      </c>
      <c r="J54" s="4">
        <f>3.8694 * CHOOSE(CONTROL!$C$15, $D$11, 100%, $F$11)</f>
        <v>3.8694000000000002</v>
      </c>
      <c r="K54" s="4"/>
      <c r="L54" s="9">
        <v>26.469899999999999</v>
      </c>
      <c r="M54" s="9">
        <v>10.8962</v>
      </c>
      <c r="N54" s="9">
        <v>4.4660000000000002</v>
      </c>
      <c r="O54" s="9">
        <v>0.33789999999999998</v>
      </c>
      <c r="P54" s="9">
        <v>1.1676</v>
      </c>
      <c r="Q54" s="9">
        <v>22.491800000000001</v>
      </c>
      <c r="R54" s="9"/>
      <c r="S54" s="11"/>
    </row>
    <row r="55" spans="1:19" ht="15" customHeight="1">
      <c r="A55" s="13">
        <v>43160</v>
      </c>
      <c r="B55" s="8">
        <f>3.9111 * CHOOSE(CONTROL!$C$15, $D$11, 100%, $F$11)</f>
        <v>3.9110999999999998</v>
      </c>
      <c r="C55" s="8">
        <f>3.9162 * CHOOSE(CONTROL!$C$15, $D$11, 100%, $F$11)</f>
        <v>3.9161999999999999</v>
      </c>
      <c r="D55" s="8">
        <f>3.8869 * CHOOSE( CONTROL!$C$15, $D$11, 100%, $F$11)</f>
        <v>3.8868999999999998</v>
      </c>
      <c r="E55" s="12">
        <f>3.8971 * CHOOSE( CONTROL!$C$15, $D$11, 100%, $F$11)</f>
        <v>3.8971</v>
      </c>
      <c r="F55" s="4">
        <f>4.5764 * CHOOSE(CONTROL!$C$15, $D$11, 100%, $F$11)</f>
        <v>4.5763999999999996</v>
      </c>
      <c r="G55" s="8">
        <f>3.8648 * CHOOSE( CONTROL!$C$15, $D$11, 100%, $F$11)</f>
        <v>3.8647999999999998</v>
      </c>
      <c r="H55" s="4">
        <f>4.7695 * CHOOSE(CONTROL!$C$15, $D$11, 100%, $F$11)</f>
        <v>4.7694999999999999</v>
      </c>
      <c r="I55" s="8">
        <f>3.9321 * CHOOSE(CONTROL!$C$15, $D$11, 100%, $F$11)</f>
        <v>3.9321000000000002</v>
      </c>
      <c r="J55" s="4">
        <f>3.787 * CHOOSE(CONTROL!$C$15, $D$11, 100%, $F$11)</f>
        <v>3.7869999999999999</v>
      </c>
      <c r="K55" s="4"/>
      <c r="L55" s="9">
        <v>29.306000000000001</v>
      </c>
      <c r="M55" s="9">
        <v>12.063700000000001</v>
      </c>
      <c r="N55" s="9">
        <v>4.9444999999999997</v>
      </c>
      <c r="O55" s="9">
        <v>0.37409999999999999</v>
      </c>
      <c r="P55" s="9">
        <v>1.2927</v>
      </c>
      <c r="Q55" s="9">
        <v>24.901700000000002</v>
      </c>
      <c r="R55" s="9"/>
      <c r="S55" s="11"/>
    </row>
    <row r="56" spans="1:19" ht="15" customHeight="1">
      <c r="A56" s="13">
        <v>43191</v>
      </c>
      <c r="B56" s="8">
        <f>3.9712 * CHOOSE(CONTROL!$C$15, $D$11, 100%, $F$11)</f>
        <v>3.9712000000000001</v>
      </c>
      <c r="C56" s="8">
        <f>3.9757 * CHOOSE(CONTROL!$C$15, $D$11, 100%, $F$11)</f>
        <v>3.9756999999999998</v>
      </c>
      <c r="D56" s="8">
        <f>4.0191 * CHOOSE( CONTROL!$C$15, $D$11, 100%, $F$11)</f>
        <v>4.0190999999999999</v>
      </c>
      <c r="E56" s="12">
        <f>4.0043 * CHOOSE( CONTROL!$C$15, $D$11, 100%, $F$11)</f>
        <v>4.0042999999999997</v>
      </c>
      <c r="F56" s="4">
        <f>4.7156 * CHOOSE(CONTROL!$C$15, $D$11, 100%, $F$11)</f>
        <v>4.7156000000000002</v>
      </c>
      <c r="G56" s="8">
        <f>3.9312 * CHOOSE( CONTROL!$C$15, $D$11, 100%, $F$11)</f>
        <v>3.9312</v>
      </c>
      <c r="H56" s="4">
        <f>4.907 * CHOOSE(CONTROL!$C$15, $D$11, 100%, $F$11)</f>
        <v>4.907</v>
      </c>
      <c r="I56" s="8">
        <f>3.9879 * CHOOSE(CONTROL!$C$15, $D$11, 100%, $F$11)</f>
        <v>3.9878999999999998</v>
      </c>
      <c r="J56" s="4">
        <f>3.8446 * CHOOSE(CONTROL!$C$15, $D$11, 100%, $F$11)</f>
        <v>3.8445999999999998</v>
      </c>
      <c r="K56" s="4"/>
      <c r="L56" s="9">
        <v>30.092199999999998</v>
      </c>
      <c r="M56" s="9">
        <v>11.6745</v>
      </c>
      <c r="N56" s="9">
        <v>4.7850000000000001</v>
      </c>
      <c r="O56" s="9">
        <v>0.36199999999999999</v>
      </c>
      <c r="P56" s="9">
        <v>1.1791</v>
      </c>
      <c r="Q56" s="9">
        <v>24.098400000000002</v>
      </c>
      <c r="R56" s="9"/>
      <c r="S56" s="11"/>
    </row>
    <row r="57" spans="1:19" ht="15" customHeight="1">
      <c r="A57" s="13">
        <v>43221</v>
      </c>
      <c r="B57" s="8">
        <f>CHOOSE( CONTROL!$C$32, 4.0818, 4.0781) * CHOOSE(CONTROL!$C$15, $D$11, 100%, $F$11)</f>
        <v>4.0818000000000003</v>
      </c>
      <c r="C57" s="8">
        <f>CHOOSE( CONTROL!$C$32, 4.0898, 4.0861) * CHOOSE(CONTROL!$C$15, $D$11, 100%, $F$11)</f>
        <v>4.0898000000000003</v>
      </c>
      <c r="D57" s="8">
        <f>CHOOSE( CONTROL!$C$32, 4.1275, 4.1238) * CHOOSE( CONTROL!$C$15, $D$11, 100%, $F$11)</f>
        <v>4.1275000000000004</v>
      </c>
      <c r="E57" s="12">
        <f>CHOOSE( CONTROL!$C$32, 4.1126, 4.1089) * CHOOSE( CONTROL!$C$15, $D$11, 100%, $F$11)</f>
        <v>4.1125999999999996</v>
      </c>
      <c r="F57" s="4">
        <f>CHOOSE( CONTROL!$C$32, 4.8248, 4.8211) * CHOOSE(CONTROL!$C$15, $D$11, 100%, $F$11)</f>
        <v>4.8247999999999998</v>
      </c>
      <c r="G57" s="8">
        <f>CHOOSE( CONTROL!$C$32, 4.0399, 4.0363) * CHOOSE( CONTROL!$C$15, $D$11, 100%, $F$11)</f>
        <v>4.0399000000000003</v>
      </c>
      <c r="H57" s="4">
        <f>CHOOSE( CONTROL!$C$32, 5.0149, 5.0113) * CHOOSE(CONTROL!$C$15, $D$11, 100%, $F$11)</f>
        <v>5.0148999999999999</v>
      </c>
      <c r="I57" s="8">
        <f>CHOOSE( CONTROL!$C$32, 4.0941, 4.0905) * CHOOSE(CONTROL!$C$15, $D$11, 100%, $F$11)</f>
        <v>4.0941000000000001</v>
      </c>
      <c r="J57" s="4">
        <f>CHOOSE( CONTROL!$C$32, 3.9505, 3.947) * CHOOSE(CONTROL!$C$15, $D$11, 100%, $F$11)</f>
        <v>3.9504999999999999</v>
      </c>
      <c r="K57" s="4"/>
      <c r="L57" s="9">
        <v>30.7165</v>
      </c>
      <c r="M57" s="9">
        <v>12.063700000000001</v>
      </c>
      <c r="N57" s="9">
        <v>4.9444999999999997</v>
      </c>
      <c r="O57" s="9">
        <v>0.37409999999999999</v>
      </c>
      <c r="P57" s="9">
        <v>1.2183999999999999</v>
      </c>
      <c r="Q57" s="9">
        <v>24.901700000000002</v>
      </c>
      <c r="R57" s="9"/>
      <c r="S57" s="11"/>
    </row>
    <row r="58" spans="1:19" ht="15" customHeight="1">
      <c r="A58" s="13">
        <v>43252</v>
      </c>
      <c r="B58" s="8">
        <f>CHOOSE( CONTROL!$C$32, 4.0164, 4.0127) * CHOOSE(CONTROL!$C$15, $D$11, 100%, $F$11)</f>
        <v>4.0164</v>
      </c>
      <c r="C58" s="8">
        <f>CHOOSE( CONTROL!$C$32, 4.0244, 4.0207) * CHOOSE(CONTROL!$C$15, $D$11, 100%, $F$11)</f>
        <v>4.0244</v>
      </c>
      <c r="D58" s="8">
        <f>CHOOSE( CONTROL!$C$32, 4.0623, 4.0587) * CHOOSE( CONTROL!$C$15, $D$11, 100%, $F$11)</f>
        <v>4.0622999999999996</v>
      </c>
      <c r="E58" s="12">
        <f>CHOOSE( CONTROL!$C$32, 4.0473, 4.0437) * CHOOSE( CONTROL!$C$15, $D$11, 100%, $F$11)</f>
        <v>4.0472999999999999</v>
      </c>
      <c r="F58" s="4">
        <f>CHOOSE( CONTROL!$C$32, 4.7594, 4.7558) * CHOOSE(CONTROL!$C$15, $D$11, 100%, $F$11)</f>
        <v>4.7594000000000003</v>
      </c>
      <c r="G58" s="8">
        <f>CHOOSE( CONTROL!$C$32, 3.9756, 3.972) * CHOOSE( CONTROL!$C$15, $D$11, 100%, $F$11)</f>
        <v>3.9756</v>
      </c>
      <c r="H58" s="4">
        <f>CHOOSE( CONTROL!$C$32, 4.9503, 4.9467) * CHOOSE(CONTROL!$C$15, $D$11, 100%, $F$11)</f>
        <v>4.9503000000000004</v>
      </c>
      <c r="I58" s="8">
        <f>CHOOSE( CONTROL!$C$32, 4.0316, 4.0281) * CHOOSE(CONTROL!$C$15, $D$11, 100%, $F$11)</f>
        <v>4.0316000000000001</v>
      </c>
      <c r="J58" s="4">
        <f>CHOOSE( CONTROL!$C$32, 3.8871, 3.8836) * CHOOSE(CONTROL!$C$15, $D$11, 100%, $F$11)</f>
        <v>3.8871000000000002</v>
      </c>
      <c r="K58" s="4"/>
      <c r="L58" s="9">
        <v>29.7257</v>
      </c>
      <c r="M58" s="9">
        <v>11.6745</v>
      </c>
      <c r="N58" s="9">
        <v>4.7850000000000001</v>
      </c>
      <c r="O58" s="9">
        <v>0.36199999999999999</v>
      </c>
      <c r="P58" s="9">
        <v>1.1791</v>
      </c>
      <c r="Q58" s="9">
        <v>24.098400000000002</v>
      </c>
      <c r="R58" s="9"/>
      <c r="S58" s="11"/>
    </row>
    <row r="59" spans="1:19" ht="15" customHeight="1">
      <c r="A59" s="13">
        <v>43282</v>
      </c>
      <c r="B59" s="8">
        <f>CHOOSE( CONTROL!$C$32, 4.1886, 4.1849) * CHOOSE(CONTROL!$C$15, $D$11, 100%, $F$11)</f>
        <v>4.1886000000000001</v>
      </c>
      <c r="C59" s="8">
        <f>CHOOSE( CONTROL!$C$32, 4.1966, 4.1929) * CHOOSE(CONTROL!$C$15, $D$11, 100%, $F$11)</f>
        <v>4.1966000000000001</v>
      </c>
      <c r="D59" s="8">
        <f>CHOOSE( CONTROL!$C$32, 4.2348, 4.2311) * CHOOSE( CONTROL!$C$15, $D$11, 100%, $F$11)</f>
        <v>4.2347999999999999</v>
      </c>
      <c r="E59" s="12">
        <f>CHOOSE( CONTROL!$C$32, 4.2197, 4.216) * CHOOSE( CONTROL!$C$15, $D$11, 100%, $F$11)</f>
        <v>4.2196999999999996</v>
      </c>
      <c r="F59" s="4">
        <f>CHOOSE( CONTROL!$C$32, 4.9316, 4.9279) * CHOOSE(CONTROL!$C$15, $D$11, 100%, $F$11)</f>
        <v>4.9316000000000004</v>
      </c>
      <c r="G59" s="8">
        <f>CHOOSE( CONTROL!$C$32, 4.1461, 4.1425) * CHOOSE( CONTROL!$C$15, $D$11, 100%, $F$11)</f>
        <v>4.1460999999999997</v>
      </c>
      <c r="H59" s="4">
        <f>CHOOSE( CONTROL!$C$32, 5.1205, 5.1169) * CHOOSE(CONTROL!$C$15, $D$11, 100%, $F$11)</f>
        <v>5.1204999999999998</v>
      </c>
      <c r="I59" s="8">
        <f>CHOOSE( CONTROL!$C$32, 4.1999, 4.1964) * CHOOSE(CONTROL!$C$15, $D$11, 100%, $F$11)</f>
        <v>4.1999000000000004</v>
      </c>
      <c r="J59" s="4">
        <f>CHOOSE( CONTROL!$C$32, 4.0542, 4.0507) * CHOOSE(CONTROL!$C$15, $D$11, 100%, $F$11)</f>
        <v>4.0541999999999998</v>
      </c>
      <c r="K59" s="4"/>
      <c r="L59" s="9">
        <v>30.7165</v>
      </c>
      <c r="M59" s="9">
        <v>12.063700000000001</v>
      </c>
      <c r="N59" s="9">
        <v>4.9444999999999997</v>
      </c>
      <c r="O59" s="9">
        <v>0.37409999999999999</v>
      </c>
      <c r="P59" s="9">
        <v>1.2183999999999999</v>
      </c>
      <c r="Q59" s="9">
        <v>24.901700000000002</v>
      </c>
      <c r="R59" s="9"/>
      <c r="S59" s="11"/>
    </row>
    <row r="60" spans="1:19" ht="15" customHeight="1">
      <c r="A60" s="13">
        <v>43313</v>
      </c>
      <c r="B60" s="8">
        <f>CHOOSE( CONTROL!$C$32, 3.8664, 3.8628) * CHOOSE(CONTROL!$C$15, $D$11, 100%, $F$11)</f>
        <v>3.8664000000000001</v>
      </c>
      <c r="C60" s="8">
        <f>CHOOSE( CONTROL!$C$32, 3.8744, 3.8707) * CHOOSE(CONTROL!$C$15, $D$11, 100%, $F$11)</f>
        <v>3.8744000000000001</v>
      </c>
      <c r="D60" s="8">
        <f>CHOOSE( CONTROL!$C$32, 3.9126, 3.909) * CHOOSE( CONTROL!$C$15, $D$11, 100%, $F$11)</f>
        <v>3.9125999999999999</v>
      </c>
      <c r="E60" s="12">
        <f>CHOOSE( CONTROL!$C$32, 3.8975, 3.8939) * CHOOSE( CONTROL!$C$15, $D$11, 100%, $F$11)</f>
        <v>3.8975</v>
      </c>
      <c r="F60" s="4">
        <f>CHOOSE( CONTROL!$C$32, 4.6094, 4.6058) * CHOOSE(CONTROL!$C$15, $D$11, 100%, $F$11)</f>
        <v>4.6093999999999999</v>
      </c>
      <c r="G60" s="8">
        <f>CHOOSE( CONTROL!$C$32, 3.8278, 3.8242) * CHOOSE( CONTROL!$C$15, $D$11, 100%, $F$11)</f>
        <v>3.8277999999999999</v>
      </c>
      <c r="H60" s="4">
        <f>CHOOSE( CONTROL!$C$32, 4.8021, 4.7985) * CHOOSE(CONTROL!$C$15, $D$11, 100%, $F$11)</f>
        <v>4.8021000000000003</v>
      </c>
      <c r="I60" s="8">
        <f>CHOOSE( CONTROL!$C$32, 3.8874, 3.8839) * CHOOSE(CONTROL!$C$15, $D$11, 100%, $F$11)</f>
        <v>3.8874</v>
      </c>
      <c r="J60" s="4">
        <f>CHOOSE( CONTROL!$C$32, 3.7415, 3.738) * CHOOSE(CONTROL!$C$15, $D$11, 100%, $F$11)</f>
        <v>3.7414999999999998</v>
      </c>
      <c r="K60" s="4"/>
      <c r="L60" s="9">
        <v>30.7165</v>
      </c>
      <c r="M60" s="9">
        <v>12.063700000000001</v>
      </c>
      <c r="N60" s="9">
        <v>4.9444999999999997</v>
      </c>
      <c r="O60" s="9">
        <v>0.37409999999999999</v>
      </c>
      <c r="P60" s="9">
        <v>1.2183999999999999</v>
      </c>
      <c r="Q60" s="9">
        <v>24.901700000000002</v>
      </c>
      <c r="R60" s="9"/>
      <c r="S60" s="11"/>
    </row>
    <row r="61" spans="1:19" ht="15" customHeight="1">
      <c r="A61" s="13">
        <v>43344</v>
      </c>
      <c r="B61" s="8">
        <f>CHOOSE( CONTROL!$C$32, 3.7857, 3.7821) * CHOOSE(CONTROL!$C$15, $D$11, 100%, $F$11)</f>
        <v>3.7856999999999998</v>
      </c>
      <c r="C61" s="8">
        <f>CHOOSE( CONTROL!$C$32, 3.7937, 3.79) * CHOOSE(CONTROL!$C$15, $D$11, 100%, $F$11)</f>
        <v>3.7936999999999999</v>
      </c>
      <c r="D61" s="8">
        <f>CHOOSE( CONTROL!$C$32, 3.8319, 3.8282) * CHOOSE( CONTROL!$C$15, $D$11, 100%, $F$11)</f>
        <v>3.8319000000000001</v>
      </c>
      <c r="E61" s="12">
        <f>CHOOSE( CONTROL!$C$32, 3.8168, 3.8132) * CHOOSE( CONTROL!$C$15, $D$11, 100%, $F$11)</f>
        <v>3.8168000000000002</v>
      </c>
      <c r="F61" s="4">
        <f>CHOOSE( CONTROL!$C$32, 4.5287, 4.5251) * CHOOSE(CONTROL!$C$15, $D$11, 100%, $F$11)</f>
        <v>4.5286999999999997</v>
      </c>
      <c r="G61" s="8">
        <f>CHOOSE( CONTROL!$C$32, 3.7479, 3.7443) * CHOOSE( CONTROL!$C$15, $D$11, 100%, $F$11)</f>
        <v>3.7479</v>
      </c>
      <c r="H61" s="4">
        <f>CHOOSE( CONTROL!$C$32, 4.7223, 4.7187) * CHOOSE(CONTROL!$C$15, $D$11, 100%, $F$11)</f>
        <v>4.7222999999999997</v>
      </c>
      <c r="I61" s="8">
        <f>CHOOSE( CONTROL!$C$32, 3.8087, 3.8051) * CHOOSE(CONTROL!$C$15, $D$11, 100%, $F$11)</f>
        <v>3.8087</v>
      </c>
      <c r="J61" s="4">
        <f>CHOOSE( CONTROL!$C$32, 3.6632, 3.6597) * CHOOSE(CONTROL!$C$15, $D$11, 100%, $F$11)</f>
        <v>3.6631999999999998</v>
      </c>
      <c r="K61" s="4"/>
      <c r="L61" s="9">
        <v>29.7257</v>
      </c>
      <c r="M61" s="9">
        <v>11.6745</v>
      </c>
      <c r="N61" s="9">
        <v>4.7850000000000001</v>
      </c>
      <c r="O61" s="9">
        <v>0.36199999999999999</v>
      </c>
      <c r="P61" s="9">
        <v>1.1791</v>
      </c>
      <c r="Q61" s="9">
        <v>24.098400000000002</v>
      </c>
      <c r="R61" s="9"/>
      <c r="S61" s="11"/>
    </row>
    <row r="62" spans="1:19" ht="15" customHeight="1">
      <c r="A62" s="13">
        <v>43374</v>
      </c>
      <c r="B62" s="8">
        <f>3.9479 * CHOOSE(CONTROL!$C$15, $D$11, 100%, $F$11)</f>
        <v>3.9479000000000002</v>
      </c>
      <c r="C62" s="8">
        <f>3.9532 * CHOOSE(CONTROL!$C$15, $D$11, 100%, $F$11)</f>
        <v>3.9531999999999998</v>
      </c>
      <c r="D62" s="8">
        <f>3.9967 * CHOOSE( CONTROL!$C$15, $D$11, 100%, $F$11)</f>
        <v>3.9967000000000001</v>
      </c>
      <c r="E62" s="12">
        <f>3.9818 * CHOOSE( CONTROL!$C$15, $D$11, 100%, $F$11)</f>
        <v>3.9817999999999998</v>
      </c>
      <c r="F62" s="4">
        <f>4.6926 * CHOOSE(CONTROL!$C$15, $D$11, 100%, $F$11)</f>
        <v>4.6925999999999997</v>
      </c>
      <c r="G62" s="8">
        <f>3.9094 * CHOOSE( CONTROL!$C$15, $D$11, 100%, $F$11)</f>
        <v>3.9094000000000002</v>
      </c>
      <c r="H62" s="4">
        <f>4.8843 * CHOOSE(CONTROL!$C$15, $D$11, 100%, $F$11)</f>
        <v>4.8842999999999996</v>
      </c>
      <c r="I62" s="8">
        <f>3.9686 * CHOOSE(CONTROL!$C$15, $D$11, 100%, $F$11)</f>
        <v>3.9685999999999999</v>
      </c>
      <c r="J62" s="4">
        <f>3.8223 * CHOOSE(CONTROL!$C$15, $D$11, 100%, $F$11)</f>
        <v>3.8222999999999998</v>
      </c>
      <c r="K62" s="4"/>
      <c r="L62" s="9">
        <v>31.095300000000002</v>
      </c>
      <c r="M62" s="9">
        <v>12.063700000000001</v>
      </c>
      <c r="N62" s="9">
        <v>4.9444999999999997</v>
      </c>
      <c r="O62" s="9">
        <v>0.37409999999999999</v>
      </c>
      <c r="P62" s="9">
        <v>1.2183999999999999</v>
      </c>
      <c r="Q62" s="9">
        <v>24.901700000000002</v>
      </c>
      <c r="R62" s="9"/>
      <c r="S62" s="11"/>
    </row>
    <row r="63" spans="1:19" ht="15" customHeight="1">
      <c r="A63" s="13">
        <v>43405</v>
      </c>
      <c r="B63" s="8">
        <f>4.2567 * CHOOSE(CONTROL!$C$15, $D$11, 100%, $F$11)</f>
        <v>4.2567000000000004</v>
      </c>
      <c r="C63" s="8">
        <f>4.2617 * CHOOSE(CONTROL!$C$15, $D$11, 100%, $F$11)</f>
        <v>4.2617000000000003</v>
      </c>
      <c r="D63" s="8">
        <f>4.2454 * CHOOSE( CONTROL!$C$15, $D$11, 100%, $F$11)</f>
        <v>4.2454000000000001</v>
      </c>
      <c r="E63" s="12">
        <f>4.2508 * CHOOSE( CONTROL!$C$15, $D$11, 100%, $F$11)</f>
        <v>4.2507999999999999</v>
      </c>
      <c r="F63" s="4">
        <f>4.9219 * CHOOSE(CONTROL!$C$15, $D$11, 100%, $F$11)</f>
        <v>4.9218999999999999</v>
      </c>
      <c r="G63" s="8">
        <f>4.2156 * CHOOSE( CONTROL!$C$15, $D$11, 100%, $F$11)</f>
        <v>4.2156000000000002</v>
      </c>
      <c r="H63" s="4">
        <f>5.1109 * CHOOSE(CONTROL!$C$15, $D$11, 100%, $F$11)</f>
        <v>5.1109</v>
      </c>
      <c r="I63" s="8">
        <f>4.2689 * CHOOSE(CONTROL!$C$15, $D$11, 100%, $F$11)</f>
        <v>4.2689000000000004</v>
      </c>
      <c r="J63" s="4">
        <f>4.1223 * CHOOSE(CONTROL!$C$15, $D$11, 100%, $F$11)</f>
        <v>4.1223000000000001</v>
      </c>
      <c r="K63" s="4"/>
      <c r="L63" s="9">
        <v>28.360600000000002</v>
      </c>
      <c r="M63" s="9">
        <v>11.6745</v>
      </c>
      <c r="N63" s="9">
        <v>4.7850000000000001</v>
      </c>
      <c r="O63" s="9">
        <v>0.36199999999999999</v>
      </c>
      <c r="P63" s="9">
        <v>1.2509999999999999</v>
      </c>
      <c r="Q63" s="9">
        <v>24.098400000000002</v>
      </c>
      <c r="R63" s="9"/>
      <c r="S63" s="11"/>
    </row>
    <row r="64" spans="1:19" ht="15" customHeight="1">
      <c r="A64" s="13">
        <v>43435</v>
      </c>
      <c r="B64" s="8">
        <f>4.2489 * CHOOSE(CONTROL!$C$15, $D$11, 100%, $F$11)</f>
        <v>4.2488999999999999</v>
      </c>
      <c r="C64" s="8">
        <f>4.254 * CHOOSE(CONTROL!$C$15, $D$11, 100%, $F$11)</f>
        <v>4.2539999999999996</v>
      </c>
      <c r="D64" s="8">
        <f>4.2394 * CHOOSE( CONTROL!$C$15, $D$11, 100%, $F$11)</f>
        <v>4.2393999999999998</v>
      </c>
      <c r="E64" s="12">
        <f>4.2442 * CHOOSE( CONTROL!$C$15, $D$11, 100%, $F$11)</f>
        <v>4.2442000000000002</v>
      </c>
      <c r="F64" s="4">
        <f>4.9142 * CHOOSE(CONTROL!$C$15, $D$11, 100%, $F$11)</f>
        <v>4.9142000000000001</v>
      </c>
      <c r="G64" s="8">
        <f>4.2092 * CHOOSE( CONTROL!$C$15, $D$11, 100%, $F$11)</f>
        <v>4.2092000000000001</v>
      </c>
      <c r="H64" s="4">
        <f>5.1033 * CHOOSE(CONTROL!$C$15, $D$11, 100%, $F$11)</f>
        <v>5.1032999999999999</v>
      </c>
      <c r="I64" s="8">
        <f>4.2668 * CHOOSE(CONTROL!$C$15, $D$11, 100%, $F$11)</f>
        <v>4.2667999999999999</v>
      </c>
      <c r="J64" s="4">
        <f>4.1148 * CHOOSE(CONTROL!$C$15, $D$11, 100%, $F$11)</f>
        <v>4.1147999999999998</v>
      </c>
      <c r="K64" s="4"/>
      <c r="L64" s="9">
        <v>29.306000000000001</v>
      </c>
      <c r="M64" s="9">
        <v>12.063700000000001</v>
      </c>
      <c r="N64" s="9">
        <v>4.9444999999999997</v>
      </c>
      <c r="O64" s="9">
        <v>0.37409999999999999</v>
      </c>
      <c r="P64" s="9">
        <v>1.2927</v>
      </c>
      <c r="Q64" s="9">
        <v>24.901700000000002</v>
      </c>
      <c r="R64" s="9"/>
      <c r="S64" s="11"/>
    </row>
    <row r="65" spans="1:19" ht="15" customHeight="1">
      <c r="A65" s="13">
        <v>43466</v>
      </c>
      <c r="B65" s="8">
        <f>4.4946 * CHOOSE(CONTROL!$C$15, $D$11, 100%, $F$11)</f>
        <v>4.4946000000000002</v>
      </c>
      <c r="C65" s="8">
        <f>4.4997 * CHOOSE(CONTROL!$C$15, $D$11, 100%, $F$11)</f>
        <v>4.4996999999999998</v>
      </c>
      <c r="D65" s="8">
        <f>4.4708 * CHOOSE( CONTROL!$C$15, $D$11, 100%, $F$11)</f>
        <v>4.4707999999999997</v>
      </c>
      <c r="E65" s="12">
        <f>4.4808 * CHOOSE( CONTROL!$C$15, $D$11, 100%, $F$11)</f>
        <v>4.4808000000000003</v>
      </c>
      <c r="F65" s="4">
        <f>5.1599 * CHOOSE(CONTROL!$C$15, $D$11, 100%, $F$11)</f>
        <v>5.1599000000000004</v>
      </c>
      <c r="G65" s="8">
        <f>4.4417 * CHOOSE( CONTROL!$C$15, $D$11, 100%, $F$11)</f>
        <v>4.4417</v>
      </c>
      <c r="H65" s="4">
        <f>5.3461 * CHOOSE(CONTROL!$C$15, $D$11, 100%, $F$11)</f>
        <v>5.3460999999999999</v>
      </c>
      <c r="I65" s="8">
        <f>4.4999 * CHOOSE(CONTROL!$C$15, $D$11, 100%, $F$11)</f>
        <v>4.4999000000000002</v>
      </c>
      <c r="J65" s="4">
        <f>4.3532 * CHOOSE(CONTROL!$C$15, $D$11, 100%, $F$11)</f>
        <v>4.3532000000000002</v>
      </c>
      <c r="K65" s="4"/>
      <c r="L65" s="9">
        <v>29.306000000000001</v>
      </c>
      <c r="M65" s="9">
        <v>12.063700000000001</v>
      </c>
      <c r="N65" s="9">
        <v>4.9444999999999997</v>
      </c>
      <c r="O65" s="9">
        <v>0.37409999999999999</v>
      </c>
      <c r="P65" s="9">
        <v>1.2927</v>
      </c>
      <c r="Q65" s="9">
        <v>24.651199999999999</v>
      </c>
      <c r="R65" s="9"/>
      <c r="S65" s="11"/>
    </row>
    <row r="66" spans="1:19" ht="15" customHeight="1">
      <c r="A66" s="13">
        <v>43497</v>
      </c>
      <c r="B66" s="8">
        <f>4.2046 * CHOOSE(CONTROL!$C$15, $D$11, 100%, $F$11)</f>
        <v>4.2046000000000001</v>
      </c>
      <c r="C66" s="8">
        <f>4.2097 * CHOOSE(CONTROL!$C$15, $D$11, 100%, $F$11)</f>
        <v>4.2096999999999998</v>
      </c>
      <c r="D66" s="8">
        <f>4.1808 * CHOOSE( CONTROL!$C$15, $D$11, 100%, $F$11)</f>
        <v>4.1807999999999996</v>
      </c>
      <c r="E66" s="12">
        <f>4.1908 * CHOOSE( CONTROL!$C$15, $D$11, 100%, $F$11)</f>
        <v>4.1908000000000003</v>
      </c>
      <c r="F66" s="4">
        <f>4.8699 * CHOOSE(CONTROL!$C$15, $D$11, 100%, $F$11)</f>
        <v>4.8699000000000003</v>
      </c>
      <c r="G66" s="8">
        <f>4.1551 * CHOOSE( CONTROL!$C$15, $D$11, 100%, $F$11)</f>
        <v>4.1551</v>
      </c>
      <c r="H66" s="4">
        <f>5.0595 * CHOOSE(CONTROL!$C$15, $D$11, 100%, $F$11)</f>
        <v>5.0594999999999999</v>
      </c>
      <c r="I66" s="8">
        <f>4.2183 * CHOOSE(CONTROL!$C$15, $D$11, 100%, $F$11)</f>
        <v>4.2183000000000002</v>
      </c>
      <c r="J66" s="4">
        <f>4.0718 * CHOOSE(CONTROL!$C$15, $D$11, 100%, $F$11)</f>
        <v>4.0717999999999996</v>
      </c>
      <c r="K66" s="4"/>
      <c r="L66" s="9">
        <v>26.469899999999999</v>
      </c>
      <c r="M66" s="9">
        <v>10.8962</v>
      </c>
      <c r="N66" s="9">
        <v>4.4660000000000002</v>
      </c>
      <c r="O66" s="9">
        <v>0.33789999999999998</v>
      </c>
      <c r="P66" s="9">
        <v>1.1676</v>
      </c>
      <c r="Q66" s="9">
        <v>22.265599999999999</v>
      </c>
      <c r="R66" s="9"/>
      <c r="S66" s="11"/>
    </row>
    <row r="67" spans="1:19" ht="15" customHeight="1">
      <c r="A67" s="13">
        <v>43525</v>
      </c>
      <c r="B67" s="8">
        <f>4.1153 * CHOOSE(CONTROL!$C$15, $D$11, 100%, $F$11)</f>
        <v>4.1153000000000004</v>
      </c>
      <c r="C67" s="8">
        <f>4.1204 * CHOOSE(CONTROL!$C$15, $D$11, 100%, $F$11)</f>
        <v>4.1204000000000001</v>
      </c>
      <c r="D67" s="8">
        <f>4.0911 * CHOOSE( CONTROL!$C$15, $D$11, 100%, $F$11)</f>
        <v>4.0911</v>
      </c>
      <c r="E67" s="12">
        <f>4.1013 * CHOOSE( CONTROL!$C$15, $D$11, 100%, $F$11)</f>
        <v>4.1013000000000002</v>
      </c>
      <c r="F67" s="4">
        <f>4.7806 * CHOOSE(CONTROL!$C$15, $D$11, 100%, $F$11)</f>
        <v>4.7805999999999997</v>
      </c>
      <c r="G67" s="8">
        <f>4.0665 * CHOOSE( CONTROL!$C$15, $D$11, 100%, $F$11)</f>
        <v>4.0664999999999996</v>
      </c>
      <c r="H67" s="4">
        <f>4.9712 * CHOOSE(CONTROL!$C$15, $D$11, 100%, $F$11)</f>
        <v>4.9711999999999996</v>
      </c>
      <c r="I67" s="8">
        <f>4.1303 * CHOOSE(CONTROL!$C$15, $D$11, 100%, $F$11)</f>
        <v>4.1303000000000001</v>
      </c>
      <c r="J67" s="4">
        <f>3.9851 * CHOOSE(CONTROL!$C$15, $D$11, 100%, $F$11)</f>
        <v>3.9851000000000001</v>
      </c>
      <c r="K67" s="4"/>
      <c r="L67" s="9">
        <v>29.306000000000001</v>
      </c>
      <c r="M67" s="9">
        <v>12.063700000000001</v>
      </c>
      <c r="N67" s="9">
        <v>4.9444999999999997</v>
      </c>
      <c r="O67" s="9">
        <v>0.37409999999999999</v>
      </c>
      <c r="P67" s="9">
        <v>1.2927</v>
      </c>
      <c r="Q67" s="9">
        <v>24.651199999999999</v>
      </c>
      <c r="R67" s="9"/>
      <c r="S67" s="11"/>
    </row>
    <row r="68" spans="1:19" ht="15" customHeight="1">
      <c r="A68" s="13">
        <v>43556</v>
      </c>
      <c r="B68" s="8">
        <f>4.1785 * CHOOSE(CONTROL!$C$15, $D$11, 100%, $F$11)</f>
        <v>4.1784999999999997</v>
      </c>
      <c r="C68" s="8">
        <f>4.183 * CHOOSE(CONTROL!$C$15, $D$11, 100%, $F$11)</f>
        <v>4.1829999999999998</v>
      </c>
      <c r="D68" s="8">
        <f>4.2263 * CHOOSE( CONTROL!$C$15, $D$11, 100%, $F$11)</f>
        <v>4.2263000000000002</v>
      </c>
      <c r="E68" s="12">
        <f>4.2115 * CHOOSE( CONTROL!$C$15, $D$11, 100%, $F$11)</f>
        <v>4.2115</v>
      </c>
      <c r="F68" s="4">
        <f>4.9228 * CHOOSE(CONTROL!$C$15, $D$11, 100%, $F$11)</f>
        <v>4.9227999999999996</v>
      </c>
      <c r="G68" s="8">
        <f>4.136 * CHOOSE( CONTROL!$C$15, $D$11, 100%, $F$11)</f>
        <v>4.1360000000000001</v>
      </c>
      <c r="H68" s="4">
        <f>5.1118 * CHOOSE(CONTROL!$C$15, $D$11, 100%, $F$11)</f>
        <v>5.1117999999999997</v>
      </c>
      <c r="I68" s="8">
        <f>4.1891 * CHOOSE(CONTROL!$C$15, $D$11, 100%, $F$11)</f>
        <v>4.1890999999999998</v>
      </c>
      <c r="J68" s="4">
        <f>4.0457 * CHOOSE(CONTROL!$C$15, $D$11, 100%, $F$11)</f>
        <v>4.0457000000000001</v>
      </c>
      <c r="K68" s="4"/>
      <c r="L68" s="9">
        <v>30.092199999999998</v>
      </c>
      <c r="M68" s="9">
        <v>11.6745</v>
      </c>
      <c r="N68" s="9">
        <v>4.7850000000000001</v>
      </c>
      <c r="O68" s="9">
        <v>0.36199999999999999</v>
      </c>
      <c r="P68" s="9">
        <v>1.1791</v>
      </c>
      <c r="Q68" s="9">
        <v>23.856000000000002</v>
      </c>
      <c r="R68" s="9"/>
      <c r="S68" s="11"/>
    </row>
    <row r="69" spans="1:19" ht="15" customHeight="1">
      <c r="A69" s="13">
        <v>43586</v>
      </c>
      <c r="B69" s="8">
        <f>CHOOSE( CONTROL!$C$32, 4.2945, 4.2909) * CHOOSE(CONTROL!$C$15, $D$11, 100%, $F$11)</f>
        <v>4.2945000000000002</v>
      </c>
      <c r="C69" s="8">
        <f>CHOOSE( CONTROL!$C$32, 4.3025, 4.2989) * CHOOSE(CONTROL!$C$15, $D$11, 100%, $F$11)</f>
        <v>4.3025000000000002</v>
      </c>
      <c r="D69" s="8">
        <f>CHOOSE( CONTROL!$C$32, 4.3403, 4.3366) * CHOOSE( CONTROL!$C$15, $D$11, 100%, $F$11)</f>
        <v>4.3403</v>
      </c>
      <c r="E69" s="12">
        <f>CHOOSE( CONTROL!$C$32, 4.3254, 4.3217) * CHOOSE( CONTROL!$C$15, $D$11, 100%, $F$11)</f>
        <v>4.3254000000000001</v>
      </c>
      <c r="F69" s="4">
        <f>CHOOSE( CONTROL!$C$32, 5.0376, 5.0339) * CHOOSE(CONTROL!$C$15, $D$11, 100%, $F$11)</f>
        <v>5.0376000000000003</v>
      </c>
      <c r="G69" s="8">
        <f>CHOOSE( CONTROL!$C$32, 4.2502, 4.2466) * CHOOSE( CONTROL!$C$15, $D$11, 100%, $F$11)</f>
        <v>4.2502000000000004</v>
      </c>
      <c r="H69" s="4">
        <f>CHOOSE( CONTROL!$C$32, 5.2252, 5.2216) * CHOOSE(CONTROL!$C$15, $D$11, 100%, $F$11)</f>
        <v>5.2252000000000001</v>
      </c>
      <c r="I69" s="8">
        <f>CHOOSE( CONTROL!$C$32, 4.3007, 4.2971) * CHOOSE(CONTROL!$C$15, $D$11, 100%, $F$11)</f>
        <v>4.3007</v>
      </c>
      <c r="J69" s="4">
        <f>CHOOSE( CONTROL!$C$32, 4.157, 4.1535) * CHOOSE(CONTROL!$C$15, $D$11, 100%, $F$11)</f>
        <v>4.157</v>
      </c>
      <c r="K69" s="4"/>
      <c r="L69" s="9">
        <v>30.7165</v>
      </c>
      <c r="M69" s="9">
        <v>12.063700000000001</v>
      </c>
      <c r="N69" s="9">
        <v>4.9444999999999997</v>
      </c>
      <c r="O69" s="9">
        <v>0.37409999999999999</v>
      </c>
      <c r="P69" s="9">
        <v>1.2183999999999999</v>
      </c>
      <c r="Q69" s="9">
        <v>24.651199999999999</v>
      </c>
      <c r="R69" s="9"/>
      <c r="S69" s="11"/>
    </row>
    <row r="70" spans="1:19" ht="15" customHeight="1">
      <c r="A70" s="13">
        <v>43617</v>
      </c>
      <c r="B70" s="8">
        <f>CHOOSE( CONTROL!$C$32, 4.2257, 4.2221) * CHOOSE(CONTROL!$C$15, $D$11, 100%, $F$11)</f>
        <v>4.2256999999999998</v>
      </c>
      <c r="C70" s="8">
        <f>CHOOSE( CONTROL!$C$32, 4.2337, 4.2301) * CHOOSE(CONTROL!$C$15, $D$11, 100%, $F$11)</f>
        <v>4.2336999999999998</v>
      </c>
      <c r="D70" s="8">
        <f>CHOOSE( CONTROL!$C$32, 4.2717, 4.268) * CHOOSE( CONTROL!$C$15, $D$11, 100%, $F$11)</f>
        <v>4.2717000000000001</v>
      </c>
      <c r="E70" s="12">
        <f>CHOOSE( CONTROL!$C$32, 4.2567, 4.253) * CHOOSE( CONTROL!$C$15, $D$11, 100%, $F$11)</f>
        <v>4.2567000000000004</v>
      </c>
      <c r="F70" s="4">
        <f>CHOOSE( CONTROL!$C$32, 4.9687, 4.9651) * CHOOSE(CONTROL!$C$15, $D$11, 100%, $F$11)</f>
        <v>4.9687000000000001</v>
      </c>
      <c r="G70" s="8">
        <f>CHOOSE( CONTROL!$C$32, 4.1825, 4.1789) * CHOOSE( CONTROL!$C$15, $D$11, 100%, $F$11)</f>
        <v>4.1825000000000001</v>
      </c>
      <c r="H70" s="4">
        <f>CHOOSE( CONTROL!$C$32, 5.1572, 5.1536) * CHOOSE(CONTROL!$C$15, $D$11, 100%, $F$11)</f>
        <v>5.1571999999999996</v>
      </c>
      <c r="I70" s="8">
        <f>CHOOSE( CONTROL!$C$32, 4.2349, 4.2314) * CHOOSE(CONTROL!$C$15, $D$11, 100%, $F$11)</f>
        <v>4.2348999999999997</v>
      </c>
      <c r="J70" s="4">
        <f>CHOOSE( CONTROL!$C$32, 4.0903, 4.0867) * CHOOSE(CONTROL!$C$15, $D$11, 100%, $F$11)</f>
        <v>4.0903</v>
      </c>
      <c r="K70" s="4"/>
      <c r="L70" s="9">
        <v>29.7257</v>
      </c>
      <c r="M70" s="9">
        <v>11.6745</v>
      </c>
      <c r="N70" s="9">
        <v>4.7850000000000001</v>
      </c>
      <c r="O70" s="9">
        <v>0.36199999999999999</v>
      </c>
      <c r="P70" s="9">
        <v>1.1791</v>
      </c>
      <c r="Q70" s="9">
        <v>23.856000000000002</v>
      </c>
      <c r="R70" s="9"/>
      <c r="S70" s="11"/>
    </row>
    <row r="71" spans="1:19" ht="15" customHeight="1">
      <c r="A71" s="13">
        <v>43647</v>
      </c>
      <c r="B71" s="8">
        <f>CHOOSE( CONTROL!$C$32, 4.4069, 4.4033) * CHOOSE(CONTROL!$C$15, $D$11, 100%, $F$11)</f>
        <v>4.4069000000000003</v>
      </c>
      <c r="C71" s="8">
        <f>CHOOSE( CONTROL!$C$32, 4.4149, 4.4113) * CHOOSE(CONTROL!$C$15, $D$11, 100%, $F$11)</f>
        <v>4.4149000000000003</v>
      </c>
      <c r="D71" s="8">
        <f>CHOOSE( CONTROL!$C$32, 4.4531, 4.4495) * CHOOSE( CONTROL!$C$15, $D$11, 100%, $F$11)</f>
        <v>4.4531000000000001</v>
      </c>
      <c r="E71" s="12">
        <f>CHOOSE( CONTROL!$C$32, 4.438, 4.4344) * CHOOSE( CONTROL!$C$15, $D$11, 100%, $F$11)</f>
        <v>4.4379999999999997</v>
      </c>
      <c r="F71" s="4">
        <f>CHOOSE( CONTROL!$C$32, 5.1499, 5.1463) * CHOOSE(CONTROL!$C$15, $D$11, 100%, $F$11)</f>
        <v>5.1498999999999997</v>
      </c>
      <c r="G71" s="8">
        <f>CHOOSE( CONTROL!$C$32, 4.3619, 4.3583) * CHOOSE( CONTROL!$C$15, $D$11, 100%, $F$11)</f>
        <v>4.3619000000000003</v>
      </c>
      <c r="H71" s="4">
        <f>CHOOSE( CONTROL!$C$32, 5.3363, 5.3327) * CHOOSE(CONTROL!$C$15, $D$11, 100%, $F$11)</f>
        <v>5.3362999999999996</v>
      </c>
      <c r="I71" s="8">
        <f>CHOOSE( CONTROL!$C$32, 4.412, 4.4084) * CHOOSE(CONTROL!$C$15, $D$11, 100%, $F$11)</f>
        <v>4.4119999999999999</v>
      </c>
      <c r="J71" s="4">
        <f>CHOOSE( CONTROL!$C$32, 4.2661, 4.2626) * CHOOSE(CONTROL!$C$15, $D$11, 100%, $F$11)</f>
        <v>4.2660999999999998</v>
      </c>
      <c r="K71" s="4"/>
      <c r="L71" s="9">
        <v>30.7165</v>
      </c>
      <c r="M71" s="9">
        <v>12.063700000000001</v>
      </c>
      <c r="N71" s="9">
        <v>4.9444999999999997</v>
      </c>
      <c r="O71" s="9">
        <v>0.37409999999999999</v>
      </c>
      <c r="P71" s="9">
        <v>1.2183999999999999</v>
      </c>
      <c r="Q71" s="9">
        <v>24.651199999999999</v>
      </c>
      <c r="R71" s="9"/>
      <c r="S71" s="11"/>
    </row>
    <row r="72" spans="1:19" ht="15" customHeight="1">
      <c r="A72" s="13">
        <v>43678</v>
      </c>
      <c r="B72" s="8">
        <f>CHOOSE( CONTROL!$C$32, 4.0679, 4.0643) * CHOOSE(CONTROL!$C$15, $D$11, 100%, $F$11)</f>
        <v>4.0678999999999998</v>
      </c>
      <c r="C72" s="8">
        <f>CHOOSE( CONTROL!$C$32, 4.0759, 4.0722) * CHOOSE(CONTROL!$C$15, $D$11, 100%, $F$11)</f>
        <v>4.0758999999999999</v>
      </c>
      <c r="D72" s="8">
        <f>CHOOSE( CONTROL!$C$32, 4.1141, 4.1105) * CHOOSE( CONTROL!$C$15, $D$11, 100%, $F$11)</f>
        <v>4.1140999999999996</v>
      </c>
      <c r="E72" s="12">
        <f>CHOOSE( CONTROL!$C$32, 4.099, 4.0954) * CHOOSE( CONTROL!$C$15, $D$11, 100%, $F$11)</f>
        <v>4.0990000000000002</v>
      </c>
      <c r="F72" s="4">
        <f>CHOOSE( CONTROL!$C$32, 4.8109, 4.8073) * CHOOSE(CONTROL!$C$15, $D$11, 100%, $F$11)</f>
        <v>4.8109000000000002</v>
      </c>
      <c r="G72" s="8">
        <f>CHOOSE( CONTROL!$C$32, 4.0269, 4.0233) * CHOOSE( CONTROL!$C$15, $D$11, 100%, $F$11)</f>
        <v>4.0269000000000004</v>
      </c>
      <c r="H72" s="4">
        <f>CHOOSE( CONTROL!$C$32, 5.0012, 4.9976) * CHOOSE(CONTROL!$C$15, $D$11, 100%, $F$11)</f>
        <v>5.0011999999999999</v>
      </c>
      <c r="I72" s="8">
        <f>CHOOSE( CONTROL!$C$32, 4.083, 4.0795) * CHOOSE(CONTROL!$C$15, $D$11, 100%, $F$11)</f>
        <v>4.0830000000000002</v>
      </c>
      <c r="J72" s="4">
        <f>CHOOSE( CONTROL!$C$32, 3.9371, 3.9335) * CHOOSE(CONTROL!$C$15, $D$11, 100%, $F$11)</f>
        <v>3.9371</v>
      </c>
      <c r="K72" s="4"/>
      <c r="L72" s="9">
        <v>30.7165</v>
      </c>
      <c r="M72" s="9">
        <v>12.063700000000001</v>
      </c>
      <c r="N72" s="9">
        <v>4.9444999999999997</v>
      </c>
      <c r="O72" s="9">
        <v>0.37409999999999999</v>
      </c>
      <c r="P72" s="9">
        <v>1.2183999999999999</v>
      </c>
      <c r="Q72" s="9">
        <v>24.651199999999999</v>
      </c>
      <c r="R72" s="9"/>
      <c r="S72" s="11"/>
    </row>
    <row r="73" spans="1:19" ht="15" customHeight="1">
      <c r="A73" s="13">
        <v>43709</v>
      </c>
      <c r="B73" s="8">
        <f>CHOOSE( CONTROL!$C$32, 3.983, 3.9794) * CHOOSE(CONTROL!$C$15, $D$11, 100%, $F$11)</f>
        <v>3.9830000000000001</v>
      </c>
      <c r="C73" s="8">
        <f>CHOOSE( CONTROL!$C$32, 3.991, 3.9873) * CHOOSE(CONTROL!$C$15, $D$11, 100%, $F$11)</f>
        <v>3.9910000000000001</v>
      </c>
      <c r="D73" s="8">
        <f>CHOOSE( CONTROL!$C$32, 4.0292, 4.0255) * CHOOSE( CONTROL!$C$15, $D$11, 100%, $F$11)</f>
        <v>4.0292000000000003</v>
      </c>
      <c r="E73" s="12">
        <f>CHOOSE( CONTROL!$C$32, 4.0141, 4.0105) * CHOOSE( CONTROL!$C$15, $D$11, 100%, $F$11)</f>
        <v>4.0141</v>
      </c>
      <c r="F73" s="4">
        <f>CHOOSE( CONTROL!$C$32, 4.726, 4.7224) * CHOOSE(CONTROL!$C$15, $D$11, 100%, $F$11)</f>
        <v>4.726</v>
      </c>
      <c r="G73" s="8">
        <f>CHOOSE( CONTROL!$C$32, 3.9429, 3.9393) * CHOOSE( CONTROL!$C$15, $D$11, 100%, $F$11)</f>
        <v>3.9428999999999998</v>
      </c>
      <c r="H73" s="4">
        <f>CHOOSE( CONTROL!$C$32, 4.9173, 4.9137) * CHOOSE(CONTROL!$C$15, $D$11, 100%, $F$11)</f>
        <v>4.9173</v>
      </c>
      <c r="I73" s="8">
        <f>CHOOSE( CONTROL!$C$32, 4.0002, 3.9967) * CHOOSE(CONTROL!$C$15, $D$11, 100%, $F$11)</f>
        <v>4.0002000000000004</v>
      </c>
      <c r="J73" s="4">
        <f>CHOOSE( CONTROL!$C$32, 3.8547, 3.8511) * CHOOSE(CONTROL!$C$15, $D$11, 100%, $F$11)</f>
        <v>3.8546999999999998</v>
      </c>
      <c r="K73" s="4"/>
      <c r="L73" s="9">
        <v>29.7257</v>
      </c>
      <c r="M73" s="9">
        <v>11.6745</v>
      </c>
      <c r="N73" s="9">
        <v>4.7850000000000001</v>
      </c>
      <c r="O73" s="9">
        <v>0.36199999999999999</v>
      </c>
      <c r="P73" s="9">
        <v>1.1791</v>
      </c>
      <c r="Q73" s="9">
        <v>23.856000000000002</v>
      </c>
      <c r="R73" s="9"/>
      <c r="S73" s="11"/>
    </row>
    <row r="74" spans="1:19" ht="15" customHeight="1">
      <c r="A74" s="13">
        <v>43739</v>
      </c>
      <c r="B74" s="8">
        <f>4.1539 * CHOOSE(CONTROL!$C$15, $D$11, 100%, $F$11)</f>
        <v>4.1539000000000001</v>
      </c>
      <c r="C74" s="8">
        <f>4.1592 * CHOOSE(CONTROL!$C$15, $D$11, 100%, $F$11)</f>
        <v>4.1592000000000002</v>
      </c>
      <c r="D74" s="8">
        <f>4.2028 * CHOOSE( CONTROL!$C$15, $D$11, 100%, $F$11)</f>
        <v>4.2027999999999999</v>
      </c>
      <c r="E74" s="12">
        <f>4.1878 * CHOOSE( CONTROL!$C$15, $D$11, 100%, $F$11)</f>
        <v>4.1878000000000002</v>
      </c>
      <c r="F74" s="4">
        <f>4.8986 * CHOOSE(CONTROL!$C$15, $D$11, 100%, $F$11)</f>
        <v>4.8986000000000001</v>
      </c>
      <c r="G74" s="8">
        <f>4.113 * CHOOSE( CONTROL!$C$15, $D$11, 100%, $F$11)</f>
        <v>4.1130000000000004</v>
      </c>
      <c r="H74" s="4">
        <f>5.0879 * CHOOSE(CONTROL!$C$15, $D$11, 100%, $F$11)</f>
        <v>5.0879000000000003</v>
      </c>
      <c r="I74" s="8">
        <f>4.1686 * CHOOSE(CONTROL!$C$15, $D$11, 100%, $F$11)</f>
        <v>4.1685999999999996</v>
      </c>
      <c r="J74" s="4">
        <f>4.0222 * CHOOSE(CONTROL!$C$15, $D$11, 100%, $F$11)</f>
        <v>4.0221999999999998</v>
      </c>
      <c r="K74" s="4"/>
      <c r="L74" s="9">
        <v>31.095300000000002</v>
      </c>
      <c r="M74" s="9">
        <v>12.063700000000001</v>
      </c>
      <c r="N74" s="9">
        <v>4.9444999999999997</v>
      </c>
      <c r="O74" s="9">
        <v>0.37409999999999999</v>
      </c>
      <c r="P74" s="9">
        <v>1.2183999999999999</v>
      </c>
      <c r="Q74" s="9">
        <v>24.651199999999999</v>
      </c>
      <c r="R74" s="9"/>
      <c r="S74" s="11"/>
    </row>
    <row r="75" spans="1:19" ht="15" customHeight="1">
      <c r="A75" s="13">
        <v>43770</v>
      </c>
      <c r="B75" s="8">
        <f>4.4789 * CHOOSE(CONTROL!$C$15, $D$11, 100%, $F$11)</f>
        <v>4.4789000000000003</v>
      </c>
      <c r="C75" s="8">
        <f>4.484 * CHOOSE(CONTROL!$C$15, $D$11, 100%, $F$11)</f>
        <v>4.484</v>
      </c>
      <c r="D75" s="8">
        <f>4.4676 * CHOOSE( CONTROL!$C$15, $D$11, 100%, $F$11)</f>
        <v>4.4676</v>
      </c>
      <c r="E75" s="12">
        <f>4.4731 * CHOOSE( CONTROL!$C$15, $D$11, 100%, $F$11)</f>
        <v>4.4730999999999996</v>
      </c>
      <c r="F75" s="4">
        <f>5.1442 * CHOOSE(CONTROL!$C$15, $D$11, 100%, $F$11)</f>
        <v>5.1441999999999997</v>
      </c>
      <c r="G75" s="8">
        <f>4.4352 * CHOOSE( CONTROL!$C$15, $D$11, 100%, $F$11)</f>
        <v>4.4352</v>
      </c>
      <c r="H75" s="4">
        <f>5.3306 * CHOOSE(CONTROL!$C$15, $D$11, 100%, $F$11)</f>
        <v>5.3305999999999996</v>
      </c>
      <c r="I75" s="8">
        <f>4.4847 * CHOOSE(CONTROL!$C$15, $D$11, 100%, $F$11)</f>
        <v>4.4847000000000001</v>
      </c>
      <c r="J75" s="4">
        <f>4.338 * CHOOSE(CONTROL!$C$15, $D$11, 100%, $F$11)</f>
        <v>4.3380000000000001</v>
      </c>
      <c r="K75" s="4"/>
      <c r="L75" s="9">
        <v>28.360600000000002</v>
      </c>
      <c r="M75" s="9">
        <v>11.6745</v>
      </c>
      <c r="N75" s="9">
        <v>4.7850000000000001</v>
      </c>
      <c r="O75" s="9">
        <v>0.36199999999999999</v>
      </c>
      <c r="P75" s="9">
        <v>1.2509999999999999</v>
      </c>
      <c r="Q75" s="9">
        <v>23.856000000000002</v>
      </c>
      <c r="R75" s="9"/>
      <c r="S75" s="11"/>
    </row>
    <row r="76" spans="1:19" ht="15.75">
      <c r="A76" s="13">
        <v>43800</v>
      </c>
      <c r="B76" s="8">
        <f>4.4708 * CHOOSE(CONTROL!$C$15, $D$11, 100%, $F$11)</f>
        <v>4.4707999999999997</v>
      </c>
      <c r="C76" s="8">
        <f>4.4758 * CHOOSE(CONTROL!$C$15, $D$11, 100%, $F$11)</f>
        <v>4.4757999999999996</v>
      </c>
      <c r="D76" s="8">
        <f>4.4612 * CHOOSE( CONTROL!$C$15, $D$11, 100%, $F$11)</f>
        <v>4.4611999999999998</v>
      </c>
      <c r="E76" s="12">
        <f>4.466 * CHOOSE( CONTROL!$C$15, $D$11, 100%, $F$11)</f>
        <v>4.4660000000000002</v>
      </c>
      <c r="F76" s="4">
        <f>5.136 * CHOOSE(CONTROL!$C$15, $D$11, 100%, $F$11)</f>
        <v>5.1360000000000001</v>
      </c>
      <c r="G76" s="8">
        <f>4.4284 * CHOOSE( CONTROL!$C$15, $D$11, 100%, $F$11)</f>
        <v>4.4283999999999999</v>
      </c>
      <c r="H76" s="4">
        <f>5.3225 * CHOOSE(CONTROL!$C$15, $D$11, 100%, $F$11)</f>
        <v>5.3224999999999998</v>
      </c>
      <c r="I76" s="8">
        <f>4.4822 * CHOOSE(CONTROL!$C$15, $D$11, 100%, $F$11)</f>
        <v>4.4821999999999997</v>
      </c>
      <c r="J76" s="4">
        <f>4.3301 * CHOOSE(CONTROL!$C$15, $D$11, 100%, $F$11)</f>
        <v>4.3300999999999998</v>
      </c>
      <c r="K76" s="4"/>
      <c r="L76" s="9">
        <v>29.306000000000001</v>
      </c>
      <c r="M76" s="9">
        <v>12.063700000000001</v>
      </c>
      <c r="N76" s="9">
        <v>4.9444999999999997</v>
      </c>
      <c r="O76" s="9">
        <v>0.37409999999999999</v>
      </c>
      <c r="P76" s="9">
        <v>1.2927</v>
      </c>
      <c r="Q76" s="9">
        <v>24.651199999999999</v>
      </c>
      <c r="R76" s="9"/>
      <c r="S76" s="11"/>
    </row>
    <row r="77" spans="1:19" ht="15.75">
      <c r="A77" s="13">
        <v>43831</v>
      </c>
      <c r="B77" s="8">
        <f>5.4531 * CHOOSE(CONTROL!$C$15, $D$11, 100%, $F$11)</f>
        <v>5.4531000000000001</v>
      </c>
      <c r="C77" s="8">
        <f>5.4582 * CHOOSE(CONTROL!$C$15, $D$11, 100%, $F$11)</f>
        <v>5.4581999999999997</v>
      </c>
      <c r="D77" s="8">
        <f>5.4293 * CHOOSE( CONTROL!$C$15, $D$11, 100%, $F$11)</f>
        <v>5.4292999999999996</v>
      </c>
      <c r="E77" s="12">
        <f>5.4393 * CHOOSE( CONTROL!$C$15, $D$11, 100%, $F$11)</f>
        <v>5.4393000000000002</v>
      </c>
      <c r="F77" s="4">
        <f>6.1184 * CHOOSE(CONTROL!$C$15, $D$11, 100%, $F$11)</f>
        <v>6.1184000000000003</v>
      </c>
      <c r="G77" s="8">
        <f>5.389 * CHOOSE( CONTROL!$C$15, $D$11, 100%, $F$11)</f>
        <v>5.3890000000000002</v>
      </c>
      <c r="H77" s="4">
        <f>6.2934 * CHOOSE(CONTROL!$C$15, $D$11, 100%, $F$11)</f>
        <v>6.2934000000000001</v>
      </c>
      <c r="I77" s="8">
        <f>5.4306 * CHOOSE(CONTROL!$C$15, $D$11, 100%, $F$11)</f>
        <v>5.4306000000000001</v>
      </c>
      <c r="J77" s="4">
        <f>5.2835 * CHOOSE(CONTROL!$C$15, $D$11, 100%, $F$11)</f>
        <v>5.2835000000000001</v>
      </c>
      <c r="K77" s="4"/>
      <c r="L77" s="9">
        <v>29.306000000000001</v>
      </c>
      <c r="M77" s="9">
        <v>12.063700000000001</v>
      </c>
      <c r="N77" s="9">
        <v>4.9444999999999997</v>
      </c>
      <c r="O77" s="9">
        <v>0.37409999999999999</v>
      </c>
      <c r="P77" s="9">
        <v>1.2927</v>
      </c>
      <c r="Q77" s="9">
        <v>22.150099999999998</v>
      </c>
      <c r="R77" s="9"/>
      <c r="S77" s="11"/>
    </row>
    <row r="78" spans="1:19" ht="15.75">
      <c r="A78" s="13">
        <v>43862</v>
      </c>
      <c r="B78" s="8">
        <f>5.1012 * CHOOSE(CONTROL!$C$15, $D$11, 100%, $F$11)</f>
        <v>5.1012000000000004</v>
      </c>
      <c r="C78" s="8">
        <f>5.1062 * CHOOSE(CONTROL!$C$15, $D$11, 100%, $F$11)</f>
        <v>5.1062000000000003</v>
      </c>
      <c r="D78" s="8">
        <f>5.0774 * CHOOSE( CONTROL!$C$15, $D$11, 100%, $F$11)</f>
        <v>5.0773999999999999</v>
      </c>
      <c r="E78" s="12">
        <f>5.0874 * CHOOSE( CONTROL!$C$15, $D$11, 100%, $F$11)</f>
        <v>5.0873999999999997</v>
      </c>
      <c r="F78" s="4">
        <f>5.7664 * CHOOSE(CONTROL!$C$15, $D$11, 100%, $F$11)</f>
        <v>5.7664</v>
      </c>
      <c r="G78" s="8">
        <f>5.0411 * CHOOSE( CONTROL!$C$15, $D$11, 100%, $F$11)</f>
        <v>5.0411000000000001</v>
      </c>
      <c r="H78" s="4">
        <f>5.9456 * CHOOSE(CONTROL!$C$15, $D$11, 100%, $F$11)</f>
        <v>5.9455999999999998</v>
      </c>
      <c r="I78" s="8">
        <f>5.0889 * CHOOSE(CONTROL!$C$15, $D$11, 100%, $F$11)</f>
        <v>5.0888999999999998</v>
      </c>
      <c r="J78" s="4">
        <f>4.9419 * CHOOSE(CONTROL!$C$15, $D$11, 100%, $F$11)</f>
        <v>4.9419000000000004</v>
      </c>
      <c r="K78" s="4"/>
      <c r="L78" s="9">
        <v>27.415299999999998</v>
      </c>
      <c r="M78" s="9">
        <v>11.285299999999999</v>
      </c>
      <c r="N78" s="9">
        <v>4.6254999999999997</v>
      </c>
      <c r="O78" s="9">
        <v>0.34989999999999999</v>
      </c>
      <c r="P78" s="9">
        <v>1.2093</v>
      </c>
      <c r="Q78" s="9">
        <v>20.7211</v>
      </c>
      <c r="R78" s="9"/>
      <c r="S78" s="11"/>
    </row>
    <row r="79" spans="1:19" ht="15.75">
      <c r="A79" s="13">
        <v>43891</v>
      </c>
      <c r="B79" s="8">
        <f>4.9928 * CHOOSE(CONTROL!$C$15, $D$11, 100%, $F$11)</f>
        <v>4.9927999999999999</v>
      </c>
      <c r="C79" s="8">
        <f>4.9978 * CHOOSE(CONTROL!$C$15, $D$11, 100%, $F$11)</f>
        <v>4.9977999999999998</v>
      </c>
      <c r="D79" s="8">
        <f>4.9686 * CHOOSE( CONTROL!$C$15, $D$11, 100%, $F$11)</f>
        <v>4.9686000000000003</v>
      </c>
      <c r="E79" s="12">
        <f>4.9787 * CHOOSE( CONTROL!$C$15, $D$11, 100%, $F$11)</f>
        <v>4.9786999999999999</v>
      </c>
      <c r="F79" s="4">
        <f>5.658 * CHOOSE(CONTROL!$C$15, $D$11, 100%, $F$11)</f>
        <v>5.6580000000000004</v>
      </c>
      <c r="G79" s="8">
        <f>4.9337 * CHOOSE( CONTROL!$C$15, $D$11, 100%, $F$11)</f>
        <v>4.9337</v>
      </c>
      <c r="H79" s="4">
        <f>5.8384 * CHOOSE(CONTROL!$C$15, $D$11, 100%, $F$11)</f>
        <v>5.8384</v>
      </c>
      <c r="I79" s="8">
        <f>4.9824 * CHOOSE(CONTROL!$C$15, $D$11, 100%, $F$11)</f>
        <v>4.9824000000000002</v>
      </c>
      <c r="J79" s="4">
        <f>4.8367 * CHOOSE(CONTROL!$C$15, $D$11, 100%, $F$11)</f>
        <v>4.8367000000000004</v>
      </c>
      <c r="K79" s="4"/>
      <c r="L79" s="9">
        <v>29.306000000000001</v>
      </c>
      <c r="M79" s="9">
        <v>12.063700000000001</v>
      </c>
      <c r="N79" s="9">
        <v>4.9444999999999997</v>
      </c>
      <c r="O79" s="9">
        <v>0.37409999999999999</v>
      </c>
      <c r="P79" s="9">
        <v>1.2927</v>
      </c>
      <c r="Q79" s="9">
        <v>22.150099999999998</v>
      </c>
      <c r="R79" s="9"/>
      <c r="S79" s="11"/>
    </row>
    <row r="80" spans="1:19" ht="15.75">
      <c r="A80" s="13">
        <v>43922</v>
      </c>
      <c r="B80" s="8">
        <f>5.0693 * CHOOSE(CONTROL!$C$15, $D$11, 100%, $F$11)</f>
        <v>5.0693000000000001</v>
      </c>
      <c r="C80" s="8">
        <f>5.0738 * CHOOSE(CONTROL!$C$15, $D$11, 100%, $F$11)</f>
        <v>5.0738000000000003</v>
      </c>
      <c r="D80" s="8">
        <f>5.1172 * CHOOSE( CONTROL!$C$15, $D$11, 100%, $F$11)</f>
        <v>5.1172000000000004</v>
      </c>
      <c r="E80" s="12">
        <f>5.1024 * CHOOSE( CONTROL!$C$15, $D$11, 100%, $F$11)</f>
        <v>5.1024000000000003</v>
      </c>
      <c r="F80" s="4">
        <f>5.8137 * CHOOSE(CONTROL!$C$15, $D$11, 100%, $F$11)</f>
        <v>5.8136999999999999</v>
      </c>
      <c r="G80" s="8">
        <f>5.0164 * CHOOSE( CONTROL!$C$15, $D$11, 100%, $F$11)</f>
        <v>5.0164</v>
      </c>
      <c r="H80" s="4">
        <f>5.9922 * CHOOSE(CONTROL!$C$15, $D$11, 100%, $F$11)</f>
        <v>5.9922000000000004</v>
      </c>
      <c r="I80" s="8">
        <f>5.0541 * CHOOSE(CONTROL!$C$15, $D$11, 100%, $F$11)</f>
        <v>5.0541</v>
      </c>
      <c r="J80" s="4">
        <f>4.9102 * CHOOSE(CONTROL!$C$15, $D$11, 100%, $F$11)</f>
        <v>4.9101999999999997</v>
      </c>
      <c r="K80" s="4"/>
      <c r="L80" s="9">
        <v>30.092199999999998</v>
      </c>
      <c r="M80" s="9">
        <v>11.6745</v>
      </c>
      <c r="N80" s="9">
        <v>4.7850000000000001</v>
      </c>
      <c r="O80" s="9">
        <v>0.36199999999999999</v>
      </c>
      <c r="P80" s="9">
        <v>1.1791</v>
      </c>
      <c r="Q80" s="9">
        <v>21.435600000000001</v>
      </c>
      <c r="R80" s="9"/>
      <c r="S80" s="11"/>
    </row>
    <row r="81" spans="1:19" ht="15.75">
      <c r="A81" s="13">
        <v>43952</v>
      </c>
      <c r="B81" s="8">
        <f>CHOOSE( CONTROL!$C$32, 5.2091, 5.2055) * CHOOSE(CONTROL!$C$15, $D$11, 100%, $F$11)</f>
        <v>5.2091000000000003</v>
      </c>
      <c r="C81" s="8">
        <f>CHOOSE( CONTROL!$C$32, 5.2171, 5.2134) * CHOOSE(CONTROL!$C$15, $D$11, 100%, $F$11)</f>
        <v>5.2171000000000003</v>
      </c>
      <c r="D81" s="8">
        <f>CHOOSE( CONTROL!$C$32, 5.2548, 5.2512) * CHOOSE( CONTROL!$C$15, $D$11, 100%, $F$11)</f>
        <v>5.2548000000000004</v>
      </c>
      <c r="E81" s="12">
        <f>CHOOSE( CONTROL!$C$32, 5.2399, 5.2363) * CHOOSE( CONTROL!$C$15, $D$11, 100%, $F$11)</f>
        <v>5.2398999999999996</v>
      </c>
      <c r="F81" s="4">
        <f>CHOOSE( CONTROL!$C$32, 5.9521, 5.9485) * CHOOSE(CONTROL!$C$15, $D$11, 100%, $F$11)</f>
        <v>5.9520999999999997</v>
      </c>
      <c r="G81" s="8">
        <f>CHOOSE( CONTROL!$C$32, 5.154, 5.1504) * CHOOSE( CONTROL!$C$15, $D$11, 100%, $F$11)</f>
        <v>5.1539999999999999</v>
      </c>
      <c r="H81" s="4">
        <f>CHOOSE( CONTROL!$C$32, 6.129, 6.1254) * CHOOSE(CONTROL!$C$15, $D$11, 100%, $F$11)</f>
        <v>6.1289999999999996</v>
      </c>
      <c r="I81" s="8">
        <f>CHOOSE( CONTROL!$C$32, 5.1887, 5.1852) * CHOOSE(CONTROL!$C$15, $D$11, 100%, $F$11)</f>
        <v>5.1886999999999999</v>
      </c>
      <c r="J81" s="4">
        <f>CHOOSE( CONTROL!$C$32, 5.0446, 5.0411) * CHOOSE(CONTROL!$C$15, $D$11, 100%, $F$11)</f>
        <v>5.0446</v>
      </c>
      <c r="K81" s="4"/>
      <c r="L81" s="9">
        <v>30.7165</v>
      </c>
      <c r="M81" s="9">
        <v>12.063700000000001</v>
      </c>
      <c r="N81" s="9">
        <v>4.9444999999999997</v>
      </c>
      <c r="O81" s="9">
        <v>0.37409999999999999</v>
      </c>
      <c r="P81" s="9">
        <v>1.2183999999999999</v>
      </c>
      <c r="Q81" s="9">
        <v>33.225200000000001</v>
      </c>
      <c r="R81" s="9"/>
      <c r="S81" s="11"/>
    </row>
    <row r="82" spans="1:19" ht="15.75">
      <c r="A82" s="13">
        <v>43983</v>
      </c>
      <c r="B82" s="8">
        <f>CHOOSE( CONTROL!$C$32, 5.1256, 5.1219) * CHOOSE(CONTROL!$C$15, $D$11, 100%, $F$11)</f>
        <v>5.1256000000000004</v>
      </c>
      <c r="C82" s="8">
        <f>CHOOSE( CONTROL!$C$32, 5.1336, 5.1299) * CHOOSE(CONTROL!$C$15, $D$11, 100%, $F$11)</f>
        <v>5.1336000000000004</v>
      </c>
      <c r="D82" s="8">
        <f>CHOOSE( CONTROL!$C$32, 5.1715, 5.1679) * CHOOSE( CONTROL!$C$15, $D$11, 100%, $F$11)</f>
        <v>5.1715</v>
      </c>
      <c r="E82" s="12">
        <f>CHOOSE( CONTROL!$C$32, 5.1565, 5.1529) * CHOOSE( CONTROL!$C$15, $D$11, 100%, $F$11)</f>
        <v>5.1565000000000003</v>
      </c>
      <c r="F82" s="4">
        <f>CHOOSE( CONTROL!$C$32, 5.8686, 5.865) * CHOOSE(CONTROL!$C$15, $D$11, 100%, $F$11)</f>
        <v>5.8685999999999998</v>
      </c>
      <c r="G82" s="8">
        <f>CHOOSE( CONTROL!$C$32, 5.0718, 5.0682) * CHOOSE( CONTROL!$C$15, $D$11, 100%, $F$11)</f>
        <v>5.0717999999999996</v>
      </c>
      <c r="H82" s="4">
        <f>CHOOSE( CONTROL!$C$32, 6.0465, 6.0429) * CHOOSE(CONTROL!$C$15, $D$11, 100%, $F$11)</f>
        <v>6.0465</v>
      </c>
      <c r="I82" s="8">
        <f>CHOOSE( CONTROL!$C$32, 5.1086, 5.1051) * CHOOSE(CONTROL!$C$15, $D$11, 100%, $F$11)</f>
        <v>5.1086</v>
      </c>
      <c r="J82" s="4">
        <f>CHOOSE( CONTROL!$C$32, 4.9636, 4.96) * CHOOSE(CONTROL!$C$15, $D$11, 100%, $F$11)</f>
        <v>4.9635999999999996</v>
      </c>
      <c r="K82" s="4"/>
      <c r="L82" s="9">
        <v>29.7257</v>
      </c>
      <c r="M82" s="9">
        <v>11.6745</v>
      </c>
      <c r="N82" s="9">
        <v>4.7850000000000001</v>
      </c>
      <c r="O82" s="9">
        <v>0.36199999999999999</v>
      </c>
      <c r="P82" s="9">
        <v>1.1791</v>
      </c>
      <c r="Q82" s="9">
        <v>32.153399999999998</v>
      </c>
      <c r="R82" s="9"/>
      <c r="S82" s="11"/>
    </row>
    <row r="83" spans="1:19" ht="15.75">
      <c r="A83" s="13">
        <v>44013</v>
      </c>
      <c r="B83" s="8">
        <f>CHOOSE( CONTROL!$C$32, 5.3455, 5.3419) * CHOOSE(CONTROL!$C$15, $D$11, 100%, $F$11)</f>
        <v>5.3455000000000004</v>
      </c>
      <c r="C83" s="8">
        <f>CHOOSE( CONTROL!$C$32, 5.3535, 5.3498) * CHOOSE(CONTROL!$C$15, $D$11, 100%, $F$11)</f>
        <v>5.3535000000000004</v>
      </c>
      <c r="D83" s="8">
        <f>CHOOSE( CONTROL!$C$32, 5.3917, 5.388) * CHOOSE( CONTROL!$C$15, $D$11, 100%, $F$11)</f>
        <v>5.3917000000000002</v>
      </c>
      <c r="E83" s="12">
        <f>CHOOSE( CONTROL!$C$32, 5.3766, 5.373) * CHOOSE( CONTROL!$C$15, $D$11, 100%, $F$11)</f>
        <v>5.3765999999999998</v>
      </c>
      <c r="F83" s="4">
        <f>CHOOSE( CONTROL!$C$32, 6.0885, 6.0849) * CHOOSE(CONTROL!$C$15, $D$11, 100%, $F$11)</f>
        <v>6.0884999999999998</v>
      </c>
      <c r="G83" s="8">
        <f>CHOOSE( CONTROL!$C$32, 5.2895, 5.2859) * CHOOSE( CONTROL!$C$15, $D$11, 100%, $F$11)</f>
        <v>5.2895000000000003</v>
      </c>
      <c r="H83" s="4">
        <f>CHOOSE( CONTROL!$C$32, 6.2639, 6.2603) * CHOOSE(CONTROL!$C$15, $D$11, 100%, $F$11)</f>
        <v>6.2638999999999996</v>
      </c>
      <c r="I83" s="8">
        <f>CHOOSE( CONTROL!$C$32, 5.3233, 5.3198) * CHOOSE(CONTROL!$C$15, $D$11, 100%, $F$11)</f>
        <v>5.3232999999999997</v>
      </c>
      <c r="J83" s="4">
        <f>CHOOSE( CONTROL!$C$32, 5.177, 5.1735) * CHOOSE(CONTROL!$C$15, $D$11, 100%, $F$11)</f>
        <v>5.1769999999999996</v>
      </c>
      <c r="K83" s="4"/>
      <c r="L83" s="9">
        <v>30.7165</v>
      </c>
      <c r="M83" s="9">
        <v>12.063700000000001</v>
      </c>
      <c r="N83" s="9">
        <v>4.9444999999999997</v>
      </c>
      <c r="O83" s="9">
        <v>0.37409999999999999</v>
      </c>
      <c r="P83" s="9">
        <v>1.2183999999999999</v>
      </c>
      <c r="Q83" s="9">
        <v>33.225200000000001</v>
      </c>
      <c r="R83" s="9"/>
      <c r="S83" s="11"/>
    </row>
    <row r="84" spans="1:19" ht="15.75">
      <c r="A84" s="13">
        <v>44044</v>
      </c>
      <c r="B84" s="8">
        <f>CHOOSE( CONTROL!$C$32, 4.934, 4.9304) * CHOOSE(CONTROL!$C$15, $D$11, 100%, $F$11)</f>
        <v>4.9340000000000002</v>
      </c>
      <c r="C84" s="8">
        <f>CHOOSE( CONTROL!$C$32, 4.942, 4.9383) * CHOOSE(CONTROL!$C$15, $D$11, 100%, $F$11)</f>
        <v>4.9420000000000002</v>
      </c>
      <c r="D84" s="8">
        <f>CHOOSE( CONTROL!$C$32, 4.9803, 4.9766) * CHOOSE( CONTROL!$C$15, $D$11, 100%, $F$11)</f>
        <v>4.9802999999999997</v>
      </c>
      <c r="E84" s="12">
        <f>CHOOSE( CONTROL!$C$32, 4.9652, 4.9615) * CHOOSE( CONTROL!$C$15, $D$11, 100%, $F$11)</f>
        <v>4.9652000000000003</v>
      </c>
      <c r="F84" s="4">
        <f>CHOOSE( CONTROL!$C$32, 5.677, 5.6734) * CHOOSE(CONTROL!$C$15, $D$11, 100%, $F$11)</f>
        <v>5.6769999999999996</v>
      </c>
      <c r="G84" s="8">
        <f>CHOOSE( CONTROL!$C$32, 4.8829, 4.8793) * CHOOSE( CONTROL!$C$15, $D$11, 100%, $F$11)</f>
        <v>4.8829000000000002</v>
      </c>
      <c r="H84" s="4">
        <f>CHOOSE( CONTROL!$C$32, 5.8572, 5.8536) * CHOOSE(CONTROL!$C$15, $D$11, 100%, $F$11)</f>
        <v>5.8571999999999997</v>
      </c>
      <c r="I84" s="8">
        <f>CHOOSE( CONTROL!$C$32, 4.924, 4.9205) * CHOOSE(CONTROL!$C$15, $D$11, 100%, $F$11)</f>
        <v>4.9240000000000004</v>
      </c>
      <c r="J84" s="4">
        <f>CHOOSE( CONTROL!$C$32, 4.7776, 4.7741) * CHOOSE(CONTROL!$C$15, $D$11, 100%, $F$11)</f>
        <v>4.7775999999999996</v>
      </c>
      <c r="K84" s="4"/>
      <c r="L84" s="9">
        <v>30.7165</v>
      </c>
      <c r="M84" s="9">
        <v>12.063700000000001</v>
      </c>
      <c r="N84" s="9">
        <v>4.9444999999999997</v>
      </c>
      <c r="O84" s="9">
        <v>0.37409999999999999</v>
      </c>
      <c r="P84" s="9">
        <v>1.2183999999999999</v>
      </c>
      <c r="Q84" s="9">
        <v>33.225200000000001</v>
      </c>
      <c r="R84" s="9"/>
      <c r="S84" s="11"/>
    </row>
    <row r="85" spans="1:19" ht="15.75">
      <c r="A85" s="13">
        <v>44075</v>
      </c>
      <c r="B85" s="8">
        <f>CHOOSE( CONTROL!$C$32, 4.831, 4.8273) * CHOOSE(CONTROL!$C$15, $D$11, 100%, $F$11)</f>
        <v>4.8310000000000004</v>
      </c>
      <c r="C85" s="8">
        <f>CHOOSE( CONTROL!$C$32, 4.8389, 4.8353) * CHOOSE(CONTROL!$C$15, $D$11, 100%, $F$11)</f>
        <v>4.8388999999999998</v>
      </c>
      <c r="D85" s="8">
        <f>CHOOSE( CONTROL!$C$32, 4.8771, 4.8735) * CHOOSE( CONTROL!$C$15, $D$11, 100%, $F$11)</f>
        <v>4.8771000000000004</v>
      </c>
      <c r="E85" s="12">
        <f>CHOOSE( CONTROL!$C$32, 4.8621, 4.8584) * CHOOSE( CONTROL!$C$15, $D$11, 100%, $F$11)</f>
        <v>4.8620999999999999</v>
      </c>
      <c r="F85" s="4">
        <f>CHOOSE( CONTROL!$C$32, 5.574, 5.5703) * CHOOSE(CONTROL!$C$15, $D$11, 100%, $F$11)</f>
        <v>5.5739999999999998</v>
      </c>
      <c r="G85" s="8">
        <f>CHOOSE( CONTROL!$C$32, 4.781, 4.7774) * CHOOSE( CONTROL!$C$15, $D$11, 100%, $F$11)</f>
        <v>4.7809999999999997</v>
      </c>
      <c r="H85" s="4">
        <f>CHOOSE( CONTROL!$C$32, 5.7553, 5.7517) * CHOOSE(CONTROL!$C$15, $D$11, 100%, $F$11)</f>
        <v>5.7553000000000001</v>
      </c>
      <c r="I85" s="8">
        <f>CHOOSE( CONTROL!$C$32, 4.8236, 4.8201) * CHOOSE(CONTROL!$C$15, $D$11, 100%, $F$11)</f>
        <v>4.8235999999999999</v>
      </c>
      <c r="J85" s="4">
        <f>CHOOSE( CONTROL!$C$32, 4.6776, 4.6741) * CHOOSE(CONTROL!$C$15, $D$11, 100%, $F$11)</f>
        <v>4.6776</v>
      </c>
      <c r="K85" s="4"/>
      <c r="L85" s="9">
        <v>29.7257</v>
      </c>
      <c r="M85" s="9">
        <v>11.6745</v>
      </c>
      <c r="N85" s="9">
        <v>4.7850000000000001</v>
      </c>
      <c r="O85" s="9">
        <v>0.36199999999999999</v>
      </c>
      <c r="P85" s="9">
        <v>1.1791</v>
      </c>
      <c r="Q85" s="9">
        <v>32.153399999999998</v>
      </c>
      <c r="R85" s="9"/>
      <c r="S85" s="11"/>
    </row>
    <row r="86" spans="1:19" ht="15.75">
      <c r="A86" s="13">
        <v>44105</v>
      </c>
      <c r="B86" s="8">
        <f>5.0396 * CHOOSE(CONTROL!$C$15, $D$11, 100%, $F$11)</f>
        <v>5.0396000000000001</v>
      </c>
      <c r="C86" s="8">
        <f>5.0449 * CHOOSE(CONTROL!$C$15, $D$11, 100%, $F$11)</f>
        <v>5.0449000000000002</v>
      </c>
      <c r="D86" s="8">
        <f>5.0884 * CHOOSE( CONTROL!$C$15, $D$11, 100%, $F$11)</f>
        <v>5.0884</v>
      </c>
      <c r="E86" s="12">
        <f>5.0735 * CHOOSE( CONTROL!$C$15, $D$11, 100%, $F$11)</f>
        <v>5.0735000000000001</v>
      </c>
      <c r="F86" s="4">
        <f>5.7843 * CHOOSE(CONTROL!$C$15, $D$11, 100%, $F$11)</f>
        <v>5.7843</v>
      </c>
      <c r="G86" s="8">
        <f>4.9883 * CHOOSE( CONTROL!$C$15, $D$11, 100%, $F$11)</f>
        <v>4.9882999999999997</v>
      </c>
      <c r="H86" s="4">
        <f>5.9632 * CHOOSE(CONTROL!$C$15, $D$11, 100%, $F$11)</f>
        <v>5.9631999999999996</v>
      </c>
      <c r="I86" s="8">
        <f>5.0286 * CHOOSE(CONTROL!$C$15, $D$11, 100%, $F$11)</f>
        <v>5.0286</v>
      </c>
      <c r="J86" s="4">
        <f>4.8817 * CHOOSE(CONTROL!$C$15, $D$11, 100%, $F$11)</f>
        <v>4.8817000000000004</v>
      </c>
      <c r="K86" s="4"/>
      <c r="L86" s="9">
        <v>31.095300000000002</v>
      </c>
      <c r="M86" s="9">
        <v>12.063700000000001</v>
      </c>
      <c r="N86" s="9">
        <v>4.9444999999999997</v>
      </c>
      <c r="O86" s="9">
        <v>0.37409999999999999</v>
      </c>
      <c r="P86" s="9">
        <v>1.2183999999999999</v>
      </c>
      <c r="Q86" s="9">
        <v>33.225200000000001</v>
      </c>
      <c r="R86" s="9"/>
      <c r="S86" s="11"/>
    </row>
    <row r="87" spans="1:19" ht="15.75">
      <c r="A87" s="13">
        <v>44136</v>
      </c>
      <c r="B87" s="8">
        <f>5.4341 * CHOOSE(CONTROL!$C$15, $D$11, 100%, $F$11)</f>
        <v>5.4340999999999999</v>
      </c>
      <c r="C87" s="8">
        <f>5.4391 * CHOOSE(CONTROL!$C$15, $D$11, 100%, $F$11)</f>
        <v>5.4390999999999998</v>
      </c>
      <c r="D87" s="8">
        <f>5.4228 * CHOOSE( CONTROL!$C$15, $D$11, 100%, $F$11)</f>
        <v>5.4227999999999996</v>
      </c>
      <c r="E87" s="12">
        <f>5.4282 * CHOOSE( CONTROL!$C$15, $D$11, 100%, $F$11)</f>
        <v>5.4282000000000004</v>
      </c>
      <c r="F87" s="4">
        <f>6.0993 * CHOOSE(CONTROL!$C$15, $D$11, 100%, $F$11)</f>
        <v>6.0993000000000004</v>
      </c>
      <c r="G87" s="8">
        <f>5.3792 * CHOOSE( CONTROL!$C$15, $D$11, 100%, $F$11)</f>
        <v>5.3792</v>
      </c>
      <c r="H87" s="4">
        <f>6.2746 * CHOOSE(CONTROL!$C$15, $D$11, 100%, $F$11)</f>
        <v>6.2746000000000004</v>
      </c>
      <c r="I87" s="8">
        <f>5.4121 * CHOOSE(CONTROL!$C$15, $D$11, 100%, $F$11)</f>
        <v>5.4120999999999997</v>
      </c>
      <c r="J87" s="4">
        <f>5.265 * CHOOSE(CONTROL!$C$15, $D$11, 100%, $F$11)</f>
        <v>5.2649999999999997</v>
      </c>
      <c r="K87" s="4"/>
      <c r="L87" s="9">
        <v>28.360600000000002</v>
      </c>
      <c r="M87" s="9">
        <v>11.6745</v>
      </c>
      <c r="N87" s="9">
        <v>4.7850000000000001</v>
      </c>
      <c r="O87" s="9">
        <v>0.36199999999999999</v>
      </c>
      <c r="P87" s="9">
        <v>1.2509999999999999</v>
      </c>
      <c r="Q87" s="9">
        <v>32.153399999999998</v>
      </c>
      <c r="R87" s="9"/>
      <c r="S87" s="11"/>
    </row>
    <row r="88" spans="1:19" ht="15.75">
      <c r="A88" s="13">
        <v>44166</v>
      </c>
      <c r="B88" s="8">
        <f>5.4242 * CHOOSE(CONTROL!$C$15, $D$11, 100%, $F$11)</f>
        <v>5.4241999999999999</v>
      </c>
      <c r="C88" s="8">
        <f>5.4293 * CHOOSE(CONTROL!$C$15, $D$11, 100%, $F$11)</f>
        <v>5.4292999999999996</v>
      </c>
      <c r="D88" s="8">
        <f>5.4146 * CHOOSE( CONTROL!$C$15, $D$11, 100%, $F$11)</f>
        <v>5.4146000000000001</v>
      </c>
      <c r="E88" s="12">
        <f>5.4194 * CHOOSE( CONTROL!$C$15, $D$11, 100%, $F$11)</f>
        <v>5.4194000000000004</v>
      </c>
      <c r="F88" s="4">
        <f>6.0895 * CHOOSE(CONTROL!$C$15, $D$11, 100%, $F$11)</f>
        <v>6.0895000000000001</v>
      </c>
      <c r="G88" s="8">
        <f>5.3707 * CHOOSE( CONTROL!$C$15, $D$11, 100%, $F$11)</f>
        <v>5.3707000000000003</v>
      </c>
      <c r="H88" s="4">
        <f>6.2648 * CHOOSE(CONTROL!$C$15, $D$11, 100%, $F$11)</f>
        <v>6.2648000000000001</v>
      </c>
      <c r="I88" s="8">
        <f>5.4079 * CHOOSE(CONTROL!$C$15, $D$11, 100%, $F$11)</f>
        <v>5.4078999999999997</v>
      </c>
      <c r="J88" s="4">
        <f>5.2554 * CHOOSE(CONTROL!$C$15, $D$11, 100%, $F$11)</f>
        <v>5.2553999999999998</v>
      </c>
      <c r="K88" s="4"/>
      <c r="L88" s="9">
        <v>29.306000000000001</v>
      </c>
      <c r="M88" s="9">
        <v>12.063700000000001</v>
      </c>
      <c r="N88" s="9">
        <v>4.9444999999999997</v>
      </c>
      <c r="O88" s="9">
        <v>0.37409999999999999</v>
      </c>
      <c r="P88" s="9">
        <v>1.2927</v>
      </c>
      <c r="Q88" s="9">
        <v>33.225200000000001</v>
      </c>
      <c r="R88" s="9"/>
      <c r="S88" s="11"/>
    </row>
    <row r="89" spans="1:19" ht="15.75">
      <c r="A89" s="13">
        <v>44197</v>
      </c>
      <c r="B89" s="8">
        <f>5.8809 * CHOOSE(CONTROL!$C$15, $D$11, 100%, $F$11)</f>
        <v>5.8808999999999996</v>
      </c>
      <c r="C89" s="8">
        <f>5.886 * CHOOSE(CONTROL!$C$15, $D$11, 100%, $F$11)</f>
        <v>5.8860000000000001</v>
      </c>
      <c r="D89" s="8">
        <f>5.8571 * CHOOSE( CONTROL!$C$15, $D$11, 100%, $F$11)</f>
        <v>5.8571</v>
      </c>
      <c r="E89" s="12">
        <f>5.8671 * CHOOSE( CONTROL!$C$15, $D$11, 100%, $F$11)</f>
        <v>5.8670999999999998</v>
      </c>
      <c r="F89" s="4">
        <f>6.5462 * CHOOSE(CONTROL!$C$15, $D$11, 100%, $F$11)</f>
        <v>6.5461999999999998</v>
      </c>
      <c r="G89" s="8">
        <f>5.8117 * CHOOSE( CONTROL!$C$15, $D$11, 100%, $F$11)</f>
        <v>5.8117000000000001</v>
      </c>
      <c r="H89" s="4">
        <f>6.7162 * CHOOSE(CONTROL!$C$15, $D$11, 100%, $F$11)</f>
        <v>6.7161999999999997</v>
      </c>
      <c r="I89" s="8">
        <f>5.846 * CHOOSE(CONTROL!$C$15, $D$11, 100%, $F$11)</f>
        <v>5.8460000000000001</v>
      </c>
      <c r="J89" s="4">
        <f>5.6987 * CHOOSE(CONTROL!$C$15, $D$11, 100%, $F$11)</f>
        <v>5.6986999999999997</v>
      </c>
      <c r="K89" s="4"/>
      <c r="L89" s="9">
        <v>29.306000000000001</v>
      </c>
      <c r="M89" s="9">
        <v>12.063700000000001</v>
      </c>
      <c r="N89" s="9">
        <v>4.9444999999999997</v>
      </c>
      <c r="O89" s="9">
        <v>0.37409999999999999</v>
      </c>
      <c r="P89" s="9">
        <v>1.2927</v>
      </c>
      <c r="Q89" s="9">
        <v>33.011299999999999</v>
      </c>
      <c r="R89" s="9"/>
      <c r="S89" s="11"/>
    </row>
    <row r="90" spans="1:19" ht="15.75">
      <c r="A90" s="13">
        <v>44228</v>
      </c>
      <c r="B90" s="8">
        <f>5.5013 * CHOOSE(CONTROL!$C$15, $D$11, 100%, $F$11)</f>
        <v>5.5012999999999996</v>
      </c>
      <c r="C90" s="8">
        <f>5.5064 * CHOOSE(CONTROL!$C$15, $D$11, 100%, $F$11)</f>
        <v>5.5064000000000002</v>
      </c>
      <c r="D90" s="8">
        <f>5.4775 * CHOOSE( CONTROL!$C$15, $D$11, 100%, $F$11)</f>
        <v>5.4775</v>
      </c>
      <c r="E90" s="12">
        <f>5.4875 * CHOOSE( CONTROL!$C$15, $D$11, 100%, $F$11)</f>
        <v>5.4874999999999998</v>
      </c>
      <c r="F90" s="4">
        <f>6.1666 * CHOOSE(CONTROL!$C$15, $D$11, 100%, $F$11)</f>
        <v>6.1665999999999999</v>
      </c>
      <c r="G90" s="8">
        <f>5.4366 * CHOOSE( CONTROL!$C$15, $D$11, 100%, $F$11)</f>
        <v>5.4366000000000003</v>
      </c>
      <c r="H90" s="4">
        <f>6.341 * CHOOSE(CONTROL!$C$15, $D$11, 100%, $F$11)</f>
        <v>6.3410000000000002</v>
      </c>
      <c r="I90" s="8">
        <f>5.4774 * CHOOSE(CONTROL!$C$15, $D$11, 100%, $F$11)</f>
        <v>5.4774000000000003</v>
      </c>
      <c r="J90" s="4">
        <f>5.3303 * CHOOSE(CONTROL!$C$15, $D$11, 100%, $F$11)</f>
        <v>5.3303000000000003</v>
      </c>
      <c r="K90" s="4"/>
      <c r="L90" s="9">
        <v>26.469899999999999</v>
      </c>
      <c r="M90" s="9">
        <v>10.8962</v>
      </c>
      <c r="N90" s="9">
        <v>4.4660000000000002</v>
      </c>
      <c r="O90" s="9">
        <v>0.33789999999999998</v>
      </c>
      <c r="P90" s="9">
        <v>1.1676</v>
      </c>
      <c r="Q90" s="9">
        <v>29.816600000000001</v>
      </c>
      <c r="R90" s="9"/>
      <c r="S90" s="11"/>
    </row>
    <row r="91" spans="1:19" ht="15.75">
      <c r="A91" s="13">
        <v>44256</v>
      </c>
      <c r="B91" s="8">
        <f>5.3844 * CHOOSE(CONTROL!$C$15, $D$11, 100%, $F$11)</f>
        <v>5.3844000000000003</v>
      </c>
      <c r="C91" s="8">
        <f>5.3895 * CHOOSE(CONTROL!$C$15, $D$11, 100%, $F$11)</f>
        <v>5.3895</v>
      </c>
      <c r="D91" s="8">
        <f>5.3602 * CHOOSE( CONTROL!$C$15, $D$11, 100%, $F$11)</f>
        <v>5.3601999999999999</v>
      </c>
      <c r="E91" s="12">
        <f>5.3704 * CHOOSE( CONTROL!$C$15, $D$11, 100%, $F$11)</f>
        <v>5.3704000000000001</v>
      </c>
      <c r="F91" s="4">
        <f>6.0497 * CHOOSE(CONTROL!$C$15, $D$11, 100%, $F$11)</f>
        <v>6.0496999999999996</v>
      </c>
      <c r="G91" s="8">
        <f>5.3207 * CHOOSE( CONTROL!$C$15, $D$11, 100%, $F$11)</f>
        <v>5.3207000000000004</v>
      </c>
      <c r="H91" s="4">
        <f>6.2255 * CHOOSE(CONTROL!$C$15, $D$11, 100%, $F$11)</f>
        <v>6.2255000000000003</v>
      </c>
      <c r="I91" s="8">
        <f>5.3626 * CHOOSE(CONTROL!$C$15, $D$11, 100%, $F$11)</f>
        <v>5.3625999999999996</v>
      </c>
      <c r="J91" s="4">
        <f>5.2168 * CHOOSE(CONTROL!$C$15, $D$11, 100%, $F$11)</f>
        <v>5.2168000000000001</v>
      </c>
      <c r="K91" s="4"/>
      <c r="L91" s="9">
        <v>29.306000000000001</v>
      </c>
      <c r="M91" s="9">
        <v>12.063700000000001</v>
      </c>
      <c r="N91" s="9">
        <v>4.9444999999999997</v>
      </c>
      <c r="O91" s="9">
        <v>0.37409999999999999</v>
      </c>
      <c r="P91" s="9">
        <v>1.2927</v>
      </c>
      <c r="Q91" s="9">
        <v>33.011299999999999</v>
      </c>
      <c r="R91" s="9"/>
      <c r="S91" s="11"/>
    </row>
    <row r="92" spans="1:19" ht="15.75">
      <c r="A92" s="13">
        <v>44287</v>
      </c>
      <c r="B92" s="8">
        <f>5.4669 * CHOOSE(CONTROL!$C$15, $D$11, 100%, $F$11)</f>
        <v>5.4668999999999999</v>
      </c>
      <c r="C92" s="8">
        <f>5.4714 * CHOOSE(CONTROL!$C$15, $D$11, 100%, $F$11)</f>
        <v>5.4714</v>
      </c>
      <c r="D92" s="8">
        <f>5.5147 * CHOOSE( CONTROL!$C$15, $D$11, 100%, $F$11)</f>
        <v>5.5147000000000004</v>
      </c>
      <c r="E92" s="12">
        <f>5.4999 * CHOOSE( CONTROL!$C$15, $D$11, 100%, $F$11)</f>
        <v>5.4999000000000002</v>
      </c>
      <c r="F92" s="4">
        <f>6.2112 * CHOOSE(CONTROL!$C$15, $D$11, 100%, $F$11)</f>
        <v>6.2111999999999998</v>
      </c>
      <c r="G92" s="8">
        <f>5.4093 * CHOOSE( CONTROL!$C$15, $D$11, 100%, $F$11)</f>
        <v>5.4093</v>
      </c>
      <c r="H92" s="4">
        <f>6.3851 * CHOOSE(CONTROL!$C$15, $D$11, 100%, $F$11)</f>
        <v>6.3851000000000004</v>
      </c>
      <c r="I92" s="8">
        <f>5.4401 * CHOOSE(CONTROL!$C$15, $D$11, 100%, $F$11)</f>
        <v>5.4401000000000002</v>
      </c>
      <c r="J92" s="4">
        <f>5.2961 * CHOOSE(CONTROL!$C$15, $D$11, 100%, $F$11)</f>
        <v>5.2961</v>
      </c>
      <c r="K92" s="4"/>
      <c r="L92" s="9">
        <v>30.092199999999998</v>
      </c>
      <c r="M92" s="9">
        <v>11.6745</v>
      </c>
      <c r="N92" s="9">
        <v>4.7850000000000001</v>
      </c>
      <c r="O92" s="9">
        <v>0.36199999999999999</v>
      </c>
      <c r="P92" s="9">
        <v>1.1791</v>
      </c>
      <c r="Q92" s="9">
        <v>31.946400000000001</v>
      </c>
      <c r="R92" s="9"/>
      <c r="S92" s="11"/>
    </row>
    <row r="93" spans="1:19" ht="15.75">
      <c r="A93" s="13">
        <v>44317</v>
      </c>
      <c r="B93" s="8">
        <f>CHOOSE( CONTROL!$C$32, 5.6173, 5.6136) * CHOOSE(CONTROL!$C$15, $D$11, 100%, $F$11)</f>
        <v>5.6173000000000002</v>
      </c>
      <c r="C93" s="8">
        <f>CHOOSE( CONTROL!$C$32, 5.6252, 5.6216) * CHOOSE(CONTROL!$C$15, $D$11, 100%, $F$11)</f>
        <v>5.6252000000000004</v>
      </c>
      <c r="D93" s="8">
        <f>CHOOSE( CONTROL!$C$32, 5.663, 5.6593) * CHOOSE( CONTROL!$C$15, $D$11, 100%, $F$11)</f>
        <v>5.6630000000000003</v>
      </c>
      <c r="E93" s="12">
        <f>CHOOSE( CONTROL!$C$32, 5.6481, 5.6444) * CHOOSE( CONTROL!$C$15, $D$11, 100%, $F$11)</f>
        <v>5.6481000000000003</v>
      </c>
      <c r="F93" s="4">
        <f>CHOOSE( CONTROL!$C$32, 6.3603, 6.3566) * CHOOSE(CONTROL!$C$15, $D$11, 100%, $F$11)</f>
        <v>6.3602999999999996</v>
      </c>
      <c r="G93" s="8">
        <f>CHOOSE( CONTROL!$C$32, 5.5574, 5.5538) * CHOOSE( CONTROL!$C$15, $D$11, 100%, $F$11)</f>
        <v>5.5574000000000003</v>
      </c>
      <c r="H93" s="4">
        <f>CHOOSE( CONTROL!$C$32, 6.5324, 6.5288) * CHOOSE(CONTROL!$C$15, $D$11, 100%, $F$11)</f>
        <v>6.5324</v>
      </c>
      <c r="I93" s="8">
        <f>CHOOSE( CONTROL!$C$32, 5.585, 5.5815) * CHOOSE(CONTROL!$C$15, $D$11, 100%, $F$11)</f>
        <v>5.585</v>
      </c>
      <c r="J93" s="4">
        <f>CHOOSE( CONTROL!$C$32, 5.4407, 5.4372) * CHOOSE(CONTROL!$C$15, $D$11, 100%, $F$11)</f>
        <v>5.4406999999999996</v>
      </c>
      <c r="K93" s="4"/>
      <c r="L93" s="9">
        <v>30.7165</v>
      </c>
      <c r="M93" s="9">
        <v>12.063700000000001</v>
      </c>
      <c r="N93" s="9">
        <v>4.9444999999999997</v>
      </c>
      <c r="O93" s="9">
        <v>0.37409999999999999</v>
      </c>
      <c r="P93" s="9">
        <v>1.2183999999999999</v>
      </c>
      <c r="Q93" s="9">
        <v>33.011299999999999</v>
      </c>
      <c r="R93" s="9"/>
      <c r="S93" s="11"/>
    </row>
    <row r="94" spans="1:19" ht="15.75">
      <c r="A94" s="13">
        <v>44348</v>
      </c>
      <c r="B94" s="8">
        <f>CHOOSE( CONTROL!$C$32, 5.5272, 5.5235) * CHOOSE(CONTROL!$C$15, $D$11, 100%, $F$11)</f>
        <v>5.5271999999999997</v>
      </c>
      <c r="C94" s="8">
        <f>CHOOSE( CONTROL!$C$32, 5.5352, 5.5315) * CHOOSE(CONTROL!$C$15, $D$11, 100%, $F$11)</f>
        <v>5.5351999999999997</v>
      </c>
      <c r="D94" s="8">
        <f>CHOOSE( CONTROL!$C$32, 5.5731, 5.5695) * CHOOSE( CONTROL!$C$15, $D$11, 100%, $F$11)</f>
        <v>5.5731000000000002</v>
      </c>
      <c r="E94" s="12">
        <f>CHOOSE( CONTROL!$C$32, 5.5581, 5.5545) * CHOOSE( CONTROL!$C$15, $D$11, 100%, $F$11)</f>
        <v>5.5580999999999996</v>
      </c>
      <c r="F94" s="4">
        <f>CHOOSE( CONTROL!$C$32, 6.2702, 6.2666) * CHOOSE(CONTROL!$C$15, $D$11, 100%, $F$11)</f>
        <v>6.2702</v>
      </c>
      <c r="G94" s="8">
        <f>CHOOSE( CONTROL!$C$32, 5.4687, 5.4651) * CHOOSE( CONTROL!$C$15, $D$11, 100%, $F$11)</f>
        <v>5.4687000000000001</v>
      </c>
      <c r="H94" s="4">
        <f>CHOOSE( CONTROL!$C$32, 6.4434, 6.4398) * CHOOSE(CONTROL!$C$15, $D$11, 100%, $F$11)</f>
        <v>6.4433999999999996</v>
      </c>
      <c r="I94" s="8">
        <f>CHOOSE( CONTROL!$C$32, 5.4986, 5.4951) * CHOOSE(CONTROL!$C$15, $D$11, 100%, $F$11)</f>
        <v>5.4985999999999997</v>
      </c>
      <c r="J94" s="4">
        <f>CHOOSE( CONTROL!$C$32, 5.3533, 5.3498) * CHOOSE(CONTROL!$C$15, $D$11, 100%, $F$11)</f>
        <v>5.3532999999999999</v>
      </c>
      <c r="K94" s="4"/>
      <c r="L94" s="9">
        <v>29.7257</v>
      </c>
      <c r="M94" s="9">
        <v>11.6745</v>
      </c>
      <c r="N94" s="9">
        <v>4.7850000000000001</v>
      </c>
      <c r="O94" s="9">
        <v>0.36199999999999999</v>
      </c>
      <c r="P94" s="9">
        <v>1.1791</v>
      </c>
      <c r="Q94" s="9">
        <v>31.946400000000001</v>
      </c>
      <c r="R94" s="9"/>
      <c r="S94" s="11"/>
    </row>
    <row r="95" spans="1:19" ht="15.75">
      <c r="A95" s="13">
        <v>44378</v>
      </c>
      <c r="B95" s="8">
        <f>CHOOSE( CONTROL!$C$32, 5.7644, 5.7607) * CHOOSE(CONTROL!$C$15, $D$11, 100%, $F$11)</f>
        <v>5.7644000000000002</v>
      </c>
      <c r="C95" s="8">
        <f>CHOOSE( CONTROL!$C$32, 5.7724, 5.7687) * CHOOSE(CONTROL!$C$15, $D$11, 100%, $F$11)</f>
        <v>5.7724000000000002</v>
      </c>
      <c r="D95" s="8">
        <f>CHOOSE( CONTROL!$C$32, 5.8106, 5.8069) * CHOOSE( CONTROL!$C$15, $D$11, 100%, $F$11)</f>
        <v>5.8106</v>
      </c>
      <c r="E95" s="12">
        <f>CHOOSE( CONTROL!$C$32, 5.7955, 5.7918) * CHOOSE( CONTROL!$C$15, $D$11, 100%, $F$11)</f>
        <v>5.7954999999999997</v>
      </c>
      <c r="F95" s="4">
        <f>CHOOSE( CONTROL!$C$32, 6.5074, 6.5038) * CHOOSE(CONTROL!$C$15, $D$11, 100%, $F$11)</f>
        <v>6.5073999999999996</v>
      </c>
      <c r="G95" s="8">
        <f>CHOOSE( CONTROL!$C$32, 5.7035, 5.6999) * CHOOSE( CONTROL!$C$15, $D$11, 100%, $F$11)</f>
        <v>5.7035</v>
      </c>
      <c r="H95" s="4">
        <f>CHOOSE( CONTROL!$C$32, 6.6778, 6.6742) * CHOOSE(CONTROL!$C$15, $D$11, 100%, $F$11)</f>
        <v>6.6778000000000004</v>
      </c>
      <c r="I95" s="8">
        <f>CHOOSE( CONTROL!$C$32, 5.73, 5.7265) * CHOOSE(CONTROL!$C$15, $D$11, 100%, $F$11)</f>
        <v>5.73</v>
      </c>
      <c r="J95" s="4">
        <f>CHOOSE( CONTROL!$C$32, 5.5835, 5.58) * CHOOSE(CONTROL!$C$15, $D$11, 100%, $F$11)</f>
        <v>5.5834999999999999</v>
      </c>
      <c r="K95" s="4"/>
      <c r="L95" s="9">
        <v>30.7165</v>
      </c>
      <c r="M95" s="9">
        <v>12.063700000000001</v>
      </c>
      <c r="N95" s="9">
        <v>4.9444999999999997</v>
      </c>
      <c r="O95" s="9">
        <v>0.37409999999999999</v>
      </c>
      <c r="P95" s="9">
        <v>1.2183999999999999</v>
      </c>
      <c r="Q95" s="9">
        <v>33.011299999999999</v>
      </c>
      <c r="R95" s="9"/>
      <c r="S95" s="11"/>
    </row>
    <row r="96" spans="1:19" ht="15.75">
      <c r="A96" s="13">
        <v>44409</v>
      </c>
      <c r="B96" s="8">
        <f>CHOOSE( CONTROL!$C$32, 5.3206, 5.3169) * CHOOSE(CONTROL!$C$15, $D$11, 100%, $F$11)</f>
        <v>5.3205999999999998</v>
      </c>
      <c r="C96" s="8">
        <f>CHOOSE( CONTROL!$C$32, 5.3285, 5.3249) * CHOOSE(CONTROL!$C$15, $D$11, 100%, $F$11)</f>
        <v>5.3285</v>
      </c>
      <c r="D96" s="8">
        <f>CHOOSE( CONTROL!$C$32, 5.3668, 5.3632) * CHOOSE( CONTROL!$C$15, $D$11, 100%, $F$11)</f>
        <v>5.3667999999999996</v>
      </c>
      <c r="E96" s="12">
        <f>CHOOSE( CONTROL!$C$32, 5.3517, 5.3481) * CHOOSE( CONTROL!$C$15, $D$11, 100%, $F$11)</f>
        <v>5.3517000000000001</v>
      </c>
      <c r="F96" s="4">
        <f>CHOOSE( CONTROL!$C$32, 6.0636, 6.0599) * CHOOSE(CONTROL!$C$15, $D$11, 100%, $F$11)</f>
        <v>6.0636000000000001</v>
      </c>
      <c r="G96" s="8">
        <f>CHOOSE( CONTROL!$C$32, 5.2649, 5.2613) * CHOOSE( CONTROL!$C$15, $D$11, 100%, $F$11)</f>
        <v>5.2648999999999999</v>
      </c>
      <c r="H96" s="4">
        <f>CHOOSE( CONTROL!$C$32, 6.2392, 6.2356) * CHOOSE(CONTROL!$C$15, $D$11, 100%, $F$11)</f>
        <v>6.2392000000000003</v>
      </c>
      <c r="I96" s="8">
        <f>CHOOSE( CONTROL!$C$32, 5.2994, 5.2958) * CHOOSE(CONTROL!$C$15, $D$11, 100%, $F$11)</f>
        <v>5.2994000000000003</v>
      </c>
      <c r="J96" s="4">
        <f>CHOOSE( CONTROL!$C$32, 5.1528, 5.1493) * CHOOSE(CONTROL!$C$15, $D$11, 100%, $F$11)</f>
        <v>5.1528</v>
      </c>
      <c r="K96" s="4"/>
      <c r="L96" s="9">
        <v>30.7165</v>
      </c>
      <c r="M96" s="9">
        <v>12.063700000000001</v>
      </c>
      <c r="N96" s="9">
        <v>4.9444999999999997</v>
      </c>
      <c r="O96" s="9">
        <v>0.37409999999999999</v>
      </c>
      <c r="P96" s="9">
        <v>1.2183999999999999</v>
      </c>
      <c r="Q96" s="9">
        <v>33.011299999999999</v>
      </c>
      <c r="R96" s="9"/>
      <c r="S96" s="11"/>
    </row>
    <row r="97" spans="1:19" ht="15.75">
      <c r="A97" s="13">
        <v>44440</v>
      </c>
      <c r="B97" s="8">
        <f>CHOOSE( CONTROL!$C$32, 5.2094, 5.2058) * CHOOSE(CONTROL!$C$15, $D$11, 100%, $F$11)</f>
        <v>5.2093999999999996</v>
      </c>
      <c r="C97" s="8">
        <f>CHOOSE( CONTROL!$C$32, 5.2174, 5.2138) * CHOOSE(CONTROL!$C$15, $D$11, 100%, $F$11)</f>
        <v>5.2173999999999996</v>
      </c>
      <c r="D97" s="8">
        <f>CHOOSE( CONTROL!$C$32, 5.2556, 5.2519) * CHOOSE( CONTROL!$C$15, $D$11, 100%, $F$11)</f>
        <v>5.2556000000000003</v>
      </c>
      <c r="E97" s="12">
        <f>CHOOSE( CONTROL!$C$32, 5.2405, 5.2369) * CHOOSE( CONTROL!$C$15, $D$11, 100%, $F$11)</f>
        <v>5.2404999999999999</v>
      </c>
      <c r="F97" s="4">
        <f>CHOOSE( CONTROL!$C$32, 5.9524, 5.9488) * CHOOSE(CONTROL!$C$15, $D$11, 100%, $F$11)</f>
        <v>5.9523999999999999</v>
      </c>
      <c r="G97" s="8">
        <f>CHOOSE( CONTROL!$C$32, 5.155, 5.1514) * CHOOSE( CONTROL!$C$15, $D$11, 100%, $F$11)</f>
        <v>5.1550000000000002</v>
      </c>
      <c r="H97" s="4">
        <f>CHOOSE( CONTROL!$C$32, 6.1294, 6.1258) * CHOOSE(CONTROL!$C$15, $D$11, 100%, $F$11)</f>
        <v>6.1294000000000004</v>
      </c>
      <c r="I97" s="8">
        <f>CHOOSE( CONTROL!$C$32, 5.1911, 5.1875) * CHOOSE(CONTROL!$C$15, $D$11, 100%, $F$11)</f>
        <v>5.1910999999999996</v>
      </c>
      <c r="J97" s="4">
        <f>CHOOSE( CONTROL!$C$32, 5.0449, 5.0414) * CHOOSE(CONTROL!$C$15, $D$11, 100%, $F$11)</f>
        <v>5.0449000000000002</v>
      </c>
      <c r="K97" s="4"/>
      <c r="L97" s="9">
        <v>29.7257</v>
      </c>
      <c r="M97" s="9">
        <v>11.6745</v>
      </c>
      <c r="N97" s="9">
        <v>4.7850000000000001</v>
      </c>
      <c r="O97" s="9">
        <v>0.36199999999999999</v>
      </c>
      <c r="P97" s="9">
        <v>1.1791</v>
      </c>
      <c r="Q97" s="9">
        <v>31.946400000000001</v>
      </c>
      <c r="R97" s="9"/>
      <c r="S97" s="11"/>
    </row>
    <row r="98" spans="1:19" ht="15.75">
      <c r="A98" s="13">
        <v>44470</v>
      </c>
      <c r="B98" s="8">
        <f>5.4348 * CHOOSE(CONTROL!$C$15, $D$11, 100%, $F$11)</f>
        <v>5.4348000000000001</v>
      </c>
      <c r="C98" s="8">
        <f>5.4402 * CHOOSE(CONTROL!$C$15, $D$11, 100%, $F$11)</f>
        <v>5.4401999999999999</v>
      </c>
      <c r="D98" s="8">
        <f>5.4837 * CHOOSE( CONTROL!$C$15, $D$11, 100%, $F$11)</f>
        <v>5.4836999999999998</v>
      </c>
      <c r="E98" s="12">
        <f>5.4688 * CHOOSE( CONTROL!$C$15, $D$11, 100%, $F$11)</f>
        <v>5.4687999999999999</v>
      </c>
      <c r="F98" s="4">
        <f>6.1796 * CHOOSE(CONTROL!$C$15, $D$11, 100%, $F$11)</f>
        <v>6.1795999999999998</v>
      </c>
      <c r="G98" s="8">
        <f>5.3789 * CHOOSE( CONTROL!$C$15, $D$11, 100%, $F$11)</f>
        <v>5.3788999999999998</v>
      </c>
      <c r="H98" s="4">
        <f>6.3538 * CHOOSE(CONTROL!$C$15, $D$11, 100%, $F$11)</f>
        <v>6.3537999999999997</v>
      </c>
      <c r="I98" s="8">
        <f>5.4124 * CHOOSE(CONTROL!$C$15, $D$11, 100%, $F$11)</f>
        <v>5.4123999999999999</v>
      </c>
      <c r="J98" s="4">
        <f>5.2653 * CHOOSE(CONTROL!$C$15, $D$11, 100%, $F$11)</f>
        <v>5.2652999999999999</v>
      </c>
      <c r="K98" s="4"/>
      <c r="L98" s="9">
        <v>31.095300000000002</v>
      </c>
      <c r="M98" s="9">
        <v>12.063700000000001</v>
      </c>
      <c r="N98" s="9">
        <v>4.9444999999999997</v>
      </c>
      <c r="O98" s="9">
        <v>0.37409999999999999</v>
      </c>
      <c r="P98" s="9">
        <v>1.2183999999999999</v>
      </c>
      <c r="Q98" s="9">
        <v>33.011299999999999</v>
      </c>
      <c r="R98" s="9"/>
      <c r="S98" s="11"/>
    </row>
    <row r="99" spans="1:19" ht="15.75">
      <c r="A99" s="13">
        <v>44501</v>
      </c>
      <c r="B99" s="8">
        <f>5.8604 * CHOOSE(CONTROL!$C$15, $D$11, 100%, $F$11)</f>
        <v>5.8604000000000003</v>
      </c>
      <c r="C99" s="8">
        <f>5.8654 * CHOOSE(CONTROL!$C$15, $D$11, 100%, $F$11)</f>
        <v>5.8654000000000002</v>
      </c>
      <c r="D99" s="8">
        <f>5.8491 * CHOOSE( CONTROL!$C$15, $D$11, 100%, $F$11)</f>
        <v>5.8491</v>
      </c>
      <c r="E99" s="12">
        <f>5.8545 * CHOOSE( CONTROL!$C$15, $D$11, 100%, $F$11)</f>
        <v>5.8544999999999998</v>
      </c>
      <c r="F99" s="4">
        <f>6.5256 * CHOOSE(CONTROL!$C$15, $D$11, 100%, $F$11)</f>
        <v>6.5255999999999998</v>
      </c>
      <c r="G99" s="8">
        <f>5.8005 * CHOOSE( CONTROL!$C$15, $D$11, 100%, $F$11)</f>
        <v>5.8005000000000004</v>
      </c>
      <c r="H99" s="4">
        <f>6.6959 * CHOOSE(CONTROL!$C$15, $D$11, 100%, $F$11)</f>
        <v>6.6959</v>
      </c>
      <c r="I99" s="8">
        <f>5.8261 * CHOOSE(CONTROL!$C$15, $D$11, 100%, $F$11)</f>
        <v>5.8261000000000003</v>
      </c>
      <c r="J99" s="4">
        <f>5.6787 * CHOOSE(CONTROL!$C$15, $D$11, 100%, $F$11)</f>
        <v>5.6787000000000001</v>
      </c>
      <c r="K99" s="4"/>
      <c r="L99" s="9">
        <v>28.360600000000002</v>
      </c>
      <c r="M99" s="9">
        <v>11.6745</v>
      </c>
      <c r="N99" s="9">
        <v>4.7850000000000001</v>
      </c>
      <c r="O99" s="9">
        <v>0.36199999999999999</v>
      </c>
      <c r="P99" s="9">
        <v>1.2509999999999999</v>
      </c>
      <c r="Q99" s="9">
        <v>31.946400000000001</v>
      </c>
      <c r="R99" s="9"/>
      <c r="S99" s="11"/>
    </row>
    <row r="100" spans="1:19" ht="15.75">
      <c r="A100" s="13">
        <v>44531</v>
      </c>
      <c r="B100" s="8">
        <f>5.8497 * CHOOSE(CONTROL!$C$15, $D$11, 100%, $F$11)</f>
        <v>5.8497000000000003</v>
      </c>
      <c r="C100" s="8">
        <f>5.8548 * CHOOSE(CONTROL!$C$15, $D$11, 100%, $F$11)</f>
        <v>5.8548</v>
      </c>
      <c r="D100" s="8">
        <f>5.8402 * CHOOSE( CONTROL!$C$15, $D$11, 100%, $F$11)</f>
        <v>5.8402000000000003</v>
      </c>
      <c r="E100" s="12">
        <f>5.845 * CHOOSE( CONTROL!$C$15, $D$11, 100%, $F$11)</f>
        <v>5.8449999999999998</v>
      </c>
      <c r="F100" s="4">
        <f>6.515 * CHOOSE(CONTROL!$C$15, $D$11, 100%, $F$11)</f>
        <v>6.5149999999999997</v>
      </c>
      <c r="G100" s="8">
        <f>5.7912 * CHOOSE( CONTROL!$C$15, $D$11, 100%, $F$11)</f>
        <v>5.7911999999999999</v>
      </c>
      <c r="H100" s="4">
        <f>6.6853 * CHOOSE(CONTROL!$C$15, $D$11, 100%, $F$11)</f>
        <v>6.6852999999999998</v>
      </c>
      <c r="I100" s="8">
        <f>5.8211 * CHOOSE(CONTROL!$C$15, $D$11, 100%, $F$11)</f>
        <v>5.8211000000000004</v>
      </c>
      <c r="J100" s="4">
        <f>5.6684 * CHOOSE(CONTROL!$C$15, $D$11, 100%, $F$11)</f>
        <v>5.6684000000000001</v>
      </c>
      <c r="K100" s="4"/>
      <c r="L100" s="9">
        <v>29.306000000000001</v>
      </c>
      <c r="M100" s="9">
        <v>12.063700000000001</v>
      </c>
      <c r="N100" s="9">
        <v>4.9444999999999997</v>
      </c>
      <c r="O100" s="9">
        <v>0.37409999999999999</v>
      </c>
      <c r="P100" s="9">
        <v>1.2927</v>
      </c>
      <c r="Q100" s="9">
        <v>33.011299999999999</v>
      </c>
      <c r="R100" s="9"/>
      <c r="S100" s="11"/>
    </row>
    <row r="101" spans="1:19" ht="15.75">
      <c r="A101" s="13">
        <v>44562</v>
      </c>
      <c r="B101" s="8">
        <f>6.1999 * CHOOSE(CONTROL!$C$15, $D$11, 100%, $F$11)</f>
        <v>6.1999000000000004</v>
      </c>
      <c r="C101" s="8">
        <f>6.205 * CHOOSE(CONTROL!$C$15, $D$11, 100%, $F$11)</f>
        <v>6.2050000000000001</v>
      </c>
      <c r="D101" s="8">
        <f>6.1761 * CHOOSE( CONTROL!$C$15, $D$11, 100%, $F$11)</f>
        <v>6.1760999999999999</v>
      </c>
      <c r="E101" s="12">
        <f>6.1861 * CHOOSE( CONTROL!$C$15, $D$11, 100%, $F$11)</f>
        <v>6.1860999999999997</v>
      </c>
      <c r="F101" s="4">
        <f>6.8652 * CHOOSE(CONTROL!$C$15, $D$11, 100%, $F$11)</f>
        <v>6.8651999999999997</v>
      </c>
      <c r="G101" s="8">
        <f>6.127 * CHOOSE( CONTROL!$C$15, $D$11, 100%, $F$11)</f>
        <v>6.1269999999999998</v>
      </c>
      <c r="H101" s="4">
        <f>7.0315 * CHOOSE(CONTROL!$C$15, $D$11, 100%, $F$11)</f>
        <v>7.0315000000000003</v>
      </c>
      <c r="I101" s="8">
        <f>6.1558 * CHOOSE(CONTROL!$C$15, $D$11, 100%, $F$11)</f>
        <v>6.1558000000000002</v>
      </c>
      <c r="J101" s="4">
        <f>6.0083 * CHOOSE(CONTROL!$C$15, $D$11, 100%, $F$11)</f>
        <v>6.0083000000000002</v>
      </c>
      <c r="K101" s="4"/>
      <c r="L101" s="9">
        <v>29.306000000000001</v>
      </c>
      <c r="M101" s="9">
        <v>12.063700000000001</v>
      </c>
      <c r="N101" s="9">
        <v>4.9444999999999997</v>
      </c>
      <c r="O101" s="9">
        <v>0.37409999999999999</v>
      </c>
      <c r="P101" s="9">
        <v>1.2927</v>
      </c>
      <c r="Q101" s="9">
        <v>32.8123</v>
      </c>
      <c r="R101" s="9"/>
      <c r="S101" s="11"/>
    </row>
    <row r="102" spans="1:19" ht="15.75">
      <c r="A102" s="13">
        <v>44593</v>
      </c>
      <c r="B102" s="8">
        <f>5.7997 * CHOOSE(CONTROL!$C$15, $D$11, 100%, $F$11)</f>
        <v>5.7996999999999996</v>
      </c>
      <c r="C102" s="8">
        <f>5.8048 * CHOOSE(CONTROL!$C$15, $D$11, 100%, $F$11)</f>
        <v>5.8048000000000002</v>
      </c>
      <c r="D102" s="8">
        <f>5.7759 * CHOOSE( CONTROL!$C$15, $D$11, 100%, $F$11)</f>
        <v>5.7759</v>
      </c>
      <c r="E102" s="12">
        <f>5.7859 * CHOOSE( CONTROL!$C$15, $D$11, 100%, $F$11)</f>
        <v>5.7858999999999998</v>
      </c>
      <c r="F102" s="4">
        <f>6.465 * CHOOSE(CONTROL!$C$15, $D$11, 100%, $F$11)</f>
        <v>6.4649999999999999</v>
      </c>
      <c r="G102" s="8">
        <f>5.7315 * CHOOSE( CONTROL!$C$15, $D$11, 100%, $F$11)</f>
        <v>5.7314999999999996</v>
      </c>
      <c r="H102" s="4">
        <f>6.6359 * CHOOSE(CONTROL!$C$15, $D$11, 100%, $F$11)</f>
        <v>6.6359000000000004</v>
      </c>
      <c r="I102" s="8">
        <f>5.7671 * CHOOSE(CONTROL!$C$15, $D$11, 100%, $F$11)</f>
        <v>5.7671000000000001</v>
      </c>
      <c r="J102" s="4">
        <f>5.6199 * CHOOSE(CONTROL!$C$15, $D$11, 100%, $F$11)</f>
        <v>5.6199000000000003</v>
      </c>
      <c r="K102" s="4"/>
      <c r="L102" s="9">
        <v>26.469899999999999</v>
      </c>
      <c r="M102" s="9">
        <v>10.8962</v>
      </c>
      <c r="N102" s="9">
        <v>4.4660000000000002</v>
      </c>
      <c r="O102" s="9">
        <v>0.33789999999999998</v>
      </c>
      <c r="P102" s="9">
        <v>1.1676</v>
      </c>
      <c r="Q102" s="9">
        <v>29.636900000000001</v>
      </c>
      <c r="R102" s="9"/>
      <c r="S102" s="11"/>
    </row>
    <row r="103" spans="1:19" ht="15.75">
      <c r="A103" s="13">
        <v>44621</v>
      </c>
      <c r="B103" s="8">
        <f>5.6764 * CHOOSE(CONTROL!$C$15, $D$11, 100%, $F$11)</f>
        <v>5.6764000000000001</v>
      </c>
      <c r="C103" s="8">
        <f>5.6815 * CHOOSE(CONTROL!$C$15, $D$11, 100%, $F$11)</f>
        <v>5.6814999999999998</v>
      </c>
      <c r="D103" s="8">
        <f>5.6522 * CHOOSE( CONTROL!$C$15, $D$11, 100%, $F$11)</f>
        <v>5.6521999999999997</v>
      </c>
      <c r="E103" s="12">
        <f>5.6624 * CHOOSE( CONTROL!$C$15, $D$11, 100%, $F$11)</f>
        <v>5.6623999999999999</v>
      </c>
      <c r="F103" s="4">
        <f>6.3417 * CHOOSE(CONTROL!$C$15, $D$11, 100%, $F$11)</f>
        <v>6.3417000000000003</v>
      </c>
      <c r="G103" s="8">
        <f>5.6094 * CHOOSE( CONTROL!$C$15, $D$11, 100%, $F$11)</f>
        <v>5.6093999999999999</v>
      </c>
      <c r="H103" s="4">
        <f>6.5141 * CHOOSE(CONTROL!$C$15, $D$11, 100%, $F$11)</f>
        <v>6.5141</v>
      </c>
      <c r="I103" s="8">
        <f>5.6462 * CHOOSE(CONTROL!$C$15, $D$11, 100%, $F$11)</f>
        <v>5.6462000000000003</v>
      </c>
      <c r="J103" s="4">
        <f>5.5002 * CHOOSE(CONTROL!$C$15, $D$11, 100%, $F$11)</f>
        <v>5.5002000000000004</v>
      </c>
      <c r="K103" s="4"/>
      <c r="L103" s="9">
        <v>29.306000000000001</v>
      </c>
      <c r="M103" s="9">
        <v>12.063700000000001</v>
      </c>
      <c r="N103" s="9">
        <v>4.9444999999999997</v>
      </c>
      <c r="O103" s="9">
        <v>0.37409999999999999</v>
      </c>
      <c r="P103" s="9">
        <v>1.2927</v>
      </c>
      <c r="Q103" s="9">
        <v>32.8123</v>
      </c>
      <c r="R103" s="9"/>
      <c r="S103" s="11"/>
    </row>
    <row r="104" spans="1:19" ht="15.75">
      <c r="A104" s="13">
        <v>44652</v>
      </c>
      <c r="B104" s="8">
        <f>5.7633 * CHOOSE(CONTROL!$C$15, $D$11, 100%, $F$11)</f>
        <v>5.7633000000000001</v>
      </c>
      <c r="C104" s="8">
        <f>5.7679 * CHOOSE(CONTROL!$C$15, $D$11, 100%, $F$11)</f>
        <v>5.7679</v>
      </c>
      <c r="D104" s="8">
        <f>5.8112 * CHOOSE( CONTROL!$C$15, $D$11, 100%, $F$11)</f>
        <v>5.8112000000000004</v>
      </c>
      <c r="E104" s="12">
        <f>5.7964 * CHOOSE( CONTROL!$C$15, $D$11, 100%, $F$11)</f>
        <v>5.7964000000000002</v>
      </c>
      <c r="F104" s="4">
        <f>6.5077 * CHOOSE(CONTROL!$C$15, $D$11, 100%, $F$11)</f>
        <v>6.5076999999999998</v>
      </c>
      <c r="G104" s="8">
        <f>5.7023 * CHOOSE( CONTROL!$C$15, $D$11, 100%, $F$11)</f>
        <v>5.7023000000000001</v>
      </c>
      <c r="H104" s="4">
        <f>6.6782 * CHOOSE(CONTROL!$C$15, $D$11, 100%, $F$11)</f>
        <v>6.6782000000000004</v>
      </c>
      <c r="I104" s="8">
        <f>5.728 * CHOOSE(CONTROL!$C$15, $D$11, 100%, $F$11)</f>
        <v>5.7279999999999998</v>
      </c>
      <c r="J104" s="4">
        <f>5.5838 * CHOOSE(CONTROL!$C$15, $D$11, 100%, $F$11)</f>
        <v>5.5838000000000001</v>
      </c>
      <c r="K104" s="4"/>
      <c r="L104" s="9">
        <v>30.092199999999998</v>
      </c>
      <c r="M104" s="9">
        <v>11.6745</v>
      </c>
      <c r="N104" s="9">
        <v>4.7850000000000001</v>
      </c>
      <c r="O104" s="9">
        <v>0.36199999999999999</v>
      </c>
      <c r="P104" s="9">
        <v>1.1791</v>
      </c>
      <c r="Q104" s="9">
        <v>31.753799999999998</v>
      </c>
      <c r="R104" s="9"/>
      <c r="S104" s="11"/>
    </row>
    <row r="105" spans="1:19" ht="15.75">
      <c r="A105" s="13">
        <v>44682</v>
      </c>
      <c r="B105" s="8">
        <f>CHOOSE( CONTROL!$C$32, 5.9217, 5.918) * CHOOSE(CONTROL!$C$15, $D$11, 100%, $F$11)</f>
        <v>5.9217000000000004</v>
      </c>
      <c r="C105" s="8">
        <f>CHOOSE( CONTROL!$C$32, 5.9296, 5.926) * CHOOSE(CONTROL!$C$15, $D$11, 100%, $F$11)</f>
        <v>5.9295999999999998</v>
      </c>
      <c r="D105" s="8">
        <f>CHOOSE( CONTROL!$C$32, 5.9674, 5.9637) * CHOOSE( CONTROL!$C$15, $D$11, 100%, $F$11)</f>
        <v>5.9673999999999996</v>
      </c>
      <c r="E105" s="12">
        <f>CHOOSE( CONTROL!$C$32, 5.9525, 5.9488) * CHOOSE( CONTROL!$C$15, $D$11, 100%, $F$11)</f>
        <v>5.9524999999999997</v>
      </c>
      <c r="F105" s="4">
        <f>CHOOSE( CONTROL!$C$32, 6.6647, 6.661) * CHOOSE(CONTROL!$C$15, $D$11, 100%, $F$11)</f>
        <v>6.6646999999999998</v>
      </c>
      <c r="G105" s="8">
        <f>CHOOSE( CONTROL!$C$32, 5.8582, 5.8546) * CHOOSE( CONTROL!$C$15, $D$11, 100%, $F$11)</f>
        <v>5.8582000000000001</v>
      </c>
      <c r="H105" s="4">
        <f>CHOOSE( CONTROL!$C$32, 6.8333, 6.8297) * CHOOSE(CONTROL!$C$15, $D$11, 100%, $F$11)</f>
        <v>6.8333000000000004</v>
      </c>
      <c r="I105" s="8">
        <f>CHOOSE( CONTROL!$C$32, 5.8806, 5.877) * CHOOSE(CONTROL!$C$15, $D$11, 100%, $F$11)</f>
        <v>5.8806000000000003</v>
      </c>
      <c r="J105" s="4">
        <f>CHOOSE( CONTROL!$C$32, 5.7362, 5.7326) * CHOOSE(CONTROL!$C$15, $D$11, 100%, $F$11)</f>
        <v>5.7362000000000002</v>
      </c>
      <c r="K105" s="4"/>
      <c r="L105" s="9">
        <v>30.7165</v>
      </c>
      <c r="M105" s="9">
        <v>12.063700000000001</v>
      </c>
      <c r="N105" s="9">
        <v>4.9444999999999997</v>
      </c>
      <c r="O105" s="9">
        <v>0.37409999999999999</v>
      </c>
      <c r="P105" s="9">
        <v>1.2183999999999999</v>
      </c>
      <c r="Q105" s="9">
        <v>32.8123</v>
      </c>
      <c r="R105" s="9"/>
      <c r="S105" s="11"/>
    </row>
    <row r="106" spans="1:19" ht="15.75">
      <c r="A106" s="13">
        <v>44713</v>
      </c>
      <c r="B106" s="8">
        <f>CHOOSE( CONTROL!$C$32, 5.8267, 5.8231) * CHOOSE(CONTROL!$C$15, $D$11, 100%, $F$11)</f>
        <v>5.8266999999999998</v>
      </c>
      <c r="C106" s="8">
        <f>CHOOSE( CONTROL!$C$32, 5.8347, 5.831) * CHOOSE(CONTROL!$C$15, $D$11, 100%, $F$11)</f>
        <v>5.8346999999999998</v>
      </c>
      <c r="D106" s="8">
        <f>CHOOSE( CONTROL!$C$32, 5.8726, 5.869) * CHOOSE( CONTROL!$C$15, $D$11, 100%, $F$11)</f>
        <v>5.8726000000000003</v>
      </c>
      <c r="E106" s="12">
        <f>CHOOSE( CONTROL!$C$32, 5.8576, 5.854) * CHOOSE( CONTROL!$C$15, $D$11, 100%, $F$11)</f>
        <v>5.8575999999999997</v>
      </c>
      <c r="F106" s="4">
        <f>CHOOSE( CONTROL!$C$32, 6.5697, 6.5661) * CHOOSE(CONTROL!$C$15, $D$11, 100%, $F$11)</f>
        <v>6.5697000000000001</v>
      </c>
      <c r="G106" s="8">
        <f>CHOOSE( CONTROL!$C$32, 5.7647, 5.7611) * CHOOSE( CONTROL!$C$15, $D$11, 100%, $F$11)</f>
        <v>5.7647000000000004</v>
      </c>
      <c r="H106" s="4">
        <f>CHOOSE( CONTROL!$C$32, 6.7394, 6.7358) * CHOOSE(CONTROL!$C$15, $D$11, 100%, $F$11)</f>
        <v>6.7393999999999998</v>
      </c>
      <c r="I106" s="8">
        <f>CHOOSE( CONTROL!$C$32, 5.7894, 5.7859) * CHOOSE(CONTROL!$C$15, $D$11, 100%, $F$11)</f>
        <v>5.7893999999999997</v>
      </c>
      <c r="J106" s="4">
        <f>CHOOSE( CONTROL!$C$32, 5.644, 5.6405) * CHOOSE(CONTROL!$C$15, $D$11, 100%, $F$11)</f>
        <v>5.6440000000000001</v>
      </c>
      <c r="K106" s="4"/>
      <c r="L106" s="9">
        <v>29.7257</v>
      </c>
      <c r="M106" s="9">
        <v>11.6745</v>
      </c>
      <c r="N106" s="9">
        <v>4.7850000000000001</v>
      </c>
      <c r="O106" s="9">
        <v>0.36199999999999999</v>
      </c>
      <c r="P106" s="9">
        <v>1.1791</v>
      </c>
      <c r="Q106" s="9">
        <v>31.753799999999998</v>
      </c>
      <c r="R106" s="9"/>
      <c r="S106" s="11"/>
    </row>
    <row r="107" spans="1:19" ht="15.75">
      <c r="A107" s="13">
        <v>44743</v>
      </c>
      <c r="B107" s="8">
        <f>CHOOSE( CONTROL!$C$32, 6.0768, 6.0731) * CHOOSE(CONTROL!$C$15, $D$11, 100%, $F$11)</f>
        <v>6.0768000000000004</v>
      </c>
      <c r="C107" s="8">
        <f>CHOOSE( CONTROL!$C$32, 6.0848, 6.0811) * CHOOSE(CONTROL!$C$15, $D$11, 100%, $F$11)</f>
        <v>6.0848000000000004</v>
      </c>
      <c r="D107" s="8">
        <f>CHOOSE( CONTROL!$C$32, 6.123, 6.1193) * CHOOSE( CONTROL!$C$15, $D$11, 100%, $F$11)</f>
        <v>6.1230000000000002</v>
      </c>
      <c r="E107" s="12">
        <f>CHOOSE( CONTROL!$C$32, 6.1079, 6.1042) * CHOOSE( CONTROL!$C$15, $D$11, 100%, $F$11)</f>
        <v>6.1078999999999999</v>
      </c>
      <c r="F107" s="4">
        <f>CHOOSE( CONTROL!$C$32, 6.8198, 6.8161) * CHOOSE(CONTROL!$C$15, $D$11, 100%, $F$11)</f>
        <v>6.8197999999999999</v>
      </c>
      <c r="G107" s="8">
        <f>CHOOSE( CONTROL!$C$32, 6.0122, 6.0086) * CHOOSE( CONTROL!$C$15, $D$11, 100%, $F$11)</f>
        <v>6.0122</v>
      </c>
      <c r="H107" s="4">
        <f>CHOOSE( CONTROL!$C$32, 6.9866, 6.983) * CHOOSE(CONTROL!$C$15, $D$11, 100%, $F$11)</f>
        <v>6.9866000000000001</v>
      </c>
      <c r="I107" s="8">
        <f>CHOOSE( CONTROL!$C$32, 6.0334, 6.0298) * CHOOSE(CONTROL!$C$15, $D$11, 100%, $F$11)</f>
        <v>6.0334000000000003</v>
      </c>
      <c r="J107" s="4">
        <f>CHOOSE( CONTROL!$C$32, 5.8867, 5.8832) * CHOOSE(CONTROL!$C$15, $D$11, 100%, $F$11)</f>
        <v>5.8867000000000003</v>
      </c>
      <c r="K107" s="4"/>
      <c r="L107" s="9">
        <v>30.7165</v>
      </c>
      <c r="M107" s="9">
        <v>12.063700000000001</v>
      </c>
      <c r="N107" s="9">
        <v>4.9444999999999997</v>
      </c>
      <c r="O107" s="9">
        <v>0.37409999999999999</v>
      </c>
      <c r="P107" s="9">
        <v>1.2183999999999999</v>
      </c>
      <c r="Q107" s="9">
        <v>32.8123</v>
      </c>
      <c r="R107" s="9"/>
      <c r="S107" s="11"/>
    </row>
    <row r="108" spans="1:19" ht="15.75">
      <c r="A108" s="13">
        <v>44774</v>
      </c>
      <c r="B108" s="8">
        <f>CHOOSE( CONTROL!$C$32, 5.6088, 5.6052) * CHOOSE(CONTROL!$C$15, $D$11, 100%, $F$11)</f>
        <v>5.6087999999999996</v>
      </c>
      <c r="C108" s="8">
        <f>CHOOSE( CONTROL!$C$32, 5.6168, 5.6132) * CHOOSE(CONTROL!$C$15, $D$11, 100%, $F$11)</f>
        <v>5.6167999999999996</v>
      </c>
      <c r="D108" s="8">
        <f>CHOOSE( CONTROL!$C$32, 5.6551, 5.6514) * CHOOSE( CONTROL!$C$15, $D$11, 100%, $F$11)</f>
        <v>5.6551</v>
      </c>
      <c r="E108" s="12">
        <f>CHOOSE( CONTROL!$C$32, 5.64, 5.6363) * CHOOSE( CONTROL!$C$15, $D$11, 100%, $F$11)</f>
        <v>5.64</v>
      </c>
      <c r="F108" s="4">
        <f>CHOOSE( CONTROL!$C$32, 6.3518, 6.3482) * CHOOSE(CONTROL!$C$15, $D$11, 100%, $F$11)</f>
        <v>6.3517999999999999</v>
      </c>
      <c r="G108" s="8">
        <f>CHOOSE( CONTROL!$C$32, 5.5498, 5.5462) * CHOOSE( CONTROL!$C$15, $D$11, 100%, $F$11)</f>
        <v>5.5498000000000003</v>
      </c>
      <c r="H108" s="4">
        <f>CHOOSE( CONTROL!$C$32, 6.5241, 6.5205) * CHOOSE(CONTROL!$C$15, $D$11, 100%, $F$11)</f>
        <v>6.5240999999999998</v>
      </c>
      <c r="I108" s="8">
        <f>CHOOSE( CONTROL!$C$32, 5.5793, 5.5757) * CHOOSE(CONTROL!$C$15, $D$11, 100%, $F$11)</f>
        <v>5.5792999999999999</v>
      </c>
      <c r="J108" s="4">
        <f>CHOOSE( CONTROL!$C$32, 5.4326, 5.429) * CHOOSE(CONTROL!$C$15, $D$11, 100%, $F$11)</f>
        <v>5.4325999999999999</v>
      </c>
      <c r="K108" s="4"/>
      <c r="L108" s="9">
        <v>30.7165</v>
      </c>
      <c r="M108" s="9">
        <v>12.063700000000001</v>
      </c>
      <c r="N108" s="9">
        <v>4.9444999999999997</v>
      </c>
      <c r="O108" s="9">
        <v>0.37409999999999999</v>
      </c>
      <c r="P108" s="9">
        <v>1.2183999999999999</v>
      </c>
      <c r="Q108" s="9">
        <v>32.8123</v>
      </c>
      <c r="R108" s="9"/>
      <c r="S108" s="11"/>
    </row>
    <row r="109" spans="1:19" ht="15.75">
      <c r="A109" s="13">
        <v>44805</v>
      </c>
      <c r="B109" s="8">
        <f>CHOOSE( CONTROL!$C$32, 5.4917, 5.488) * CHOOSE(CONTROL!$C$15, $D$11, 100%, $F$11)</f>
        <v>5.4916999999999998</v>
      </c>
      <c r="C109" s="8">
        <f>CHOOSE( CONTROL!$C$32, 5.4996, 5.496) * CHOOSE(CONTROL!$C$15, $D$11, 100%, $F$11)</f>
        <v>5.4996</v>
      </c>
      <c r="D109" s="8">
        <f>CHOOSE( CONTROL!$C$32, 5.5378, 5.5342) * CHOOSE( CONTROL!$C$15, $D$11, 100%, $F$11)</f>
        <v>5.5377999999999998</v>
      </c>
      <c r="E109" s="12">
        <f>CHOOSE( CONTROL!$C$32, 5.5228, 5.5191) * CHOOSE( CONTROL!$C$15, $D$11, 100%, $F$11)</f>
        <v>5.5228000000000002</v>
      </c>
      <c r="F109" s="4">
        <f>CHOOSE( CONTROL!$C$32, 6.2347, 6.231) * CHOOSE(CONTROL!$C$15, $D$11, 100%, $F$11)</f>
        <v>6.2347000000000001</v>
      </c>
      <c r="G109" s="8">
        <f>CHOOSE( CONTROL!$C$32, 5.4339, 5.4303) * CHOOSE( CONTROL!$C$15, $D$11, 100%, $F$11)</f>
        <v>5.4339000000000004</v>
      </c>
      <c r="H109" s="4">
        <f>CHOOSE( CONTROL!$C$32, 6.4083, 6.4047) * CHOOSE(CONTROL!$C$15, $D$11, 100%, $F$11)</f>
        <v>6.4082999999999997</v>
      </c>
      <c r="I109" s="8">
        <f>CHOOSE( CONTROL!$C$32, 5.4651, 5.4616) * CHOOSE(CONTROL!$C$15, $D$11, 100%, $F$11)</f>
        <v>5.4650999999999996</v>
      </c>
      <c r="J109" s="4">
        <f>CHOOSE( CONTROL!$C$32, 5.3188, 5.3153) * CHOOSE(CONTROL!$C$15, $D$11, 100%, $F$11)</f>
        <v>5.3188000000000004</v>
      </c>
      <c r="K109" s="4"/>
      <c r="L109" s="9">
        <v>29.7257</v>
      </c>
      <c r="M109" s="9">
        <v>11.6745</v>
      </c>
      <c r="N109" s="9">
        <v>4.7850000000000001</v>
      </c>
      <c r="O109" s="9">
        <v>0.36199999999999999</v>
      </c>
      <c r="P109" s="9">
        <v>1.1791</v>
      </c>
      <c r="Q109" s="9">
        <v>31.753799999999998</v>
      </c>
      <c r="R109" s="9"/>
      <c r="S109" s="11"/>
    </row>
    <row r="110" spans="1:19" ht="15.75">
      <c r="A110" s="13">
        <v>44835</v>
      </c>
      <c r="B110" s="8">
        <f>5.7296 * CHOOSE(CONTROL!$C$15, $D$11, 100%, $F$11)</f>
        <v>5.7295999999999996</v>
      </c>
      <c r="C110" s="8">
        <f>5.7349 * CHOOSE(CONTROL!$C$15, $D$11, 100%, $F$11)</f>
        <v>5.7348999999999997</v>
      </c>
      <c r="D110" s="8">
        <f>5.7785 * CHOOSE( CONTROL!$C$15, $D$11, 100%, $F$11)</f>
        <v>5.7785000000000002</v>
      </c>
      <c r="E110" s="12">
        <f>5.7635 * CHOOSE( CONTROL!$C$15, $D$11, 100%, $F$11)</f>
        <v>5.7634999999999996</v>
      </c>
      <c r="F110" s="4">
        <f>6.4743 * CHOOSE(CONTROL!$C$15, $D$11, 100%, $F$11)</f>
        <v>6.4743000000000004</v>
      </c>
      <c r="G110" s="8">
        <f>5.6703 * CHOOSE( CONTROL!$C$15, $D$11, 100%, $F$11)</f>
        <v>5.6703000000000001</v>
      </c>
      <c r="H110" s="4">
        <f>6.6452 * CHOOSE(CONTROL!$C$15, $D$11, 100%, $F$11)</f>
        <v>6.6452</v>
      </c>
      <c r="I110" s="8">
        <f>5.6986 * CHOOSE(CONTROL!$C$15, $D$11, 100%, $F$11)</f>
        <v>5.6985999999999999</v>
      </c>
      <c r="J110" s="4">
        <f>5.5514 * CHOOSE(CONTROL!$C$15, $D$11, 100%, $F$11)</f>
        <v>5.5514000000000001</v>
      </c>
      <c r="K110" s="4"/>
      <c r="L110" s="9">
        <v>31.095300000000002</v>
      </c>
      <c r="M110" s="9">
        <v>12.063700000000001</v>
      </c>
      <c r="N110" s="9">
        <v>4.9444999999999997</v>
      </c>
      <c r="O110" s="9">
        <v>0.37409999999999999</v>
      </c>
      <c r="P110" s="9">
        <v>1.2183999999999999</v>
      </c>
      <c r="Q110" s="9">
        <v>32.8123</v>
      </c>
      <c r="R110" s="9"/>
      <c r="S110" s="11"/>
    </row>
    <row r="111" spans="1:19" ht="15.75">
      <c r="A111" s="13">
        <v>44866</v>
      </c>
      <c r="B111" s="8">
        <f>6.1783 * CHOOSE(CONTROL!$C$15, $D$11, 100%, $F$11)</f>
        <v>6.1783000000000001</v>
      </c>
      <c r="C111" s="8">
        <f>6.1834 * CHOOSE(CONTROL!$C$15, $D$11, 100%, $F$11)</f>
        <v>6.1833999999999998</v>
      </c>
      <c r="D111" s="8">
        <f>6.167 * CHOOSE( CONTROL!$C$15, $D$11, 100%, $F$11)</f>
        <v>6.1669999999999998</v>
      </c>
      <c r="E111" s="12">
        <f>6.1725 * CHOOSE( CONTROL!$C$15, $D$11, 100%, $F$11)</f>
        <v>6.1725000000000003</v>
      </c>
      <c r="F111" s="4">
        <f>6.8436 * CHOOSE(CONTROL!$C$15, $D$11, 100%, $F$11)</f>
        <v>6.8436000000000003</v>
      </c>
      <c r="G111" s="8">
        <f>6.1147 * CHOOSE( CONTROL!$C$15, $D$11, 100%, $F$11)</f>
        <v>6.1147</v>
      </c>
      <c r="H111" s="4">
        <f>7.0101 * CHOOSE(CONTROL!$C$15, $D$11, 100%, $F$11)</f>
        <v>7.0101000000000004</v>
      </c>
      <c r="I111" s="8">
        <f>6.1348 * CHOOSE(CONTROL!$C$15, $D$11, 100%, $F$11)</f>
        <v>6.1348000000000003</v>
      </c>
      <c r="J111" s="4">
        <f>5.9873 * CHOOSE(CONTROL!$C$15, $D$11, 100%, $F$11)</f>
        <v>5.9873000000000003</v>
      </c>
      <c r="K111" s="4"/>
      <c r="L111" s="9">
        <v>28.360600000000002</v>
      </c>
      <c r="M111" s="9">
        <v>11.6745</v>
      </c>
      <c r="N111" s="9">
        <v>4.7850000000000001</v>
      </c>
      <c r="O111" s="9">
        <v>0.36199999999999999</v>
      </c>
      <c r="P111" s="9">
        <v>1.2509999999999999</v>
      </c>
      <c r="Q111" s="9">
        <v>31.753799999999998</v>
      </c>
      <c r="R111" s="9"/>
      <c r="S111" s="11"/>
    </row>
    <row r="112" spans="1:19" ht="15.75">
      <c r="A112" s="13">
        <v>44896</v>
      </c>
      <c r="B112" s="8">
        <f>6.1671 * CHOOSE(CONTROL!$C$15, $D$11, 100%, $F$11)</f>
        <v>6.1670999999999996</v>
      </c>
      <c r="C112" s="8">
        <f>6.1721 * CHOOSE(CONTROL!$C$15, $D$11, 100%, $F$11)</f>
        <v>6.1721000000000004</v>
      </c>
      <c r="D112" s="8">
        <f>6.1575 * CHOOSE( CONTROL!$C$15, $D$11, 100%, $F$11)</f>
        <v>6.1574999999999998</v>
      </c>
      <c r="E112" s="12">
        <f>6.1623 * CHOOSE( CONTROL!$C$15, $D$11, 100%, $F$11)</f>
        <v>6.1623000000000001</v>
      </c>
      <c r="F112" s="4">
        <f>6.8323 * CHOOSE(CONTROL!$C$15, $D$11, 100%, $F$11)</f>
        <v>6.8323</v>
      </c>
      <c r="G112" s="8">
        <f>6.1048 * CHOOSE( CONTROL!$C$15, $D$11, 100%, $F$11)</f>
        <v>6.1048</v>
      </c>
      <c r="H112" s="4">
        <f>6.999 * CHOOSE(CONTROL!$C$15, $D$11, 100%, $F$11)</f>
        <v>6.9989999999999997</v>
      </c>
      <c r="I112" s="8">
        <f>6.1292 * CHOOSE(CONTROL!$C$15, $D$11, 100%, $F$11)</f>
        <v>6.1292</v>
      </c>
      <c r="J112" s="4">
        <f>5.9764 * CHOOSE(CONTROL!$C$15, $D$11, 100%, $F$11)</f>
        <v>5.9763999999999999</v>
      </c>
      <c r="K112" s="4"/>
      <c r="L112" s="9">
        <v>29.306000000000001</v>
      </c>
      <c r="M112" s="9">
        <v>12.063700000000001</v>
      </c>
      <c r="N112" s="9">
        <v>4.9444999999999997</v>
      </c>
      <c r="O112" s="9">
        <v>0.37409999999999999</v>
      </c>
      <c r="P112" s="9">
        <v>1.2927</v>
      </c>
      <c r="Q112" s="9">
        <v>32.8123</v>
      </c>
      <c r="R112" s="9"/>
      <c r="S112" s="11"/>
    </row>
    <row r="113" spans="1:19" ht="15.75">
      <c r="A113" s="13">
        <v>44927</v>
      </c>
      <c r="B113" s="8">
        <f>6.4581 * CHOOSE(CONTROL!$C$15, $D$11, 100%, $F$11)</f>
        <v>6.4581</v>
      </c>
      <c r="C113" s="8">
        <f>6.4632 * CHOOSE(CONTROL!$C$15, $D$11, 100%, $F$11)</f>
        <v>6.4631999999999996</v>
      </c>
      <c r="D113" s="8">
        <f>6.4343 * CHOOSE( CONTROL!$C$15, $D$11, 100%, $F$11)</f>
        <v>6.4343000000000004</v>
      </c>
      <c r="E113" s="12">
        <f>6.4443 * CHOOSE( CONTROL!$C$15, $D$11, 100%, $F$11)</f>
        <v>6.4443000000000001</v>
      </c>
      <c r="F113" s="4">
        <f>7.1234 * CHOOSE(CONTROL!$C$15, $D$11, 100%, $F$11)</f>
        <v>7.1234000000000002</v>
      </c>
      <c r="G113" s="8">
        <f>6.3822 * CHOOSE( CONTROL!$C$15, $D$11, 100%, $F$11)</f>
        <v>6.3822000000000001</v>
      </c>
      <c r="H113" s="4">
        <f>7.2866 * CHOOSE(CONTROL!$C$15, $D$11, 100%, $F$11)</f>
        <v>7.2866</v>
      </c>
      <c r="I113" s="8">
        <f>6.4065 * CHOOSE(CONTROL!$C$15, $D$11, 100%, $F$11)</f>
        <v>6.4065000000000003</v>
      </c>
      <c r="J113" s="4">
        <f>6.2589 * CHOOSE(CONTROL!$C$15, $D$11, 100%, $F$11)</f>
        <v>6.2588999999999997</v>
      </c>
      <c r="K113" s="4"/>
      <c r="L113" s="9">
        <v>29.306000000000001</v>
      </c>
      <c r="M113" s="9">
        <v>12.063700000000001</v>
      </c>
      <c r="N113" s="9">
        <v>4.9444999999999997</v>
      </c>
      <c r="O113" s="9">
        <v>0.37409999999999999</v>
      </c>
      <c r="P113" s="9">
        <v>1.2927</v>
      </c>
      <c r="Q113" s="9">
        <v>32.624400000000001</v>
      </c>
      <c r="R113" s="9"/>
      <c r="S113" s="11"/>
    </row>
    <row r="114" spans="1:19" ht="15.75">
      <c r="A114" s="13">
        <v>44958</v>
      </c>
      <c r="B114" s="8">
        <f>6.0412 * CHOOSE(CONTROL!$C$15, $D$11, 100%, $F$11)</f>
        <v>6.0411999999999999</v>
      </c>
      <c r="C114" s="8">
        <f>6.0463 * CHOOSE(CONTROL!$C$15, $D$11, 100%, $F$11)</f>
        <v>6.0462999999999996</v>
      </c>
      <c r="D114" s="8">
        <f>6.0174 * CHOOSE( CONTROL!$C$15, $D$11, 100%, $F$11)</f>
        <v>6.0174000000000003</v>
      </c>
      <c r="E114" s="12">
        <f>6.0274 * CHOOSE( CONTROL!$C$15, $D$11, 100%, $F$11)</f>
        <v>6.0274000000000001</v>
      </c>
      <c r="F114" s="4">
        <f>6.7065 * CHOOSE(CONTROL!$C$15, $D$11, 100%, $F$11)</f>
        <v>6.7065000000000001</v>
      </c>
      <c r="G114" s="8">
        <f>5.9702 * CHOOSE( CONTROL!$C$15, $D$11, 100%, $F$11)</f>
        <v>5.9702000000000002</v>
      </c>
      <c r="H114" s="4">
        <f>6.8746 * CHOOSE(CONTROL!$C$15, $D$11, 100%, $F$11)</f>
        <v>6.8746</v>
      </c>
      <c r="I114" s="8">
        <f>6.0016 * CHOOSE(CONTROL!$C$15, $D$11, 100%, $F$11)</f>
        <v>6.0015999999999998</v>
      </c>
      <c r="J114" s="4">
        <f>5.8542 * CHOOSE(CONTROL!$C$15, $D$11, 100%, $F$11)</f>
        <v>5.8541999999999996</v>
      </c>
      <c r="K114" s="4"/>
      <c r="L114" s="9">
        <v>26.469899999999999</v>
      </c>
      <c r="M114" s="9">
        <v>10.8962</v>
      </c>
      <c r="N114" s="9">
        <v>4.4660000000000002</v>
      </c>
      <c r="O114" s="9">
        <v>0.33789999999999998</v>
      </c>
      <c r="P114" s="9">
        <v>1.1676</v>
      </c>
      <c r="Q114" s="9">
        <v>29.467199999999998</v>
      </c>
      <c r="R114" s="9"/>
      <c r="S114" s="11"/>
    </row>
    <row r="115" spans="1:19" ht="15.75">
      <c r="A115" s="13">
        <v>44986</v>
      </c>
      <c r="B115" s="8">
        <f>5.9128 * CHOOSE(CONTROL!$C$15, $D$11, 100%, $F$11)</f>
        <v>5.9127999999999998</v>
      </c>
      <c r="C115" s="8">
        <f>5.9179 * CHOOSE(CONTROL!$C$15, $D$11, 100%, $F$11)</f>
        <v>5.9179000000000004</v>
      </c>
      <c r="D115" s="8">
        <f>5.8886 * CHOOSE( CONTROL!$C$15, $D$11, 100%, $F$11)</f>
        <v>5.8886000000000003</v>
      </c>
      <c r="E115" s="12">
        <f>5.8988 * CHOOSE( CONTROL!$C$15, $D$11, 100%, $F$11)</f>
        <v>5.8987999999999996</v>
      </c>
      <c r="F115" s="4">
        <f>6.5781 * CHOOSE(CONTROL!$C$15, $D$11, 100%, $F$11)</f>
        <v>6.5781000000000001</v>
      </c>
      <c r="G115" s="8">
        <f>5.843 * CHOOSE( CONTROL!$C$15, $D$11, 100%, $F$11)</f>
        <v>5.843</v>
      </c>
      <c r="H115" s="4">
        <f>6.7477 * CHOOSE(CONTROL!$C$15, $D$11, 100%, $F$11)</f>
        <v>6.7477</v>
      </c>
      <c r="I115" s="8">
        <f>5.8757 * CHOOSE(CONTROL!$C$15, $D$11, 100%, $F$11)</f>
        <v>5.8757000000000001</v>
      </c>
      <c r="J115" s="4">
        <f>5.7296 * CHOOSE(CONTROL!$C$15, $D$11, 100%, $F$11)</f>
        <v>5.7295999999999996</v>
      </c>
      <c r="K115" s="4"/>
      <c r="L115" s="9">
        <v>29.306000000000001</v>
      </c>
      <c r="M115" s="9">
        <v>12.063700000000001</v>
      </c>
      <c r="N115" s="9">
        <v>4.9444999999999997</v>
      </c>
      <c r="O115" s="9">
        <v>0.37409999999999999</v>
      </c>
      <c r="P115" s="9">
        <v>1.2927</v>
      </c>
      <c r="Q115" s="9">
        <v>32.624400000000001</v>
      </c>
      <c r="R115" s="9"/>
      <c r="S115" s="11"/>
    </row>
    <row r="116" spans="1:19" ht="15.75">
      <c r="A116" s="13">
        <v>45017</v>
      </c>
      <c r="B116" s="8">
        <f>6.0033 * CHOOSE(CONTROL!$C$15, $D$11, 100%, $F$11)</f>
        <v>6.0033000000000003</v>
      </c>
      <c r="C116" s="8">
        <f>6.0078 * CHOOSE(CONTROL!$C$15, $D$11, 100%, $F$11)</f>
        <v>6.0077999999999996</v>
      </c>
      <c r="D116" s="8">
        <f>6.0512 * CHOOSE( CONTROL!$C$15, $D$11, 100%, $F$11)</f>
        <v>6.0511999999999997</v>
      </c>
      <c r="E116" s="12">
        <f>6.0364 * CHOOSE( CONTROL!$C$15, $D$11, 100%, $F$11)</f>
        <v>6.0364000000000004</v>
      </c>
      <c r="F116" s="4">
        <f>6.7477 * CHOOSE(CONTROL!$C$15, $D$11, 100%, $F$11)</f>
        <v>6.7477</v>
      </c>
      <c r="G116" s="8">
        <f>5.9394 * CHOOSE( CONTROL!$C$15, $D$11, 100%, $F$11)</f>
        <v>5.9394</v>
      </c>
      <c r="H116" s="4">
        <f>6.9153 * CHOOSE(CONTROL!$C$15, $D$11, 100%, $F$11)</f>
        <v>6.9153000000000002</v>
      </c>
      <c r="I116" s="8">
        <f>5.961 * CHOOSE(CONTROL!$C$15, $D$11, 100%, $F$11)</f>
        <v>5.9610000000000003</v>
      </c>
      <c r="J116" s="4">
        <f>5.8167 * CHOOSE(CONTROL!$C$15, $D$11, 100%, $F$11)</f>
        <v>5.8167</v>
      </c>
      <c r="K116" s="4"/>
      <c r="L116" s="9">
        <v>30.092199999999998</v>
      </c>
      <c r="M116" s="9">
        <v>11.6745</v>
      </c>
      <c r="N116" s="9">
        <v>4.7850000000000001</v>
      </c>
      <c r="O116" s="9">
        <v>0.36199999999999999</v>
      </c>
      <c r="P116" s="9">
        <v>1.1791</v>
      </c>
      <c r="Q116" s="9">
        <v>31.571999999999999</v>
      </c>
      <c r="R116" s="9"/>
      <c r="S116" s="11"/>
    </row>
    <row r="117" spans="1:19" ht="15.75">
      <c r="A117" s="13">
        <v>45047</v>
      </c>
      <c r="B117" s="8">
        <f>CHOOSE( CONTROL!$C$32, 6.168, 6.1644) * CHOOSE(CONTROL!$C$15, $D$11, 100%, $F$11)</f>
        <v>6.1680000000000001</v>
      </c>
      <c r="C117" s="8">
        <f>CHOOSE( CONTROL!$C$32, 6.176, 6.1723) * CHOOSE(CONTROL!$C$15, $D$11, 100%, $F$11)</f>
        <v>6.1760000000000002</v>
      </c>
      <c r="D117" s="8">
        <f>CHOOSE( CONTROL!$C$32, 6.2137, 6.2101) * CHOOSE( CONTROL!$C$15, $D$11, 100%, $F$11)</f>
        <v>6.2137000000000002</v>
      </c>
      <c r="E117" s="12">
        <f>CHOOSE( CONTROL!$C$32, 6.1988, 6.1952) * CHOOSE( CONTROL!$C$15, $D$11, 100%, $F$11)</f>
        <v>6.1988000000000003</v>
      </c>
      <c r="F117" s="4">
        <f>CHOOSE( CONTROL!$C$32, 6.911, 6.9074) * CHOOSE(CONTROL!$C$15, $D$11, 100%, $F$11)</f>
        <v>6.9109999999999996</v>
      </c>
      <c r="G117" s="8">
        <f>CHOOSE( CONTROL!$C$32, 6.1017, 6.0981) * CHOOSE( CONTROL!$C$15, $D$11, 100%, $F$11)</f>
        <v>6.1017000000000001</v>
      </c>
      <c r="H117" s="4">
        <f>CHOOSE( CONTROL!$C$32, 7.0767, 7.0731) * CHOOSE(CONTROL!$C$15, $D$11, 100%, $F$11)</f>
        <v>7.0766999999999998</v>
      </c>
      <c r="I117" s="8">
        <f>CHOOSE( CONTROL!$C$32, 6.1198, 6.1162) * CHOOSE(CONTROL!$C$15, $D$11, 100%, $F$11)</f>
        <v>6.1197999999999997</v>
      </c>
      <c r="J117" s="4">
        <f>CHOOSE( CONTROL!$C$32, 5.9752, 5.9717) * CHOOSE(CONTROL!$C$15, $D$11, 100%, $F$11)</f>
        <v>5.9752000000000001</v>
      </c>
      <c r="K117" s="4"/>
      <c r="L117" s="9">
        <v>30.7165</v>
      </c>
      <c r="M117" s="9">
        <v>12.063700000000001</v>
      </c>
      <c r="N117" s="9">
        <v>4.9444999999999997</v>
      </c>
      <c r="O117" s="9">
        <v>0.37409999999999999</v>
      </c>
      <c r="P117" s="9">
        <v>1.2183999999999999</v>
      </c>
      <c r="Q117" s="9">
        <v>32.624400000000001</v>
      </c>
      <c r="R117" s="9"/>
      <c r="S117" s="11"/>
    </row>
    <row r="118" spans="1:19" ht="15.75">
      <c r="A118" s="13">
        <v>45078</v>
      </c>
      <c r="B118" s="8">
        <f>CHOOSE( CONTROL!$C$32, 6.0691, 6.0654) * CHOOSE(CONTROL!$C$15, $D$11, 100%, $F$11)</f>
        <v>6.0690999999999997</v>
      </c>
      <c r="C118" s="8">
        <f>CHOOSE( CONTROL!$C$32, 6.077, 6.0734) * CHOOSE(CONTROL!$C$15, $D$11, 100%, $F$11)</f>
        <v>6.077</v>
      </c>
      <c r="D118" s="8">
        <f>CHOOSE( CONTROL!$C$32, 6.115, 6.1114) * CHOOSE( CONTROL!$C$15, $D$11, 100%, $F$11)</f>
        <v>6.1150000000000002</v>
      </c>
      <c r="E118" s="12">
        <f>CHOOSE( CONTROL!$C$32, 6.1, 6.0964) * CHOOSE( CONTROL!$C$15, $D$11, 100%, $F$11)</f>
        <v>6.1</v>
      </c>
      <c r="F118" s="4">
        <f>CHOOSE( CONTROL!$C$32, 6.8121, 6.8084) * CHOOSE(CONTROL!$C$15, $D$11, 100%, $F$11)</f>
        <v>6.8121</v>
      </c>
      <c r="G118" s="8">
        <f>CHOOSE( CONTROL!$C$32, 6.0042, 6.0006) * CHOOSE( CONTROL!$C$15, $D$11, 100%, $F$11)</f>
        <v>6.0042</v>
      </c>
      <c r="H118" s="4">
        <f>CHOOSE( CONTROL!$C$32, 6.9789, 6.9753) * CHOOSE(CONTROL!$C$15, $D$11, 100%, $F$11)</f>
        <v>6.9789000000000003</v>
      </c>
      <c r="I118" s="8">
        <f>CHOOSE( CONTROL!$C$32, 6.0247, 6.0212) * CHOOSE(CONTROL!$C$15, $D$11, 100%, $F$11)</f>
        <v>6.0247000000000002</v>
      </c>
      <c r="J118" s="4">
        <f>CHOOSE( CONTROL!$C$32, 5.8792, 5.8757) * CHOOSE(CONTROL!$C$15, $D$11, 100%, $F$11)</f>
        <v>5.8792</v>
      </c>
      <c r="K118" s="4"/>
      <c r="L118" s="9">
        <v>29.7257</v>
      </c>
      <c r="M118" s="9">
        <v>11.6745</v>
      </c>
      <c r="N118" s="9">
        <v>4.7850000000000001</v>
      </c>
      <c r="O118" s="9">
        <v>0.36199999999999999</v>
      </c>
      <c r="P118" s="9">
        <v>1.1791</v>
      </c>
      <c r="Q118" s="9">
        <v>31.571999999999999</v>
      </c>
      <c r="R118" s="9"/>
      <c r="S118" s="11"/>
    </row>
    <row r="119" spans="1:19" ht="15.75">
      <c r="A119" s="13">
        <v>45108</v>
      </c>
      <c r="B119" s="8">
        <f>CHOOSE( CONTROL!$C$32, 6.3296, 6.3259) * CHOOSE(CONTROL!$C$15, $D$11, 100%, $F$11)</f>
        <v>6.3296000000000001</v>
      </c>
      <c r="C119" s="8">
        <f>CHOOSE( CONTROL!$C$32, 6.3376, 6.3339) * CHOOSE(CONTROL!$C$15, $D$11, 100%, $F$11)</f>
        <v>6.3376000000000001</v>
      </c>
      <c r="D119" s="8">
        <f>CHOOSE( CONTROL!$C$32, 6.3758, 6.3721) * CHOOSE( CONTROL!$C$15, $D$11, 100%, $F$11)</f>
        <v>6.3757999999999999</v>
      </c>
      <c r="E119" s="12">
        <f>CHOOSE( CONTROL!$C$32, 6.3607, 6.357) * CHOOSE( CONTROL!$C$15, $D$11, 100%, $F$11)</f>
        <v>6.3606999999999996</v>
      </c>
      <c r="F119" s="4">
        <f>CHOOSE( CONTROL!$C$32, 7.0726, 7.0689) * CHOOSE(CONTROL!$C$15, $D$11, 100%, $F$11)</f>
        <v>7.0726000000000004</v>
      </c>
      <c r="G119" s="8">
        <f>CHOOSE( CONTROL!$C$32, 6.262, 6.2584) * CHOOSE( CONTROL!$C$15, $D$11, 100%, $F$11)</f>
        <v>6.2619999999999996</v>
      </c>
      <c r="H119" s="4">
        <f>CHOOSE( CONTROL!$C$32, 7.2364, 7.2328) * CHOOSE(CONTROL!$C$15, $D$11, 100%, $F$11)</f>
        <v>7.2363999999999997</v>
      </c>
      <c r="I119" s="8">
        <f>CHOOSE( CONTROL!$C$32, 6.2788, 6.2753) * CHOOSE(CONTROL!$C$15, $D$11, 100%, $F$11)</f>
        <v>6.2788000000000004</v>
      </c>
      <c r="J119" s="4">
        <f>CHOOSE( CONTROL!$C$32, 6.132, 6.1285) * CHOOSE(CONTROL!$C$15, $D$11, 100%, $F$11)</f>
        <v>6.1319999999999997</v>
      </c>
      <c r="K119" s="4"/>
      <c r="L119" s="9">
        <v>30.7165</v>
      </c>
      <c r="M119" s="9">
        <v>12.063700000000001</v>
      </c>
      <c r="N119" s="9">
        <v>4.9444999999999997</v>
      </c>
      <c r="O119" s="9">
        <v>0.37409999999999999</v>
      </c>
      <c r="P119" s="9">
        <v>1.2183999999999999</v>
      </c>
      <c r="Q119" s="9">
        <v>32.624400000000001</v>
      </c>
      <c r="R119" s="9"/>
      <c r="S119" s="11"/>
    </row>
    <row r="120" spans="1:19" ht="15.75">
      <c r="A120" s="13">
        <v>45139</v>
      </c>
      <c r="B120" s="8">
        <f>CHOOSE( CONTROL!$C$32, 5.8421, 5.8385) * CHOOSE(CONTROL!$C$15, $D$11, 100%, $F$11)</f>
        <v>5.8421000000000003</v>
      </c>
      <c r="C120" s="8">
        <f>CHOOSE( CONTROL!$C$32, 5.8501, 5.8465) * CHOOSE(CONTROL!$C$15, $D$11, 100%, $F$11)</f>
        <v>5.8501000000000003</v>
      </c>
      <c r="D120" s="8">
        <f>CHOOSE( CONTROL!$C$32, 5.8884, 5.8847) * CHOOSE( CONTROL!$C$15, $D$11, 100%, $F$11)</f>
        <v>5.8883999999999999</v>
      </c>
      <c r="E120" s="12">
        <f>CHOOSE( CONTROL!$C$32, 5.8733, 5.8696) * CHOOSE( CONTROL!$C$15, $D$11, 100%, $F$11)</f>
        <v>5.8733000000000004</v>
      </c>
      <c r="F120" s="4">
        <f>CHOOSE( CONTROL!$C$32, 6.5851, 6.5815) * CHOOSE(CONTROL!$C$15, $D$11, 100%, $F$11)</f>
        <v>6.5850999999999997</v>
      </c>
      <c r="G120" s="8">
        <f>CHOOSE( CONTROL!$C$32, 5.7804, 5.7768) * CHOOSE( CONTROL!$C$15, $D$11, 100%, $F$11)</f>
        <v>5.7804000000000002</v>
      </c>
      <c r="H120" s="4">
        <f>CHOOSE( CONTROL!$C$32, 6.7547, 6.7511) * CHOOSE(CONTROL!$C$15, $D$11, 100%, $F$11)</f>
        <v>6.7546999999999997</v>
      </c>
      <c r="I120" s="8">
        <f>CHOOSE( CONTROL!$C$32, 5.8058, 5.8023) * CHOOSE(CONTROL!$C$15, $D$11, 100%, $F$11)</f>
        <v>5.8057999999999996</v>
      </c>
      <c r="J120" s="4">
        <f>CHOOSE( CONTROL!$C$32, 5.659, 5.6554) * CHOOSE(CONTROL!$C$15, $D$11, 100%, $F$11)</f>
        <v>5.6589999999999998</v>
      </c>
      <c r="K120" s="4"/>
      <c r="L120" s="9">
        <v>30.7165</v>
      </c>
      <c r="M120" s="9">
        <v>12.063700000000001</v>
      </c>
      <c r="N120" s="9">
        <v>4.9444999999999997</v>
      </c>
      <c r="O120" s="9">
        <v>0.37409999999999999</v>
      </c>
      <c r="P120" s="9">
        <v>1.2183999999999999</v>
      </c>
      <c r="Q120" s="9">
        <v>32.624400000000001</v>
      </c>
      <c r="R120" s="9"/>
      <c r="S120" s="11"/>
    </row>
    <row r="121" spans="1:19" ht="15.75">
      <c r="A121" s="13">
        <v>45170</v>
      </c>
      <c r="B121" s="8">
        <f>CHOOSE( CONTROL!$C$32, 5.7201, 5.7164) * CHOOSE(CONTROL!$C$15, $D$11, 100%, $F$11)</f>
        <v>5.7201000000000004</v>
      </c>
      <c r="C121" s="8">
        <f>CHOOSE( CONTROL!$C$32, 5.728, 5.7244) * CHOOSE(CONTROL!$C$15, $D$11, 100%, $F$11)</f>
        <v>5.7279999999999998</v>
      </c>
      <c r="D121" s="8">
        <f>CHOOSE( CONTROL!$C$32, 5.7662, 5.7626) * CHOOSE( CONTROL!$C$15, $D$11, 100%, $F$11)</f>
        <v>5.7662000000000004</v>
      </c>
      <c r="E121" s="12">
        <f>CHOOSE( CONTROL!$C$32, 5.7512, 5.7475) * CHOOSE( CONTROL!$C$15, $D$11, 100%, $F$11)</f>
        <v>5.7511999999999999</v>
      </c>
      <c r="F121" s="4">
        <f>CHOOSE( CONTROL!$C$32, 6.4631, 6.4594) * CHOOSE(CONTROL!$C$15, $D$11, 100%, $F$11)</f>
        <v>6.4630999999999998</v>
      </c>
      <c r="G121" s="8">
        <f>CHOOSE( CONTROL!$C$32, 5.6596, 5.656) * CHOOSE( CONTROL!$C$15, $D$11, 100%, $F$11)</f>
        <v>5.6596000000000002</v>
      </c>
      <c r="H121" s="4">
        <f>CHOOSE( CONTROL!$C$32, 6.634, 6.6304) * CHOOSE(CONTROL!$C$15, $D$11, 100%, $F$11)</f>
        <v>6.6340000000000003</v>
      </c>
      <c r="I121" s="8">
        <f>CHOOSE( CONTROL!$C$32, 5.6869, 5.6834) * CHOOSE(CONTROL!$C$15, $D$11, 100%, $F$11)</f>
        <v>5.6868999999999996</v>
      </c>
      <c r="J121" s="4">
        <f>CHOOSE( CONTROL!$C$32, 5.5405, 5.537) * CHOOSE(CONTROL!$C$15, $D$11, 100%, $F$11)</f>
        <v>5.5404999999999998</v>
      </c>
      <c r="K121" s="4"/>
      <c r="L121" s="9">
        <v>29.7257</v>
      </c>
      <c r="M121" s="9">
        <v>11.6745</v>
      </c>
      <c r="N121" s="9">
        <v>4.7850000000000001</v>
      </c>
      <c r="O121" s="9">
        <v>0.36199999999999999</v>
      </c>
      <c r="P121" s="9">
        <v>1.1791</v>
      </c>
      <c r="Q121" s="9">
        <v>31.571999999999999</v>
      </c>
      <c r="R121" s="9"/>
      <c r="S121" s="11"/>
    </row>
    <row r="122" spans="1:19" ht="15.75">
      <c r="A122" s="13">
        <v>45200</v>
      </c>
      <c r="B122" s="8">
        <f>5.9681 * CHOOSE(CONTROL!$C$15, $D$11, 100%, $F$11)</f>
        <v>5.9680999999999997</v>
      </c>
      <c r="C122" s="8">
        <f>5.9735 * CHOOSE(CONTROL!$C$15, $D$11, 100%, $F$11)</f>
        <v>5.9734999999999996</v>
      </c>
      <c r="D122" s="8">
        <f>6.017 * CHOOSE( CONTROL!$C$15, $D$11, 100%, $F$11)</f>
        <v>6.0170000000000003</v>
      </c>
      <c r="E122" s="12">
        <f>6.0021 * CHOOSE( CONTROL!$C$15, $D$11, 100%, $F$11)</f>
        <v>6.0021000000000004</v>
      </c>
      <c r="F122" s="4">
        <f>6.7129 * CHOOSE(CONTROL!$C$15, $D$11, 100%, $F$11)</f>
        <v>6.7129000000000003</v>
      </c>
      <c r="G122" s="8">
        <f>5.906 * CHOOSE( CONTROL!$C$15, $D$11, 100%, $F$11)</f>
        <v>5.9059999999999997</v>
      </c>
      <c r="H122" s="4">
        <f>6.8809 * CHOOSE(CONTROL!$C$15, $D$11, 100%, $F$11)</f>
        <v>6.8808999999999996</v>
      </c>
      <c r="I122" s="8">
        <f>5.9302 * CHOOSE(CONTROL!$C$15, $D$11, 100%, $F$11)</f>
        <v>5.9302000000000001</v>
      </c>
      <c r="J122" s="4">
        <f>5.7829 * CHOOSE(CONTROL!$C$15, $D$11, 100%, $F$11)</f>
        <v>5.7828999999999997</v>
      </c>
      <c r="K122" s="4"/>
      <c r="L122" s="9">
        <v>31.095300000000002</v>
      </c>
      <c r="M122" s="9">
        <v>12.063700000000001</v>
      </c>
      <c r="N122" s="9">
        <v>4.9444999999999997</v>
      </c>
      <c r="O122" s="9">
        <v>0.37409999999999999</v>
      </c>
      <c r="P122" s="9">
        <v>1.2183999999999999</v>
      </c>
      <c r="Q122" s="9">
        <v>32.624400000000001</v>
      </c>
      <c r="R122" s="9"/>
      <c r="S122" s="11"/>
    </row>
    <row r="123" spans="1:19" ht="15.75">
      <c r="A123" s="13">
        <v>45231</v>
      </c>
      <c r="B123" s="8">
        <f>6.4356 * CHOOSE(CONTROL!$C$15, $D$11, 100%, $F$11)</f>
        <v>6.4356</v>
      </c>
      <c r="C123" s="8">
        <f>6.4406 * CHOOSE(CONTROL!$C$15, $D$11, 100%, $F$11)</f>
        <v>6.4405999999999999</v>
      </c>
      <c r="D123" s="8">
        <f>6.4243 * CHOOSE( CONTROL!$C$15, $D$11, 100%, $F$11)</f>
        <v>6.4242999999999997</v>
      </c>
      <c r="E123" s="12">
        <f>6.4297 * CHOOSE( CONTROL!$C$15, $D$11, 100%, $F$11)</f>
        <v>6.4297000000000004</v>
      </c>
      <c r="F123" s="4">
        <f>7.1008 * CHOOSE(CONTROL!$C$15, $D$11, 100%, $F$11)</f>
        <v>7.1007999999999996</v>
      </c>
      <c r="G123" s="8">
        <f>6.3689 * CHOOSE( CONTROL!$C$15, $D$11, 100%, $F$11)</f>
        <v>6.3689</v>
      </c>
      <c r="H123" s="4">
        <f>7.2643 * CHOOSE(CONTROL!$C$15, $D$11, 100%, $F$11)</f>
        <v>7.2643000000000004</v>
      </c>
      <c r="I123" s="8">
        <f>6.3846 * CHOOSE(CONTROL!$C$15, $D$11, 100%, $F$11)</f>
        <v>6.3845999999999998</v>
      </c>
      <c r="J123" s="4">
        <f>6.2369 * CHOOSE(CONTROL!$C$15, $D$11, 100%, $F$11)</f>
        <v>6.2369000000000003</v>
      </c>
      <c r="K123" s="4"/>
      <c r="L123" s="9">
        <v>28.360600000000002</v>
      </c>
      <c r="M123" s="9">
        <v>11.6745</v>
      </c>
      <c r="N123" s="9">
        <v>4.7850000000000001</v>
      </c>
      <c r="O123" s="9">
        <v>0.36199999999999999</v>
      </c>
      <c r="P123" s="9">
        <v>1.2509999999999999</v>
      </c>
      <c r="Q123" s="9">
        <v>31.571999999999999</v>
      </c>
      <c r="R123" s="9"/>
      <c r="S123" s="11"/>
    </row>
    <row r="124" spans="1:19" ht="15.75">
      <c r="A124" s="13">
        <v>45261</v>
      </c>
      <c r="B124" s="8">
        <f>6.4239 * CHOOSE(CONTROL!$C$15, $D$11, 100%, $F$11)</f>
        <v>6.4238999999999997</v>
      </c>
      <c r="C124" s="8">
        <f>6.4289 * CHOOSE(CONTROL!$C$15, $D$11, 100%, $F$11)</f>
        <v>6.4288999999999996</v>
      </c>
      <c r="D124" s="8">
        <f>6.4143 * CHOOSE( CONTROL!$C$15, $D$11, 100%, $F$11)</f>
        <v>6.4142999999999999</v>
      </c>
      <c r="E124" s="12">
        <f>6.4191 * CHOOSE( CONTROL!$C$15, $D$11, 100%, $F$11)</f>
        <v>6.4191000000000003</v>
      </c>
      <c r="F124" s="4">
        <f>7.0891 * CHOOSE(CONTROL!$C$15, $D$11, 100%, $F$11)</f>
        <v>7.0891000000000002</v>
      </c>
      <c r="G124" s="8">
        <f>6.3586 * CHOOSE( CONTROL!$C$15, $D$11, 100%, $F$11)</f>
        <v>6.3586</v>
      </c>
      <c r="H124" s="4">
        <f>7.2528 * CHOOSE(CONTROL!$C$15, $D$11, 100%, $F$11)</f>
        <v>7.2527999999999997</v>
      </c>
      <c r="I124" s="8">
        <f>6.3786 * CHOOSE(CONTROL!$C$15, $D$11, 100%, $F$11)</f>
        <v>6.3785999999999996</v>
      </c>
      <c r="J124" s="4">
        <f>6.2256 * CHOOSE(CONTROL!$C$15, $D$11, 100%, $F$11)</f>
        <v>6.2256</v>
      </c>
      <c r="K124" s="4"/>
      <c r="L124" s="9">
        <v>29.306000000000001</v>
      </c>
      <c r="M124" s="9">
        <v>12.063700000000001</v>
      </c>
      <c r="N124" s="9">
        <v>4.9444999999999997</v>
      </c>
      <c r="O124" s="9">
        <v>0.37409999999999999</v>
      </c>
      <c r="P124" s="9">
        <v>1.2927</v>
      </c>
      <c r="Q124" s="9">
        <v>32.624400000000001</v>
      </c>
      <c r="R124" s="9"/>
      <c r="S124" s="11"/>
    </row>
    <row r="125" spans="1:19" ht="15.75">
      <c r="A125" s="13">
        <v>45292</v>
      </c>
      <c r="B125" s="8">
        <f>6.6556 * CHOOSE(CONTROL!$C$15, $D$11, 100%, $F$11)</f>
        <v>6.6555999999999997</v>
      </c>
      <c r="C125" s="8">
        <f>6.6607 * CHOOSE(CONTROL!$C$15, $D$11, 100%, $F$11)</f>
        <v>6.6607000000000003</v>
      </c>
      <c r="D125" s="8">
        <f>6.6318 * CHOOSE( CONTROL!$C$15, $D$11, 100%, $F$11)</f>
        <v>6.6318000000000001</v>
      </c>
      <c r="E125" s="12">
        <f>6.6418 * CHOOSE( CONTROL!$C$15, $D$11, 100%, $F$11)</f>
        <v>6.6417999999999999</v>
      </c>
      <c r="F125" s="4">
        <f>7.3209 * CHOOSE(CONTROL!$C$15, $D$11, 100%, $F$11)</f>
        <v>7.3209</v>
      </c>
      <c r="G125" s="8">
        <f>6.5774 * CHOOSE( CONTROL!$C$15, $D$11, 100%, $F$11)</f>
        <v>6.5773999999999999</v>
      </c>
      <c r="H125" s="4">
        <f>7.4818 * CHOOSE(CONTROL!$C$15, $D$11, 100%, $F$11)</f>
        <v>7.4817999999999998</v>
      </c>
      <c r="I125" s="8">
        <f>6.5982 * CHOOSE(CONTROL!$C$15, $D$11, 100%, $F$11)</f>
        <v>6.5982000000000003</v>
      </c>
      <c r="J125" s="4">
        <f>6.4505 * CHOOSE(CONTROL!$C$15, $D$11, 100%, $F$11)</f>
        <v>6.4504999999999999</v>
      </c>
      <c r="K125" s="4"/>
      <c r="L125" s="9">
        <v>29.306000000000001</v>
      </c>
      <c r="M125" s="9">
        <v>12.063700000000001</v>
      </c>
      <c r="N125" s="9">
        <v>4.9444999999999997</v>
      </c>
      <c r="O125" s="9">
        <v>0.37409999999999999</v>
      </c>
      <c r="P125" s="9">
        <v>1.2927</v>
      </c>
      <c r="Q125" s="9">
        <v>32.440300000000001</v>
      </c>
      <c r="R125" s="9"/>
      <c r="S125" s="11"/>
    </row>
    <row r="126" spans="1:19" ht="15.75">
      <c r="A126" s="13">
        <v>45323</v>
      </c>
      <c r="B126" s="8">
        <f>6.2259 * CHOOSE(CONTROL!$C$15, $D$11, 100%, $F$11)</f>
        <v>6.2259000000000002</v>
      </c>
      <c r="C126" s="8">
        <f>6.231 * CHOOSE(CONTROL!$C$15, $D$11, 100%, $F$11)</f>
        <v>6.2309999999999999</v>
      </c>
      <c r="D126" s="8">
        <f>6.2021 * CHOOSE( CONTROL!$C$15, $D$11, 100%, $F$11)</f>
        <v>6.2020999999999997</v>
      </c>
      <c r="E126" s="12">
        <f>6.2121 * CHOOSE( CONTROL!$C$15, $D$11, 100%, $F$11)</f>
        <v>6.2121000000000004</v>
      </c>
      <c r="F126" s="4">
        <f>6.8912 * CHOOSE(CONTROL!$C$15, $D$11, 100%, $F$11)</f>
        <v>6.8912000000000004</v>
      </c>
      <c r="G126" s="8">
        <f>6.1527 * CHOOSE( CONTROL!$C$15, $D$11, 100%, $F$11)</f>
        <v>6.1527000000000003</v>
      </c>
      <c r="H126" s="4">
        <f>7.0572 * CHOOSE(CONTROL!$C$15, $D$11, 100%, $F$11)</f>
        <v>7.0571999999999999</v>
      </c>
      <c r="I126" s="8">
        <f>6.181 * CHOOSE(CONTROL!$C$15, $D$11, 100%, $F$11)</f>
        <v>6.181</v>
      </c>
      <c r="J126" s="4">
        <f>6.0335 * CHOOSE(CONTROL!$C$15, $D$11, 100%, $F$11)</f>
        <v>6.0335000000000001</v>
      </c>
      <c r="K126" s="4"/>
      <c r="L126" s="9">
        <v>27.415299999999998</v>
      </c>
      <c r="M126" s="9">
        <v>11.285299999999999</v>
      </c>
      <c r="N126" s="9">
        <v>4.6254999999999997</v>
      </c>
      <c r="O126" s="9">
        <v>0.34989999999999999</v>
      </c>
      <c r="P126" s="9">
        <v>1.2093</v>
      </c>
      <c r="Q126" s="9">
        <v>30.347300000000001</v>
      </c>
      <c r="R126" s="9"/>
      <c r="S126" s="11"/>
    </row>
    <row r="127" spans="1:19" ht="15.75">
      <c r="A127" s="13">
        <v>45352</v>
      </c>
      <c r="B127" s="8">
        <f>6.0936 * CHOOSE(CONTROL!$C$15, $D$11, 100%, $F$11)</f>
        <v>6.0936000000000003</v>
      </c>
      <c r="C127" s="8">
        <f>6.0987 * CHOOSE(CONTROL!$C$15, $D$11, 100%, $F$11)</f>
        <v>6.0987</v>
      </c>
      <c r="D127" s="8">
        <f>6.0694 * CHOOSE( CONTROL!$C$15, $D$11, 100%, $F$11)</f>
        <v>6.0693999999999999</v>
      </c>
      <c r="E127" s="12">
        <f>6.0796 * CHOOSE( CONTROL!$C$15, $D$11, 100%, $F$11)</f>
        <v>6.0796000000000001</v>
      </c>
      <c r="F127" s="4">
        <f>6.7589 * CHOOSE(CONTROL!$C$15, $D$11, 100%, $F$11)</f>
        <v>6.7588999999999997</v>
      </c>
      <c r="G127" s="8">
        <f>6.0216 * CHOOSE( CONTROL!$C$15, $D$11, 100%, $F$11)</f>
        <v>6.0216000000000003</v>
      </c>
      <c r="H127" s="4">
        <f>6.9264 * CHOOSE(CONTROL!$C$15, $D$11, 100%, $F$11)</f>
        <v>6.9264000000000001</v>
      </c>
      <c r="I127" s="8">
        <f>6.0513 * CHOOSE(CONTROL!$C$15, $D$11, 100%, $F$11)</f>
        <v>6.0513000000000003</v>
      </c>
      <c r="J127" s="4">
        <f>5.9051 * CHOOSE(CONTROL!$C$15, $D$11, 100%, $F$11)</f>
        <v>5.9051</v>
      </c>
      <c r="K127" s="4"/>
      <c r="L127" s="9">
        <v>29.306000000000001</v>
      </c>
      <c r="M127" s="9">
        <v>12.063700000000001</v>
      </c>
      <c r="N127" s="9">
        <v>4.9444999999999997</v>
      </c>
      <c r="O127" s="9">
        <v>0.37409999999999999</v>
      </c>
      <c r="P127" s="9">
        <v>1.2927</v>
      </c>
      <c r="Q127" s="9">
        <v>32.440300000000001</v>
      </c>
      <c r="R127" s="9"/>
      <c r="S127" s="11"/>
    </row>
    <row r="128" spans="1:19" ht="15.75">
      <c r="A128" s="13">
        <v>45383</v>
      </c>
      <c r="B128" s="8">
        <f>6.1868 * CHOOSE(CONTROL!$C$15, $D$11, 100%, $F$11)</f>
        <v>6.1867999999999999</v>
      </c>
      <c r="C128" s="8">
        <f>6.1913 * CHOOSE(CONTROL!$C$15, $D$11, 100%, $F$11)</f>
        <v>6.1913</v>
      </c>
      <c r="D128" s="8">
        <f>6.2347 * CHOOSE( CONTROL!$C$15, $D$11, 100%, $F$11)</f>
        <v>6.2347000000000001</v>
      </c>
      <c r="E128" s="12">
        <f>6.2199 * CHOOSE( CONTROL!$C$15, $D$11, 100%, $F$11)</f>
        <v>6.2199</v>
      </c>
      <c r="F128" s="4">
        <f>6.9312 * CHOOSE(CONTROL!$C$15, $D$11, 100%, $F$11)</f>
        <v>6.9311999999999996</v>
      </c>
      <c r="G128" s="8">
        <f>6.1208 * CHOOSE( CONTROL!$C$15, $D$11, 100%, $F$11)</f>
        <v>6.1208</v>
      </c>
      <c r="H128" s="4">
        <f>7.0967 * CHOOSE(CONTROL!$C$15, $D$11, 100%, $F$11)</f>
        <v>7.0967000000000002</v>
      </c>
      <c r="I128" s="8">
        <f>6.1392 * CHOOSE(CONTROL!$C$15, $D$11, 100%, $F$11)</f>
        <v>6.1391999999999998</v>
      </c>
      <c r="J128" s="4">
        <f>5.9948 * CHOOSE(CONTROL!$C$15, $D$11, 100%, $F$11)</f>
        <v>5.9947999999999997</v>
      </c>
      <c r="K128" s="4"/>
      <c r="L128" s="9">
        <v>30.092199999999998</v>
      </c>
      <c r="M128" s="9">
        <v>11.6745</v>
      </c>
      <c r="N128" s="9">
        <v>4.7850000000000001</v>
      </c>
      <c r="O128" s="9">
        <v>0.36199999999999999</v>
      </c>
      <c r="P128" s="9">
        <v>1.1791</v>
      </c>
      <c r="Q128" s="9">
        <v>31.393799999999999</v>
      </c>
      <c r="R128" s="9"/>
      <c r="S128" s="11"/>
    </row>
    <row r="129" spans="1:19" ht="15.75">
      <c r="A129" s="13">
        <v>45413</v>
      </c>
      <c r="B129" s="8">
        <f>CHOOSE( CONTROL!$C$32, 6.3564, 6.3528) * CHOOSE(CONTROL!$C$15, $D$11, 100%, $F$11)</f>
        <v>6.3563999999999998</v>
      </c>
      <c r="C129" s="8">
        <f>CHOOSE( CONTROL!$C$32, 6.3644, 6.3608) * CHOOSE(CONTROL!$C$15, $D$11, 100%, $F$11)</f>
        <v>6.3643999999999998</v>
      </c>
      <c r="D129" s="8">
        <f>CHOOSE( CONTROL!$C$32, 6.4021, 6.3985) * CHOOSE( CONTROL!$C$15, $D$11, 100%, $F$11)</f>
        <v>6.4020999999999999</v>
      </c>
      <c r="E129" s="12">
        <f>CHOOSE( CONTROL!$C$32, 6.3872, 6.3836) * CHOOSE( CONTROL!$C$15, $D$11, 100%, $F$11)</f>
        <v>6.3872</v>
      </c>
      <c r="F129" s="4">
        <f>CHOOSE( CONTROL!$C$32, 7.0994, 7.0958) * CHOOSE(CONTROL!$C$15, $D$11, 100%, $F$11)</f>
        <v>7.0994000000000002</v>
      </c>
      <c r="G129" s="8">
        <f>CHOOSE( CONTROL!$C$32, 6.2879, 6.2843) * CHOOSE( CONTROL!$C$15, $D$11, 100%, $F$11)</f>
        <v>6.2878999999999996</v>
      </c>
      <c r="H129" s="4">
        <f>CHOOSE( CONTROL!$C$32, 7.2629, 7.2593) * CHOOSE(CONTROL!$C$15, $D$11, 100%, $F$11)</f>
        <v>7.2629000000000001</v>
      </c>
      <c r="I129" s="8">
        <f>CHOOSE( CONTROL!$C$32, 6.3027, 6.2992) * CHOOSE(CONTROL!$C$15, $D$11, 100%, $F$11)</f>
        <v>6.3026999999999997</v>
      </c>
      <c r="J129" s="4">
        <f>CHOOSE( CONTROL!$C$32, 6.1581, 6.1546) * CHOOSE(CONTROL!$C$15, $D$11, 100%, $F$11)</f>
        <v>6.1581000000000001</v>
      </c>
      <c r="K129" s="4"/>
      <c r="L129" s="9">
        <v>30.7165</v>
      </c>
      <c r="M129" s="9">
        <v>12.063700000000001</v>
      </c>
      <c r="N129" s="9">
        <v>4.9444999999999997</v>
      </c>
      <c r="O129" s="9">
        <v>0.37409999999999999</v>
      </c>
      <c r="P129" s="9">
        <v>1.2183999999999999</v>
      </c>
      <c r="Q129" s="9">
        <v>32.440300000000001</v>
      </c>
      <c r="R129" s="9"/>
      <c r="S129" s="11"/>
    </row>
    <row r="130" spans="1:19" ht="15.75">
      <c r="A130" s="13">
        <v>45444</v>
      </c>
      <c r="B130" s="8">
        <f>CHOOSE( CONTROL!$C$32, 6.2545, 6.2508) * CHOOSE(CONTROL!$C$15, $D$11, 100%, $F$11)</f>
        <v>6.2545000000000002</v>
      </c>
      <c r="C130" s="8">
        <f>CHOOSE( CONTROL!$C$32, 6.2625, 6.2588) * CHOOSE(CONTROL!$C$15, $D$11, 100%, $F$11)</f>
        <v>6.2625000000000002</v>
      </c>
      <c r="D130" s="8">
        <f>CHOOSE( CONTROL!$C$32, 6.3004, 6.2968) * CHOOSE( CONTROL!$C$15, $D$11, 100%, $F$11)</f>
        <v>6.3003999999999998</v>
      </c>
      <c r="E130" s="12">
        <f>CHOOSE( CONTROL!$C$32, 6.2854, 6.2818) * CHOOSE( CONTROL!$C$15, $D$11, 100%, $F$11)</f>
        <v>6.2854000000000001</v>
      </c>
      <c r="F130" s="4">
        <f>CHOOSE( CONTROL!$C$32, 6.9975, 6.9938) * CHOOSE(CONTROL!$C$15, $D$11, 100%, $F$11)</f>
        <v>6.9974999999999996</v>
      </c>
      <c r="G130" s="8">
        <f>CHOOSE( CONTROL!$C$32, 6.1875, 6.1839) * CHOOSE( CONTROL!$C$15, $D$11, 100%, $F$11)</f>
        <v>6.1875</v>
      </c>
      <c r="H130" s="4">
        <f>CHOOSE( CONTROL!$C$32, 7.1622, 7.1586) * CHOOSE(CONTROL!$C$15, $D$11, 100%, $F$11)</f>
        <v>7.1622000000000003</v>
      </c>
      <c r="I130" s="8">
        <f>CHOOSE( CONTROL!$C$32, 6.2048, 6.2012) * CHOOSE(CONTROL!$C$15, $D$11, 100%, $F$11)</f>
        <v>6.2047999999999996</v>
      </c>
      <c r="J130" s="4">
        <f>CHOOSE( CONTROL!$C$32, 6.0591, 6.0556) * CHOOSE(CONTROL!$C$15, $D$11, 100%, $F$11)</f>
        <v>6.0590999999999999</v>
      </c>
      <c r="K130" s="4"/>
      <c r="L130" s="9">
        <v>29.7257</v>
      </c>
      <c r="M130" s="9">
        <v>11.6745</v>
      </c>
      <c r="N130" s="9">
        <v>4.7850000000000001</v>
      </c>
      <c r="O130" s="9">
        <v>0.36199999999999999</v>
      </c>
      <c r="P130" s="9">
        <v>1.1791</v>
      </c>
      <c r="Q130" s="9">
        <v>31.393799999999999</v>
      </c>
      <c r="R130" s="9"/>
      <c r="S130" s="11"/>
    </row>
    <row r="131" spans="1:19" ht="15.75">
      <c r="A131" s="13">
        <v>45474</v>
      </c>
      <c r="B131" s="8">
        <f>CHOOSE( CONTROL!$C$32, 6.523, 6.5193) * CHOOSE(CONTROL!$C$15, $D$11, 100%, $F$11)</f>
        <v>6.5229999999999997</v>
      </c>
      <c r="C131" s="8">
        <f>CHOOSE( CONTROL!$C$32, 6.5309, 6.5273) * CHOOSE(CONTROL!$C$15, $D$11, 100%, $F$11)</f>
        <v>6.5308999999999999</v>
      </c>
      <c r="D131" s="8">
        <f>CHOOSE( CONTROL!$C$32, 6.5691, 6.5655) * CHOOSE( CONTROL!$C$15, $D$11, 100%, $F$11)</f>
        <v>6.5690999999999997</v>
      </c>
      <c r="E131" s="12">
        <f>CHOOSE( CONTROL!$C$32, 6.5541, 6.5504) * CHOOSE( CONTROL!$C$15, $D$11, 100%, $F$11)</f>
        <v>6.5541</v>
      </c>
      <c r="F131" s="4">
        <f>CHOOSE( CONTROL!$C$32, 7.266, 7.2623) * CHOOSE(CONTROL!$C$15, $D$11, 100%, $F$11)</f>
        <v>7.266</v>
      </c>
      <c r="G131" s="8">
        <f>CHOOSE( CONTROL!$C$32, 6.4532, 6.4496) * CHOOSE( CONTROL!$C$15, $D$11, 100%, $F$11)</f>
        <v>6.4531999999999998</v>
      </c>
      <c r="H131" s="4">
        <f>CHOOSE( CONTROL!$C$32, 7.4275, 7.4239) * CHOOSE(CONTROL!$C$15, $D$11, 100%, $F$11)</f>
        <v>7.4275000000000002</v>
      </c>
      <c r="I131" s="8">
        <f>CHOOSE( CONTROL!$C$32, 6.4666, 6.4631) * CHOOSE(CONTROL!$C$15, $D$11, 100%, $F$11)</f>
        <v>6.4665999999999997</v>
      </c>
      <c r="J131" s="4">
        <f>CHOOSE( CONTROL!$C$32, 6.3197, 6.3162) * CHOOSE(CONTROL!$C$15, $D$11, 100%, $F$11)</f>
        <v>6.3197000000000001</v>
      </c>
      <c r="K131" s="4"/>
      <c r="L131" s="9">
        <v>30.7165</v>
      </c>
      <c r="M131" s="9">
        <v>12.063700000000001</v>
      </c>
      <c r="N131" s="9">
        <v>4.9444999999999997</v>
      </c>
      <c r="O131" s="9">
        <v>0.37409999999999999</v>
      </c>
      <c r="P131" s="9">
        <v>1.2183999999999999</v>
      </c>
      <c r="Q131" s="9">
        <v>32.440300000000001</v>
      </c>
      <c r="R131" s="9"/>
      <c r="S131" s="11"/>
    </row>
    <row r="132" spans="1:19" ht="15.75">
      <c r="A132" s="13">
        <v>45505</v>
      </c>
      <c r="B132" s="8">
        <f>CHOOSE( CONTROL!$C$32, 6.0206, 6.0169) * CHOOSE(CONTROL!$C$15, $D$11, 100%, $F$11)</f>
        <v>6.0206</v>
      </c>
      <c r="C132" s="8">
        <f>CHOOSE( CONTROL!$C$32, 6.0286, 6.0249) * CHOOSE(CONTROL!$C$15, $D$11, 100%, $F$11)</f>
        <v>6.0286</v>
      </c>
      <c r="D132" s="8">
        <f>CHOOSE( CONTROL!$C$32, 6.0668, 6.0632) * CHOOSE( CONTROL!$C$15, $D$11, 100%, $F$11)</f>
        <v>6.0667999999999997</v>
      </c>
      <c r="E132" s="12">
        <f>CHOOSE( CONTROL!$C$32, 6.0517, 6.0481) * CHOOSE( CONTROL!$C$15, $D$11, 100%, $F$11)</f>
        <v>6.0517000000000003</v>
      </c>
      <c r="F132" s="4">
        <f>CHOOSE( CONTROL!$C$32, 6.7636, 6.76) * CHOOSE(CONTROL!$C$15, $D$11, 100%, $F$11)</f>
        <v>6.7636000000000003</v>
      </c>
      <c r="G132" s="8">
        <f>CHOOSE( CONTROL!$C$32, 5.9568, 5.9532) * CHOOSE( CONTROL!$C$15, $D$11, 100%, $F$11)</f>
        <v>5.9568000000000003</v>
      </c>
      <c r="H132" s="4">
        <f>CHOOSE( CONTROL!$C$32, 6.931, 6.9274) * CHOOSE(CONTROL!$C$15, $D$11, 100%, $F$11)</f>
        <v>6.931</v>
      </c>
      <c r="I132" s="8">
        <f>CHOOSE( CONTROL!$C$32, 5.9791, 5.9755) * CHOOSE(CONTROL!$C$15, $D$11, 100%, $F$11)</f>
        <v>5.9790999999999999</v>
      </c>
      <c r="J132" s="4">
        <f>CHOOSE( CONTROL!$C$32, 5.8322, 5.8286) * CHOOSE(CONTROL!$C$15, $D$11, 100%, $F$11)</f>
        <v>5.8322000000000003</v>
      </c>
      <c r="K132" s="4"/>
      <c r="L132" s="9">
        <v>30.7165</v>
      </c>
      <c r="M132" s="9">
        <v>12.063700000000001</v>
      </c>
      <c r="N132" s="9">
        <v>4.9444999999999997</v>
      </c>
      <c r="O132" s="9">
        <v>0.37409999999999999</v>
      </c>
      <c r="P132" s="9">
        <v>1.2183999999999999</v>
      </c>
      <c r="Q132" s="9">
        <v>32.440300000000001</v>
      </c>
      <c r="R132" s="9"/>
      <c r="S132" s="11"/>
    </row>
    <row r="133" spans="1:19" ht="15.75">
      <c r="A133" s="13">
        <v>45536</v>
      </c>
      <c r="B133" s="8">
        <f>CHOOSE( CONTROL!$C$32, 5.8948, 5.8911) * CHOOSE(CONTROL!$C$15, $D$11, 100%, $F$11)</f>
        <v>5.8948</v>
      </c>
      <c r="C133" s="8">
        <f>CHOOSE( CONTROL!$C$32, 5.9028, 5.8991) * CHOOSE(CONTROL!$C$15, $D$11, 100%, $F$11)</f>
        <v>5.9028</v>
      </c>
      <c r="D133" s="8">
        <f>CHOOSE( CONTROL!$C$32, 5.9409, 5.9373) * CHOOSE( CONTROL!$C$15, $D$11, 100%, $F$11)</f>
        <v>5.9409000000000001</v>
      </c>
      <c r="E133" s="12">
        <f>CHOOSE( CONTROL!$C$32, 5.9259, 5.9222) * CHOOSE( CONTROL!$C$15, $D$11, 100%, $F$11)</f>
        <v>5.9259000000000004</v>
      </c>
      <c r="F133" s="4">
        <f>CHOOSE( CONTROL!$C$32, 6.6378, 6.6341) * CHOOSE(CONTROL!$C$15, $D$11, 100%, $F$11)</f>
        <v>6.6378000000000004</v>
      </c>
      <c r="G133" s="8">
        <f>CHOOSE( CONTROL!$C$32, 5.8323, 5.8287) * CHOOSE( CONTROL!$C$15, $D$11, 100%, $F$11)</f>
        <v>5.8323</v>
      </c>
      <c r="H133" s="4">
        <f>CHOOSE( CONTROL!$C$32, 6.8067, 6.8031) * CHOOSE(CONTROL!$C$15, $D$11, 100%, $F$11)</f>
        <v>6.8067000000000002</v>
      </c>
      <c r="I133" s="8">
        <f>CHOOSE( CONTROL!$C$32, 5.8566, 5.853) * CHOOSE(CONTROL!$C$15, $D$11, 100%, $F$11)</f>
        <v>5.8566000000000003</v>
      </c>
      <c r="J133" s="4">
        <f>CHOOSE( CONTROL!$C$32, 5.7101, 5.7065) * CHOOSE(CONTROL!$C$15, $D$11, 100%, $F$11)</f>
        <v>5.7100999999999997</v>
      </c>
      <c r="K133" s="4"/>
      <c r="L133" s="9">
        <v>29.7257</v>
      </c>
      <c r="M133" s="9">
        <v>11.6745</v>
      </c>
      <c r="N133" s="9">
        <v>4.7850000000000001</v>
      </c>
      <c r="O133" s="9">
        <v>0.36199999999999999</v>
      </c>
      <c r="P133" s="9">
        <v>1.1791</v>
      </c>
      <c r="Q133" s="9">
        <v>31.393799999999999</v>
      </c>
      <c r="R133" s="9"/>
      <c r="S133" s="11"/>
    </row>
    <row r="134" spans="1:19" ht="15.75">
      <c r="A134" s="13">
        <v>45566</v>
      </c>
      <c r="B134" s="8">
        <f>6.1506 * CHOOSE(CONTROL!$C$15, $D$11, 100%, $F$11)</f>
        <v>6.1505999999999998</v>
      </c>
      <c r="C134" s="8">
        <f>6.156 * CHOOSE(CONTROL!$C$15, $D$11, 100%, $F$11)</f>
        <v>6.1559999999999997</v>
      </c>
      <c r="D134" s="8">
        <f>6.1995 * CHOOSE( CONTROL!$C$15, $D$11, 100%, $F$11)</f>
        <v>6.1994999999999996</v>
      </c>
      <c r="E134" s="12">
        <f>6.1846 * CHOOSE( CONTROL!$C$15, $D$11, 100%, $F$11)</f>
        <v>6.1845999999999997</v>
      </c>
      <c r="F134" s="4">
        <f>6.8954 * CHOOSE(CONTROL!$C$15, $D$11, 100%, $F$11)</f>
        <v>6.8954000000000004</v>
      </c>
      <c r="G134" s="8">
        <f>6.0863 * CHOOSE( CONTROL!$C$15, $D$11, 100%, $F$11)</f>
        <v>6.0862999999999996</v>
      </c>
      <c r="H134" s="4">
        <f>7.0613 * CHOOSE(CONTROL!$C$15, $D$11, 100%, $F$11)</f>
        <v>7.0613000000000001</v>
      </c>
      <c r="I134" s="8">
        <f>6.1074 * CHOOSE(CONTROL!$C$15, $D$11, 100%, $F$11)</f>
        <v>6.1074000000000002</v>
      </c>
      <c r="J134" s="4">
        <f>5.96 * CHOOSE(CONTROL!$C$15, $D$11, 100%, $F$11)</f>
        <v>5.96</v>
      </c>
      <c r="K134" s="4"/>
      <c r="L134" s="9">
        <v>31.095300000000002</v>
      </c>
      <c r="M134" s="9">
        <v>12.063700000000001</v>
      </c>
      <c r="N134" s="9">
        <v>4.9444999999999997</v>
      </c>
      <c r="O134" s="9">
        <v>0.37409999999999999</v>
      </c>
      <c r="P134" s="9">
        <v>1.2183999999999999</v>
      </c>
      <c r="Q134" s="9">
        <v>32.440300000000001</v>
      </c>
      <c r="R134" s="9"/>
      <c r="S134" s="11"/>
    </row>
    <row r="135" spans="1:19" ht="15.75">
      <c r="A135" s="13">
        <v>45597</v>
      </c>
      <c r="B135" s="8">
        <f>6.6324 * CHOOSE(CONTROL!$C$15, $D$11, 100%, $F$11)</f>
        <v>6.6323999999999996</v>
      </c>
      <c r="C135" s="8">
        <f>6.6374 * CHOOSE(CONTROL!$C$15, $D$11, 100%, $F$11)</f>
        <v>6.6374000000000004</v>
      </c>
      <c r="D135" s="8">
        <f>6.6211 * CHOOSE( CONTROL!$C$15, $D$11, 100%, $F$11)</f>
        <v>6.6211000000000002</v>
      </c>
      <c r="E135" s="12">
        <f>6.6265 * CHOOSE( CONTROL!$C$15, $D$11, 100%, $F$11)</f>
        <v>6.6265000000000001</v>
      </c>
      <c r="F135" s="4">
        <f>7.2976 * CHOOSE(CONTROL!$C$15, $D$11, 100%, $F$11)</f>
        <v>7.2976000000000001</v>
      </c>
      <c r="G135" s="8">
        <f>6.5634 * CHOOSE( CONTROL!$C$15, $D$11, 100%, $F$11)</f>
        <v>6.5633999999999997</v>
      </c>
      <c r="H135" s="4">
        <f>7.4588 * CHOOSE(CONTROL!$C$15, $D$11, 100%, $F$11)</f>
        <v>7.4588000000000001</v>
      </c>
      <c r="I135" s="8">
        <f>6.5757 * CHOOSE(CONTROL!$C$15, $D$11, 100%, $F$11)</f>
        <v>6.5757000000000003</v>
      </c>
      <c r="J135" s="4">
        <f>6.428 * CHOOSE(CONTROL!$C$15, $D$11, 100%, $F$11)</f>
        <v>6.4279999999999999</v>
      </c>
      <c r="K135" s="4"/>
      <c r="L135" s="9">
        <v>28.360600000000002</v>
      </c>
      <c r="M135" s="9">
        <v>11.6745</v>
      </c>
      <c r="N135" s="9">
        <v>4.7850000000000001</v>
      </c>
      <c r="O135" s="9">
        <v>0.36199999999999999</v>
      </c>
      <c r="P135" s="9">
        <v>1.2509999999999999</v>
      </c>
      <c r="Q135" s="9">
        <v>31.393799999999999</v>
      </c>
      <c r="R135" s="9"/>
      <c r="S135" s="11"/>
    </row>
    <row r="136" spans="1:19" ht="15.75">
      <c r="A136" s="13">
        <v>45627</v>
      </c>
      <c r="B136" s="8">
        <f>6.6203 * CHOOSE(CONTROL!$C$15, $D$11, 100%, $F$11)</f>
        <v>6.6203000000000003</v>
      </c>
      <c r="C136" s="8">
        <f>6.6254 * CHOOSE(CONTROL!$C$15, $D$11, 100%, $F$11)</f>
        <v>6.6254</v>
      </c>
      <c r="D136" s="8">
        <f>6.6108 * CHOOSE( CONTROL!$C$15, $D$11, 100%, $F$11)</f>
        <v>6.6108000000000002</v>
      </c>
      <c r="E136" s="12">
        <f>6.6156 * CHOOSE( CONTROL!$C$15, $D$11, 100%, $F$11)</f>
        <v>6.6155999999999997</v>
      </c>
      <c r="F136" s="4">
        <f>7.2856 * CHOOSE(CONTROL!$C$15, $D$11, 100%, $F$11)</f>
        <v>7.2855999999999996</v>
      </c>
      <c r="G136" s="8">
        <f>6.5528 * CHOOSE( CONTROL!$C$15, $D$11, 100%, $F$11)</f>
        <v>6.5528000000000004</v>
      </c>
      <c r="H136" s="4">
        <f>7.4469 * CHOOSE(CONTROL!$C$15, $D$11, 100%, $F$11)</f>
        <v>7.4469000000000003</v>
      </c>
      <c r="I136" s="8">
        <f>6.5694 * CHOOSE(CONTROL!$C$15, $D$11, 100%, $F$11)</f>
        <v>6.5693999999999999</v>
      </c>
      <c r="J136" s="4">
        <f>6.4163 * CHOOSE(CONTROL!$C$15, $D$11, 100%, $F$11)</f>
        <v>6.4162999999999997</v>
      </c>
      <c r="K136" s="4"/>
      <c r="L136" s="9">
        <v>29.306000000000001</v>
      </c>
      <c r="M136" s="9">
        <v>12.063700000000001</v>
      </c>
      <c r="N136" s="9">
        <v>4.9444999999999997</v>
      </c>
      <c r="O136" s="9">
        <v>0.37409999999999999</v>
      </c>
      <c r="P136" s="9">
        <v>1.2927</v>
      </c>
      <c r="Q136" s="9">
        <v>32.440300000000001</v>
      </c>
      <c r="R136" s="9"/>
      <c r="S136" s="11"/>
    </row>
    <row r="137" spans="1:19" ht="15.75">
      <c r="A137" s="13">
        <v>45658</v>
      </c>
      <c r="B137" s="8">
        <f>6.8585 * CHOOSE(CONTROL!$C$15, $D$11, 100%, $F$11)</f>
        <v>6.8585000000000003</v>
      </c>
      <c r="C137" s="8">
        <f>6.8635 * CHOOSE(CONTROL!$C$15, $D$11, 100%, $F$11)</f>
        <v>6.8635000000000002</v>
      </c>
      <c r="D137" s="8">
        <f>6.8346 * CHOOSE( CONTROL!$C$15, $D$11, 100%, $F$11)</f>
        <v>6.8346</v>
      </c>
      <c r="E137" s="12">
        <f>6.8446 * CHOOSE( CONTROL!$C$15, $D$11, 100%, $F$11)</f>
        <v>6.8445999999999998</v>
      </c>
      <c r="F137" s="4">
        <f>7.5237 * CHOOSE(CONTROL!$C$15, $D$11, 100%, $F$11)</f>
        <v>7.5236999999999998</v>
      </c>
      <c r="G137" s="8">
        <f>6.7778 * CHOOSE( CONTROL!$C$15, $D$11, 100%, $F$11)</f>
        <v>6.7778</v>
      </c>
      <c r="H137" s="4">
        <f>7.6823 * CHOOSE(CONTROL!$C$15, $D$11, 100%, $F$11)</f>
        <v>7.6822999999999997</v>
      </c>
      <c r="I137" s="8">
        <f>6.7952 * CHOOSE(CONTROL!$C$15, $D$11, 100%, $F$11)</f>
        <v>6.7952000000000004</v>
      </c>
      <c r="J137" s="4">
        <f>6.6474 * CHOOSE(CONTROL!$C$15, $D$11, 100%, $F$11)</f>
        <v>6.6474000000000002</v>
      </c>
      <c r="K137" s="4"/>
      <c r="L137" s="9">
        <v>29.306000000000001</v>
      </c>
      <c r="M137" s="9">
        <v>12.063700000000001</v>
      </c>
      <c r="N137" s="9">
        <v>4.9444999999999997</v>
      </c>
      <c r="O137" s="9">
        <v>0.37409999999999999</v>
      </c>
      <c r="P137" s="9">
        <v>1.2927</v>
      </c>
      <c r="Q137" s="9">
        <v>32.254300000000001</v>
      </c>
      <c r="R137" s="9"/>
      <c r="S137" s="11"/>
    </row>
    <row r="138" spans="1:19" ht="15.75">
      <c r="A138" s="13">
        <v>45689</v>
      </c>
      <c r="B138" s="8">
        <f>6.4156 * CHOOSE(CONTROL!$C$15, $D$11, 100%, $F$11)</f>
        <v>6.4156000000000004</v>
      </c>
      <c r="C138" s="8">
        <f>6.4207 * CHOOSE(CONTROL!$C$15, $D$11, 100%, $F$11)</f>
        <v>6.4207000000000001</v>
      </c>
      <c r="D138" s="8">
        <f>6.3918 * CHOOSE( CONTROL!$C$15, $D$11, 100%, $F$11)</f>
        <v>6.3917999999999999</v>
      </c>
      <c r="E138" s="12">
        <f>6.4018 * CHOOSE( CONTROL!$C$15, $D$11, 100%, $F$11)</f>
        <v>6.4017999999999997</v>
      </c>
      <c r="F138" s="4">
        <f>7.0809 * CHOOSE(CONTROL!$C$15, $D$11, 100%, $F$11)</f>
        <v>7.0808999999999997</v>
      </c>
      <c r="G138" s="8">
        <f>6.3402 * CHOOSE( CONTROL!$C$15, $D$11, 100%, $F$11)</f>
        <v>6.3402000000000003</v>
      </c>
      <c r="H138" s="4">
        <f>7.2446 * CHOOSE(CONTROL!$C$15, $D$11, 100%, $F$11)</f>
        <v>7.2446000000000002</v>
      </c>
      <c r="I138" s="8">
        <f>6.3652 * CHOOSE(CONTROL!$C$15, $D$11, 100%, $F$11)</f>
        <v>6.3651999999999997</v>
      </c>
      <c r="J138" s="4">
        <f>6.2176 * CHOOSE(CONTROL!$C$15, $D$11, 100%, $F$11)</f>
        <v>6.2176</v>
      </c>
      <c r="K138" s="4"/>
      <c r="L138" s="9">
        <v>26.469899999999999</v>
      </c>
      <c r="M138" s="9">
        <v>10.8962</v>
      </c>
      <c r="N138" s="9">
        <v>4.4660000000000002</v>
      </c>
      <c r="O138" s="9">
        <v>0.33789999999999998</v>
      </c>
      <c r="P138" s="9">
        <v>1.1676</v>
      </c>
      <c r="Q138" s="9">
        <v>29.132899999999999</v>
      </c>
      <c r="R138" s="9"/>
      <c r="S138" s="11"/>
    </row>
    <row r="139" spans="1:19" ht="15.75">
      <c r="A139" s="13">
        <v>45717</v>
      </c>
      <c r="B139" s="8">
        <f>6.2793 * CHOOSE(CONTROL!$C$15, $D$11, 100%, $F$11)</f>
        <v>6.2793000000000001</v>
      </c>
      <c r="C139" s="8">
        <f>6.2843 * CHOOSE(CONTROL!$C$15, $D$11, 100%, $F$11)</f>
        <v>6.2843</v>
      </c>
      <c r="D139" s="8">
        <f>6.2551 * CHOOSE( CONTROL!$C$15, $D$11, 100%, $F$11)</f>
        <v>6.2550999999999997</v>
      </c>
      <c r="E139" s="12">
        <f>6.2652 * CHOOSE( CONTROL!$C$15, $D$11, 100%, $F$11)</f>
        <v>6.2652000000000001</v>
      </c>
      <c r="F139" s="4">
        <f>6.9445 * CHOOSE(CONTROL!$C$15, $D$11, 100%, $F$11)</f>
        <v>6.9444999999999997</v>
      </c>
      <c r="G139" s="8">
        <f>6.2051 * CHOOSE( CONTROL!$C$15, $D$11, 100%, $F$11)</f>
        <v>6.2050999999999998</v>
      </c>
      <c r="H139" s="4">
        <f>7.1099 * CHOOSE(CONTROL!$C$15, $D$11, 100%, $F$11)</f>
        <v>7.1098999999999997</v>
      </c>
      <c r="I139" s="8">
        <f>6.2315 * CHOOSE(CONTROL!$C$15, $D$11, 100%, $F$11)</f>
        <v>6.2314999999999996</v>
      </c>
      <c r="J139" s="4">
        <f>6.0853 * CHOOSE(CONTROL!$C$15, $D$11, 100%, $F$11)</f>
        <v>6.0853000000000002</v>
      </c>
      <c r="K139" s="4"/>
      <c r="L139" s="9">
        <v>29.306000000000001</v>
      </c>
      <c r="M139" s="9">
        <v>12.063700000000001</v>
      </c>
      <c r="N139" s="9">
        <v>4.9444999999999997</v>
      </c>
      <c r="O139" s="9">
        <v>0.37409999999999999</v>
      </c>
      <c r="P139" s="9">
        <v>1.2927</v>
      </c>
      <c r="Q139" s="9">
        <v>32.254300000000001</v>
      </c>
      <c r="R139" s="9"/>
      <c r="S139" s="11"/>
    </row>
    <row r="140" spans="1:19" ht="15.75">
      <c r="A140" s="13">
        <v>45748</v>
      </c>
      <c r="B140" s="8">
        <f>6.3753 * CHOOSE(CONTROL!$C$15, $D$11, 100%, $F$11)</f>
        <v>6.3753000000000002</v>
      </c>
      <c r="C140" s="8">
        <f>6.3798 * CHOOSE(CONTROL!$C$15, $D$11, 100%, $F$11)</f>
        <v>6.3798000000000004</v>
      </c>
      <c r="D140" s="8">
        <f>6.4232 * CHOOSE( CONTROL!$C$15, $D$11, 100%, $F$11)</f>
        <v>6.4231999999999996</v>
      </c>
      <c r="E140" s="12">
        <f>6.4084 * CHOOSE( CONTROL!$C$15, $D$11, 100%, $F$11)</f>
        <v>6.4084000000000003</v>
      </c>
      <c r="F140" s="4">
        <f>7.1197 * CHOOSE(CONTROL!$C$15, $D$11, 100%, $F$11)</f>
        <v>7.1196999999999999</v>
      </c>
      <c r="G140" s="8">
        <f>6.3071 * CHOOSE( CONTROL!$C$15, $D$11, 100%, $F$11)</f>
        <v>6.3071000000000002</v>
      </c>
      <c r="H140" s="4">
        <f>7.283 * CHOOSE(CONTROL!$C$15, $D$11, 100%, $F$11)</f>
        <v>7.2830000000000004</v>
      </c>
      <c r="I140" s="8">
        <f>6.3223 * CHOOSE(CONTROL!$C$15, $D$11, 100%, $F$11)</f>
        <v>6.3223000000000003</v>
      </c>
      <c r="J140" s="4">
        <f>6.1778 * CHOOSE(CONTROL!$C$15, $D$11, 100%, $F$11)</f>
        <v>6.1778000000000004</v>
      </c>
      <c r="K140" s="4"/>
      <c r="L140" s="9">
        <v>30.092199999999998</v>
      </c>
      <c r="M140" s="9">
        <v>11.6745</v>
      </c>
      <c r="N140" s="9">
        <v>4.7850000000000001</v>
      </c>
      <c r="O140" s="9">
        <v>0.36199999999999999</v>
      </c>
      <c r="P140" s="9">
        <v>1.1791</v>
      </c>
      <c r="Q140" s="9">
        <v>31.213799999999999</v>
      </c>
      <c r="R140" s="9"/>
      <c r="S140" s="11"/>
    </row>
    <row r="141" spans="1:19" ht="15.75">
      <c r="A141" s="13">
        <v>45778</v>
      </c>
      <c r="B141" s="8">
        <f>CHOOSE( CONTROL!$C$32, 6.55, 6.5463) * CHOOSE(CONTROL!$C$15, $D$11, 100%, $F$11)</f>
        <v>6.55</v>
      </c>
      <c r="C141" s="8">
        <f>CHOOSE( CONTROL!$C$32, 6.5579, 6.5543) * CHOOSE(CONTROL!$C$15, $D$11, 100%, $F$11)</f>
        <v>6.5579000000000001</v>
      </c>
      <c r="D141" s="8">
        <f>CHOOSE( CONTROL!$C$32, 6.5957, 6.592) * CHOOSE( CONTROL!$C$15, $D$11, 100%, $F$11)</f>
        <v>6.5956999999999999</v>
      </c>
      <c r="E141" s="12">
        <f>CHOOSE( CONTROL!$C$32, 6.5808, 6.5771) * CHOOSE( CONTROL!$C$15, $D$11, 100%, $F$11)</f>
        <v>6.5808</v>
      </c>
      <c r="F141" s="4">
        <f>CHOOSE( CONTROL!$C$32, 7.293, 7.2893) * CHOOSE(CONTROL!$C$15, $D$11, 100%, $F$11)</f>
        <v>7.2930000000000001</v>
      </c>
      <c r="G141" s="8">
        <f>CHOOSE( CONTROL!$C$32, 6.4791, 6.4755) * CHOOSE( CONTROL!$C$15, $D$11, 100%, $F$11)</f>
        <v>6.4790999999999999</v>
      </c>
      <c r="H141" s="4">
        <f>CHOOSE( CONTROL!$C$32, 7.4542, 7.4506) * CHOOSE(CONTROL!$C$15, $D$11, 100%, $F$11)</f>
        <v>7.4542000000000002</v>
      </c>
      <c r="I141" s="8">
        <f>CHOOSE( CONTROL!$C$32, 6.4906, 6.4871) * CHOOSE(CONTROL!$C$15, $D$11, 100%, $F$11)</f>
        <v>6.4905999999999997</v>
      </c>
      <c r="J141" s="4">
        <f>CHOOSE( CONTROL!$C$32, 6.3459, 6.3424) * CHOOSE(CONTROL!$C$15, $D$11, 100%, $F$11)</f>
        <v>6.3459000000000003</v>
      </c>
      <c r="K141" s="4"/>
      <c r="L141" s="9">
        <v>30.7165</v>
      </c>
      <c r="M141" s="9">
        <v>12.063700000000001</v>
      </c>
      <c r="N141" s="9">
        <v>4.9444999999999997</v>
      </c>
      <c r="O141" s="9">
        <v>0.37409999999999999</v>
      </c>
      <c r="P141" s="9">
        <v>1.2183999999999999</v>
      </c>
      <c r="Q141" s="9">
        <v>32.254300000000001</v>
      </c>
      <c r="R141" s="9"/>
      <c r="S141" s="11"/>
    </row>
    <row r="142" spans="1:19" ht="15.75">
      <c r="A142" s="13">
        <v>45809</v>
      </c>
      <c r="B142" s="8">
        <f>CHOOSE( CONTROL!$C$32, 6.4449, 6.4412) * CHOOSE(CONTROL!$C$15, $D$11, 100%, $F$11)</f>
        <v>6.4448999999999996</v>
      </c>
      <c r="C142" s="8">
        <f>CHOOSE( CONTROL!$C$32, 6.4529, 6.4492) * CHOOSE(CONTROL!$C$15, $D$11, 100%, $F$11)</f>
        <v>6.4528999999999996</v>
      </c>
      <c r="D142" s="8">
        <f>CHOOSE( CONTROL!$C$32, 6.4908, 6.4872) * CHOOSE( CONTROL!$C$15, $D$11, 100%, $F$11)</f>
        <v>6.4908000000000001</v>
      </c>
      <c r="E142" s="12">
        <f>CHOOSE( CONTROL!$C$32, 6.4758, 6.4722) * CHOOSE( CONTROL!$C$15, $D$11, 100%, $F$11)</f>
        <v>6.4757999999999996</v>
      </c>
      <c r="F142" s="4">
        <f>CHOOSE( CONTROL!$C$32, 7.1879, 7.1842) * CHOOSE(CONTROL!$C$15, $D$11, 100%, $F$11)</f>
        <v>7.1879</v>
      </c>
      <c r="G142" s="8">
        <f>CHOOSE( CONTROL!$C$32, 6.3756, 6.372) * CHOOSE( CONTROL!$C$15, $D$11, 100%, $F$11)</f>
        <v>6.3756000000000004</v>
      </c>
      <c r="H142" s="4">
        <f>CHOOSE( CONTROL!$C$32, 7.3504, 7.3468) * CHOOSE(CONTROL!$C$15, $D$11, 100%, $F$11)</f>
        <v>7.3503999999999996</v>
      </c>
      <c r="I142" s="8">
        <f>CHOOSE( CONTROL!$C$32, 6.3897, 6.3861) * CHOOSE(CONTROL!$C$15, $D$11, 100%, $F$11)</f>
        <v>6.3897000000000004</v>
      </c>
      <c r="J142" s="4">
        <f>CHOOSE( CONTROL!$C$32, 6.2439, 6.2404) * CHOOSE(CONTROL!$C$15, $D$11, 100%, $F$11)</f>
        <v>6.2439</v>
      </c>
      <c r="K142" s="4"/>
      <c r="L142" s="9">
        <v>29.7257</v>
      </c>
      <c r="M142" s="9">
        <v>11.6745</v>
      </c>
      <c r="N142" s="9">
        <v>4.7850000000000001</v>
      </c>
      <c r="O142" s="9">
        <v>0.36199999999999999</v>
      </c>
      <c r="P142" s="9">
        <v>1.1791</v>
      </c>
      <c r="Q142" s="9">
        <v>31.213799999999999</v>
      </c>
      <c r="R142" s="9"/>
      <c r="S142" s="11"/>
    </row>
    <row r="143" spans="1:19" ht="15.75">
      <c r="A143" s="13">
        <v>45839</v>
      </c>
      <c r="B143" s="8">
        <f>CHOOSE( CONTROL!$C$32, 6.7216, 6.7179) * CHOOSE(CONTROL!$C$15, $D$11, 100%, $F$11)</f>
        <v>6.7215999999999996</v>
      </c>
      <c r="C143" s="8">
        <f>CHOOSE( CONTROL!$C$32, 6.7295, 6.7259) * CHOOSE(CONTROL!$C$15, $D$11, 100%, $F$11)</f>
        <v>6.7294999999999998</v>
      </c>
      <c r="D143" s="8">
        <f>CHOOSE( CONTROL!$C$32, 6.7677, 6.7641) * CHOOSE( CONTROL!$C$15, $D$11, 100%, $F$11)</f>
        <v>6.7676999999999996</v>
      </c>
      <c r="E143" s="12">
        <f>CHOOSE( CONTROL!$C$32, 6.7527, 6.749) * CHOOSE( CONTROL!$C$15, $D$11, 100%, $F$11)</f>
        <v>6.7526999999999999</v>
      </c>
      <c r="F143" s="4">
        <f>CHOOSE( CONTROL!$C$32, 7.4646, 7.4609) * CHOOSE(CONTROL!$C$15, $D$11, 100%, $F$11)</f>
        <v>7.4645999999999999</v>
      </c>
      <c r="G143" s="8">
        <f>CHOOSE( CONTROL!$C$32, 6.6494, 6.6458) * CHOOSE( CONTROL!$C$15, $D$11, 100%, $F$11)</f>
        <v>6.6494</v>
      </c>
      <c r="H143" s="4">
        <f>CHOOSE( CONTROL!$C$32, 7.6238, 7.6202) * CHOOSE(CONTROL!$C$15, $D$11, 100%, $F$11)</f>
        <v>7.6238000000000001</v>
      </c>
      <c r="I143" s="8">
        <f>CHOOSE( CONTROL!$C$32, 6.6594, 6.6559) * CHOOSE(CONTROL!$C$15, $D$11, 100%, $F$11)</f>
        <v>6.6593999999999998</v>
      </c>
      <c r="J143" s="4">
        <f>CHOOSE( CONTROL!$C$32, 6.5125, 6.5089) * CHOOSE(CONTROL!$C$15, $D$11, 100%, $F$11)</f>
        <v>6.5125000000000002</v>
      </c>
      <c r="K143" s="4"/>
      <c r="L143" s="9">
        <v>30.7165</v>
      </c>
      <c r="M143" s="9">
        <v>12.063700000000001</v>
      </c>
      <c r="N143" s="9">
        <v>4.9444999999999997</v>
      </c>
      <c r="O143" s="9">
        <v>0.37409999999999999</v>
      </c>
      <c r="P143" s="9">
        <v>1.2183999999999999</v>
      </c>
      <c r="Q143" s="9">
        <v>32.254300000000001</v>
      </c>
      <c r="R143" s="9"/>
      <c r="S143" s="11"/>
    </row>
    <row r="144" spans="1:19" ht="15.75">
      <c r="A144" s="13">
        <v>45870</v>
      </c>
      <c r="B144" s="8">
        <f>CHOOSE( CONTROL!$C$32, 6.2039, 6.2002) * CHOOSE(CONTROL!$C$15, $D$11, 100%, $F$11)</f>
        <v>6.2039</v>
      </c>
      <c r="C144" s="8">
        <f>CHOOSE( CONTROL!$C$32, 6.2118, 6.2082) * CHOOSE(CONTROL!$C$15, $D$11, 100%, $F$11)</f>
        <v>6.2118000000000002</v>
      </c>
      <c r="D144" s="8">
        <f>CHOOSE( CONTROL!$C$32, 6.2501, 6.2465) * CHOOSE( CONTROL!$C$15, $D$11, 100%, $F$11)</f>
        <v>6.2500999999999998</v>
      </c>
      <c r="E144" s="12">
        <f>CHOOSE( CONTROL!$C$32, 6.235, 6.2314) * CHOOSE( CONTROL!$C$15, $D$11, 100%, $F$11)</f>
        <v>6.2350000000000003</v>
      </c>
      <c r="F144" s="4">
        <f>CHOOSE( CONTROL!$C$32, 6.9469, 6.9432) * CHOOSE(CONTROL!$C$15, $D$11, 100%, $F$11)</f>
        <v>6.9469000000000003</v>
      </c>
      <c r="G144" s="8">
        <f>CHOOSE( CONTROL!$C$32, 6.1379, 6.1343) * CHOOSE( CONTROL!$C$15, $D$11, 100%, $F$11)</f>
        <v>6.1379000000000001</v>
      </c>
      <c r="H144" s="4">
        <f>CHOOSE( CONTROL!$C$32, 7.1122, 7.1086) * CHOOSE(CONTROL!$C$15, $D$11, 100%, $F$11)</f>
        <v>7.1121999999999996</v>
      </c>
      <c r="I144" s="8">
        <f>CHOOSE( CONTROL!$C$32, 6.157, 6.1535) * CHOOSE(CONTROL!$C$15, $D$11, 100%, $F$11)</f>
        <v>6.157</v>
      </c>
      <c r="J144" s="4">
        <f>CHOOSE( CONTROL!$C$32, 6.01, 6.0065) * CHOOSE(CONTROL!$C$15, $D$11, 100%, $F$11)</f>
        <v>6.01</v>
      </c>
      <c r="K144" s="4"/>
      <c r="L144" s="9">
        <v>30.7165</v>
      </c>
      <c r="M144" s="9">
        <v>12.063700000000001</v>
      </c>
      <c r="N144" s="9">
        <v>4.9444999999999997</v>
      </c>
      <c r="O144" s="9">
        <v>0.37409999999999999</v>
      </c>
      <c r="P144" s="9">
        <v>1.2183999999999999</v>
      </c>
      <c r="Q144" s="9">
        <v>32.254300000000001</v>
      </c>
      <c r="R144" s="9"/>
      <c r="S144" s="11"/>
    </row>
    <row r="145" spans="1:19" ht="15.75">
      <c r="A145" s="13">
        <v>45901</v>
      </c>
      <c r="B145" s="8">
        <f>CHOOSE( CONTROL!$C$32, 6.0742, 6.0706) * CHOOSE(CONTROL!$C$15, $D$11, 100%, $F$11)</f>
        <v>6.0742000000000003</v>
      </c>
      <c r="C145" s="8">
        <f>CHOOSE( CONTROL!$C$32, 6.0822, 6.0785) * CHOOSE(CONTROL!$C$15, $D$11, 100%, $F$11)</f>
        <v>6.0822000000000003</v>
      </c>
      <c r="D145" s="8">
        <f>CHOOSE( CONTROL!$C$32, 6.1204, 6.1167) * CHOOSE( CONTROL!$C$15, $D$11, 100%, $F$11)</f>
        <v>6.1204000000000001</v>
      </c>
      <c r="E145" s="12">
        <f>CHOOSE( CONTROL!$C$32, 6.1053, 6.1017) * CHOOSE( CONTROL!$C$15, $D$11, 100%, $F$11)</f>
        <v>6.1052999999999997</v>
      </c>
      <c r="F145" s="4">
        <f>CHOOSE( CONTROL!$C$32, 6.8172, 6.8136) * CHOOSE(CONTROL!$C$15, $D$11, 100%, $F$11)</f>
        <v>6.8171999999999997</v>
      </c>
      <c r="G145" s="8">
        <f>CHOOSE( CONTROL!$C$32, 6.0096, 6.006) * CHOOSE( CONTROL!$C$15, $D$11, 100%, $F$11)</f>
        <v>6.0095999999999998</v>
      </c>
      <c r="H145" s="4">
        <f>CHOOSE( CONTROL!$C$32, 6.984, 6.9804) * CHOOSE(CONTROL!$C$15, $D$11, 100%, $F$11)</f>
        <v>6.984</v>
      </c>
      <c r="I145" s="8">
        <f>CHOOSE( CONTROL!$C$32, 6.0308, 6.0272) * CHOOSE(CONTROL!$C$15, $D$11, 100%, $F$11)</f>
        <v>6.0308000000000002</v>
      </c>
      <c r="J145" s="4">
        <f>CHOOSE( CONTROL!$C$32, 5.8842, 5.8807) * CHOOSE(CONTROL!$C$15, $D$11, 100%, $F$11)</f>
        <v>5.8841999999999999</v>
      </c>
      <c r="K145" s="4"/>
      <c r="L145" s="9">
        <v>29.7257</v>
      </c>
      <c r="M145" s="9">
        <v>11.6745</v>
      </c>
      <c r="N145" s="9">
        <v>4.7850000000000001</v>
      </c>
      <c r="O145" s="9">
        <v>0.36199999999999999</v>
      </c>
      <c r="P145" s="9">
        <v>1.1791</v>
      </c>
      <c r="Q145" s="9">
        <v>31.213799999999999</v>
      </c>
      <c r="R145" s="9"/>
      <c r="S145" s="11"/>
    </row>
    <row r="146" spans="1:19" ht="15.75">
      <c r="A146" s="13">
        <v>45931</v>
      </c>
      <c r="B146" s="8">
        <f>6.338 * CHOOSE(CONTROL!$C$15, $D$11, 100%, $F$11)</f>
        <v>6.3380000000000001</v>
      </c>
      <c r="C146" s="8">
        <f>6.3434 * CHOOSE(CONTROL!$C$15, $D$11, 100%, $F$11)</f>
        <v>6.3433999999999999</v>
      </c>
      <c r="D146" s="8">
        <f>6.3869 * CHOOSE( CONTROL!$C$15, $D$11, 100%, $F$11)</f>
        <v>6.3868999999999998</v>
      </c>
      <c r="E146" s="12">
        <f>6.372 * CHOOSE( CONTROL!$C$15, $D$11, 100%, $F$11)</f>
        <v>6.3719999999999999</v>
      </c>
      <c r="F146" s="4">
        <f>7.0828 * CHOOSE(CONTROL!$C$15, $D$11, 100%, $F$11)</f>
        <v>7.0827999999999998</v>
      </c>
      <c r="G146" s="8">
        <f>6.2716 * CHOOSE( CONTROL!$C$15, $D$11, 100%, $F$11)</f>
        <v>6.2716000000000003</v>
      </c>
      <c r="H146" s="4">
        <f>7.2465 * CHOOSE(CONTROL!$C$15, $D$11, 100%, $F$11)</f>
        <v>7.2465000000000002</v>
      </c>
      <c r="I146" s="8">
        <f>6.2894 * CHOOSE(CONTROL!$C$15, $D$11, 100%, $F$11)</f>
        <v>6.2893999999999997</v>
      </c>
      <c r="J146" s="4">
        <f>6.1419 * CHOOSE(CONTROL!$C$15, $D$11, 100%, $F$11)</f>
        <v>6.1418999999999997</v>
      </c>
      <c r="K146" s="4"/>
      <c r="L146" s="9">
        <v>31.095300000000002</v>
      </c>
      <c r="M146" s="9">
        <v>12.063700000000001</v>
      </c>
      <c r="N146" s="9">
        <v>4.9444999999999997</v>
      </c>
      <c r="O146" s="9">
        <v>0.37409999999999999</v>
      </c>
      <c r="P146" s="9">
        <v>1.2183999999999999</v>
      </c>
      <c r="Q146" s="9">
        <v>32.254300000000001</v>
      </c>
      <c r="R146" s="9"/>
      <c r="S146" s="11"/>
    </row>
    <row r="147" spans="1:19" ht="15.75">
      <c r="A147" s="13">
        <v>45962</v>
      </c>
      <c r="B147" s="8">
        <f>6.8345 * CHOOSE(CONTROL!$C$15, $D$11, 100%, $F$11)</f>
        <v>6.8345000000000002</v>
      </c>
      <c r="C147" s="8">
        <f>6.8396 * CHOOSE(CONTROL!$C$15, $D$11, 100%, $F$11)</f>
        <v>6.8395999999999999</v>
      </c>
      <c r="D147" s="8">
        <f>6.8232 * CHOOSE( CONTROL!$C$15, $D$11, 100%, $F$11)</f>
        <v>6.8231999999999999</v>
      </c>
      <c r="E147" s="12">
        <f>6.8287 * CHOOSE( CONTROL!$C$15, $D$11, 100%, $F$11)</f>
        <v>6.8287000000000004</v>
      </c>
      <c r="F147" s="4">
        <f>7.4998 * CHOOSE(CONTROL!$C$15, $D$11, 100%, $F$11)</f>
        <v>7.4997999999999996</v>
      </c>
      <c r="G147" s="8">
        <f>6.7632 * CHOOSE( CONTROL!$C$15, $D$11, 100%, $F$11)</f>
        <v>6.7632000000000003</v>
      </c>
      <c r="H147" s="4">
        <f>7.6586 * CHOOSE(CONTROL!$C$15, $D$11, 100%, $F$11)</f>
        <v>7.6585999999999999</v>
      </c>
      <c r="I147" s="8">
        <f>6.7719 * CHOOSE(CONTROL!$C$15, $D$11, 100%, $F$11)</f>
        <v>6.7718999999999996</v>
      </c>
      <c r="J147" s="4">
        <f>6.6241 * CHOOSE(CONTROL!$C$15, $D$11, 100%, $F$11)</f>
        <v>6.6241000000000003</v>
      </c>
      <c r="K147" s="4"/>
      <c r="L147" s="9">
        <v>28.360600000000002</v>
      </c>
      <c r="M147" s="9">
        <v>11.6745</v>
      </c>
      <c r="N147" s="9">
        <v>4.7850000000000001</v>
      </c>
      <c r="O147" s="9">
        <v>0.36199999999999999</v>
      </c>
      <c r="P147" s="9">
        <v>1.2509999999999999</v>
      </c>
      <c r="Q147" s="9">
        <v>31.213799999999999</v>
      </c>
      <c r="R147" s="9"/>
      <c r="S147" s="11"/>
    </row>
    <row r="148" spans="1:19" ht="15.75">
      <c r="A148" s="13">
        <v>45992</v>
      </c>
      <c r="B148" s="8">
        <f>6.8221 * CHOOSE(CONTROL!$C$15, $D$11, 100%, $F$11)</f>
        <v>6.8220999999999998</v>
      </c>
      <c r="C148" s="8">
        <f>6.8271 * CHOOSE(CONTROL!$C$15, $D$11, 100%, $F$11)</f>
        <v>6.8270999999999997</v>
      </c>
      <c r="D148" s="8">
        <f>6.8125 * CHOOSE( CONTROL!$C$15, $D$11, 100%, $F$11)</f>
        <v>6.8125</v>
      </c>
      <c r="E148" s="12">
        <f>6.8173 * CHOOSE( CONTROL!$C$15, $D$11, 100%, $F$11)</f>
        <v>6.8173000000000004</v>
      </c>
      <c r="F148" s="4">
        <f>7.4873 * CHOOSE(CONTROL!$C$15, $D$11, 100%, $F$11)</f>
        <v>7.4873000000000003</v>
      </c>
      <c r="G148" s="8">
        <f>6.7522 * CHOOSE( CONTROL!$C$15, $D$11, 100%, $F$11)</f>
        <v>6.7522000000000002</v>
      </c>
      <c r="H148" s="4">
        <f>7.6463 * CHOOSE(CONTROL!$C$15, $D$11, 100%, $F$11)</f>
        <v>7.6463000000000001</v>
      </c>
      <c r="I148" s="8">
        <f>6.7652 * CHOOSE(CONTROL!$C$15, $D$11, 100%, $F$11)</f>
        <v>6.7652000000000001</v>
      </c>
      <c r="J148" s="4">
        <f>6.6121 * CHOOSE(CONTROL!$C$15, $D$11, 100%, $F$11)</f>
        <v>6.6120999999999999</v>
      </c>
      <c r="K148" s="4"/>
      <c r="L148" s="9">
        <v>29.306000000000001</v>
      </c>
      <c r="M148" s="9">
        <v>12.063700000000001</v>
      </c>
      <c r="N148" s="9">
        <v>4.9444999999999997</v>
      </c>
      <c r="O148" s="9">
        <v>0.37409999999999999</v>
      </c>
      <c r="P148" s="9">
        <v>1.2927</v>
      </c>
      <c r="Q148" s="9">
        <v>32.254300000000001</v>
      </c>
      <c r="R148" s="9"/>
      <c r="S148" s="11"/>
    </row>
    <row r="149" spans="1:19" ht="15.75">
      <c r="A149" s="13">
        <v>46023</v>
      </c>
      <c r="B149" s="8">
        <f>7.0667 * CHOOSE(CONTROL!$C$15, $D$11, 100%, $F$11)</f>
        <v>7.0667</v>
      </c>
      <c r="C149" s="8">
        <f>7.0718 * CHOOSE(CONTROL!$C$15, $D$11, 100%, $F$11)</f>
        <v>7.0717999999999996</v>
      </c>
      <c r="D149" s="8">
        <f>7.0429 * CHOOSE( CONTROL!$C$15, $D$11, 100%, $F$11)</f>
        <v>7.0429000000000004</v>
      </c>
      <c r="E149" s="12">
        <f>7.0529 * CHOOSE( CONTROL!$C$15, $D$11, 100%, $F$11)</f>
        <v>7.0529000000000002</v>
      </c>
      <c r="F149" s="4">
        <f>7.732 * CHOOSE(CONTROL!$C$15, $D$11, 100%, $F$11)</f>
        <v>7.7320000000000002</v>
      </c>
      <c r="G149" s="8">
        <f>6.9837 * CHOOSE( CONTROL!$C$15, $D$11, 100%, $F$11)</f>
        <v>6.9836999999999998</v>
      </c>
      <c r="H149" s="4">
        <f>7.8881 * CHOOSE(CONTROL!$C$15, $D$11, 100%, $F$11)</f>
        <v>7.8880999999999997</v>
      </c>
      <c r="I149" s="8">
        <f>6.9974 * CHOOSE(CONTROL!$C$15, $D$11, 100%, $F$11)</f>
        <v>6.9973999999999998</v>
      </c>
      <c r="J149" s="4">
        <f>6.8495 * CHOOSE(CONTROL!$C$15, $D$11, 100%, $F$11)</f>
        <v>6.8494999999999999</v>
      </c>
      <c r="K149" s="4"/>
      <c r="L149" s="9">
        <v>29.306000000000001</v>
      </c>
      <c r="M149" s="9">
        <v>12.063700000000001</v>
      </c>
      <c r="N149" s="9">
        <v>4.9444999999999997</v>
      </c>
      <c r="O149" s="9">
        <v>0.37409999999999999</v>
      </c>
      <c r="P149" s="9">
        <v>1.2927</v>
      </c>
      <c r="Q149" s="9">
        <v>32.070099999999996</v>
      </c>
      <c r="R149" s="9"/>
      <c r="S149" s="11"/>
    </row>
    <row r="150" spans="1:19" ht="15.75">
      <c r="A150" s="13">
        <v>46054</v>
      </c>
      <c r="B150" s="8">
        <f>6.6105 * CHOOSE(CONTROL!$C$15, $D$11, 100%, $F$11)</f>
        <v>6.6105</v>
      </c>
      <c r="C150" s="8">
        <f>6.6155 * CHOOSE(CONTROL!$C$15, $D$11, 100%, $F$11)</f>
        <v>6.6154999999999999</v>
      </c>
      <c r="D150" s="8">
        <f>6.5866 * CHOOSE( CONTROL!$C$15, $D$11, 100%, $F$11)</f>
        <v>6.5865999999999998</v>
      </c>
      <c r="E150" s="12">
        <f>6.5966 * CHOOSE( CONTROL!$C$15, $D$11, 100%, $F$11)</f>
        <v>6.5965999999999996</v>
      </c>
      <c r="F150" s="4">
        <f>7.2757 * CHOOSE(CONTROL!$C$15, $D$11, 100%, $F$11)</f>
        <v>7.2756999999999996</v>
      </c>
      <c r="G150" s="8">
        <f>6.5327 * CHOOSE( CONTROL!$C$15, $D$11, 100%, $F$11)</f>
        <v>6.5327000000000002</v>
      </c>
      <c r="H150" s="4">
        <f>7.4372 * CHOOSE(CONTROL!$C$15, $D$11, 100%, $F$11)</f>
        <v>7.4371999999999998</v>
      </c>
      <c r="I150" s="8">
        <f>6.5544 * CHOOSE(CONTROL!$C$15, $D$11, 100%, $F$11)</f>
        <v>6.5544000000000002</v>
      </c>
      <c r="J150" s="4">
        <f>6.4067 * CHOOSE(CONTROL!$C$15, $D$11, 100%, $F$11)</f>
        <v>6.4066999999999998</v>
      </c>
      <c r="K150" s="4"/>
      <c r="L150" s="9">
        <v>26.469899999999999</v>
      </c>
      <c r="M150" s="9">
        <v>10.8962</v>
      </c>
      <c r="N150" s="9">
        <v>4.4660000000000002</v>
      </c>
      <c r="O150" s="9">
        <v>0.33789999999999998</v>
      </c>
      <c r="P150" s="9">
        <v>1.1676</v>
      </c>
      <c r="Q150" s="9">
        <v>28.9666</v>
      </c>
      <c r="R150" s="9"/>
      <c r="S150" s="11"/>
    </row>
    <row r="151" spans="1:19" ht="15.75">
      <c r="A151" s="13">
        <v>46082</v>
      </c>
      <c r="B151" s="8">
        <f>6.4699 * CHOOSE(CONTROL!$C$15, $D$11, 100%, $F$11)</f>
        <v>6.4699</v>
      </c>
      <c r="C151" s="8">
        <f>6.475 * CHOOSE(CONTROL!$C$15, $D$11, 100%, $F$11)</f>
        <v>6.4749999999999996</v>
      </c>
      <c r="D151" s="8">
        <f>6.4457 * CHOOSE( CONTROL!$C$15, $D$11, 100%, $F$11)</f>
        <v>6.4457000000000004</v>
      </c>
      <c r="E151" s="12">
        <f>6.4559 * CHOOSE( CONTROL!$C$15, $D$11, 100%, $F$11)</f>
        <v>6.4558999999999997</v>
      </c>
      <c r="F151" s="4">
        <f>7.1352 * CHOOSE(CONTROL!$C$15, $D$11, 100%, $F$11)</f>
        <v>7.1352000000000002</v>
      </c>
      <c r="G151" s="8">
        <f>6.3936 * CHOOSE( CONTROL!$C$15, $D$11, 100%, $F$11)</f>
        <v>6.3936000000000002</v>
      </c>
      <c r="H151" s="4">
        <f>7.2983 * CHOOSE(CONTROL!$C$15, $D$11, 100%, $F$11)</f>
        <v>7.2983000000000002</v>
      </c>
      <c r="I151" s="8">
        <f>6.4167 * CHOOSE(CONTROL!$C$15, $D$11, 100%, $F$11)</f>
        <v>6.4166999999999996</v>
      </c>
      <c r="J151" s="4">
        <f>6.2703 * CHOOSE(CONTROL!$C$15, $D$11, 100%, $F$11)</f>
        <v>6.2702999999999998</v>
      </c>
      <c r="K151" s="4"/>
      <c r="L151" s="9">
        <v>29.306000000000001</v>
      </c>
      <c r="M151" s="9">
        <v>12.063700000000001</v>
      </c>
      <c r="N151" s="9">
        <v>4.9444999999999997</v>
      </c>
      <c r="O151" s="9">
        <v>0.37409999999999999</v>
      </c>
      <c r="P151" s="9">
        <v>1.2927</v>
      </c>
      <c r="Q151" s="9">
        <v>32.070099999999996</v>
      </c>
      <c r="R151" s="9"/>
      <c r="S151" s="11"/>
    </row>
    <row r="152" spans="1:19" ht="15.75">
      <c r="A152" s="13">
        <v>46113</v>
      </c>
      <c r="B152" s="8">
        <f>6.5689 * CHOOSE(CONTROL!$C$15, $D$11, 100%, $F$11)</f>
        <v>6.5689000000000002</v>
      </c>
      <c r="C152" s="8">
        <f>6.5734 * CHOOSE(CONTROL!$C$15, $D$11, 100%, $F$11)</f>
        <v>6.5734000000000004</v>
      </c>
      <c r="D152" s="8">
        <f>6.6168 * CHOOSE( CONTROL!$C$15, $D$11, 100%, $F$11)</f>
        <v>6.6167999999999996</v>
      </c>
      <c r="E152" s="12">
        <f>6.602 * CHOOSE( CONTROL!$C$15, $D$11, 100%, $F$11)</f>
        <v>6.6020000000000003</v>
      </c>
      <c r="F152" s="4">
        <f>7.3133 * CHOOSE(CONTROL!$C$15, $D$11, 100%, $F$11)</f>
        <v>7.3132999999999999</v>
      </c>
      <c r="G152" s="8">
        <f>6.4984 * CHOOSE( CONTROL!$C$15, $D$11, 100%, $F$11)</f>
        <v>6.4984000000000002</v>
      </c>
      <c r="H152" s="4">
        <f>7.4743 * CHOOSE(CONTROL!$C$15, $D$11, 100%, $F$11)</f>
        <v>7.4743000000000004</v>
      </c>
      <c r="I152" s="8">
        <f>6.5102 * CHOOSE(CONTROL!$C$15, $D$11, 100%, $F$11)</f>
        <v>6.5102000000000002</v>
      </c>
      <c r="J152" s="4">
        <f>6.3656 * CHOOSE(CONTROL!$C$15, $D$11, 100%, $F$11)</f>
        <v>6.3655999999999997</v>
      </c>
      <c r="K152" s="4"/>
      <c r="L152" s="9">
        <v>30.092199999999998</v>
      </c>
      <c r="M152" s="9">
        <v>11.6745</v>
      </c>
      <c r="N152" s="9">
        <v>4.7850000000000001</v>
      </c>
      <c r="O152" s="9">
        <v>0.36199999999999999</v>
      </c>
      <c r="P152" s="9">
        <v>1.1791</v>
      </c>
      <c r="Q152" s="9">
        <v>31.035599999999999</v>
      </c>
      <c r="R152" s="9"/>
      <c r="S152" s="11"/>
    </row>
    <row r="153" spans="1:19" ht="15.75">
      <c r="A153" s="13">
        <v>46143</v>
      </c>
      <c r="B153" s="8">
        <f>CHOOSE( CONTROL!$C$32, 6.7487, 6.745) * CHOOSE(CONTROL!$C$15, $D$11, 100%, $F$11)</f>
        <v>6.7487000000000004</v>
      </c>
      <c r="C153" s="8">
        <f>CHOOSE( CONTROL!$C$32, 6.7567, 6.753) * CHOOSE(CONTROL!$C$15, $D$11, 100%, $F$11)</f>
        <v>6.7567000000000004</v>
      </c>
      <c r="D153" s="8">
        <f>CHOOSE( CONTROL!$C$32, 6.7944, 6.7907) * CHOOSE( CONTROL!$C$15, $D$11, 100%, $F$11)</f>
        <v>6.7944000000000004</v>
      </c>
      <c r="E153" s="12">
        <f>CHOOSE( CONTROL!$C$32, 6.7795, 6.7758) * CHOOSE( CONTROL!$C$15, $D$11, 100%, $F$11)</f>
        <v>6.7794999999999996</v>
      </c>
      <c r="F153" s="4">
        <f>CHOOSE( CONTROL!$C$32, 7.4917, 7.488) * CHOOSE(CONTROL!$C$15, $D$11, 100%, $F$11)</f>
        <v>7.4916999999999998</v>
      </c>
      <c r="G153" s="8">
        <f>CHOOSE( CONTROL!$C$32, 6.6755, 6.6719) * CHOOSE( CONTROL!$C$15, $D$11, 100%, $F$11)</f>
        <v>6.6755000000000004</v>
      </c>
      <c r="H153" s="4">
        <f>CHOOSE( CONTROL!$C$32, 7.6506, 7.647) * CHOOSE(CONTROL!$C$15, $D$11, 100%, $F$11)</f>
        <v>7.6505999999999998</v>
      </c>
      <c r="I153" s="8">
        <f>CHOOSE( CONTROL!$C$32, 6.6836, 6.6801) * CHOOSE(CONTROL!$C$15, $D$11, 100%, $F$11)</f>
        <v>6.6836000000000002</v>
      </c>
      <c r="J153" s="4">
        <f>CHOOSE( CONTROL!$C$32, 6.5388, 6.5352) * CHOOSE(CONTROL!$C$15, $D$11, 100%, $F$11)</f>
        <v>6.5388000000000002</v>
      </c>
      <c r="K153" s="4"/>
      <c r="L153" s="9">
        <v>30.7165</v>
      </c>
      <c r="M153" s="9">
        <v>12.063700000000001</v>
      </c>
      <c r="N153" s="9">
        <v>4.9444999999999997</v>
      </c>
      <c r="O153" s="9">
        <v>0.37409999999999999</v>
      </c>
      <c r="P153" s="9">
        <v>1.2183999999999999</v>
      </c>
      <c r="Q153" s="9">
        <v>32.070099999999996</v>
      </c>
      <c r="R153" s="9"/>
      <c r="S153" s="11"/>
    </row>
    <row r="154" spans="1:19" ht="15.75">
      <c r="A154" s="13">
        <v>46174</v>
      </c>
      <c r="B154" s="8">
        <f>CHOOSE( CONTROL!$C$32, 6.6404, 6.6368) * CHOOSE(CONTROL!$C$15, $D$11, 100%, $F$11)</f>
        <v>6.6403999999999996</v>
      </c>
      <c r="C154" s="8">
        <f>CHOOSE( CONTROL!$C$32, 6.6484, 6.6447) * CHOOSE(CONTROL!$C$15, $D$11, 100%, $F$11)</f>
        <v>6.6483999999999996</v>
      </c>
      <c r="D154" s="8">
        <f>CHOOSE( CONTROL!$C$32, 6.6863, 6.6827) * CHOOSE( CONTROL!$C$15, $D$11, 100%, $F$11)</f>
        <v>6.6863000000000001</v>
      </c>
      <c r="E154" s="12">
        <f>CHOOSE( CONTROL!$C$32, 6.6713, 6.6677) * CHOOSE( CONTROL!$C$15, $D$11, 100%, $F$11)</f>
        <v>6.6712999999999996</v>
      </c>
      <c r="F154" s="4">
        <f>CHOOSE( CONTROL!$C$32, 7.3834, 7.3798) * CHOOSE(CONTROL!$C$15, $D$11, 100%, $F$11)</f>
        <v>7.3834</v>
      </c>
      <c r="G154" s="8">
        <f>CHOOSE( CONTROL!$C$32, 6.5689, 6.5653) * CHOOSE( CONTROL!$C$15, $D$11, 100%, $F$11)</f>
        <v>6.5689000000000002</v>
      </c>
      <c r="H154" s="4">
        <f>CHOOSE( CONTROL!$C$32, 7.5436, 7.54) * CHOOSE(CONTROL!$C$15, $D$11, 100%, $F$11)</f>
        <v>7.5435999999999996</v>
      </c>
      <c r="I154" s="8">
        <f>CHOOSE( CONTROL!$C$32, 6.5795, 6.576) * CHOOSE(CONTROL!$C$15, $D$11, 100%, $F$11)</f>
        <v>6.5795000000000003</v>
      </c>
      <c r="J154" s="4">
        <f>CHOOSE( CONTROL!$C$32, 6.4337, 6.4302) * CHOOSE(CONTROL!$C$15, $D$11, 100%, $F$11)</f>
        <v>6.4337</v>
      </c>
      <c r="K154" s="4"/>
      <c r="L154" s="9">
        <v>29.7257</v>
      </c>
      <c r="M154" s="9">
        <v>11.6745</v>
      </c>
      <c r="N154" s="9">
        <v>4.7850000000000001</v>
      </c>
      <c r="O154" s="9">
        <v>0.36199999999999999</v>
      </c>
      <c r="P154" s="9">
        <v>1.1791</v>
      </c>
      <c r="Q154" s="9">
        <v>31.035599999999999</v>
      </c>
      <c r="R154" s="9"/>
      <c r="S154" s="11"/>
    </row>
    <row r="155" spans="1:19" ht="15.75">
      <c r="A155" s="13">
        <v>46204</v>
      </c>
      <c r="B155" s="8">
        <f>CHOOSE( CONTROL!$C$32, 6.9255, 6.9219) * CHOOSE(CONTROL!$C$15, $D$11, 100%, $F$11)</f>
        <v>6.9255000000000004</v>
      </c>
      <c r="C155" s="8">
        <f>CHOOSE( CONTROL!$C$32, 6.9335, 6.9298) * CHOOSE(CONTROL!$C$15, $D$11, 100%, $F$11)</f>
        <v>6.9335000000000004</v>
      </c>
      <c r="D155" s="8">
        <f>CHOOSE( CONTROL!$C$32, 6.9717, 6.968) * CHOOSE( CONTROL!$C$15, $D$11, 100%, $F$11)</f>
        <v>6.9717000000000002</v>
      </c>
      <c r="E155" s="12">
        <f>CHOOSE( CONTROL!$C$32, 6.9566, 6.953) * CHOOSE( CONTROL!$C$15, $D$11, 100%, $F$11)</f>
        <v>6.9565999999999999</v>
      </c>
      <c r="F155" s="4">
        <f>CHOOSE( CONTROL!$C$32, 7.6685, 7.6649) * CHOOSE(CONTROL!$C$15, $D$11, 100%, $F$11)</f>
        <v>7.6684999999999999</v>
      </c>
      <c r="G155" s="8">
        <f>CHOOSE( CONTROL!$C$32, 6.851, 6.8474) * CHOOSE( CONTROL!$C$15, $D$11, 100%, $F$11)</f>
        <v>6.851</v>
      </c>
      <c r="H155" s="4">
        <f>CHOOSE( CONTROL!$C$32, 7.8254, 7.8218) * CHOOSE(CONTROL!$C$15, $D$11, 100%, $F$11)</f>
        <v>7.8254000000000001</v>
      </c>
      <c r="I155" s="8">
        <f>CHOOSE( CONTROL!$C$32, 6.8575, 6.8539) * CHOOSE(CONTROL!$C$15, $D$11, 100%, $F$11)</f>
        <v>6.8574999999999999</v>
      </c>
      <c r="J155" s="4">
        <f>CHOOSE( CONTROL!$C$32, 6.7104, 6.7069) * CHOOSE(CONTROL!$C$15, $D$11, 100%, $F$11)</f>
        <v>6.7103999999999999</v>
      </c>
      <c r="K155" s="4"/>
      <c r="L155" s="9">
        <v>30.7165</v>
      </c>
      <c r="M155" s="9">
        <v>12.063700000000001</v>
      </c>
      <c r="N155" s="9">
        <v>4.9444999999999997</v>
      </c>
      <c r="O155" s="9">
        <v>0.37409999999999999</v>
      </c>
      <c r="P155" s="9">
        <v>1.2183999999999999</v>
      </c>
      <c r="Q155" s="9">
        <v>32.070099999999996</v>
      </c>
      <c r="R155" s="9"/>
      <c r="S155" s="11"/>
    </row>
    <row r="156" spans="1:19" ht="15.75">
      <c r="A156" s="13">
        <v>46235</v>
      </c>
      <c r="B156" s="8">
        <f>CHOOSE( CONTROL!$C$32, 6.3921, 6.3884) * CHOOSE(CONTROL!$C$15, $D$11, 100%, $F$11)</f>
        <v>6.3921000000000001</v>
      </c>
      <c r="C156" s="8">
        <f>CHOOSE( CONTROL!$C$32, 6.4, 6.3964) * CHOOSE(CONTROL!$C$15, $D$11, 100%, $F$11)</f>
        <v>6.4</v>
      </c>
      <c r="D156" s="8">
        <f>CHOOSE( CONTROL!$C$32, 6.4383, 6.4346) * CHOOSE( CONTROL!$C$15, $D$11, 100%, $F$11)</f>
        <v>6.4382999999999999</v>
      </c>
      <c r="E156" s="12">
        <f>CHOOSE( CONTROL!$C$32, 6.4232, 6.4195) * CHOOSE( CONTROL!$C$15, $D$11, 100%, $F$11)</f>
        <v>6.4231999999999996</v>
      </c>
      <c r="F156" s="4">
        <f>CHOOSE( CONTROL!$C$32, 7.1351, 7.1314) * CHOOSE(CONTROL!$C$15, $D$11, 100%, $F$11)</f>
        <v>7.1351000000000004</v>
      </c>
      <c r="G156" s="8">
        <f>CHOOSE( CONTROL!$C$32, 6.3239, 6.3203) * CHOOSE( CONTROL!$C$15, $D$11, 100%, $F$11)</f>
        <v>6.3239000000000001</v>
      </c>
      <c r="H156" s="4">
        <f>CHOOSE( CONTROL!$C$32, 7.2981, 7.2945) * CHOOSE(CONTROL!$C$15, $D$11, 100%, $F$11)</f>
        <v>7.2980999999999998</v>
      </c>
      <c r="I156" s="8">
        <f>CHOOSE( CONTROL!$C$32, 6.3398, 6.3362) * CHOOSE(CONTROL!$C$15, $D$11, 100%, $F$11)</f>
        <v>6.3398000000000003</v>
      </c>
      <c r="J156" s="4">
        <f>CHOOSE( CONTROL!$C$32, 6.1927, 6.1891) * CHOOSE(CONTROL!$C$15, $D$11, 100%, $F$11)</f>
        <v>6.1927000000000003</v>
      </c>
      <c r="K156" s="4"/>
      <c r="L156" s="9">
        <v>30.7165</v>
      </c>
      <c r="M156" s="9">
        <v>12.063700000000001</v>
      </c>
      <c r="N156" s="9">
        <v>4.9444999999999997</v>
      </c>
      <c r="O156" s="9">
        <v>0.37409999999999999</v>
      </c>
      <c r="P156" s="9">
        <v>1.2183999999999999</v>
      </c>
      <c r="Q156" s="9">
        <v>32.070099999999996</v>
      </c>
      <c r="R156" s="9"/>
      <c r="S156" s="11"/>
    </row>
    <row r="157" spans="1:19" ht="15.75">
      <c r="A157" s="13">
        <v>46266</v>
      </c>
      <c r="B157" s="8">
        <f>CHOOSE( CONTROL!$C$32, 6.2585, 6.2548) * CHOOSE(CONTROL!$C$15, $D$11, 100%, $F$11)</f>
        <v>6.2584999999999997</v>
      </c>
      <c r="C157" s="8">
        <f>CHOOSE( CONTROL!$C$32, 6.2664, 6.2628) * CHOOSE(CONTROL!$C$15, $D$11, 100%, $F$11)</f>
        <v>6.2664</v>
      </c>
      <c r="D157" s="8">
        <f>CHOOSE( CONTROL!$C$32, 6.3046, 6.301) * CHOOSE( CONTROL!$C$15, $D$11, 100%, $F$11)</f>
        <v>6.3045999999999998</v>
      </c>
      <c r="E157" s="12">
        <f>CHOOSE( CONTROL!$C$32, 6.2896, 6.2859) * CHOOSE( CONTROL!$C$15, $D$11, 100%, $F$11)</f>
        <v>6.2896000000000001</v>
      </c>
      <c r="F157" s="4">
        <f>CHOOSE( CONTROL!$C$32, 7.0015, 6.9978) * CHOOSE(CONTROL!$C$15, $D$11, 100%, $F$11)</f>
        <v>7.0015000000000001</v>
      </c>
      <c r="G157" s="8">
        <f>CHOOSE( CONTROL!$C$32, 6.1917, 6.1881) * CHOOSE( CONTROL!$C$15, $D$11, 100%, $F$11)</f>
        <v>6.1917</v>
      </c>
      <c r="H157" s="4">
        <f>CHOOSE( CONTROL!$C$32, 7.1661, 7.1625) * CHOOSE(CONTROL!$C$15, $D$11, 100%, $F$11)</f>
        <v>7.1661000000000001</v>
      </c>
      <c r="I157" s="8">
        <f>CHOOSE( CONTROL!$C$32, 6.2097, 6.2062) * CHOOSE(CONTROL!$C$15, $D$11, 100%, $F$11)</f>
        <v>6.2096999999999998</v>
      </c>
      <c r="J157" s="4">
        <f>CHOOSE( CONTROL!$C$32, 6.063, 6.0595) * CHOOSE(CONTROL!$C$15, $D$11, 100%, $F$11)</f>
        <v>6.0629999999999997</v>
      </c>
      <c r="K157" s="4"/>
      <c r="L157" s="9">
        <v>29.7257</v>
      </c>
      <c r="M157" s="9">
        <v>11.6745</v>
      </c>
      <c r="N157" s="9">
        <v>4.7850000000000001</v>
      </c>
      <c r="O157" s="9">
        <v>0.36199999999999999</v>
      </c>
      <c r="P157" s="9">
        <v>1.1791</v>
      </c>
      <c r="Q157" s="9">
        <v>31.035599999999999</v>
      </c>
      <c r="R157" s="9"/>
      <c r="S157" s="11"/>
    </row>
    <row r="158" spans="1:19" ht="15.75">
      <c r="A158" s="13">
        <v>46296</v>
      </c>
      <c r="B158" s="8">
        <f>6.5305 * CHOOSE(CONTROL!$C$15, $D$11, 100%, $F$11)</f>
        <v>6.5305</v>
      </c>
      <c r="C158" s="8">
        <f>6.5358 * CHOOSE(CONTROL!$C$15, $D$11, 100%, $F$11)</f>
        <v>6.5358000000000001</v>
      </c>
      <c r="D158" s="8">
        <f>6.5793 * CHOOSE( CONTROL!$C$15, $D$11, 100%, $F$11)</f>
        <v>6.5792999999999999</v>
      </c>
      <c r="E158" s="12">
        <f>6.5644 * CHOOSE( CONTROL!$C$15, $D$11, 100%, $F$11)</f>
        <v>6.5644</v>
      </c>
      <c r="F158" s="4">
        <f>7.2752 * CHOOSE(CONTROL!$C$15, $D$11, 100%, $F$11)</f>
        <v>7.2751999999999999</v>
      </c>
      <c r="G158" s="8">
        <f>6.4617 * CHOOSE( CONTROL!$C$15, $D$11, 100%, $F$11)</f>
        <v>6.4617000000000004</v>
      </c>
      <c r="H158" s="4">
        <f>7.4366 * CHOOSE(CONTROL!$C$15, $D$11, 100%, $F$11)</f>
        <v>7.4366000000000003</v>
      </c>
      <c r="I158" s="8">
        <f>6.4762 * CHOOSE(CONTROL!$C$15, $D$11, 100%, $F$11)</f>
        <v>6.4762000000000004</v>
      </c>
      <c r="J158" s="4">
        <f>6.3287 * CHOOSE(CONTROL!$C$15, $D$11, 100%, $F$11)</f>
        <v>6.3287000000000004</v>
      </c>
      <c r="K158" s="4"/>
      <c r="L158" s="9">
        <v>31.095300000000002</v>
      </c>
      <c r="M158" s="9">
        <v>12.063700000000001</v>
      </c>
      <c r="N158" s="9">
        <v>4.9444999999999997</v>
      </c>
      <c r="O158" s="9">
        <v>0.37409999999999999</v>
      </c>
      <c r="P158" s="9">
        <v>1.2183999999999999</v>
      </c>
      <c r="Q158" s="9">
        <v>32.070099999999996</v>
      </c>
      <c r="R158" s="9"/>
      <c r="S158" s="11"/>
    </row>
    <row r="159" spans="1:19" ht="15.75">
      <c r="A159" s="13">
        <v>46327</v>
      </c>
      <c r="B159" s="8">
        <f>7.042 * CHOOSE(CONTROL!$C$15, $D$11, 100%, $F$11)</f>
        <v>7.0419999999999998</v>
      </c>
      <c r="C159" s="8">
        <f>7.0471 * CHOOSE(CONTROL!$C$15, $D$11, 100%, $F$11)</f>
        <v>7.0471000000000004</v>
      </c>
      <c r="D159" s="8">
        <f>7.0307 * CHOOSE( CONTROL!$C$15, $D$11, 100%, $F$11)</f>
        <v>7.0307000000000004</v>
      </c>
      <c r="E159" s="12">
        <f>7.0362 * CHOOSE( CONTROL!$C$15, $D$11, 100%, $F$11)</f>
        <v>7.0362</v>
      </c>
      <c r="F159" s="4">
        <f>7.7073 * CHOOSE(CONTROL!$C$15, $D$11, 100%, $F$11)</f>
        <v>7.7073</v>
      </c>
      <c r="G159" s="8">
        <f>6.9683 * CHOOSE( CONTROL!$C$15, $D$11, 100%, $F$11)</f>
        <v>6.9683000000000002</v>
      </c>
      <c r="H159" s="4">
        <f>7.8637 * CHOOSE(CONTROL!$C$15, $D$11, 100%, $F$11)</f>
        <v>7.8636999999999997</v>
      </c>
      <c r="I159" s="8">
        <f>6.9734 * CHOOSE(CONTROL!$C$15, $D$11, 100%, $F$11)</f>
        <v>6.9733999999999998</v>
      </c>
      <c r="J159" s="4">
        <f>6.8255 * CHOOSE(CONTROL!$C$15, $D$11, 100%, $F$11)</f>
        <v>6.8254999999999999</v>
      </c>
      <c r="K159" s="4"/>
      <c r="L159" s="9">
        <v>28.360600000000002</v>
      </c>
      <c r="M159" s="9">
        <v>11.6745</v>
      </c>
      <c r="N159" s="9">
        <v>4.7850000000000001</v>
      </c>
      <c r="O159" s="9">
        <v>0.36199999999999999</v>
      </c>
      <c r="P159" s="9">
        <v>1.2509999999999999</v>
      </c>
      <c r="Q159" s="9">
        <v>31.035599999999999</v>
      </c>
      <c r="R159" s="9"/>
      <c r="S159" s="11"/>
    </row>
    <row r="160" spans="1:19" ht="15.75">
      <c r="A160" s="13">
        <v>46357</v>
      </c>
      <c r="B160" s="8">
        <f>7.0292 * CHOOSE(CONTROL!$C$15, $D$11, 100%, $F$11)</f>
        <v>7.0292000000000003</v>
      </c>
      <c r="C160" s="8">
        <f>7.0343 * CHOOSE(CONTROL!$C$15, $D$11, 100%, $F$11)</f>
        <v>7.0343</v>
      </c>
      <c r="D160" s="8">
        <f>7.0197 * CHOOSE( CONTROL!$C$15, $D$11, 100%, $F$11)</f>
        <v>7.0197000000000003</v>
      </c>
      <c r="E160" s="12">
        <f>7.0245 * CHOOSE( CONTROL!$C$15, $D$11, 100%, $F$11)</f>
        <v>7.0244999999999997</v>
      </c>
      <c r="F160" s="4">
        <f>7.6945 * CHOOSE(CONTROL!$C$15, $D$11, 100%, $F$11)</f>
        <v>7.6944999999999997</v>
      </c>
      <c r="G160" s="8">
        <f>6.9569 * CHOOSE( CONTROL!$C$15, $D$11, 100%, $F$11)</f>
        <v>6.9569000000000001</v>
      </c>
      <c r="H160" s="4">
        <f>7.8511 * CHOOSE(CONTROL!$C$15, $D$11, 100%, $F$11)</f>
        <v>7.8510999999999997</v>
      </c>
      <c r="I160" s="8">
        <f>6.9664 * CHOOSE(CONTROL!$C$15, $D$11, 100%, $F$11)</f>
        <v>6.9664000000000001</v>
      </c>
      <c r="J160" s="4">
        <f>6.8131 * CHOOSE(CONTROL!$C$15, $D$11, 100%, $F$11)</f>
        <v>6.8131000000000004</v>
      </c>
      <c r="K160" s="4"/>
      <c r="L160" s="9">
        <v>29.306000000000001</v>
      </c>
      <c r="M160" s="9">
        <v>12.063700000000001</v>
      </c>
      <c r="N160" s="9">
        <v>4.9444999999999997</v>
      </c>
      <c r="O160" s="9">
        <v>0.37409999999999999</v>
      </c>
      <c r="P160" s="9">
        <v>1.2927</v>
      </c>
      <c r="Q160" s="9">
        <v>32.070099999999996</v>
      </c>
      <c r="R160" s="9"/>
      <c r="S160" s="11"/>
    </row>
    <row r="161" spans="1:19" ht="15.75">
      <c r="A161" s="13">
        <v>46388</v>
      </c>
      <c r="B161" s="8">
        <f>7.2806 * CHOOSE(CONTROL!$C$15, $D$11, 100%, $F$11)</f>
        <v>7.2805999999999997</v>
      </c>
      <c r="C161" s="8">
        <f>7.2857 * CHOOSE(CONTROL!$C$15, $D$11, 100%, $F$11)</f>
        <v>7.2857000000000003</v>
      </c>
      <c r="D161" s="8">
        <f>7.2568 * CHOOSE( CONTROL!$C$15, $D$11, 100%, $F$11)</f>
        <v>7.2568000000000001</v>
      </c>
      <c r="E161" s="12">
        <f>7.2668 * CHOOSE( CONTROL!$C$15, $D$11, 100%, $F$11)</f>
        <v>7.2667999999999999</v>
      </c>
      <c r="F161" s="4">
        <f>7.9459 * CHOOSE(CONTROL!$C$15, $D$11, 100%, $F$11)</f>
        <v>7.9459</v>
      </c>
      <c r="G161" s="8">
        <f>7.195 * CHOOSE( CONTROL!$C$15, $D$11, 100%, $F$11)</f>
        <v>7.1950000000000003</v>
      </c>
      <c r="H161" s="4">
        <f>8.0995 * CHOOSE(CONTROL!$C$15, $D$11, 100%, $F$11)</f>
        <v>8.0995000000000008</v>
      </c>
      <c r="I161" s="8">
        <f>7.2051 * CHOOSE(CONTROL!$C$15, $D$11, 100%, $F$11)</f>
        <v>7.2050999999999998</v>
      </c>
      <c r="J161" s="4">
        <f>7.0571 * CHOOSE(CONTROL!$C$15, $D$11, 100%, $F$11)</f>
        <v>7.0571000000000002</v>
      </c>
      <c r="K161" s="4"/>
      <c r="L161" s="9">
        <v>29.306000000000001</v>
      </c>
      <c r="M161" s="9">
        <v>12.063700000000001</v>
      </c>
      <c r="N161" s="9">
        <v>4.9444999999999997</v>
      </c>
      <c r="O161" s="9">
        <v>0.37409999999999999</v>
      </c>
      <c r="P161" s="9">
        <v>1.2927</v>
      </c>
      <c r="Q161" s="9">
        <v>31.885999999999999</v>
      </c>
      <c r="R161" s="9"/>
      <c r="S161" s="11"/>
    </row>
    <row r="162" spans="1:19" ht="15.75">
      <c r="A162" s="13">
        <v>46419</v>
      </c>
      <c r="B162" s="8">
        <f>6.8105 * CHOOSE(CONTROL!$C$15, $D$11, 100%, $F$11)</f>
        <v>6.8105000000000002</v>
      </c>
      <c r="C162" s="8">
        <f>6.8156 * CHOOSE(CONTROL!$C$15, $D$11, 100%, $F$11)</f>
        <v>6.8155999999999999</v>
      </c>
      <c r="D162" s="8">
        <f>6.7867 * CHOOSE( CONTROL!$C$15, $D$11, 100%, $F$11)</f>
        <v>6.7866999999999997</v>
      </c>
      <c r="E162" s="12">
        <f>6.7967 * CHOOSE( CONTROL!$C$15, $D$11, 100%, $F$11)</f>
        <v>6.7967000000000004</v>
      </c>
      <c r="F162" s="4">
        <f>7.4758 * CHOOSE(CONTROL!$C$15, $D$11, 100%, $F$11)</f>
        <v>7.4757999999999996</v>
      </c>
      <c r="G162" s="8">
        <f>6.7304 * CHOOSE( CONTROL!$C$15, $D$11, 100%, $F$11)</f>
        <v>6.7304000000000004</v>
      </c>
      <c r="H162" s="4">
        <f>7.6349 * CHOOSE(CONTROL!$C$15, $D$11, 100%, $F$11)</f>
        <v>7.6349</v>
      </c>
      <c r="I162" s="8">
        <f>6.7486 * CHOOSE(CONTROL!$C$15, $D$11, 100%, $F$11)</f>
        <v>6.7485999999999997</v>
      </c>
      <c r="J162" s="4">
        <f>6.6008 * CHOOSE(CONTROL!$C$15, $D$11, 100%, $F$11)</f>
        <v>6.6007999999999996</v>
      </c>
      <c r="K162" s="4"/>
      <c r="L162" s="9">
        <v>26.469899999999999</v>
      </c>
      <c r="M162" s="9">
        <v>10.8962</v>
      </c>
      <c r="N162" s="9">
        <v>4.4660000000000002</v>
      </c>
      <c r="O162" s="9">
        <v>0.33789999999999998</v>
      </c>
      <c r="P162" s="9">
        <v>1.1676</v>
      </c>
      <c r="Q162" s="9">
        <v>28.8002</v>
      </c>
      <c r="R162" s="9"/>
      <c r="S162" s="11"/>
    </row>
    <row r="163" spans="1:19" ht="15.75">
      <c r="A163" s="13">
        <v>46447</v>
      </c>
      <c r="B163" s="8">
        <f>6.6657 * CHOOSE(CONTROL!$C$15, $D$11, 100%, $F$11)</f>
        <v>6.6657000000000002</v>
      </c>
      <c r="C163" s="8">
        <f>6.6708 * CHOOSE(CONTROL!$C$15, $D$11, 100%, $F$11)</f>
        <v>6.6707999999999998</v>
      </c>
      <c r="D163" s="8">
        <f>6.6415 * CHOOSE( CONTROL!$C$15, $D$11, 100%, $F$11)</f>
        <v>6.6414999999999997</v>
      </c>
      <c r="E163" s="12">
        <f>6.6517 * CHOOSE( CONTROL!$C$15, $D$11, 100%, $F$11)</f>
        <v>6.6516999999999999</v>
      </c>
      <c r="F163" s="4">
        <f>7.331 * CHOOSE(CONTROL!$C$15, $D$11, 100%, $F$11)</f>
        <v>7.3310000000000004</v>
      </c>
      <c r="G163" s="8">
        <f>6.5871 * CHOOSE( CONTROL!$C$15, $D$11, 100%, $F$11)</f>
        <v>6.5871000000000004</v>
      </c>
      <c r="H163" s="4">
        <f>7.4918 * CHOOSE(CONTROL!$C$15, $D$11, 100%, $F$11)</f>
        <v>7.4917999999999996</v>
      </c>
      <c r="I163" s="8">
        <f>6.6068 * CHOOSE(CONTROL!$C$15, $D$11, 100%, $F$11)</f>
        <v>6.6067999999999998</v>
      </c>
      <c r="J163" s="4">
        <f>6.4603 * CHOOSE(CONTROL!$C$15, $D$11, 100%, $F$11)</f>
        <v>6.4603000000000002</v>
      </c>
      <c r="K163" s="4"/>
      <c r="L163" s="9">
        <v>29.306000000000001</v>
      </c>
      <c r="M163" s="9">
        <v>12.063700000000001</v>
      </c>
      <c r="N163" s="9">
        <v>4.9444999999999997</v>
      </c>
      <c r="O163" s="9">
        <v>0.37409999999999999</v>
      </c>
      <c r="P163" s="9">
        <v>1.2927</v>
      </c>
      <c r="Q163" s="9">
        <v>31.885999999999999</v>
      </c>
      <c r="R163" s="9"/>
      <c r="S163" s="11"/>
    </row>
    <row r="164" spans="1:19" ht="15.75">
      <c r="A164" s="13">
        <v>46478</v>
      </c>
      <c r="B164" s="8">
        <f>6.7677 * CHOOSE(CONTROL!$C$15, $D$11, 100%, $F$11)</f>
        <v>6.7676999999999996</v>
      </c>
      <c r="C164" s="8">
        <f>6.7722 * CHOOSE(CONTROL!$C$15, $D$11, 100%, $F$11)</f>
        <v>6.7721999999999998</v>
      </c>
      <c r="D164" s="8">
        <f>6.8155 * CHOOSE( CONTROL!$C$15, $D$11, 100%, $F$11)</f>
        <v>6.8155000000000001</v>
      </c>
      <c r="E164" s="12">
        <f>6.8007 * CHOOSE( CONTROL!$C$15, $D$11, 100%, $F$11)</f>
        <v>6.8007</v>
      </c>
      <c r="F164" s="4">
        <f>7.512 * CHOOSE(CONTROL!$C$15, $D$11, 100%, $F$11)</f>
        <v>7.5119999999999996</v>
      </c>
      <c r="G164" s="8">
        <f>6.6949 * CHOOSE( CONTROL!$C$15, $D$11, 100%, $F$11)</f>
        <v>6.6948999999999996</v>
      </c>
      <c r="H164" s="4">
        <f>7.6707 * CHOOSE(CONTROL!$C$15, $D$11, 100%, $F$11)</f>
        <v>7.6707000000000001</v>
      </c>
      <c r="I164" s="8">
        <f>6.7032 * CHOOSE(CONTROL!$C$15, $D$11, 100%, $F$11)</f>
        <v>6.7031999999999998</v>
      </c>
      <c r="J164" s="4">
        <f>6.5585 * CHOOSE(CONTROL!$C$15, $D$11, 100%, $F$11)</f>
        <v>6.5585000000000004</v>
      </c>
      <c r="K164" s="4"/>
      <c r="L164" s="9">
        <v>30.092199999999998</v>
      </c>
      <c r="M164" s="9">
        <v>11.6745</v>
      </c>
      <c r="N164" s="9">
        <v>4.7850000000000001</v>
      </c>
      <c r="O164" s="9">
        <v>0.36199999999999999</v>
      </c>
      <c r="P164" s="9">
        <v>1.1791</v>
      </c>
      <c r="Q164" s="9">
        <v>30.857399999999998</v>
      </c>
      <c r="R164" s="9"/>
      <c r="S164" s="11"/>
    </row>
    <row r="165" spans="1:19" ht="15.75">
      <c r="A165" s="13">
        <v>46508</v>
      </c>
      <c r="B165" s="8">
        <f>CHOOSE( CONTROL!$C$32, 6.9527, 6.9491) * CHOOSE(CONTROL!$C$15, $D$11, 100%, $F$11)</f>
        <v>6.9527000000000001</v>
      </c>
      <c r="C165" s="8">
        <f>CHOOSE( CONTROL!$C$32, 6.9607, 6.9571) * CHOOSE(CONTROL!$C$15, $D$11, 100%, $F$11)</f>
        <v>6.9607000000000001</v>
      </c>
      <c r="D165" s="8">
        <f>CHOOSE( CONTROL!$C$32, 6.9984, 6.9948) * CHOOSE( CONTROL!$C$15, $D$11, 100%, $F$11)</f>
        <v>6.9984000000000002</v>
      </c>
      <c r="E165" s="12">
        <f>CHOOSE( CONTROL!$C$32, 6.9835, 6.9799) * CHOOSE( CONTROL!$C$15, $D$11, 100%, $F$11)</f>
        <v>6.9835000000000003</v>
      </c>
      <c r="F165" s="4">
        <f>CHOOSE( CONTROL!$C$32, 7.6957, 7.6921) * CHOOSE(CONTROL!$C$15, $D$11, 100%, $F$11)</f>
        <v>7.6957000000000004</v>
      </c>
      <c r="G165" s="8">
        <f>CHOOSE( CONTROL!$C$32, 6.8772, 6.8736) * CHOOSE( CONTROL!$C$15, $D$11, 100%, $F$11)</f>
        <v>6.8772000000000002</v>
      </c>
      <c r="H165" s="4">
        <f>CHOOSE( CONTROL!$C$32, 7.8523, 7.8487) * CHOOSE(CONTROL!$C$15, $D$11, 100%, $F$11)</f>
        <v>7.8522999999999996</v>
      </c>
      <c r="I165" s="8">
        <f>CHOOSE( CONTROL!$C$32, 6.8817, 6.8782) * CHOOSE(CONTROL!$C$15, $D$11, 100%, $F$11)</f>
        <v>6.8817000000000004</v>
      </c>
      <c r="J165" s="4">
        <f>CHOOSE( CONTROL!$C$32, 6.7368, 6.7333) * CHOOSE(CONTROL!$C$15, $D$11, 100%, $F$11)</f>
        <v>6.7367999999999997</v>
      </c>
      <c r="K165" s="4"/>
      <c r="L165" s="9">
        <v>30.7165</v>
      </c>
      <c r="M165" s="9">
        <v>12.063700000000001</v>
      </c>
      <c r="N165" s="9">
        <v>4.9444999999999997</v>
      </c>
      <c r="O165" s="9">
        <v>0.37409999999999999</v>
      </c>
      <c r="P165" s="9">
        <v>1.2183999999999999</v>
      </c>
      <c r="Q165" s="9">
        <v>31.885999999999999</v>
      </c>
      <c r="R165" s="9"/>
      <c r="S165" s="11"/>
    </row>
    <row r="166" spans="1:19" ht="15.75">
      <c r="A166" s="13">
        <v>46539</v>
      </c>
      <c r="B166" s="8">
        <f>CHOOSE( CONTROL!$C$32, 6.8412, 6.8375) * CHOOSE(CONTROL!$C$15, $D$11, 100%, $F$11)</f>
        <v>6.8411999999999997</v>
      </c>
      <c r="C166" s="8">
        <f>CHOOSE( CONTROL!$C$32, 6.8492, 6.8455) * CHOOSE(CONTROL!$C$15, $D$11, 100%, $F$11)</f>
        <v>6.8491999999999997</v>
      </c>
      <c r="D166" s="8">
        <f>CHOOSE( CONTROL!$C$32, 6.8871, 6.8835) * CHOOSE( CONTROL!$C$15, $D$11, 100%, $F$11)</f>
        <v>6.8871000000000002</v>
      </c>
      <c r="E166" s="12">
        <f>CHOOSE( CONTROL!$C$32, 6.8721, 6.8685) * CHOOSE( CONTROL!$C$15, $D$11, 100%, $F$11)</f>
        <v>6.8720999999999997</v>
      </c>
      <c r="F166" s="4">
        <f>CHOOSE( CONTROL!$C$32, 7.5842, 7.5806) * CHOOSE(CONTROL!$C$15, $D$11, 100%, $F$11)</f>
        <v>7.5842000000000001</v>
      </c>
      <c r="G166" s="8">
        <f>CHOOSE( CONTROL!$C$32, 6.7673, 6.7637) * CHOOSE( CONTROL!$C$15, $D$11, 100%, $F$11)</f>
        <v>6.7672999999999996</v>
      </c>
      <c r="H166" s="4">
        <f>CHOOSE( CONTROL!$C$32, 7.742, 7.7384) * CHOOSE(CONTROL!$C$15, $D$11, 100%, $F$11)</f>
        <v>7.742</v>
      </c>
      <c r="I166" s="8">
        <f>CHOOSE( CONTROL!$C$32, 6.7745, 6.7709) * CHOOSE(CONTROL!$C$15, $D$11, 100%, $F$11)</f>
        <v>6.7744999999999997</v>
      </c>
      <c r="J166" s="4">
        <f>CHOOSE( CONTROL!$C$32, 6.6286, 6.625) * CHOOSE(CONTROL!$C$15, $D$11, 100%, $F$11)</f>
        <v>6.6285999999999996</v>
      </c>
      <c r="K166" s="4"/>
      <c r="L166" s="9">
        <v>29.7257</v>
      </c>
      <c r="M166" s="9">
        <v>11.6745</v>
      </c>
      <c r="N166" s="9">
        <v>4.7850000000000001</v>
      </c>
      <c r="O166" s="9">
        <v>0.36199999999999999</v>
      </c>
      <c r="P166" s="9">
        <v>1.1791</v>
      </c>
      <c r="Q166" s="9">
        <v>30.857399999999998</v>
      </c>
      <c r="R166" s="9"/>
      <c r="S166" s="11"/>
    </row>
    <row r="167" spans="1:19" ht="15.75">
      <c r="A167" s="13">
        <v>46569</v>
      </c>
      <c r="B167" s="8">
        <f>CHOOSE( CONTROL!$C$32, 7.1349, 7.1313) * CHOOSE(CONTROL!$C$15, $D$11, 100%, $F$11)</f>
        <v>7.1349</v>
      </c>
      <c r="C167" s="8">
        <f>CHOOSE( CONTROL!$C$32, 7.1429, 7.1393) * CHOOSE(CONTROL!$C$15, $D$11, 100%, $F$11)</f>
        <v>7.1429</v>
      </c>
      <c r="D167" s="8">
        <f>CHOOSE( CONTROL!$C$32, 7.1811, 7.1775) * CHOOSE( CONTROL!$C$15, $D$11, 100%, $F$11)</f>
        <v>7.1810999999999998</v>
      </c>
      <c r="E167" s="12">
        <f>CHOOSE( CONTROL!$C$32, 7.166, 7.1624) * CHOOSE( CONTROL!$C$15, $D$11, 100%, $F$11)</f>
        <v>7.1660000000000004</v>
      </c>
      <c r="F167" s="4">
        <f>CHOOSE( CONTROL!$C$32, 7.8779, 7.8743) * CHOOSE(CONTROL!$C$15, $D$11, 100%, $F$11)</f>
        <v>7.8779000000000003</v>
      </c>
      <c r="G167" s="8">
        <f>CHOOSE( CONTROL!$C$32, 7.058, 7.0544) * CHOOSE( CONTROL!$C$15, $D$11, 100%, $F$11)</f>
        <v>7.0579999999999998</v>
      </c>
      <c r="H167" s="4">
        <f>CHOOSE( CONTROL!$C$32, 8.0323, 8.0287) * CHOOSE(CONTROL!$C$15, $D$11, 100%, $F$11)</f>
        <v>8.0322999999999993</v>
      </c>
      <c r="I167" s="8">
        <f>CHOOSE( CONTROL!$C$32, 7.0608, 7.0573) * CHOOSE(CONTROL!$C$15, $D$11, 100%, $F$11)</f>
        <v>7.0608000000000004</v>
      </c>
      <c r="J167" s="4">
        <f>CHOOSE( CONTROL!$C$32, 6.9136, 6.9101) * CHOOSE(CONTROL!$C$15, $D$11, 100%, $F$11)</f>
        <v>6.9135999999999997</v>
      </c>
      <c r="K167" s="4"/>
      <c r="L167" s="9">
        <v>30.7165</v>
      </c>
      <c r="M167" s="9">
        <v>12.063700000000001</v>
      </c>
      <c r="N167" s="9">
        <v>4.9444999999999997</v>
      </c>
      <c r="O167" s="9">
        <v>0.37409999999999999</v>
      </c>
      <c r="P167" s="9">
        <v>1.2183999999999999</v>
      </c>
      <c r="Q167" s="9">
        <v>31.885999999999999</v>
      </c>
      <c r="R167" s="9"/>
      <c r="S167" s="11"/>
    </row>
    <row r="168" spans="1:19" ht="15.75">
      <c r="A168" s="13">
        <v>46600</v>
      </c>
      <c r="B168" s="8">
        <f>CHOOSE( CONTROL!$C$32, 6.5853, 6.5817) * CHOOSE(CONTROL!$C$15, $D$11, 100%, $F$11)</f>
        <v>6.5853000000000002</v>
      </c>
      <c r="C168" s="8">
        <f>CHOOSE( CONTROL!$C$32, 6.5933, 6.5896) * CHOOSE(CONTROL!$C$15, $D$11, 100%, $F$11)</f>
        <v>6.5933000000000002</v>
      </c>
      <c r="D168" s="8">
        <f>CHOOSE( CONTROL!$C$32, 6.6315, 6.6279) * CHOOSE( CONTROL!$C$15, $D$11, 100%, $F$11)</f>
        <v>6.6315</v>
      </c>
      <c r="E168" s="12">
        <f>CHOOSE( CONTROL!$C$32, 6.6164, 6.6128) * CHOOSE( CONTROL!$C$15, $D$11, 100%, $F$11)</f>
        <v>6.6163999999999996</v>
      </c>
      <c r="F168" s="4">
        <f>CHOOSE( CONTROL!$C$32, 7.3283, 7.3247) * CHOOSE(CONTROL!$C$15, $D$11, 100%, $F$11)</f>
        <v>7.3282999999999996</v>
      </c>
      <c r="G168" s="8">
        <f>CHOOSE( CONTROL!$C$32, 6.5149, 6.5113) * CHOOSE( CONTROL!$C$15, $D$11, 100%, $F$11)</f>
        <v>6.5148999999999999</v>
      </c>
      <c r="H168" s="4">
        <f>CHOOSE( CONTROL!$C$32, 7.4891, 7.4855) * CHOOSE(CONTROL!$C$15, $D$11, 100%, $F$11)</f>
        <v>7.4890999999999996</v>
      </c>
      <c r="I168" s="8">
        <f>CHOOSE( CONTROL!$C$32, 6.5274, 6.5239) * CHOOSE(CONTROL!$C$15, $D$11, 100%, $F$11)</f>
        <v>6.5274000000000001</v>
      </c>
      <c r="J168" s="4">
        <f>CHOOSE( CONTROL!$C$32, 6.3802, 6.3767) * CHOOSE(CONTROL!$C$15, $D$11, 100%, $F$11)</f>
        <v>6.3802000000000003</v>
      </c>
      <c r="K168" s="4"/>
      <c r="L168" s="9">
        <v>30.7165</v>
      </c>
      <c r="M168" s="9">
        <v>12.063700000000001</v>
      </c>
      <c r="N168" s="9">
        <v>4.9444999999999997</v>
      </c>
      <c r="O168" s="9">
        <v>0.37409999999999999</v>
      </c>
      <c r="P168" s="9">
        <v>1.2183999999999999</v>
      </c>
      <c r="Q168" s="9">
        <v>31.885999999999999</v>
      </c>
      <c r="R168" s="9"/>
      <c r="S168" s="11"/>
    </row>
    <row r="169" spans="1:19" ht="15.75">
      <c r="A169" s="13">
        <v>46631</v>
      </c>
      <c r="B169" s="8">
        <f>CHOOSE( CONTROL!$C$32, 6.4477, 6.444) * CHOOSE(CONTROL!$C$15, $D$11, 100%, $F$11)</f>
        <v>6.4477000000000002</v>
      </c>
      <c r="C169" s="8">
        <f>CHOOSE( CONTROL!$C$32, 6.4556, 6.452) * CHOOSE(CONTROL!$C$15, $D$11, 100%, $F$11)</f>
        <v>6.4555999999999996</v>
      </c>
      <c r="D169" s="8">
        <f>CHOOSE( CONTROL!$C$32, 6.4938, 6.4902) * CHOOSE( CONTROL!$C$15, $D$11, 100%, $F$11)</f>
        <v>6.4938000000000002</v>
      </c>
      <c r="E169" s="12">
        <f>CHOOSE( CONTROL!$C$32, 6.4788, 6.4751) * CHOOSE( CONTROL!$C$15, $D$11, 100%, $F$11)</f>
        <v>6.4787999999999997</v>
      </c>
      <c r="F169" s="4">
        <f>CHOOSE( CONTROL!$C$32, 7.1907, 7.187) * CHOOSE(CONTROL!$C$15, $D$11, 100%, $F$11)</f>
        <v>7.1906999999999996</v>
      </c>
      <c r="G169" s="8">
        <f>CHOOSE( CONTROL!$C$32, 6.3787, 6.3751) * CHOOSE( CONTROL!$C$15, $D$11, 100%, $F$11)</f>
        <v>6.3787000000000003</v>
      </c>
      <c r="H169" s="4">
        <f>CHOOSE( CONTROL!$C$32, 7.3531, 7.3495) * CHOOSE(CONTROL!$C$15, $D$11, 100%, $F$11)</f>
        <v>7.3531000000000004</v>
      </c>
      <c r="I169" s="8">
        <f>CHOOSE( CONTROL!$C$32, 6.3934, 6.3899) * CHOOSE(CONTROL!$C$15, $D$11, 100%, $F$11)</f>
        <v>6.3933999999999997</v>
      </c>
      <c r="J169" s="4">
        <f>CHOOSE( CONTROL!$C$32, 6.2466, 6.2431) * CHOOSE(CONTROL!$C$15, $D$11, 100%, $F$11)</f>
        <v>6.2465999999999999</v>
      </c>
      <c r="K169" s="4"/>
      <c r="L169" s="9">
        <v>29.7257</v>
      </c>
      <c r="M169" s="9">
        <v>11.6745</v>
      </c>
      <c r="N169" s="9">
        <v>4.7850000000000001</v>
      </c>
      <c r="O169" s="9">
        <v>0.36199999999999999</v>
      </c>
      <c r="P169" s="9">
        <v>1.1791</v>
      </c>
      <c r="Q169" s="9">
        <v>30.857399999999998</v>
      </c>
      <c r="R169" s="9"/>
      <c r="S169" s="11"/>
    </row>
    <row r="170" spans="1:19" ht="15.75">
      <c r="A170" s="13">
        <v>46661</v>
      </c>
      <c r="B170" s="8">
        <f>6.7281 * CHOOSE(CONTROL!$C$15, $D$11, 100%, $F$11)</f>
        <v>6.7281000000000004</v>
      </c>
      <c r="C170" s="8">
        <f>6.7334 * CHOOSE(CONTROL!$C$15, $D$11, 100%, $F$11)</f>
        <v>6.7333999999999996</v>
      </c>
      <c r="D170" s="8">
        <f>6.7769 * CHOOSE( CONTROL!$C$15, $D$11, 100%, $F$11)</f>
        <v>6.7769000000000004</v>
      </c>
      <c r="E170" s="12">
        <f>6.762 * CHOOSE( CONTROL!$C$15, $D$11, 100%, $F$11)</f>
        <v>6.7619999999999996</v>
      </c>
      <c r="F170" s="4">
        <f>7.4728 * CHOOSE(CONTROL!$C$15, $D$11, 100%, $F$11)</f>
        <v>7.4728000000000003</v>
      </c>
      <c r="G170" s="8">
        <f>6.657 * CHOOSE( CONTROL!$C$15, $D$11, 100%, $F$11)</f>
        <v>6.657</v>
      </c>
      <c r="H170" s="4">
        <f>7.6319 * CHOOSE(CONTROL!$C$15, $D$11, 100%, $F$11)</f>
        <v>7.6318999999999999</v>
      </c>
      <c r="I170" s="8">
        <f>6.6681 * CHOOSE(CONTROL!$C$15, $D$11, 100%, $F$11)</f>
        <v>6.6680999999999999</v>
      </c>
      <c r="J170" s="4">
        <f>6.5205 * CHOOSE(CONTROL!$C$15, $D$11, 100%, $F$11)</f>
        <v>6.5205000000000002</v>
      </c>
      <c r="K170" s="4"/>
      <c r="L170" s="9">
        <v>31.095300000000002</v>
      </c>
      <c r="M170" s="9">
        <v>12.063700000000001</v>
      </c>
      <c r="N170" s="9">
        <v>4.9444999999999997</v>
      </c>
      <c r="O170" s="9">
        <v>0.37409999999999999</v>
      </c>
      <c r="P170" s="9">
        <v>1.2183999999999999</v>
      </c>
      <c r="Q170" s="9">
        <v>31.885999999999999</v>
      </c>
      <c r="R170" s="9"/>
      <c r="S170" s="11"/>
    </row>
    <row r="171" spans="1:19" ht="15.75">
      <c r="A171" s="13">
        <v>46692</v>
      </c>
      <c r="B171" s="8">
        <f>7.2551 * CHOOSE(CONTROL!$C$15, $D$11, 100%, $F$11)</f>
        <v>7.2550999999999997</v>
      </c>
      <c r="C171" s="8">
        <f>7.2602 * CHOOSE(CONTROL!$C$15, $D$11, 100%, $F$11)</f>
        <v>7.2602000000000002</v>
      </c>
      <c r="D171" s="8">
        <f>7.2439 * CHOOSE( CONTROL!$C$15, $D$11, 100%, $F$11)</f>
        <v>7.2439</v>
      </c>
      <c r="E171" s="12">
        <f>7.2493 * CHOOSE( CONTROL!$C$15, $D$11, 100%, $F$11)</f>
        <v>7.2492999999999999</v>
      </c>
      <c r="F171" s="4">
        <f>7.9204 * CHOOSE(CONTROL!$C$15, $D$11, 100%, $F$11)</f>
        <v>7.9203999999999999</v>
      </c>
      <c r="G171" s="8">
        <f>7.1789 * CHOOSE( CONTROL!$C$15, $D$11, 100%, $F$11)</f>
        <v>7.1788999999999996</v>
      </c>
      <c r="H171" s="4">
        <f>8.0743 * CHOOSE(CONTROL!$C$15, $D$11, 100%, $F$11)</f>
        <v>8.0742999999999991</v>
      </c>
      <c r="I171" s="8">
        <f>7.1804 * CHOOSE(CONTROL!$C$15, $D$11, 100%, $F$11)</f>
        <v>7.1803999999999997</v>
      </c>
      <c r="J171" s="4">
        <f>7.0324 * CHOOSE(CONTROL!$C$15, $D$11, 100%, $F$11)</f>
        <v>7.0324</v>
      </c>
      <c r="K171" s="4"/>
      <c r="L171" s="9">
        <v>28.360600000000002</v>
      </c>
      <c r="M171" s="9">
        <v>11.6745</v>
      </c>
      <c r="N171" s="9">
        <v>4.7850000000000001</v>
      </c>
      <c r="O171" s="9">
        <v>0.36199999999999999</v>
      </c>
      <c r="P171" s="9">
        <v>1.2509999999999999</v>
      </c>
      <c r="Q171" s="9">
        <v>30.857399999999998</v>
      </c>
      <c r="R171" s="9"/>
      <c r="S171" s="11"/>
    </row>
    <row r="172" spans="1:19" ht="15.75">
      <c r="A172" s="13">
        <v>46722</v>
      </c>
      <c r="B172" s="8">
        <f>7.242 * CHOOSE(CONTROL!$C$15, $D$11, 100%, $F$11)</f>
        <v>7.242</v>
      </c>
      <c r="C172" s="8">
        <f>7.247 * CHOOSE(CONTROL!$C$15, $D$11, 100%, $F$11)</f>
        <v>7.2469999999999999</v>
      </c>
      <c r="D172" s="8">
        <f>7.2324 * CHOOSE( CONTROL!$C$15, $D$11, 100%, $F$11)</f>
        <v>7.2324000000000002</v>
      </c>
      <c r="E172" s="12">
        <f>7.2372 * CHOOSE( CONTROL!$C$15, $D$11, 100%, $F$11)</f>
        <v>7.2371999999999996</v>
      </c>
      <c r="F172" s="4">
        <f>7.9073 * CHOOSE(CONTROL!$C$15, $D$11, 100%, $F$11)</f>
        <v>7.9073000000000002</v>
      </c>
      <c r="G172" s="8">
        <f>7.1671 * CHOOSE( CONTROL!$C$15, $D$11, 100%, $F$11)</f>
        <v>7.1670999999999996</v>
      </c>
      <c r="H172" s="4">
        <f>8.0613 * CHOOSE(CONTROL!$C$15, $D$11, 100%, $F$11)</f>
        <v>8.0612999999999992</v>
      </c>
      <c r="I172" s="8">
        <f>7.173 * CHOOSE(CONTROL!$C$15, $D$11, 100%, $F$11)</f>
        <v>7.173</v>
      </c>
      <c r="J172" s="4">
        <f>7.0196 * CHOOSE(CONTROL!$C$15, $D$11, 100%, $F$11)</f>
        <v>7.0195999999999996</v>
      </c>
      <c r="K172" s="4"/>
      <c r="L172" s="9">
        <v>29.306000000000001</v>
      </c>
      <c r="M172" s="9">
        <v>12.063700000000001</v>
      </c>
      <c r="N172" s="9">
        <v>4.9444999999999997</v>
      </c>
      <c r="O172" s="9">
        <v>0.37409999999999999</v>
      </c>
      <c r="P172" s="9">
        <v>1.2927</v>
      </c>
      <c r="Q172" s="9">
        <v>31.885999999999999</v>
      </c>
      <c r="R172" s="9"/>
      <c r="S172" s="11"/>
    </row>
    <row r="173" spans="1:19" ht="15.75">
      <c r="A173" s="13">
        <v>46753</v>
      </c>
      <c r="B173" s="8">
        <f>7.5002 * CHOOSE(CONTROL!$C$15, $D$11, 100%, $F$11)</f>
        <v>7.5002000000000004</v>
      </c>
      <c r="C173" s="8">
        <f>7.5053 * CHOOSE(CONTROL!$C$15, $D$11, 100%, $F$11)</f>
        <v>7.5053000000000001</v>
      </c>
      <c r="D173" s="8">
        <f>7.4764 * CHOOSE( CONTROL!$C$15, $D$11, 100%, $F$11)</f>
        <v>7.4763999999999999</v>
      </c>
      <c r="E173" s="12">
        <f>7.4864 * CHOOSE( CONTROL!$C$15, $D$11, 100%, $F$11)</f>
        <v>7.4863999999999997</v>
      </c>
      <c r="F173" s="4">
        <f>8.1655 * CHOOSE(CONTROL!$C$15, $D$11, 100%, $F$11)</f>
        <v>8.1654999999999998</v>
      </c>
      <c r="G173" s="8">
        <f>7.4121 * CHOOSE( CONTROL!$C$15, $D$11, 100%, $F$11)</f>
        <v>7.4120999999999997</v>
      </c>
      <c r="H173" s="4">
        <f>8.3165 * CHOOSE(CONTROL!$C$15, $D$11, 100%, $F$11)</f>
        <v>8.3164999999999996</v>
      </c>
      <c r="I173" s="8">
        <f>7.4183 * CHOOSE(CONTROL!$C$15, $D$11, 100%, $F$11)</f>
        <v>7.4183000000000003</v>
      </c>
      <c r="J173" s="4">
        <f>7.2702 * CHOOSE(CONTROL!$C$15, $D$11, 100%, $F$11)</f>
        <v>7.2702</v>
      </c>
      <c r="K173" s="4"/>
      <c r="L173" s="9">
        <v>29.306000000000001</v>
      </c>
      <c r="M173" s="9">
        <v>12.063700000000001</v>
      </c>
      <c r="N173" s="9">
        <v>4.9444999999999997</v>
      </c>
      <c r="O173" s="9">
        <v>0.37409999999999999</v>
      </c>
      <c r="P173" s="9">
        <v>1.2927</v>
      </c>
      <c r="Q173" s="9">
        <v>31.701799999999999</v>
      </c>
      <c r="R173" s="9"/>
      <c r="S173" s="11"/>
    </row>
    <row r="174" spans="1:19" ht="15.75">
      <c r="A174" s="13">
        <v>46784</v>
      </c>
      <c r="B174" s="8">
        <f>7.0159 * CHOOSE(CONTROL!$C$15, $D$11, 100%, $F$11)</f>
        <v>7.0159000000000002</v>
      </c>
      <c r="C174" s="8">
        <f>7.021 * CHOOSE(CONTROL!$C$15, $D$11, 100%, $F$11)</f>
        <v>7.0209999999999999</v>
      </c>
      <c r="D174" s="8">
        <f>6.9921 * CHOOSE( CONTROL!$C$15, $D$11, 100%, $F$11)</f>
        <v>6.9920999999999998</v>
      </c>
      <c r="E174" s="12">
        <f>7.0021 * CHOOSE( CONTROL!$C$15, $D$11, 100%, $F$11)</f>
        <v>7.0021000000000004</v>
      </c>
      <c r="F174" s="4">
        <f>7.6812 * CHOOSE(CONTROL!$C$15, $D$11, 100%, $F$11)</f>
        <v>7.6811999999999996</v>
      </c>
      <c r="G174" s="8">
        <f>6.9334 * CHOOSE( CONTROL!$C$15, $D$11, 100%, $F$11)</f>
        <v>6.9333999999999998</v>
      </c>
      <c r="H174" s="4">
        <f>7.8379 * CHOOSE(CONTROL!$C$15, $D$11, 100%, $F$11)</f>
        <v>7.8379000000000003</v>
      </c>
      <c r="I174" s="8">
        <f>6.948 * CHOOSE(CONTROL!$C$15, $D$11, 100%, $F$11)</f>
        <v>6.9480000000000004</v>
      </c>
      <c r="J174" s="4">
        <f>6.8002 * CHOOSE(CONTROL!$C$15, $D$11, 100%, $F$11)</f>
        <v>6.8002000000000002</v>
      </c>
      <c r="K174" s="4"/>
      <c r="L174" s="9">
        <v>27.415299999999998</v>
      </c>
      <c r="M174" s="9">
        <v>11.285299999999999</v>
      </c>
      <c r="N174" s="9">
        <v>4.6254999999999997</v>
      </c>
      <c r="O174" s="9">
        <v>0.34989999999999999</v>
      </c>
      <c r="P174" s="9">
        <v>1.2093</v>
      </c>
      <c r="Q174" s="9">
        <v>29.656600000000001</v>
      </c>
      <c r="R174" s="9"/>
      <c r="S174" s="11"/>
    </row>
    <row r="175" spans="1:19" ht="15.75">
      <c r="A175" s="13">
        <v>46813</v>
      </c>
      <c r="B175" s="8">
        <f>6.8668 * CHOOSE(CONTROL!$C$15, $D$11, 100%, $F$11)</f>
        <v>6.8667999999999996</v>
      </c>
      <c r="C175" s="8">
        <f>6.8718 * CHOOSE(CONTROL!$C$15, $D$11, 100%, $F$11)</f>
        <v>6.8718000000000004</v>
      </c>
      <c r="D175" s="8">
        <f>6.8425 * CHOOSE( CONTROL!$C$15, $D$11, 100%, $F$11)</f>
        <v>6.8425000000000002</v>
      </c>
      <c r="E175" s="12">
        <f>6.8527 * CHOOSE( CONTROL!$C$15, $D$11, 100%, $F$11)</f>
        <v>6.8526999999999996</v>
      </c>
      <c r="F175" s="4">
        <f>7.532 * CHOOSE(CONTROL!$C$15, $D$11, 100%, $F$11)</f>
        <v>7.532</v>
      </c>
      <c r="G175" s="8">
        <f>6.7857 * CHOOSE( CONTROL!$C$15, $D$11, 100%, $F$11)</f>
        <v>6.7857000000000003</v>
      </c>
      <c r="H175" s="4">
        <f>7.6905 * CHOOSE(CONTROL!$C$15, $D$11, 100%, $F$11)</f>
        <v>7.6905000000000001</v>
      </c>
      <c r="I175" s="8">
        <f>6.802 * CHOOSE(CONTROL!$C$15, $D$11, 100%, $F$11)</f>
        <v>6.8019999999999996</v>
      </c>
      <c r="J175" s="4">
        <f>6.6554 * CHOOSE(CONTROL!$C$15, $D$11, 100%, $F$11)</f>
        <v>6.6554000000000002</v>
      </c>
      <c r="K175" s="4"/>
      <c r="L175" s="9">
        <v>29.306000000000001</v>
      </c>
      <c r="M175" s="9">
        <v>12.063700000000001</v>
      </c>
      <c r="N175" s="9">
        <v>4.9444999999999997</v>
      </c>
      <c r="O175" s="9">
        <v>0.37409999999999999</v>
      </c>
      <c r="P175" s="9">
        <v>1.2927</v>
      </c>
      <c r="Q175" s="9">
        <v>31.701799999999999</v>
      </c>
      <c r="R175" s="9"/>
      <c r="S175" s="11"/>
    </row>
    <row r="176" spans="1:19" ht="15.75">
      <c r="A176" s="13">
        <v>46844</v>
      </c>
      <c r="B176" s="8">
        <f>6.9717 * CHOOSE(CONTROL!$C$15, $D$11, 100%, $F$11)</f>
        <v>6.9717000000000002</v>
      </c>
      <c r="C176" s="8">
        <f>6.9763 * CHOOSE(CONTROL!$C$15, $D$11, 100%, $F$11)</f>
        <v>6.9763000000000002</v>
      </c>
      <c r="D176" s="8">
        <f>7.0196 * CHOOSE( CONTROL!$C$15, $D$11, 100%, $F$11)</f>
        <v>7.0195999999999996</v>
      </c>
      <c r="E176" s="12">
        <f>7.0048 * CHOOSE( CONTROL!$C$15, $D$11, 100%, $F$11)</f>
        <v>7.0048000000000004</v>
      </c>
      <c r="F176" s="4">
        <f>7.7161 * CHOOSE(CONTROL!$C$15, $D$11, 100%, $F$11)</f>
        <v>7.7161</v>
      </c>
      <c r="G176" s="8">
        <f>6.8966 * CHOOSE( CONTROL!$C$15, $D$11, 100%, $F$11)</f>
        <v>6.8966000000000003</v>
      </c>
      <c r="H176" s="4">
        <f>7.8724 * CHOOSE(CONTROL!$C$15, $D$11, 100%, $F$11)</f>
        <v>7.8723999999999998</v>
      </c>
      <c r="I176" s="8">
        <f>6.9014 * CHOOSE(CONTROL!$C$15, $D$11, 100%, $F$11)</f>
        <v>6.9013999999999998</v>
      </c>
      <c r="J176" s="4">
        <f>6.7566 * CHOOSE(CONTROL!$C$15, $D$11, 100%, $F$11)</f>
        <v>6.7565999999999997</v>
      </c>
      <c r="K176" s="4"/>
      <c r="L176" s="9">
        <v>30.092199999999998</v>
      </c>
      <c r="M176" s="9">
        <v>11.6745</v>
      </c>
      <c r="N176" s="9">
        <v>4.7850000000000001</v>
      </c>
      <c r="O176" s="9">
        <v>0.36199999999999999</v>
      </c>
      <c r="P176" s="9">
        <v>1.1791</v>
      </c>
      <c r="Q176" s="9">
        <v>30.679200000000002</v>
      </c>
      <c r="R176" s="9"/>
      <c r="S176" s="11"/>
    </row>
    <row r="177" spans="1:19" ht="15.75">
      <c r="A177" s="13">
        <v>46874</v>
      </c>
      <c r="B177" s="8">
        <f>CHOOSE( CONTROL!$C$32, 7.1623, 7.1586) * CHOOSE(CONTROL!$C$15, $D$11, 100%, $F$11)</f>
        <v>7.1623000000000001</v>
      </c>
      <c r="C177" s="8">
        <f>CHOOSE( CONTROL!$C$32, 7.1702, 7.1666) * CHOOSE(CONTROL!$C$15, $D$11, 100%, $F$11)</f>
        <v>7.1702000000000004</v>
      </c>
      <c r="D177" s="8">
        <f>CHOOSE( CONTROL!$C$32, 7.208, 7.2043) * CHOOSE( CONTROL!$C$15, $D$11, 100%, $F$11)</f>
        <v>7.2080000000000002</v>
      </c>
      <c r="E177" s="12">
        <f>CHOOSE( CONTROL!$C$32, 7.1931, 7.1894) * CHOOSE( CONTROL!$C$15, $D$11, 100%, $F$11)</f>
        <v>7.1931000000000003</v>
      </c>
      <c r="F177" s="4">
        <f>CHOOSE( CONTROL!$C$32, 7.9053, 7.9016) * CHOOSE(CONTROL!$C$15, $D$11, 100%, $F$11)</f>
        <v>7.9053000000000004</v>
      </c>
      <c r="G177" s="8">
        <f>CHOOSE( CONTROL!$C$32, 7.0843, 7.0807) * CHOOSE( CONTROL!$C$15, $D$11, 100%, $F$11)</f>
        <v>7.0842999999999998</v>
      </c>
      <c r="H177" s="4">
        <f>CHOOSE( CONTROL!$C$32, 8.0593, 8.0557) * CHOOSE(CONTROL!$C$15, $D$11, 100%, $F$11)</f>
        <v>8.0593000000000004</v>
      </c>
      <c r="I177" s="8">
        <f>CHOOSE( CONTROL!$C$32, 7.0852, 7.0816) * CHOOSE(CONTROL!$C$15, $D$11, 100%, $F$11)</f>
        <v>7.0852000000000004</v>
      </c>
      <c r="J177" s="4">
        <f>CHOOSE( CONTROL!$C$32, 6.9402, 6.9366) * CHOOSE(CONTROL!$C$15, $D$11, 100%, $F$11)</f>
        <v>6.9401999999999999</v>
      </c>
      <c r="K177" s="4"/>
      <c r="L177" s="9">
        <v>30.7165</v>
      </c>
      <c r="M177" s="9">
        <v>12.063700000000001</v>
      </c>
      <c r="N177" s="9">
        <v>4.9444999999999997</v>
      </c>
      <c r="O177" s="9">
        <v>0.37409999999999999</v>
      </c>
      <c r="P177" s="9">
        <v>1.2183999999999999</v>
      </c>
      <c r="Q177" s="9">
        <v>31.701799999999999</v>
      </c>
      <c r="R177" s="9"/>
      <c r="S177" s="11"/>
    </row>
    <row r="178" spans="1:19" ht="15.75">
      <c r="A178" s="13">
        <v>46905</v>
      </c>
      <c r="B178" s="8">
        <f>CHOOSE( CONTROL!$C$32, 7.0473, 7.0437) * CHOOSE(CONTROL!$C$15, $D$11, 100%, $F$11)</f>
        <v>7.0472999999999999</v>
      </c>
      <c r="C178" s="8">
        <f>CHOOSE( CONTROL!$C$32, 7.0553, 7.0517) * CHOOSE(CONTROL!$C$15, $D$11, 100%, $F$11)</f>
        <v>7.0552999999999999</v>
      </c>
      <c r="D178" s="8">
        <f>CHOOSE( CONTROL!$C$32, 7.0933, 7.0896) * CHOOSE( CONTROL!$C$15, $D$11, 100%, $F$11)</f>
        <v>7.0933000000000002</v>
      </c>
      <c r="E178" s="12">
        <f>CHOOSE( CONTROL!$C$32, 7.0783, 7.0746) * CHOOSE( CONTROL!$C$15, $D$11, 100%, $F$11)</f>
        <v>7.0782999999999996</v>
      </c>
      <c r="F178" s="4">
        <f>CHOOSE( CONTROL!$C$32, 7.7904, 7.7867) * CHOOSE(CONTROL!$C$15, $D$11, 100%, $F$11)</f>
        <v>7.7904</v>
      </c>
      <c r="G178" s="8">
        <f>CHOOSE( CONTROL!$C$32, 6.971, 6.9674) * CHOOSE( CONTROL!$C$15, $D$11, 100%, $F$11)</f>
        <v>6.9710000000000001</v>
      </c>
      <c r="H178" s="4">
        <f>CHOOSE( CONTROL!$C$32, 7.9458, 7.9422) * CHOOSE(CONTROL!$C$15, $D$11, 100%, $F$11)</f>
        <v>7.9458000000000002</v>
      </c>
      <c r="I178" s="8">
        <f>CHOOSE( CONTROL!$C$32, 6.9746, 6.9711) * CHOOSE(CONTROL!$C$15, $D$11, 100%, $F$11)</f>
        <v>6.9745999999999997</v>
      </c>
      <c r="J178" s="4">
        <f>CHOOSE( CONTROL!$C$32, 6.8286, 6.8251) * CHOOSE(CONTROL!$C$15, $D$11, 100%, $F$11)</f>
        <v>6.8285999999999998</v>
      </c>
      <c r="K178" s="4"/>
      <c r="L178" s="9">
        <v>29.7257</v>
      </c>
      <c r="M178" s="9">
        <v>11.6745</v>
      </c>
      <c r="N178" s="9">
        <v>4.7850000000000001</v>
      </c>
      <c r="O178" s="9">
        <v>0.36199999999999999</v>
      </c>
      <c r="P178" s="9">
        <v>1.1791</v>
      </c>
      <c r="Q178" s="9">
        <v>30.679200000000002</v>
      </c>
      <c r="R178" s="9"/>
      <c r="S178" s="11"/>
    </row>
    <row r="179" spans="1:19" ht="15.75">
      <c r="A179" s="13">
        <v>46935</v>
      </c>
      <c r="B179" s="8">
        <f>CHOOSE( CONTROL!$C$32, 7.35, 7.3463) * CHOOSE(CONTROL!$C$15, $D$11, 100%, $F$11)</f>
        <v>7.35</v>
      </c>
      <c r="C179" s="8">
        <f>CHOOSE( CONTROL!$C$32, 7.3579, 7.3543) * CHOOSE(CONTROL!$C$15, $D$11, 100%, $F$11)</f>
        <v>7.3578999999999999</v>
      </c>
      <c r="D179" s="8">
        <f>CHOOSE( CONTROL!$C$32, 7.3961, 7.3925) * CHOOSE( CONTROL!$C$15, $D$11, 100%, $F$11)</f>
        <v>7.3960999999999997</v>
      </c>
      <c r="E179" s="12">
        <f>CHOOSE( CONTROL!$C$32, 7.3811, 7.3774) * CHOOSE( CONTROL!$C$15, $D$11, 100%, $F$11)</f>
        <v>7.3811</v>
      </c>
      <c r="F179" s="4">
        <f>CHOOSE( CONTROL!$C$32, 8.093, 8.0893) * CHOOSE(CONTROL!$C$15, $D$11, 100%, $F$11)</f>
        <v>8.093</v>
      </c>
      <c r="G179" s="8">
        <f>CHOOSE( CONTROL!$C$32, 7.2705, 7.2669) * CHOOSE( CONTROL!$C$15, $D$11, 100%, $F$11)</f>
        <v>7.2705000000000002</v>
      </c>
      <c r="H179" s="4">
        <f>CHOOSE( CONTROL!$C$32, 8.2448, 8.2412) * CHOOSE(CONTROL!$C$15, $D$11, 100%, $F$11)</f>
        <v>8.2447999999999997</v>
      </c>
      <c r="I179" s="8">
        <f>CHOOSE( CONTROL!$C$32, 7.2696, 7.2661) * CHOOSE(CONTROL!$C$15, $D$11, 100%, $F$11)</f>
        <v>7.2695999999999996</v>
      </c>
      <c r="J179" s="4">
        <f>CHOOSE( CONTROL!$C$32, 7.1223, 7.1188) * CHOOSE(CONTROL!$C$15, $D$11, 100%, $F$11)</f>
        <v>7.1223000000000001</v>
      </c>
      <c r="K179" s="4"/>
      <c r="L179" s="9">
        <v>30.7165</v>
      </c>
      <c r="M179" s="9">
        <v>12.063700000000001</v>
      </c>
      <c r="N179" s="9">
        <v>4.9444999999999997</v>
      </c>
      <c r="O179" s="9">
        <v>0.37409999999999999</v>
      </c>
      <c r="P179" s="9">
        <v>1.2183999999999999</v>
      </c>
      <c r="Q179" s="9">
        <v>31.701799999999999</v>
      </c>
      <c r="R179" s="9"/>
      <c r="S179" s="11"/>
    </row>
    <row r="180" spans="1:19" ht="15.75">
      <c r="A180" s="13">
        <v>46966</v>
      </c>
      <c r="B180" s="8">
        <f>CHOOSE( CONTROL!$C$32, 6.7837, 6.7801) * CHOOSE(CONTROL!$C$15, $D$11, 100%, $F$11)</f>
        <v>6.7836999999999996</v>
      </c>
      <c r="C180" s="8">
        <f>CHOOSE( CONTROL!$C$32, 6.7917, 6.7881) * CHOOSE(CONTROL!$C$15, $D$11, 100%, $F$11)</f>
        <v>6.7916999999999996</v>
      </c>
      <c r="D180" s="8">
        <f>CHOOSE( CONTROL!$C$32, 6.83, 6.8263) * CHOOSE( CONTROL!$C$15, $D$11, 100%, $F$11)</f>
        <v>6.83</v>
      </c>
      <c r="E180" s="12">
        <f>CHOOSE( CONTROL!$C$32, 6.8149, 6.8112) * CHOOSE( CONTROL!$C$15, $D$11, 100%, $F$11)</f>
        <v>6.8148999999999997</v>
      </c>
      <c r="F180" s="4">
        <f>CHOOSE( CONTROL!$C$32, 7.5267, 7.5231) * CHOOSE(CONTROL!$C$15, $D$11, 100%, $F$11)</f>
        <v>7.5266999999999999</v>
      </c>
      <c r="G180" s="8">
        <f>CHOOSE( CONTROL!$C$32, 6.711, 6.7074) * CHOOSE( CONTROL!$C$15, $D$11, 100%, $F$11)</f>
        <v>6.7110000000000003</v>
      </c>
      <c r="H180" s="4">
        <f>CHOOSE( CONTROL!$C$32, 7.6852, 7.6816) * CHOOSE(CONTROL!$C$15, $D$11, 100%, $F$11)</f>
        <v>7.6852</v>
      </c>
      <c r="I180" s="8">
        <f>CHOOSE( CONTROL!$C$32, 6.7201, 6.7166) * CHOOSE(CONTROL!$C$15, $D$11, 100%, $F$11)</f>
        <v>6.7201000000000004</v>
      </c>
      <c r="J180" s="4">
        <f>CHOOSE( CONTROL!$C$32, 6.5728, 6.5693) * CHOOSE(CONTROL!$C$15, $D$11, 100%, $F$11)</f>
        <v>6.5728</v>
      </c>
      <c r="K180" s="4"/>
      <c r="L180" s="9">
        <v>30.7165</v>
      </c>
      <c r="M180" s="9">
        <v>12.063700000000001</v>
      </c>
      <c r="N180" s="9">
        <v>4.9444999999999997</v>
      </c>
      <c r="O180" s="9">
        <v>0.37409999999999999</v>
      </c>
      <c r="P180" s="9">
        <v>1.2183999999999999</v>
      </c>
      <c r="Q180" s="9">
        <v>31.701799999999999</v>
      </c>
      <c r="R180" s="9"/>
      <c r="S180" s="11"/>
    </row>
    <row r="181" spans="1:19" ht="15.75">
      <c r="A181" s="13">
        <v>46997</v>
      </c>
      <c r="B181" s="8">
        <f>CHOOSE( CONTROL!$C$32, 6.6419, 6.6383) * CHOOSE(CONTROL!$C$15, $D$11, 100%, $F$11)</f>
        <v>6.6418999999999997</v>
      </c>
      <c r="C181" s="8">
        <f>CHOOSE( CONTROL!$C$32, 6.6499, 6.6463) * CHOOSE(CONTROL!$C$15, $D$11, 100%, $F$11)</f>
        <v>6.6498999999999997</v>
      </c>
      <c r="D181" s="8">
        <f>CHOOSE( CONTROL!$C$32, 6.6881, 6.6845) * CHOOSE( CONTROL!$C$15, $D$11, 100%, $F$11)</f>
        <v>6.6881000000000004</v>
      </c>
      <c r="E181" s="12">
        <f>CHOOSE( CONTROL!$C$32, 6.673, 6.6694) * CHOOSE( CONTROL!$C$15, $D$11, 100%, $F$11)</f>
        <v>6.673</v>
      </c>
      <c r="F181" s="4">
        <f>CHOOSE( CONTROL!$C$32, 7.385, 7.3813) * CHOOSE(CONTROL!$C$15, $D$11, 100%, $F$11)</f>
        <v>7.3849999999999998</v>
      </c>
      <c r="G181" s="8">
        <f>CHOOSE( CONTROL!$C$32, 6.5707, 6.5671) * CHOOSE( CONTROL!$C$15, $D$11, 100%, $F$11)</f>
        <v>6.5707000000000004</v>
      </c>
      <c r="H181" s="4">
        <f>CHOOSE( CONTROL!$C$32, 7.5451, 7.5415) * CHOOSE(CONTROL!$C$15, $D$11, 100%, $F$11)</f>
        <v>7.5450999999999997</v>
      </c>
      <c r="I181" s="8">
        <f>CHOOSE( CONTROL!$C$32, 6.582, 6.5785) * CHOOSE(CONTROL!$C$15, $D$11, 100%, $F$11)</f>
        <v>6.5819999999999999</v>
      </c>
      <c r="J181" s="4">
        <f>CHOOSE( CONTROL!$C$32, 6.4352, 6.4317) * CHOOSE(CONTROL!$C$15, $D$11, 100%, $F$11)</f>
        <v>6.4352</v>
      </c>
      <c r="K181" s="4"/>
      <c r="L181" s="9">
        <v>29.7257</v>
      </c>
      <c r="M181" s="9">
        <v>11.6745</v>
      </c>
      <c r="N181" s="9">
        <v>4.7850000000000001</v>
      </c>
      <c r="O181" s="9">
        <v>0.36199999999999999</v>
      </c>
      <c r="P181" s="9">
        <v>1.1791</v>
      </c>
      <c r="Q181" s="9">
        <v>30.679200000000002</v>
      </c>
      <c r="R181" s="9"/>
      <c r="S181" s="11"/>
    </row>
    <row r="182" spans="1:19" ht="15.75">
      <c r="A182" s="13">
        <v>47027</v>
      </c>
      <c r="B182" s="8">
        <f>6.931 * CHOOSE(CONTROL!$C$15, $D$11, 100%, $F$11)</f>
        <v>6.931</v>
      </c>
      <c r="C182" s="8">
        <f>6.9363 * CHOOSE(CONTROL!$C$15, $D$11, 100%, $F$11)</f>
        <v>6.9363000000000001</v>
      </c>
      <c r="D182" s="8">
        <f>6.9798 * CHOOSE( CONTROL!$C$15, $D$11, 100%, $F$11)</f>
        <v>6.9798</v>
      </c>
      <c r="E182" s="12">
        <f>6.9649 * CHOOSE( CONTROL!$C$15, $D$11, 100%, $F$11)</f>
        <v>6.9649000000000001</v>
      </c>
      <c r="F182" s="4">
        <f>7.6757 * CHOOSE(CONTROL!$C$15, $D$11, 100%, $F$11)</f>
        <v>7.6757</v>
      </c>
      <c r="G182" s="8">
        <f>6.8576 * CHOOSE( CONTROL!$C$15, $D$11, 100%, $F$11)</f>
        <v>6.8575999999999997</v>
      </c>
      <c r="H182" s="4">
        <f>7.8325 * CHOOSE(CONTROL!$C$15, $D$11, 100%, $F$11)</f>
        <v>7.8324999999999996</v>
      </c>
      <c r="I182" s="8">
        <f>6.8651 * CHOOSE(CONTROL!$C$15, $D$11, 100%, $F$11)</f>
        <v>6.8651</v>
      </c>
      <c r="J182" s="4">
        <f>6.7174 * CHOOSE(CONTROL!$C$15, $D$11, 100%, $F$11)</f>
        <v>6.7173999999999996</v>
      </c>
      <c r="K182" s="4"/>
      <c r="L182" s="9">
        <v>31.095300000000002</v>
      </c>
      <c r="M182" s="9">
        <v>12.063700000000001</v>
      </c>
      <c r="N182" s="9">
        <v>4.9444999999999997</v>
      </c>
      <c r="O182" s="9">
        <v>0.37409999999999999</v>
      </c>
      <c r="P182" s="9">
        <v>1.2183999999999999</v>
      </c>
      <c r="Q182" s="9">
        <v>31.701799999999999</v>
      </c>
      <c r="R182" s="9"/>
      <c r="S182" s="11"/>
    </row>
    <row r="183" spans="1:19" ht="15.75">
      <c r="A183" s="13">
        <v>47058</v>
      </c>
      <c r="B183" s="8">
        <f>7.474 * CHOOSE(CONTROL!$C$15, $D$11, 100%, $F$11)</f>
        <v>7.4740000000000002</v>
      </c>
      <c r="C183" s="8">
        <f>7.4791 * CHOOSE(CONTROL!$C$15, $D$11, 100%, $F$11)</f>
        <v>7.4790999999999999</v>
      </c>
      <c r="D183" s="8">
        <f>7.4627 * CHOOSE( CONTROL!$C$15, $D$11, 100%, $F$11)</f>
        <v>7.4626999999999999</v>
      </c>
      <c r="E183" s="12">
        <f>7.4682 * CHOOSE( CONTROL!$C$15, $D$11, 100%, $F$11)</f>
        <v>7.4682000000000004</v>
      </c>
      <c r="F183" s="4">
        <f>8.1393 * CHOOSE(CONTROL!$C$15, $D$11, 100%, $F$11)</f>
        <v>8.1393000000000004</v>
      </c>
      <c r="G183" s="8">
        <f>7.3952 * CHOOSE( CONTROL!$C$15, $D$11, 100%, $F$11)</f>
        <v>7.3952</v>
      </c>
      <c r="H183" s="4">
        <f>8.2906 * CHOOSE(CONTROL!$C$15, $D$11, 100%, $F$11)</f>
        <v>8.2905999999999995</v>
      </c>
      <c r="I183" s="8">
        <f>7.3929 * CHOOSE(CONTROL!$C$15, $D$11, 100%, $F$11)</f>
        <v>7.3929</v>
      </c>
      <c r="J183" s="4">
        <f>7.2447 * CHOOSE(CONTROL!$C$15, $D$11, 100%, $F$11)</f>
        <v>7.2446999999999999</v>
      </c>
      <c r="K183" s="4"/>
      <c r="L183" s="9">
        <v>28.360600000000002</v>
      </c>
      <c r="M183" s="9">
        <v>11.6745</v>
      </c>
      <c r="N183" s="9">
        <v>4.7850000000000001</v>
      </c>
      <c r="O183" s="9">
        <v>0.36199999999999999</v>
      </c>
      <c r="P183" s="9">
        <v>1.2509999999999999</v>
      </c>
      <c r="Q183" s="9">
        <v>30.679200000000002</v>
      </c>
      <c r="R183" s="9"/>
      <c r="S183" s="11"/>
    </row>
    <row r="184" spans="1:19" ht="15.75">
      <c r="A184" s="13">
        <v>47088</v>
      </c>
      <c r="B184" s="8">
        <f>7.4604 * CHOOSE(CONTROL!$C$15, $D$11, 100%, $F$11)</f>
        <v>7.4603999999999999</v>
      </c>
      <c r="C184" s="8">
        <f>7.4655 * CHOOSE(CONTROL!$C$15, $D$11, 100%, $F$11)</f>
        <v>7.4654999999999996</v>
      </c>
      <c r="D184" s="8">
        <f>7.4509 * CHOOSE( CONTROL!$C$15, $D$11, 100%, $F$11)</f>
        <v>7.4508999999999999</v>
      </c>
      <c r="E184" s="12">
        <f>7.4557 * CHOOSE( CONTROL!$C$15, $D$11, 100%, $F$11)</f>
        <v>7.4557000000000002</v>
      </c>
      <c r="F184" s="4">
        <f>8.1257 * CHOOSE(CONTROL!$C$15, $D$11, 100%, $F$11)</f>
        <v>8.1257000000000001</v>
      </c>
      <c r="G184" s="8">
        <f>7.383 * CHOOSE( CONTROL!$C$15, $D$11, 100%, $F$11)</f>
        <v>7.383</v>
      </c>
      <c r="H184" s="4">
        <f>8.2772 * CHOOSE(CONTROL!$C$15, $D$11, 100%, $F$11)</f>
        <v>8.2772000000000006</v>
      </c>
      <c r="I184" s="8">
        <f>7.3851 * CHOOSE(CONTROL!$C$15, $D$11, 100%, $F$11)</f>
        <v>7.3851000000000004</v>
      </c>
      <c r="J184" s="4">
        <f>7.2316 * CHOOSE(CONTROL!$C$15, $D$11, 100%, $F$11)</f>
        <v>7.2316000000000003</v>
      </c>
      <c r="K184" s="4"/>
      <c r="L184" s="9">
        <v>29.306000000000001</v>
      </c>
      <c r="M184" s="9">
        <v>12.063700000000001</v>
      </c>
      <c r="N184" s="9">
        <v>4.9444999999999997</v>
      </c>
      <c r="O184" s="9">
        <v>0.37409999999999999</v>
      </c>
      <c r="P184" s="9">
        <v>1.2927</v>
      </c>
      <c r="Q184" s="9">
        <v>31.701799999999999</v>
      </c>
      <c r="R184" s="9"/>
      <c r="S184" s="11"/>
    </row>
    <row r="185" spans="1:19" ht="15.75">
      <c r="A185" s="13">
        <v>47119</v>
      </c>
      <c r="B185" s="8">
        <f>7.7257 * CHOOSE(CONTROL!$C$15, $D$11, 100%, $F$11)</f>
        <v>7.7256999999999998</v>
      </c>
      <c r="C185" s="8">
        <f>7.7308 * CHOOSE(CONTROL!$C$15, $D$11, 100%, $F$11)</f>
        <v>7.7308000000000003</v>
      </c>
      <c r="D185" s="8">
        <f>7.7019 * CHOOSE( CONTROL!$C$15, $D$11, 100%, $F$11)</f>
        <v>7.7019000000000002</v>
      </c>
      <c r="E185" s="12">
        <f>7.7119 * CHOOSE( CONTROL!$C$15, $D$11, 100%, $F$11)</f>
        <v>7.7119</v>
      </c>
      <c r="F185" s="4">
        <f>8.391 * CHOOSE(CONTROL!$C$15, $D$11, 100%, $F$11)</f>
        <v>8.391</v>
      </c>
      <c r="G185" s="8">
        <f>7.6349 * CHOOSE( CONTROL!$C$15, $D$11, 100%, $F$11)</f>
        <v>7.6349</v>
      </c>
      <c r="H185" s="4">
        <f>8.5393 * CHOOSE(CONTROL!$C$15, $D$11, 100%, $F$11)</f>
        <v>8.5393000000000008</v>
      </c>
      <c r="I185" s="8">
        <f>7.6373 * CHOOSE(CONTROL!$C$15, $D$11, 100%, $F$11)</f>
        <v>7.6372999999999998</v>
      </c>
      <c r="J185" s="4">
        <f>7.489 * CHOOSE(CONTROL!$C$15, $D$11, 100%, $F$11)</f>
        <v>7.4889999999999999</v>
      </c>
      <c r="K185" s="4"/>
      <c r="L185" s="9">
        <v>29.306000000000001</v>
      </c>
      <c r="M185" s="9">
        <v>12.063700000000001</v>
      </c>
      <c r="N185" s="9">
        <v>4.9444999999999997</v>
      </c>
      <c r="O185" s="9">
        <v>0.37409999999999999</v>
      </c>
      <c r="P185" s="9">
        <v>1.2927</v>
      </c>
      <c r="Q185" s="9">
        <v>31.517700000000001</v>
      </c>
      <c r="R185" s="9"/>
      <c r="S185" s="11"/>
    </row>
    <row r="186" spans="1:19" ht="15.75">
      <c r="A186" s="13">
        <v>47150</v>
      </c>
      <c r="B186" s="8">
        <f>7.2268 * CHOOSE(CONTROL!$C$15, $D$11, 100%, $F$11)</f>
        <v>7.2267999999999999</v>
      </c>
      <c r="C186" s="8">
        <f>7.2319 * CHOOSE(CONTROL!$C$15, $D$11, 100%, $F$11)</f>
        <v>7.2319000000000004</v>
      </c>
      <c r="D186" s="8">
        <f>7.203 * CHOOSE( CONTROL!$C$15, $D$11, 100%, $F$11)</f>
        <v>7.2030000000000003</v>
      </c>
      <c r="E186" s="12">
        <f>7.213 * CHOOSE( CONTROL!$C$15, $D$11, 100%, $F$11)</f>
        <v>7.2130000000000001</v>
      </c>
      <c r="F186" s="4">
        <f>7.8921 * CHOOSE(CONTROL!$C$15, $D$11, 100%, $F$11)</f>
        <v>7.8921000000000001</v>
      </c>
      <c r="G186" s="8">
        <f>7.1419 * CHOOSE( CONTROL!$C$15, $D$11, 100%, $F$11)</f>
        <v>7.1418999999999997</v>
      </c>
      <c r="H186" s="4">
        <f>8.0463 * CHOOSE(CONTROL!$C$15, $D$11, 100%, $F$11)</f>
        <v>8.0463000000000005</v>
      </c>
      <c r="I186" s="8">
        <f>7.1528 * CHOOSE(CONTROL!$C$15, $D$11, 100%, $F$11)</f>
        <v>7.1528</v>
      </c>
      <c r="J186" s="4">
        <f>7.0049 * CHOOSE(CONTROL!$C$15, $D$11, 100%, $F$11)</f>
        <v>7.0049000000000001</v>
      </c>
      <c r="K186" s="4"/>
      <c r="L186" s="9">
        <v>26.469899999999999</v>
      </c>
      <c r="M186" s="9">
        <v>10.8962</v>
      </c>
      <c r="N186" s="9">
        <v>4.4660000000000002</v>
      </c>
      <c r="O186" s="9">
        <v>0.33789999999999998</v>
      </c>
      <c r="P186" s="9">
        <v>1.1676</v>
      </c>
      <c r="Q186" s="9">
        <v>28.467600000000001</v>
      </c>
      <c r="R186" s="9"/>
      <c r="S186" s="11"/>
    </row>
    <row r="187" spans="1:19" ht="15.75">
      <c r="A187" s="13">
        <v>47178</v>
      </c>
      <c r="B187" s="8">
        <f>7.0732 * CHOOSE(CONTROL!$C$15, $D$11, 100%, $F$11)</f>
        <v>7.0731999999999999</v>
      </c>
      <c r="C187" s="8">
        <f>7.0782 * CHOOSE(CONTROL!$C$15, $D$11, 100%, $F$11)</f>
        <v>7.0781999999999998</v>
      </c>
      <c r="D187" s="8">
        <f>7.0489 * CHOOSE( CONTROL!$C$15, $D$11, 100%, $F$11)</f>
        <v>7.0488999999999997</v>
      </c>
      <c r="E187" s="12">
        <f>7.0591 * CHOOSE( CONTROL!$C$15, $D$11, 100%, $F$11)</f>
        <v>7.0590999999999999</v>
      </c>
      <c r="F187" s="4">
        <f>7.7384 * CHOOSE(CONTROL!$C$15, $D$11, 100%, $F$11)</f>
        <v>7.7384000000000004</v>
      </c>
      <c r="G187" s="8">
        <f>6.9897 * CHOOSE( CONTROL!$C$15, $D$11, 100%, $F$11)</f>
        <v>6.9897</v>
      </c>
      <c r="H187" s="4">
        <f>7.8945 * CHOOSE(CONTROL!$C$15, $D$11, 100%, $F$11)</f>
        <v>7.8944999999999999</v>
      </c>
      <c r="I187" s="8">
        <f>7.0024 * CHOOSE(CONTROL!$C$15, $D$11, 100%, $F$11)</f>
        <v>7.0023999999999997</v>
      </c>
      <c r="J187" s="4">
        <f>6.8558 * CHOOSE(CONTROL!$C$15, $D$11, 100%, $F$11)</f>
        <v>6.8558000000000003</v>
      </c>
      <c r="K187" s="4"/>
      <c r="L187" s="9">
        <v>29.306000000000001</v>
      </c>
      <c r="M187" s="9">
        <v>12.063700000000001</v>
      </c>
      <c r="N187" s="9">
        <v>4.9444999999999997</v>
      </c>
      <c r="O187" s="9">
        <v>0.37409999999999999</v>
      </c>
      <c r="P187" s="9">
        <v>1.2927</v>
      </c>
      <c r="Q187" s="9">
        <v>31.517700000000001</v>
      </c>
      <c r="R187" s="9"/>
      <c r="S187" s="11"/>
    </row>
    <row r="188" spans="1:19" ht="15.75">
      <c r="A188" s="13">
        <v>47209</v>
      </c>
      <c r="B188" s="8">
        <f>7.1813 * CHOOSE(CONTROL!$C$15, $D$11, 100%, $F$11)</f>
        <v>7.1813000000000002</v>
      </c>
      <c r="C188" s="8">
        <f>7.1858 * CHOOSE(CONTROL!$C$15, $D$11, 100%, $F$11)</f>
        <v>7.1858000000000004</v>
      </c>
      <c r="D188" s="8">
        <f>7.2292 * CHOOSE( CONTROL!$C$15, $D$11, 100%, $F$11)</f>
        <v>7.2291999999999996</v>
      </c>
      <c r="E188" s="12">
        <f>7.2144 * CHOOSE( CONTROL!$C$15, $D$11, 100%, $F$11)</f>
        <v>7.2144000000000004</v>
      </c>
      <c r="F188" s="4">
        <f>7.9257 * CHOOSE(CONTROL!$C$15, $D$11, 100%, $F$11)</f>
        <v>7.9257</v>
      </c>
      <c r="G188" s="8">
        <f>7.1036 * CHOOSE( CONTROL!$C$15, $D$11, 100%, $F$11)</f>
        <v>7.1036000000000001</v>
      </c>
      <c r="H188" s="4">
        <f>8.0795 * CHOOSE(CONTROL!$C$15, $D$11, 100%, $F$11)</f>
        <v>8.0794999999999995</v>
      </c>
      <c r="I188" s="8">
        <f>7.1048 * CHOOSE(CONTROL!$C$15, $D$11, 100%, $F$11)</f>
        <v>7.1048</v>
      </c>
      <c r="J188" s="4">
        <f>6.96 * CHOOSE(CONTROL!$C$15, $D$11, 100%, $F$11)</f>
        <v>6.96</v>
      </c>
      <c r="K188" s="4"/>
      <c r="L188" s="9">
        <v>30.092199999999998</v>
      </c>
      <c r="M188" s="9">
        <v>11.6745</v>
      </c>
      <c r="N188" s="9">
        <v>4.7850000000000001</v>
      </c>
      <c r="O188" s="9">
        <v>0.36199999999999999</v>
      </c>
      <c r="P188" s="9">
        <v>1.1791</v>
      </c>
      <c r="Q188" s="9">
        <v>30.501000000000001</v>
      </c>
      <c r="R188" s="9"/>
      <c r="S188" s="11"/>
    </row>
    <row r="189" spans="1:19" ht="15.75">
      <c r="A189" s="13">
        <v>47239</v>
      </c>
      <c r="B189" s="8">
        <f>CHOOSE( CONTROL!$C$32, 7.3774, 7.3737) * CHOOSE(CONTROL!$C$15, $D$11, 100%, $F$11)</f>
        <v>7.3773999999999997</v>
      </c>
      <c r="C189" s="8">
        <f>CHOOSE( CONTROL!$C$32, 7.3854, 7.3817) * CHOOSE(CONTROL!$C$15, $D$11, 100%, $F$11)</f>
        <v>7.3853999999999997</v>
      </c>
      <c r="D189" s="8">
        <f>CHOOSE( CONTROL!$C$32, 7.4231, 7.4195) * CHOOSE( CONTROL!$C$15, $D$11, 100%, $F$11)</f>
        <v>7.4230999999999998</v>
      </c>
      <c r="E189" s="12">
        <f>CHOOSE( CONTROL!$C$32, 7.4082, 7.4046) * CHOOSE( CONTROL!$C$15, $D$11, 100%, $F$11)</f>
        <v>7.4081999999999999</v>
      </c>
      <c r="F189" s="4">
        <f>CHOOSE( CONTROL!$C$32, 8.1204, 8.1168) * CHOOSE(CONTROL!$C$15, $D$11, 100%, $F$11)</f>
        <v>8.1204000000000001</v>
      </c>
      <c r="G189" s="8">
        <f>CHOOSE( CONTROL!$C$32, 7.2969, 7.2933) * CHOOSE( CONTROL!$C$15, $D$11, 100%, $F$11)</f>
        <v>7.2968999999999999</v>
      </c>
      <c r="H189" s="4">
        <f>CHOOSE( CONTROL!$C$32, 8.2719, 8.2683) * CHOOSE(CONTROL!$C$15, $D$11, 100%, $F$11)</f>
        <v>8.2719000000000005</v>
      </c>
      <c r="I189" s="8">
        <f>CHOOSE( CONTROL!$C$32, 7.2941, 7.2905) * CHOOSE(CONTROL!$C$15, $D$11, 100%, $F$11)</f>
        <v>7.2941000000000003</v>
      </c>
      <c r="J189" s="4">
        <f>CHOOSE( CONTROL!$C$32, 7.1489, 7.1454) * CHOOSE(CONTROL!$C$15, $D$11, 100%, $F$11)</f>
        <v>7.1489000000000003</v>
      </c>
      <c r="K189" s="4"/>
      <c r="L189" s="9">
        <v>30.7165</v>
      </c>
      <c r="M189" s="9">
        <v>12.063700000000001</v>
      </c>
      <c r="N189" s="9">
        <v>4.9444999999999997</v>
      </c>
      <c r="O189" s="9">
        <v>0.37409999999999999</v>
      </c>
      <c r="P189" s="9">
        <v>1.2183999999999999</v>
      </c>
      <c r="Q189" s="9">
        <v>31.517700000000001</v>
      </c>
      <c r="R189" s="9"/>
      <c r="S189" s="11"/>
    </row>
    <row r="190" spans="1:19" ht="15.75">
      <c r="A190" s="13">
        <v>47270</v>
      </c>
      <c r="B190" s="8">
        <f>CHOOSE( CONTROL!$C$32, 7.259, 7.2554) * CHOOSE(CONTROL!$C$15, $D$11, 100%, $F$11)</f>
        <v>7.2590000000000003</v>
      </c>
      <c r="C190" s="8">
        <f>CHOOSE( CONTROL!$C$32, 7.267, 7.2634) * CHOOSE(CONTROL!$C$15, $D$11, 100%, $F$11)</f>
        <v>7.2670000000000003</v>
      </c>
      <c r="D190" s="8">
        <f>CHOOSE( CONTROL!$C$32, 7.305, 7.3013) * CHOOSE( CONTROL!$C$15, $D$11, 100%, $F$11)</f>
        <v>7.3049999999999997</v>
      </c>
      <c r="E190" s="12">
        <f>CHOOSE( CONTROL!$C$32, 7.29, 7.2863) * CHOOSE( CONTROL!$C$15, $D$11, 100%, $F$11)</f>
        <v>7.29</v>
      </c>
      <c r="F190" s="4">
        <f>CHOOSE( CONTROL!$C$32, 8.002, 7.9984) * CHOOSE(CONTROL!$C$15, $D$11, 100%, $F$11)</f>
        <v>8.0020000000000007</v>
      </c>
      <c r="G190" s="8">
        <f>CHOOSE( CONTROL!$C$32, 7.1802, 7.1766) * CHOOSE( CONTROL!$C$15, $D$11, 100%, $F$11)</f>
        <v>7.1802000000000001</v>
      </c>
      <c r="H190" s="4">
        <f>CHOOSE( CONTROL!$C$32, 8.155, 8.1514) * CHOOSE(CONTROL!$C$15, $D$11, 100%, $F$11)</f>
        <v>8.1549999999999994</v>
      </c>
      <c r="I190" s="8">
        <f>CHOOSE( CONTROL!$C$32, 7.1802, 7.1766) * CHOOSE(CONTROL!$C$15, $D$11, 100%, $F$11)</f>
        <v>7.1802000000000001</v>
      </c>
      <c r="J190" s="4">
        <f>CHOOSE( CONTROL!$C$32, 7.0341, 7.0305) * CHOOSE(CONTROL!$C$15, $D$11, 100%, $F$11)</f>
        <v>7.0340999999999996</v>
      </c>
      <c r="K190" s="4"/>
      <c r="L190" s="9">
        <v>29.7257</v>
      </c>
      <c r="M190" s="9">
        <v>11.6745</v>
      </c>
      <c r="N190" s="9">
        <v>4.7850000000000001</v>
      </c>
      <c r="O190" s="9">
        <v>0.36199999999999999</v>
      </c>
      <c r="P190" s="9">
        <v>1.1791</v>
      </c>
      <c r="Q190" s="9">
        <v>30.501000000000001</v>
      </c>
      <c r="R190" s="9"/>
      <c r="S190" s="11"/>
    </row>
    <row r="191" spans="1:19" ht="15.75">
      <c r="A191" s="13">
        <v>47300</v>
      </c>
      <c r="B191" s="8">
        <f>CHOOSE( CONTROL!$C$32, 7.5707, 7.5671) * CHOOSE(CONTROL!$C$15, $D$11, 100%, $F$11)</f>
        <v>7.5707000000000004</v>
      </c>
      <c r="C191" s="8">
        <f>CHOOSE( CONTROL!$C$32, 7.5787, 7.5751) * CHOOSE(CONTROL!$C$15, $D$11, 100%, $F$11)</f>
        <v>7.5787000000000004</v>
      </c>
      <c r="D191" s="8">
        <f>CHOOSE( CONTROL!$C$32, 7.6169, 7.6133) * CHOOSE( CONTROL!$C$15, $D$11, 100%, $F$11)</f>
        <v>7.6169000000000002</v>
      </c>
      <c r="E191" s="12">
        <f>CHOOSE( CONTROL!$C$32, 7.6018, 7.5982) * CHOOSE( CONTROL!$C$15, $D$11, 100%, $F$11)</f>
        <v>7.6017999999999999</v>
      </c>
      <c r="F191" s="4">
        <f>CHOOSE( CONTROL!$C$32, 8.3137, 8.3101) * CHOOSE(CONTROL!$C$15, $D$11, 100%, $F$11)</f>
        <v>8.3137000000000008</v>
      </c>
      <c r="G191" s="8">
        <f>CHOOSE( CONTROL!$C$32, 7.4887, 7.4851) * CHOOSE( CONTROL!$C$15, $D$11, 100%, $F$11)</f>
        <v>7.4886999999999997</v>
      </c>
      <c r="H191" s="4">
        <f>CHOOSE( CONTROL!$C$32, 8.463, 8.4594) * CHOOSE(CONTROL!$C$15, $D$11, 100%, $F$11)</f>
        <v>8.4629999999999992</v>
      </c>
      <c r="I191" s="8">
        <f>CHOOSE( CONTROL!$C$32, 7.484, 7.4804) * CHOOSE(CONTROL!$C$15, $D$11, 100%, $F$11)</f>
        <v>7.484</v>
      </c>
      <c r="J191" s="4">
        <f>CHOOSE( CONTROL!$C$32, 7.3366, 7.333) * CHOOSE(CONTROL!$C$15, $D$11, 100%, $F$11)</f>
        <v>7.3365999999999998</v>
      </c>
      <c r="K191" s="4"/>
      <c r="L191" s="9">
        <v>30.7165</v>
      </c>
      <c r="M191" s="9">
        <v>12.063700000000001</v>
      </c>
      <c r="N191" s="9">
        <v>4.9444999999999997</v>
      </c>
      <c r="O191" s="9">
        <v>0.37409999999999999</v>
      </c>
      <c r="P191" s="9">
        <v>1.2183999999999999</v>
      </c>
      <c r="Q191" s="9">
        <v>31.517700000000001</v>
      </c>
      <c r="R191" s="9"/>
      <c r="S191" s="11"/>
    </row>
    <row r="192" spans="1:19" ht="15.75">
      <c r="A192" s="13">
        <v>47331</v>
      </c>
      <c r="B192" s="8">
        <f>CHOOSE( CONTROL!$C$32, 6.9875, 6.9838) * CHOOSE(CONTROL!$C$15, $D$11, 100%, $F$11)</f>
        <v>6.9874999999999998</v>
      </c>
      <c r="C192" s="8">
        <f>CHOOSE( CONTROL!$C$32, 6.9954, 6.9918) * CHOOSE(CONTROL!$C$15, $D$11, 100%, $F$11)</f>
        <v>6.9954000000000001</v>
      </c>
      <c r="D192" s="8">
        <f>CHOOSE( CONTROL!$C$32, 7.0337, 7.0301) * CHOOSE( CONTROL!$C$15, $D$11, 100%, $F$11)</f>
        <v>7.0336999999999996</v>
      </c>
      <c r="E192" s="12">
        <f>CHOOSE( CONTROL!$C$32, 7.0186, 7.015) * CHOOSE( CONTROL!$C$15, $D$11, 100%, $F$11)</f>
        <v>7.0186000000000002</v>
      </c>
      <c r="F192" s="4">
        <f>CHOOSE( CONTROL!$C$32, 7.7305, 7.7268) * CHOOSE(CONTROL!$C$15, $D$11, 100%, $F$11)</f>
        <v>7.7305000000000001</v>
      </c>
      <c r="G192" s="8">
        <f>CHOOSE( CONTROL!$C$32, 6.9123, 6.9087) * CHOOSE( CONTROL!$C$15, $D$11, 100%, $F$11)</f>
        <v>6.9123000000000001</v>
      </c>
      <c r="H192" s="4">
        <f>CHOOSE( CONTROL!$C$32, 7.8866, 7.883) * CHOOSE(CONTROL!$C$15, $D$11, 100%, $F$11)</f>
        <v>7.8865999999999996</v>
      </c>
      <c r="I192" s="8">
        <f>CHOOSE( CONTROL!$C$32, 6.9179, 6.9144) * CHOOSE(CONTROL!$C$15, $D$11, 100%, $F$11)</f>
        <v>6.9179000000000004</v>
      </c>
      <c r="J192" s="4">
        <f>CHOOSE( CONTROL!$C$32, 6.7705, 6.767) * CHOOSE(CONTROL!$C$15, $D$11, 100%, $F$11)</f>
        <v>6.7705000000000002</v>
      </c>
      <c r="K192" s="4"/>
      <c r="L192" s="9">
        <v>30.7165</v>
      </c>
      <c r="M192" s="9">
        <v>12.063700000000001</v>
      </c>
      <c r="N192" s="9">
        <v>4.9444999999999997</v>
      </c>
      <c r="O192" s="9">
        <v>0.37409999999999999</v>
      </c>
      <c r="P192" s="9">
        <v>1.2183999999999999</v>
      </c>
      <c r="Q192" s="9">
        <v>31.517700000000001</v>
      </c>
      <c r="R192" s="9"/>
      <c r="S192" s="11"/>
    </row>
    <row r="193" spans="1:19" ht="15.75">
      <c r="A193" s="13">
        <v>47362</v>
      </c>
      <c r="B193" s="8">
        <f>CHOOSE( CONTROL!$C$32, 6.8414, 6.8378) * CHOOSE(CONTROL!$C$15, $D$11, 100%, $F$11)</f>
        <v>6.8414000000000001</v>
      </c>
      <c r="C193" s="8">
        <f>CHOOSE( CONTROL!$C$32, 6.8494, 6.8458) * CHOOSE(CONTROL!$C$15, $D$11, 100%, $F$11)</f>
        <v>6.8494000000000002</v>
      </c>
      <c r="D193" s="8">
        <f>CHOOSE( CONTROL!$C$32, 6.8876, 6.8839) * CHOOSE( CONTROL!$C$15, $D$11, 100%, $F$11)</f>
        <v>6.8875999999999999</v>
      </c>
      <c r="E193" s="12">
        <f>CHOOSE( CONTROL!$C$32, 6.8725, 6.8689) * CHOOSE( CONTROL!$C$15, $D$11, 100%, $F$11)</f>
        <v>6.8724999999999996</v>
      </c>
      <c r="F193" s="4">
        <f>CHOOSE( CONTROL!$C$32, 7.5844, 7.5808) * CHOOSE(CONTROL!$C$15, $D$11, 100%, $F$11)</f>
        <v>7.5843999999999996</v>
      </c>
      <c r="G193" s="8">
        <f>CHOOSE( CONTROL!$C$32, 6.7679, 6.7643) * CHOOSE( CONTROL!$C$15, $D$11, 100%, $F$11)</f>
        <v>6.7679</v>
      </c>
      <c r="H193" s="4">
        <f>CHOOSE( CONTROL!$C$32, 7.7422, 7.7386) * CHOOSE(CONTROL!$C$15, $D$11, 100%, $F$11)</f>
        <v>7.7422000000000004</v>
      </c>
      <c r="I193" s="8">
        <f>CHOOSE( CONTROL!$C$32, 6.7757, 6.7722) * CHOOSE(CONTROL!$C$15, $D$11, 100%, $F$11)</f>
        <v>6.7756999999999996</v>
      </c>
      <c r="J193" s="4">
        <f>CHOOSE( CONTROL!$C$32, 6.6288, 6.6252) * CHOOSE(CONTROL!$C$15, $D$11, 100%, $F$11)</f>
        <v>6.6288</v>
      </c>
      <c r="K193" s="4"/>
      <c r="L193" s="9">
        <v>29.7257</v>
      </c>
      <c r="M193" s="9">
        <v>11.6745</v>
      </c>
      <c r="N193" s="9">
        <v>4.7850000000000001</v>
      </c>
      <c r="O193" s="9">
        <v>0.36199999999999999</v>
      </c>
      <c r="P193" s="9">
        <v>1.1791</v>
      </c>
      <c r="Q193" s="9">
        <v>30.501000000000001</v>
      </c>
      <c r="R193" s="9"/>
      <c r="S193" s="11"/>
    </row>
    <row r="194" spans="1:19" ht="15.75">
      <c r="A194" s="13">
        <v>47392</v>
      </c>
      <c r="B194" s="8">
        <f>7.1393 * CHOOSE(CONTROL!$C$15, $D$11, 100%, $F$11)</f>
        <v>7.1393000000000004</v>
      </c>
      <c r="C194" s="8">
        <f>7.1446 * CHOOSE(CONTROL!$C$15, $D$11, 100%, $F$11)</f>
        <v>7.1445999999999996</v>
      </c>
      <c r="D194" s="8">
        <f>7.1882 * CHOOSE( CONTROL!$C$15, $D$11, 100%, $F$11)</f>
        <v>7.1882000000000001</v>
      </c>
      <c r="E194" s="12">
        <f>7.1732 * CHOOSE( CONTROL!$C$15, $D$11, 100%, $F$11)</f>
        <v>7.1731999999999996</v>
      </c>
      <c r="F194" s="4">
        <f>7.884 * CHOOSE(CONTROL!$C$15, $D$11, 100%, $F$11)</f>
        <v>7.8840000000000003</v>
      </c>
      <c r="G194" s="8">
        <f>7.0635 * CHOOSE( CONTROL!$C$15, $D$11, 100%, $F$11)</f>
        <v>7.0635000000000003</v>
      </c>
      <c r="H194" s="4">
        <f>8.0384 * CHOOSE(CONTROL!$C$15, $D$11, 100%, $F$11)</f>
        <v>8.0383999999999993</v>
      </c>
      <c r="I194" s="8">
        <f>7.0674 * CHOOSE(CONTROL!$C$15, $D$11, 100%, $F$11)</f>
        <v>7.0674000000000001</v>
      </c>
      <c r="J194" s="4">
        <f>6.9196 * CHOOSE(CONTROL!$C$15, $D$11, 100%, $F$11)</f>
        <v>6.9196</v>
      </c>
      <c r="K194" s="4"/>
      <c r="L194" s="9">
        <v>31.095300000000002</v>
      </c>
      <c r="M194" s="9">
        <v>12.063700000000001</v>
      </c>
      <c r="N194" s="9">
        <v>4.9444999999999997</v>
      </c>
      <c r="O194" s="9">
        <v>0.37409999999999999</v>
      </c>
      <c r="P194" s="9">
        <v>1.2183999999999999</v>
      </c>
      <c r="Q194" s="9">
        <v>31.517700000000001</v>
      </c>
      <c r="R194" s="9"/>
      <c r="S194" s="11"/>
    </row>
    <row r="195" spans="1:19" ht="15.75">
      <c r="A195" s="13">
        <v>47423</v>
      </c>
      <c r="B195" s="8">
        <f>7.6987 * CHOOSE(CONTROL!$C$15, $D$11, 100%, $F$11)</f>
        <v>7.6986999999999997</v>
      </c>
      <c r="C195" s="8">
        <f>7.7037 * CHOOSE(CONTROL!$C$15, $D$11, 100%, $F$11)</f>
        <v>7.7037000000000004</v>
      </c>
      <c r="D195" s="8">
        <f>7.6874 * CHOOSE( CONTROL!$C$15, $D$11, 100%, $F$11)</f>
        <v>7.6874000000000002</v>
      </c>
      <c r="E195" s="12">
        <f>7.6928 * CHOOSE( CONTROL!$C$15, $D$11, 100%, $F$11)</f>
        <v>7.6928000000000001</v>
      </c>
      <c r="F195" s="4">
        <f>8.364 * CHOOSE(CONTROL!$C$15, $D$11, 100%, $F$11)</f>
        <v>8.3640000000000008</v>
      </c>
      <c r="G195" s="8">
        <f>7.6172 * CHOOSE( CONTROL!$C$15, $D$11, 100%, $F$11)</f>
        <v>7.6172000000000004</v>
      </c>
      <c r="H195" s="4">
        <f>8.5126 * CHOOSE(CONTROL!$C$15, $D$11, 100%, $F$11)</f>
        <v>8.5126000000000008</v>
      </c>
      <c r="I195" s="8">
        <f>7.611 * CHOOSE(CONTROL!$C$15, $D$11, 100%, $F$11)</f>
        <v>7.6109999999999998</v>
      </c>
      <c r="J195" s="4">
        <f>7.4628 * CHOOSE(CONTROL!$C$15, $D$11, 100%, $F$11)</f>
        <v>7.4627999999999997</v>
      </c>
      <c r="K195" s="4"/>
      <c r="L195" s="9">
        <v>28.360600000000002</v>
      </c>
      <c r="M195" s="9">
        <v>11.6745</v>
      </c>
      <c r="N195" s="9">
        <v>4.7850000000000001</v>
      </c>
      <c r="O195" s="9">
        <v>0.36199999999999999</v>
      </c>
      <c r="P195" s="9">
        <v>1.2509999999999999</v>
      </c>
      <c r="Q195" s="9">
        <v>30.501000000000001</v>
      </c>
      <c r="R195" s="9"/>
      <c r="S195" s="11"/>
    </row>
    <row r="196" spans="1:19" ht="15.75">
      <c r="A196" s="13">
        <v>47453</v>
      </c>
      <c r="B196" s="8">
        <f>7.6847 * CHOOSE(CONTROL!$C$15, $D$11, 100%, $F$11)</f>
        <v>7.6847000000000003</v>
      </c>
      <c r="C196" s="8">
        <f>7.6898 * CHOOSE(CONTROL!$C$15, $D$11, 100%, $F$11)</f>
        <v>7.6898</v>
      </c>
      <c r="D196" s="8">
        <f>7.6751 * CHOOSE( CONTROL!$C$15, $D$11, 100%, $F$11)</f>
        <v>7.6750999999999996</v>
      </c>
      <c r="E196" s="12">
        <f>7.6799 * CHOOSE( CONTROL!$C$15, $D$11, 100%, $F$11)</f>
        <v>7.6798999999999999</v>
      </c>
      <c r="F196" s="4">
        <f>8.35 * CHOOSE(CONTROL!$C$15, $D$11, 100%, $F$11)</f>
        <v>8.35</v>
      </c>
      <c r="G196" s="8">
        <f>7.6047 * CHOOSE( CONTROL!$C$15, $D$11, 100%, $F$11)</f>
        <v>7.6047000000000002</v>
      </c>
      <c r="H196" s="4">
        <f>8.4988 * CHOOSE(CONTROL!$C$15, $D$11, 100%, $F$11)</f>
        <v>8.4987999999999992</v>
      </c>
      <c r="I196" s="8">
        <f>7.6028 * CHOOSE(CONTROL!$C$15, $D$11, 100%, $F$11)</f>
        <v>7.6028000000000002</v>
      </c>
      <c r="J196" s="4">
        <f>7.4492 * CHOOSE(CONTROL!$C$15, $D$11, 100%, $F$11)</f>
        <v>7.4492000000000003</v>
      </c>
      <c r="K196" s="4"/>
      <c r="L196" s="9">
        <v>29.306000000000001</v>
      </c>
      <c r="M196" s="9">
        <v>12.063700000000001</v>
      </c>
      <c r="N196" s="9">
        <v>4.9444999999999997</v>
      </c>
      <c r="O196" s="9">
        <v>0.37409999999999999</v>
      </c>
      <c r="P196" s="9">
        <v>1.2927</v>
      </c>
      <c r="Q196" s="9">
        <v>31.517700000000001</v>
      </c>
      <c r="R196" s="9"/>
      <c r="S196" s="11"/>
    </row>
    <row r="197" spans="1:19" ht="15.75">
      <c r="A197" s="13">
        <v>47484</v>
      </c>
      <c r="B197" s="8">
        <f>7.9572 * CHOOSE(CONTROL!$C$15, $D$11, 100%, $F$11)</f>
        <v>7.9572000000000003</v>
      </c>
      <c r="C197" s="8">
        <f>7.9623 * CHOOSE(CONTROL!$C$15, $D$11, 100%, $F$11)</f>
        <v>7.9622999999999999</v>
      </c>
      <c r="D197" s="8">
        <f>7.9334 * CHOOSE( CONTROL!$C$15, $D$11, 100%, $F$11)</f>
        <v>7.9333999999999998</v>
      </c>
      <c r="E197" s="12">
        <f>7.9434 * CHOOSE( CONTROL!$C$15, $D$11, 100%, $F$11)</f>
        <v>7.9433999999999996</v>
      </c>
      <c r="F197" s="4">
        <f>8.6225 * CHOOSE(CONTROL!$C$15, $D$11, 100%, $F$11)</f>
        <v>8.6225000000000005</v>
      </c>
      <c r="G197" s="8">
        <f>7.8637 * CHOOSE( CONTROL!$C$15, $D$11, 100%, $F$11)</f>
        <v>7.8636999999999997</v>
      </c>
      <c r="H197" s="4">
        <f>8.7681 * CHOOSE(CONTROL!$C$15, $D$11, 100%, $F$11)</f>
        <v>8.7681000000000004</v>
      </c>
      <c r="I197" s="8">
        <f>7.862 * CHOOSE(CONTROL!$C$15, $D$11, 100%, $F$11)</f>
        <v>7.8620000000000001</v>
      </c>
      <c r="J197" s="4">
        <f>7.7137 * CHOOSE(CONTROL!$C$15, $D$11, 100%, $F$11)</f>
        <v>7.7137000000000002</v>
      </c>
      <c r="K197" s="4"/>
      <c r="L197" s="9">
        <v>29.306000000000001</v>
      </c>
      <c r="M197" s="9">
        <v>12.063700000000001</v>
      </c>
      <c r="N197" s="9">
        <v>4.9444999999999997</v>
      </c>
      <c r="O197" s="9">
        <v>0.37409999999999999</v>
      </c>
      <c r="P197" s="9">
        <v>1.2927</v>
      </c>
      <c r="Q197" s="9">
        <v>31.333600000000001</v>
      </c>
      <c r="R197" s="9"/>
      <c r="S197" s="11"/>
    </row>
    <row r="198" spans="1:19" ht="15.75">
      <c r="A198" s="13">
        <v>47515</v>
      </c>
      <c r="B198" s="8">
        <f>7.4433 * CHOOSE(CONTROL!$C$15, $D$11, 100%, $F$11)</f>
        <v>7.4432999999999998</v>
      </c>
      <c r="C198" s="8">
        <f>7.4484 * CHOOSE(CONTROL!$C$15, $D$11, 100%, $F$11)</f>
        <v>7.4484000000000004</v>
      </c>
      <c r="D198" s="8">
        <f>7.4195 * CHOOSE( CONTROL!$C$15, $D$11, 100%, $F$11)</f>
        <v>7.4195000000000002</v>
      </c>
      <c r="E198" s="12">
        <f>7.4295 * CHOOSE( CONTROL!$C$15, $D$11, 100%, $F$11)</f>
        <v>7.4295</v>
      </c>
      <c r="F198" s="4">
        <f>8.1086 * CHOOSE(CONTROL!$C$15, $D$11, 100%, $F$11)</f>
        <v>8.1085999999999991</v>
      </c>
      <c r="G198" s="8">
        <f>7.3559 * CHOOSE( CONTROL!$C$15, $D$11, 100%, $F$11)</f>
        <v>7.3559000000000001</v>
      </c>
      <c r="H198" s="4">
        <f>8.2603 * CHOOSE(CONTROL!$C$15, $D$11, 100%, $F$11)</f>
        <v>8.2603000000000009</v>
      </c>
      <c r="I198" s="8">
        <f>7.3631 * CHOOSE(CONTROL!$C$15, $D$11, 100%, $F$11)</f>
        <v>7.3631000000000002</v>
      </c>
      <c r="J198" s="4">
        <f>7.215 * CHOOSE(CONTROL!$C$15, $D$11, 100%, $F$11)</f>
        <v>7.2149999999999999</v>
      </c>
      <c r="K198" s="4"/>
      <c r="L198" s="9">
        <v>26.469899999999999</v>
      </c>
      <c r="M198" s="9">
        <v>10.8962</v>
      </c>
      <c r="N198" s="9">
        <v>4.4660000000000002</v>
      </c>
      <c r="O198" s="9">
        <v>0.33789999999999998</v>
      </c>
      <c r="P198" s="9">
        <v>1.1676</v>
      </c>
      <c r="Q198" s="9">
        <v>28.301300000000001</v>
      </c>
      <c r="R198" s="9"/>
      <c r="S198" s="11"/>
    </row>
    <row r="199" spans="1:19" ht="15.75">
      <c r="A199" s="13">
        <v>47543</v>
      </c>
      <c r="B199" s="8">
        <f>7.2851 * CHOOSE(CONTROL!$C$15, $D$11, 100%, $F$11)</f>
        <v>7.2850999999999999</v>
      </c>
      <c r="C199" s="8">
        <f>7.2902 * CHOOSE(CONTROL!$C$15, $D$11, 100%, $F$11)</f>
        <v>7.2901999999999996</v>
      </c>
      <c r="D199" s="8">
        <f>7.2609 * CHOOSE( CONTROL!$C$15, $D$11, 100%, $F$11)</f>
        <v>7.2609000000000004</v>
      </c>
      <c r="E199" s="12">
        <f>7.2711 * CHOOSE( CONTROL!$C$15, $D$11, 100%, $F$11)</f>
        <v>7.2710999999999997</v>
      </c>
      <c r="F199" s="4">
        <f>7.9504 * CHOOSE(CONTROL!$C$15, $D$11, 100%, $F$11)</f>
        <v>7.9504000000000001</v>
      </c>
      <c r="G199" s="8">
        <f>7.1992 * CHOOSE( CONTROL!$C$15, $D$11, 100%, $F$11)</f>
        <v>7.1992000000000003</v>
      </c>
      <c r="H199" s="4">
        <f>8.1039 * CHOOSE(CONTROL!$C$15, $D$11, 100%, $F$11)</f>
        <v>8.1038999999999994</v>
      </c>
      <c r="I199" s="8">
        <f>7.2082 * CHOOSE(CONTROL!$C$15, $D$11, 100%, $F$11)</f>
        <v>7.2081999999999997</v>
      </c>
      <c r="J199" s="4">
        <f>7.0614 * CHOOSE(CONTROL!$C$15, $D$11, 100%, $F$11)</f>
        <v>7.0613999999999999</v>
      </c>
      <c r="K199" s="4"/>
      <c r="L199" s="9">
        <v>29.306000000000001</v>
      </c>
      <c r="M199" s="9">
        <v>12.063700000000001</v>
      </c>
      <c r="N199" s="9">
        <v>4.9444999999999997</v>
      </c>
      <c r="O199" s="9">
        <v>0.37409999999999999</v>
      </c>
      <c r="P199" s="9">
        <v>1.2927</v>
      </c>
      <c r="Q199" s="9">
        <v>31.333600000000001</v>
      </c>
      <c r="R199" s="9"/>
      <c r="S199" s="11"/>
    </row>
    <row r="200" spans="1:19" ht="15.75">
      <c r="A200" s="13">
        <v>47574</v>
      </c>
      <c r="B200" s="8">
        <f>7.3964 * CHOOSE(CONTROL!$C$15, $D$11, 100%, $F$11)</f>
        <v>7.3963999999999999</v>
      </c>
      <c r="C200" s="8">
        <f>7.4009 * CHOOSE(CONTROL!$C$15, $D$11, 100%, $F$11)</f>
        <v>7.4009</v>
      </c>
      <c r="D200" s="8">
        <f>7.4443 * CHOOSE( CONTROL!$C$15, $D$11, 100%, $F$11)</f>
        <v>7.4443000000000001</v>
      </c>
      <c r="E200" s="12">
        <f>7.4295 * CHOOSE( CONTROL!$C$15, $D$11, 100%, $F$11)</f>
        <v>7.4295</v>
      </c>
      <c r="F200" s="4">
        <f>8.1408 * CHOOSE(CONTROL!$C$15, $D$11, 100%, $F$11)</f>
        <v>8.1408000000000005</v>
      </c>
      <c r="G200" s="8">
        <f>7.3163 * CHOOSE( CONTROL!$C$15, $D$11, 100%, $F$11)</f>
        <v>7.3163</v>
      </c>
      <c r="H200" s="4">
        <f>8.2921 * CHOOSE(CONTROL!$C$15, $D$11, 100%, $F$11)</f>
        <v>8.2920999999999996</v>
      </c>
      <c r="I200" s="8">
        <f>7.3137 * CHOOSE(CONTROL!$C$15, $D$11, 100%, $F$11)</f>
        <v>7.3136999999999999</v>
      </c>
      <c r="J200" s="4">
        <f>7.1687 * CHOOSE(CONTROL!$C$15, $D$11, 100%, $F$11)</f>
        <v>7.1687000000000003</v>
      </c>
      <c r="K200" s="4"/>
      <c r="L200" s="9">
        <v>30.092199999999998</v>
      </c>
      <c r="M200" s="9">
        <v>11.6745</v>
      </c>
      <c r="N200" s="9">
        <v>4.7850000000000001</v>
      </c>
      <c r="O200" s="9">
        <v>0.36199999999999999</v>
      </c>
      <c r="P200" s="9">
        <v>1.1791</v>
      </c>
      <c r="Q200" s="9">
        <v>30.322800000000001</v>
      </c>
      <c r="R200" s="9"/>
      <c r="S200" s="11"/>
    </row>
    <row r="201" spans="1:19" ht="15.75">
      <c r="A201" s="13">
        <v>47604</v>
      </c>
      <c r="B201" s="8">
        <f>CHOOSE( CONTROL!$C$32, 7.5983, 7.5946) * CHOOSE(CONTROL!$C$15, $D$11, 100%, $F$11)</f>
        <v>7.5983000000000001</v>
      </c>
      <c r="C201" s="8">
        <f>CHOOSE( CONTROL!$C$32, 7.6062, 7.6026) * CHOOSE(CONTROL!$C$15, $D$11, 100%, $F$11)</f>
        <v>7.6062000000000003</v>
      </c>
      <c r="D201" s="8">
        <f>CHOOSE( CONTROL!$C$32, 7.644, 7.6403) * CHOOSE( CONTROL!$C$15, $D$11, 100%, $F$11)</f>
        <v>7.6440000000000001</v>
      </c>
      <c r="E201" s="12">
        <f>CHOOSE( CONTROL!$C$32, 7.6291, 7.6254) * CHOOSE( CONTROL!$C$15, $D$11, 100%, $F$11)</f>
        <v>7.6291000000000002</v>
      </c>
      <c r="F201" s="4">
        <f>CHOOSE( CONTROL!$C$32, 8.3413, 8.3376) * CHOOSE(CONTROL!$C$15, $D$11, 100%, $F$11)</f>
        <v>8.3413000000000004</v>
      </c>
      <c r="G201" s="8">
        <f>CHOOSE( CONTROL!$C$32, 7.5152, 7.5116) * CHOOSE( CONTROL!$C$15, $D$11, 100%, $F$11)</f>
        <v>7.5152000000000001</v>
      </c>
      <c r="H201" s="4">
        <f>CHOOSE( CONTROL!$C$32, 8.4902, 8.4866) * CHOOSE(CONTROL!$C$15, $D$11, 100%, $F$11)</f>
        <v>8.4901999999999997</v>
      </c>
      <c r="I201" s="8">
        <f>CHOOSE( CONTROL!$C$32, 7.5085, 7.505) * CHOOSE(CONTROL!$C$15, $D$11, 100%, $F$11)</f>
        <v>7.5084999999999997</v>
      </c>
      <c r="J201" s="4">
        <f>CHOOSE( CONTROL!$C$32, 7.3633, 7.3598) * CHOOSE(CONTROL!$C$15, $D$11, 100%, $F$11)</f>
        <v>7.3632999999999997</v>
      </c>
      <c r="K201" s="4"/>
      <c r="L201" s="9">
        <v>30.7165</v>
      </c>
      <c r="M201" s="9">
        <v>12.063700000000001</v>
      </c>
      <c r="N201" s="9">
        <v>4.9444999999999997</v>
      </c>
      <c r="O201" s="9">
        <v>0.37409999999999999</v>
      </c>
      <c r="P201" s="9">
        <v>1.2183999999999999</v>
      </c>
      <c r="Q201" s="9">
        <v>31.333600000000001</v>
      </c>
      <c r="R201" s="9"/>
      <c r="S201" s="11"/>
    </row>
    <row r="202" spans="1:19" ht="15.75">
      <c r="A202" s="13">
        <v>47635</v>
      </c>
      <c r="B202" s="8">
        <f>CHOOSE( CONTROL!$C$32, 7.4763, 7.4727) * CHOOSE(CONTROL!$C$15, $D$11, 100%, $F$11)</f>
        <v>7.4763000000000002</v>
      </c>
      <c r="C202" s="8">
        <f>CHOOSE( CONTROL!$C$32, 7.4843, 7.4807) * CHOOSE(CONTROL!$C$15, $D$11, 100%, $F$11)</f>
        <v>7.4843000000000002</v>
      </c>
      <c r="D202" s="8">
        <f>CHOOSE( CONTROL!$C$32, 7.5223, 7.5186) * CHOOSE( CONTROL!$C$15, $D$11, 100%, $F$11)</f>
        <v>7.5223000000000004</v>
      </c>
      <c r="E202" s="12">
        <f>CHOOSE( CONTROL!$C$32, 7.5073, 7.5036) * CHOOSE( CONTROL!$C$15, $D$11, 100%, $F$11)</f>
        <v>7.5072999999999999</v>
      </c>
      <c r="F202" s="4">
        <f>CHOOSE( CONTROL!$C$32, 8.2194, 8.2157) * CHOOSE(CONTROL!$C$15, $D$11, 100%, $F$11)</f>
        <v>8.2194000000000003</v>
      </c>
      <c r="G202" s="8">
        <f>CHOOSE( CONTROL!$C$32, 7.395, 7.3914) * CHOOSE( CONTROL!$C$15, $D$11, 100%, $F$11)</f>
        <v>7.3949999999999996</v>
      </c>
      <c r="H202" s="4">
        <f>CHOOSE( CONTROL!$C$32, 8.3697, 8.3661) * CHOOSE(CONTROL!$C$15, $D$11, 100%, $F$11)</f>
        <v>8.3696999999999999</v>
      </c>
      <c r="I202" s="8">
        <f>CHOOSE( CONTROL!$C$32, 7.3912, 7.3877) * CHOOSE(CONTROL!$C$15, $D$11, 100%, $F$11)</f>
        <v>7.3912000000000004</v>
      </c>
      <c r="J202" s="4">
        <f>CHOOSE( CONTROL!$C$32, 7.245, 7.2414) * CHOOSE(CONTROL!$C$15, $D$11, 100%, $F$11)</f>
        <v>7.2450000000000001</v>
      </c>
      <c r="K202" s="4"/>
      <c r="L202" s="9">
        <v>29.7257</v>
      </c>
      <c r="M202" s="9">
        <v>11.6745</v>
      </c>
      <c r="N202" s="9">
        <v>4.7850000000000001</v>
      </c>
      <c r="O202" s="9">
        <v>0.36199999999999999</v>
      </c>
      <c r="P202" s="9">
        <v>1.1791</v>
      </c>
      <c r="Q202" s="9">
        <v>30.322800000000001</v>
      </c>
      <c r="R202" s="9"/>
      <c r="S202" s="11"/>
    </row>
    <row r="203" spans="1:19" ht="15.75">
      <c r="A203" s="13">
        <v>47665</v>
      </c>
      <c r="B203" s="8">
        <f>CHOOSE( CONTROL!$C$32, 7.7974, 7.7938) * CHOOSE(CONTROL!$C$15, $D$11, 100%, $F$11)</f>
        <v>7.7973999999999997</v>
      </c>
      <c r="C203" s="8">
        <f>CHOOSE( CONTROL!$C$32, 7.8054, 7.8017) * CHOOSE(CONTROL!$C$15, $D$11, 100%, $F$11)</f>
        <v>7.8053999999999997</v>
      </c>
      <c r="D203" s="8">
        <f>CHOOSE( CONTROL!$C$32, 7.8436, 7.8399) * CHOOSE( CONTROL!$C$15, $D$11, 100%, $F$11)</f>
        <v>7.8436000000000003</v>
      </c>
      <c r="E203" s="12">
        <f>CHOOSE( CONTROL!$C$32, 7.8285, 7.8249) * CHOOSE( CONTROL!$C$15, $D$11, 100%, $F$11)</f>
        <v>7.8285</v>
      </c>
      <c r="F203" s="4">
        <f>CHOOSE( CONTROL!$C$32, 8.5404, 8.5368) * CHOOSE(CONTROL!$C$15, $D$11, 100%, $F$11)</f>
        <v>8.5404</v>
      </c>
      <c r="G203" s="8">
        <f>CHOOSE( CONTROL!$C$32, 7.7127, 7.7091) * CHOOSE( CONTROL!$C$15, $D$11, 100%, $F$11)</f>
        <v>7.7126999999999999</v>
      </c>
      <c r="H203" s="4">
        <f>CHOOSE( CONTROL!$C$32, 8.6871, 8.6835) * CHOOSE(CONTROL!$C$15, $D$11, 100%, $F$11)</f>
        <v>8.6870999999999992</v>
      </c>
      <c r="I203" s="8">
        <f>CHOOSE( CONTROL!$C$32, 7.7041, 7.7005) * CHOOSE(CONTROL!$C$15, $D$11, 100%, $F$11)</f>
        <v>7.7041000000000004</v>
      </c>
      <c r="J203" s="4">
        <f>CHOOSE( CONTROL!$C$32, 7.5566, 7.553) * CHOOSE(CONTROL!$C$15, $D$11, 100%, $F$11)</f>
        <v>7.5566000000000004</v>
      </c>
      <c r="K203" s="4"/>
      <c r="L203" s="9">
        <v>30.7165</v>
      </c>
      <c r="M203" s="9">
        <v>12.063700000000001</v>
      </c>
      <c r="N203" s="9">
        <v>4.9444999999999997</v>
      </c>
      <c r="O203" s="9">
        <v>0.37409999999999999</v>
      </c>
      <c r="P203" s="9">
        <v>1.2183999999999999</v>
      </c>
      <c r="Q203" s="9">
        <v>31.333600000000001</v>
      </c>
      <c r="R203" s="9"/>
      <c r="S203" s="11"/>
    </row>
    <row r="204" spans="1:19" ht="15.75">
      <c r="A204" s="13">
        <v>47696</v>
      </c>
      <c r="B204" s="8">
        <f>CHOOSE( CONTROL!$C$32, 7.1967, 7.193) * CHOOSE(CONTROL!$C$15, $D$11, 100%, $F$11)</f>
        <v>7.1966999999999999</v>
      </c>
      <c r="C204" s="8">
        <f>CHOOSE( CONTROL!$C$32, 7.2046, 7.201) * CHOOSE(CONTROL!$C$15, $D$11, 100%, $F$11)</f>
        <v>7.2046000000000001</v>
      </c>
      <c r="D204" s="8">
        <f>CHOOSE( CONTROL!$C$32, 7.2429, 7.2392) * CHOOSE( CONTROL!$C$15, $D$11, 100%, $F$11)</f>
        <v>7.2428999999999997</v>
      </c>
      <c r="E204" s="12">
        <f>CHOOSE( CONTROL!$C$32, 7.2278, 7.2241) * CHOOSE( CONTROL!$C$15, $D$11, 100%, $F$11)</f>
        <v>7.2278000000000002</v>
      </c>
      <c r="F204" s="4">
        <f>CHOOSE( CONTROL!$C$32, 7.9397, 7.936) * CHOOSE(CONTROL!$C$15, $D$11, 100%, $F$11)</f>
        <v>7.9397000000000002</v>
      </c>
      <c r="G204" s="8">
        <f>CHOOSE( CONTROL!$C$32, 7.1191, 7.1155) * CHOOSE( CONTROL!$C$15, $D$11, 100%, $F$11)</f>
        <v>7.1191000000000004</v>
      </c>
      <c r="H204" s="4">
        <f>CHOOSE( CONTROL!$C$32, 8.0933, 8.0897) * CHOOSE(CONTROL!$C$15, $D$11, 100%, $F$11)</f>
        <v>8.0932999999999993</v>
      </c>
      <c r="I204" s="8">
        <f>CHOOSE( CONTROL!$C$32, 7.121, 7.1175) * CHOOSE(CONTROL!$C$15, $D$11, 100%, $F$11)</f>
        <v>7.1210000000000004</v>
      </c>
      <c r="J204" s="4">
        <f>CHOOSE( CONTROL!$C$32, 6.9735, 6.97) * CHOOSE(CONTROL!$C$15, $D$11, 100%, $F$11)</f>
        <v>6.9734999999999996</v>
      </c>
      <c r="K204" s="4"/>
      <c r="L204" s="9">
        <v>30.7165</v>
      </c>
      <c r="M204" s="9">
        <v>12.063700000000001</v>
      </c>
      <c r="N204" s="9">
        <v>4.9444999999999997</v>
      </c>
      <c r="O204" s="9">
        <v>0.37409999999999999</v>
      </c>
      <c r="P204" s="9">
        <v>1.2183999999999999</v>
      </c>
      <c r="Q204" s="9">
        <v>31.333600000000001</v>
      </c>
      <c r="R204" s="9"/>
      <c r="S204" s="11"/>
    </row>
    <row r="205" spans="1:19" ht="15.75">
      <c r="A205" s="13">
        <v>47727</v>
      </c>
      <c r="B205" s="8">
        <f>CHOOSE( CONTROL!$C$32, 7.0462, 7.0426) * CHOOSE(CONTROL!$C$15, $D$11, 100%, $F$11)</f>
        <v>7.0461999999999998</v>
      </c>
      <c r="C205" s="8">
        <f>CHOOSE( CONTROL!$C$32, 7.0542, 7.0505) * CHOOSE(CONTROL!$C$15, $D$11, 100%, $F$11)</f>
        <v>7.0541999999999998</v>
      </c>
      <c r="D205" s="8">
        <f>CHOOSE( CONTROL!$C$32, 7.0924, 7.0887) * CHOOSE( CONTROL!$C$15, $D$11, 100%, $F$11)</f>
        <v>7.0923999999999996</v>
      </c>
      <c r="E205" s="12">
        <f>CHOOSE( CONTROL!$C$32, 7.0773, 7.0737) * CHOOSE( CONTROL!$C$15, $D$11, 100%, $F$11)</f>
        <v>7.0773000000000001</v>
      </c>
      <c r="F205" s="4">
        <f>CHOOSE( CONTROL!$C$32, 7.7892, 7.7856) * CHOOSE(CONTROL!$C$15, $D$11, 100%, $F$11)</f>
        <v>7.7892000000000001</v>
      </c>
      <c r="G205" s="8">
        <f>CHOOSE( CONTROL!$C$32, 6.9703, 6.9667) * CHOOSE( CONTROL!$C$15, $D$11, 100%, $F$11)</f>
        <v>6.9702999999999999</v>
      </c>
      <c r="H205" s="4">
        <f>CHOOSE( CONTROL!$C$32, 7.9446, 7.941) * CHOOSE(CONTROL!$C$15, $D$11, 100%, $F$11)</f>
        <v>7.9446000000000003</v>
      </c>
      <c r="I205" s="8">
        <f>CHOOSE( CONTROL!$C$32, 6.9746, 6.971) * CHOOSE(CONTROL!$C$15, $D$11, 100%, $F$11)</f>
        <v>6.9745999999999997</v>
      </c>
      <c r="J205" s="4">
        <f>CHOOSE( CONTROL!$C$32, 6.8275, 6.824) * CHOOSE(CONTROL!$C$15, $D$11, 100%, $F$11)</f>
        <v>6.8274999999999997</v>
      </c>
      <c r="K205" s="4"/>
      <c r="L205" s="9">
        <v>29.7257</v>
      </c>
      <c r="M205" s="9">
        <v>11.6745</v>
      </c>
      <c r="N205" s="9">
        <v>4.7850000000000001</v>
      </c>
      <c r="O205" s="9">
        <v>0.36199999999999999</v>
      </c>
      <c r="P205" s="9">
        <v>1.1791</v>
      </c>
      <c r="Q205" s="9">
        <v>30.322800000000001</v>
      </c>
      <c r="R205" s="9"/>
      <c r="S205" s="11"/>
    </row>
    <row r="206" spans="1:19" ht="15.75">
      <c r="A206" s="13">
        <v>47757</v>
      </c>
      <c r="B206" s="8">
        <f>7.3532 * CHOOSE(CONTROL!$C$15, $D$11, 100%, $F$11)</f>
        <v>7.3532000000000002</v>
      </c>
      <c r="C206" s="8">
        <f>7.3585 * CHOOSE(CONTROL!$C$15, $D$11, 100%, $F$11)</f>
        <v>7.3585000000000003</v>
      </c>
      <c r="D206" s="8">
        <f>7.4021 * CHOOSE( CONTROL!$C$15, $D$11, 100%, $F$11)</f>
        <v>7.4020999999999999</v>
      </c>
      <c r="E206" s="12">
        <f>7.3871 * CHOOSE( CONTROL!$C$15, $D$11, 100%, $F$11)</f>
        <v>7.3871000000000002</v>
      </c>
      <c r="F206" s="4">
        <f>8.0979 * CHOOSE(CONTROL!$C$15, $D$11, 100%, $F$11)</f>
        <v>8.0978999999999992</v>
      </c>
      <c r="G206" s="8">
        <f>7.2748 * CHOOSE( CONTROL!$C$15, $D$11, 100%, $F$11)</f>
        <v>7.2747999999999999</v>
      </c>
      <c r="H206" s="4">
        <f>8.2498 * CHOOSE(CONTROL!$C$15, $D$11, 100%, $F$11)</f>
        <v>8.2498000000000005</v>
      </c>
      <c r="I206" s="8">
        <f>7.2751 * CHOOSE(CONTROL!$C$15, $D$11, 100%, $F$11)</f>
        <v>7.2751000000000001</v>
      </c>
      <c r="J206" s="4">
        <f>7.1271 * CHOOSE(CONTROL!$C$15, $D$11, 100%, $F$11)</f>
        <v>7.1271000000000004</v>
      </c>
      <c r="K206" s="4"/>
      <c r="L206" s="9">
        <v>31.095300000000002</v>
      </c>
      <c r="M206" s="9">
        <v>12.063700000000001</v>
      </c>
      <c r="N206" s="9">
        <v>4.9444999999999997</v>
      </c>
      <c r="O206" s="9">
        <v>0.37409999999999999</v>
      </c>
      <c r="P206" s="9">
        <v>1.2183999999999999</v>
      </c>
      <c r="Q206" s="9">
        <v>31.333600000000001</v>
      </c>
      <c r="R206" s="9"/>
      <c r="S206" s="11"/>
    </row>
    <row r="207" spans="1:19" ht="15.75">
      <c r="A207" s="13">
        <v>47788</v>
      </c>
      <c r="B207" s="8">
        <f>7.9294 * CHOOSE(CONTROL!$C$15, $D$11, 100%, $F$11)</f>
        <v>7.9294000000000002</v>
      </c>
      <c r="C207" s="8">
        <f>7.9344 * CHOOSE(CONTROL!$C$15, $D$11, 100%, $F$11)</f>
        <v>7.9344000000000001</v>
      </c>
      <c r="D207" s="8">
        <f>7.9181 * CHOOSE( CONTROL!$C$15, $D$11, 100%, $F$11)</f>
        <v>7.9180999999999999</v>
      </c>
      <c r="E207" s="12">
        <f>7.9235 * CHOOSE( CONTROL!$C$15, $D$11, 100%, $F$11)</f>
        <v>7.9234999999999998</v>
      </c>
      <c r="F207" s="4">
        <f>8.5946 * CHOOSE(CONTROL!$C$15, $D$11, 100%, $F$11)</f>
        <v>8.5945999999999998</v>
      </c>
      <c r="G207" s="8">
        <f>7.8452 * CHOOSE( CONTROL!$C$15, $D$11, 100%, $F$11)</f>
        <v>7.8452000000000002</v>
      </c>
      <c r="H207" s="4">
        <f>8.7406 * CHOOSE(CONTROL!$C$15, $D$11, 100%, $F$11)</f>
        <v>8.7406000000000006</v>
      </c>
      <c r="I207" s="8">
        <f>7.835 * CHOOSE(CONTROL!$C$15, $D$11, 100%, $F$11)</f>
        <v>7.835</v>
      </c>
      <c r="J207" s="4">
        <f>7.6867 * CHOOSE(CONTROL!$C$15, $D$11, 100%, $F$11)</f>
        <v>7.6867000000000001</v>
      </c>
      <c r="K207" s="4"/>
      <c r="L207" s="9">
        <v>28.360600000000002</v>
      </c>
      <c r="M207" s="9">
        <v>11.6745</v>
      </c>
      <c r="N207" s="9">
        <v>4.7850000000000001</v>
      </c>
      <c r="O207" s="9">
        <v>0.36199999999999999</v>
      </c>
      <c r="P207" s="9">
        <v>1.2509999999999999</v>
      </c>
      <c r="Q207" s="9">
        <v>30.322800000000001</v>
      </c>
      <c r="R207" s="9"/>
      <c r="S207" s="11"/>
    </row>
    <row r="208" spans="1:19" ht="15.75">
      <c r="A208" s="13">
        <v>47818</v>
      </c>
      <c r="B208" s="8">
        <f>7.915 * CHOOSE(CONTROL!$C$15, $D$11, 100%, $F$11)</f>
        <v>7.915</v>
      </c>
      <c r="C208" s="8">
        <f>7.92 * CHOOSE(CONTROL!$C$15, $D$11, 100%, $F$11)</f>
        <v>7.92</v>
      </c>
      <c r="D208" s="8">
        <f>7.9054 * CHOOSE( CONTROL!$C$15, $D$11, 100%, $F$11)</f>
        <v>7.9054000000000002</v>
      </c>
      <c r="E208" s="12">
        <f>7.9102 * CHOOSE( CONTROL!$C$15, $D$11, 100%, $F$11)</f>
        <v>7.9101999999999997</v>
      </c>
      <c r="F208" s="4">
        <f>8.5802 * CHOOSE(CONTROL!$C$15, $D$11, 100%, $F$11)</f>
        <v>8.5801999999999996</v>
      </c>
      <c r="G208" s="8">
        <f>7.8322 * CHOOSE( CONTROL!$C$15, $D$11, 100%, $F$11)</f>
        <v>7.8322000000000003</v>
      </c>
      <c r="H208" s="4">
        <f>8.7264 * CHOOSE(CONTROL!$C$15, $D$11, 100%, $F$11)</f>
        <v>8.7263999999999999</v>
      </c>
      <c r="I208" s="8">
        <f>7.8264 * CHOOSE(CONTROL!$C$15, $D$11, 100%, $F$11)</f>
        <v>7.8263999999999996</v>
      </c>
      <c r="J208" s="4">
        <f>7.6727 * CHOOSE(CONTROL!$C$15, $D$11, 100%, $F$11)</f>
        <v>7.6726999999999999</v>
      </c>
      <c r="K208" s="4"/>
      <c r="L208" s="9">
        <v>29.306000000000001</v>
      </c>
      <c r="M208" s="9">
        <v>12.063700000000001</v>
      </c>
      <c r="N208" s="9">
        <v>4.9444999999999997</v>
      </c>
      <c r="O208" s="9">
        <v>0.37409999999999999</v>
      </c>
      <c r="P208" s="9">
        <v>1.2927</v>
      </c>
      <c r="Q208" s="9">
        <v>31.333600000000001</v>
      </c>
      <c r="R208" s="9"/>
      <c r="S208" s="11"/>
    </row>
    <row r="209" spans="1:19" ht="15.75">
      <c r="A209" s="13">
        <v>47849</v>
      </c>
      <c r="B209" s="8">
        <f>8.1949 * CHOOSE(CONTROL!$C$15, $D$11, 100%, $F$11)</f>
        <v>8.1949000000000005</v>
      </c>
      <c r="C209" s="8">
        <f>8.1999 * CHOOSE(CONTROL!$C$15, $D$11, 100%, $F$11)</f>
        <v>8.1998999999999995</v>
      </c>
      <c r="D209" s="8">
        <f>8.171 * CHOOSE( CONTROL!$C$15, $D$11, 100%, $F$11)</f>
        <v>8.1709999999999994</v>
      </c>
      <c r="E209" s="12">
        <f>8.181 * CHOOSE( CONTROL!$C$15, $D$11, 100%, $F$11)</f>
        <v>8.1809999999999992</v>
      </c>
      <c r="F209" s="4">
        <f>8.8601 * CHOOSE(CONTROL!$C$15, $D$11, 100%, $F$11)</f>
        <v>8.8600999999999992</v>
      </c>
      <c r="G209" s="8">
        <f>8.0986 * CHOOSE( CONTROL!$C$15, $D$11, 100%, $F$11)</f>
        <v>8.0985999999999994</v>
      </c>
      <c r="H209" s="4">
        <f>9.003 * CHOOSE(CONTROL!$C$15, $D$11, 100%, $F$11)</f>
        <v>9.0030000000000001</v>
      </c>
      <c r="I209" s="8">
        <f>8.0928 * CHOOSE(CONTROL!$C$15, $D$11, 100%, $F$11)</f>
        <v>8.0928000000000004</v>
      </c>
      <c r="J209" s="4">
        <f>7.9444 * CHOOSE(CONTROL!$C$15, $D$11, 100%, $F$11)</f>
        <v>7.9443999999999999</v>
      </c>
      <c r="K209" s="4"/>
      <c r="L209" s="9">
        <v>29.306000000000001</v>
      </c>
      <c r="M209" s="9">
        <v>12.063700000000001</v>
      </c>
      <c r="N209" s="9">
        <v>4.9444999999999997</v>
      </c>
      <c r="O209" s="9">
        <v>0.37409999999999999</v>
      </c>
      <c r="P209" s="9">
        <v>1.2927</v>
      </c>
      <c r="Q209" s="9">
        <v>31.026700000000002</v>
      </c>
      <c r="R209" s="9"/>
      <c r="S209" s="11"/>
    </row>
    <row r="210" spans="1:19" ht="15.75">
      <c r="A210" s="13">
        <v>47880</v>
      </c>
      <c r="B210" s="8">
        <f>7.6657 * CHOOSE(CONTROL!$C$15, $D$11, 100%, $F$11)</f>
        <v>7.6657000000000002</v>
      </c>
      <c r="C210" s="8">
        <f>7.6707 * CHOOSE(CONTROL!$C$15, $D$11, 100%, $F$11)</f>
        <v>7.6707000000000001</v>
      </c>
      <c r="D210" s="8">
        <f>7.6418 * CHOOSE( CONTROL!$C$15, $D$11, 100%, $F$11)</f>
        <v>7.6417999999999999</v>
      </c>
      <c r="E210" s="12">
        <f>7.6518 * CHOOSE( CONTROL!$C$15, $D$11, 100%, $F$11)</f>
        <v>7.6517999999999997</v>
      </c>
      <c r="F210" s="4">
        <f>8.3309 * CHOOSE(CONTROL!$C$15, $D$11, 100%, $F$11)</f>
        <v>8.3308999999999997</v>
      </c>
      <c r="G210" s="8">
        <f>7.5756 * CHOOSE( CONTROL!$C$15, $D$11, 100%, $F$11)</f>
        <v>7.5755999999999997</v>
      </c>
      <c r="H210" s="4">
        <f>8.48 * CHOOSE(CONTROL!$C$15, $D$11, 100%, $F$11)</f>
        <v>8.48</v>
      </c>
      <c r="I210" s="8">
        <f>7.5789 * CHOOSE(CONTROL!$C$15, $D$11, 100%, $F$11)</f>
        <v>7.5789</v>
      </c>
      <c r="J210" s="4">
        <f>7.4308 * CHOOSE(CONTROL!$C$15, $D$11, 100%, $F$11)</f>
        <v>7.4307999999999996</v>
      </c>
      <c r="K210" s="4"/>
      <c r="L210" s="9">
        <v>26.469899999999999</v>
      </c>
      <c r="M210" s="9">
        <v>10.8962</v>
      </c>
      <c r="N210" s="9">
        <v>4.4660000000000002</v>
      </c>
      <c r="O210" s="9">
        <v>0.33789999999999998</v>
      </c>
      <c r="P210" s="9">
        <v>1.1676</v>
      </c>
      <c r="Q210" s="9">
        <v>28.024100000000001</v>
      </c>
      <c r="R210" s="9"/>
      <c r="S210" s="11"/>
    </row>
    <row r="211" spans="1:19" ht="15.75">
      <c r="A211" s="13">
        <v>47908</v>
      </c>
      <c r="B211" s="8">
        <f>7.5027 * CHOOSE(CONTROL!$C$15, $D$11, 100%, $F$11)</f>
        <v>7.5026999999999999</v>
      </c>
      <c r="C211" s="8">
        <f>7.5077 * CHOOSE(CONTROL!$C$15, $D$11, 100%, $F$11)</f>
        <v>7.5076999999999998</v>
      </c>
      <c r="D211" s="8">
        <f>7.4784 * CHOOSE( CONTROL!$C$15, $D$11, 100%, $F$11)</f>
        <v>7.4783999999999997</v>
      </c>
      <c r="E211" s="12">
        <f>7.4886 * CHOOSE( CONTROL!$C$15, $D$11, 100%, $F$11)</f>
        <v>7.4885999999999999</v>
      </c>
      <c r="F211" s="4">
        <f>8.1679 * CHOOSE(CONTROL!$C$15, $D$11, 100%, $F$11)</f>
        <v>8.1678999999999995</v>
      </c>
      <c r="G211" s="8">
        <f>7.4142 * CHOOSE( CONTROL!$C$15, $D$11, 100%, $F$11)</f>
        <v>7.4142000000000001</v>
      </c>
      <c r="H211" s="4">
        <f>8.3189 * CHOOSE(CONTROL!$C$15, $D$11, 100%, $F$11)</f>
        <v>8.3188999999999993</v>
      </c>
      <c r="I211" s="8">
        <f>7.4194 * CHOOSE(CONTROL!$C$15, $D$11, 100%, $F$11)</f>
        <v>7.4194000000000004</v>
      </c>
      <c r="J211" s="4">
        <f>7.2726 * CHOOSE(CONTROL!$C$15, $D$11, 100%, $F$11)</f>
        <v>7.2725999999999997</v>
      </c>
      <c r="K211" s="4"/>
      <c r="L211" s="9">
        <v>29.306000000000001</v>
      </c>
      <c r="M211" s="9">
        <v>12.063700000000001</v>
      </c>
      <c r="N211" s="9">
        <v>4.9444999999999997</v>
      </c>
      <c r="O211" s="9">
        <v>0.37409999999999999</v>
      </c>
      <c r="P211" s="9">
        <v>1.2927</v>
      </c>
      <c r="Q211" s="9">
        <v>31.026700000000002</v>
      </c>
      <c r="R211" s="9"/>
      <c r="S211" s="11"/>
    </row>
    <row r="212" spans="1:19" ht="15.75">
      <c r="A212" s="13">
        <v>47939</v>
      </c>
      <c r="B212" s="8">
        <f>7.6173 * CHOOSE(CONTROL!$C$15, $D$11, 100%, $F$11)</f>
        <v>7.6173000000000002</v>
      </c>
      <c r="C212" s="8">
        <f>7.6218 * CHOOSE(CONTROL!$C$15, $D$11, 100%, $F$11)</f>
        <v>7.6218000000000004</v>
      </c>
      <c r="D212" s="8">
        <f>7.6652 * CHOOSE( CONTROL!$C$15, $D$11, 100%, $F$11)</f>
        <v>7.6651999999999996</v>
      </c>
      <c r="E212" s="12">
        <f>7.6504 * CHOOSE( CONTROL!$C$15, $D$11, 100%, $F$11)</f>
        <v>7.6504000000000003</v>
      </c>
      <c r="F212" s="4">
        <f>8.3617 * CHOOSE(CONTROL!$C$15, $D$11, 100%, $F$11)</f>
        <v>8.3617000000000008</v>
      </c>
      <c r="G212" s="8">
        <f>7.5346 * CHOOSE( CONTROL!$C$15, $D$11, 100%, $F$11)</f>
        <v>7.5346000000000002</v>
      </c>
      <c r="H212" s="4">
        <f>8.5104 * CHOOSE(CONTROL!$C$15, $D$11, 100%, $F$11)</f>
        <v>8.5104000000000006</v>
      </c>
      <c r="I212" s="8">
        <f>7.5282 * CHOOSE(CONTROL!$C$15, $D$11, 100%, $F$11)</f>
        <v>7.5282</v>
      </c>
      <c r="J212" s="4">
        <f>7.3831 * CHOOSE(CONTROL!$C$15, $D$11, 100%, $F$11)</f>
        <v>7.3830999999999998</v>
      </c>
      <c r="K212" s="4"/>
      <c r="L212" s="9">
        <v>30.092199999999998</v>
      </c>
      <c r="M212" s="9">
        <v>11.6745</v>
      </c>
      <c r="N212" s="9">
        <v>4.7850000000000001</v>
      </c>
      <c r="O212" s="9">
        <v>0.36199999999999999</v>
      </c>
      <c r="P212" s="9">
        <v>1.1791</v>
      </c>
      <c r="Q212" s="9">
        <v>30.0258</v>
      </c>
      <c r="R212" s="9"/>
      <c r="S212" s="11"/>
    </row>
    <row r="213" spans="1:19" ht="15.75">
      <c r="A213" s="13">
        <v>47969</v>
      </c>
      <c r="B213" s="8">
        <f>CHOOSE( CONTROL!$C$32, 7.825, 7.8214) * CHOOSE(CONTROL!$C$15, $D$11, 100%, $F$11)</f>
        <v>7.8250000000000002</v>
      </c>
      <c r="C213" s="8">
        <f>CHOOSE( CONTROL!$C$32, 7.833, 7.8294) * CHOOSE(CONTROL!$C$15, $D$11, 100%, $F$11)</f>
        <v>7.8330000000000002</v>
      </c>
      <c r="D213" s="8">
        <f>CHOOSE( CONTROL!$C$32, 7.8707, 7.8671) * CHOOSE( CONTROL!$C$15, $D$11, 100%, $F$11)</f>
        <v>7.8707000000000003</v>
      </c>
      <c r="E213" s="12">
        <f>CHOOSE( CONTROL!$C$32, 7.8558, 7.8522) * CHOOSE( CONTROL!$C$15, $D$11, 100%, $F$11)</f>
        <v>7.8558000000000003</v>
      </c>
      <c r="F213" s="4">
        <f>CHOOSE( CONTROL!$C$32, 8.568, 8.5644) * CHOOSE(CONTROL!$C$15, $D$11, 100%, $F$11)</f>
        <v>8.5679999999999996</v>
      </c>
      <c r="G213" s="8">
        <f>CHOOSE( CONTROL!$C$32, 7.7393, 7.7357) * CHOOSE( CONTROL!$C$15, $D$11, 100%, $F$11)</f>
        <v>7.7393000000000001</v>
      </c>
      <c r="H213" s="4">
        <f>CHOOSE( CONTROL!$C$32, 8.7143, 8.7107) * CHOOSE(CONTROL!$C$15, $D$11, 100%, $F$11)</f>
        <v>8.7142999999999997</v>
      </c>
      <c r="I213" s="8">
        <f>CHOOSE( CONTROL!$C$32, 7.7287, 7.7252) * CHOOSE(CONTROL!$C$15, $D$11, 100%, $F$11)</f>
        <v>7.7286999999999999</v>
      </c>
      <c r="J213" s="4">
        <f>CHOOSE( CONTROL!$C$32, 7.5834, 7.5798) * CHOOSE(CONTROL!$C$15, $D$11, 100%, $F$11)</f>
        <v>7.5834000000000001</v>
      </c>
      <c r="K213" s="4"/>
      <c r="L213" s="9">
        <v>30.7165</v>
      </c>
      <c r="M213" s="9">
        <v>12.063700000000001</v>
      </c>
      <c r="N213" s="9">
        <v>4.9444999999999997</v>
      </c>
      <c r="O213" s="9">
        <v>0.37409999999999999</v>
      </c>
      <c r="P213" s="9">
        <v>1.2183999999999999</v>
      </c>
      <c r="Q213" s="9">
        <v>31.026700000000002</v>
      </c>
      <c r="R213" s="9"/>
      <c r="S213" s="11"/>
    </row>
    <row r="214" spans="1:19" ht="15.75">
      <c r="A214" s="13">
        <v>48000</v>
      </c>
      <c r="B214" s="8">
        <f>CHOOSE( CONTROL!$C$32, 7.6995, 7.6958) * CHOOSE(CONTROL!$C$15, $D$11, 100%, $F$11)</f>
        <v>7.6994999999999996</v>
      </c>
      <c r="C214" s="8">
        <f>CHOOSE( CONTROL!$C$32, 7.7074, 7.7038) * CHOOSE(CONTROL!$C$15, $D$11, 100%, $F$11)</f>
        <v>7.7073999999999998</v>
      </c>
      <c r="D214" s="8">
        <f>CHOOSE( CONTROL!$C$32, 7.7454, 7.7418) * CHOOSE( CONTROL!$C$15, $D$11, 100%, $F$11)</f>
        <v>7.7454000000000001</v>
      </c>
      <c r="E214" s="12">
        <f>CHOOSE( CONTROL!$C$32, 7.7304, 7.7268) * CHOOSE( CONTROL!$C$15, $D$11, 100%, $F$11)</f>
        <v>7.7304000000000004</v>
      </c>
      <c r="F214" s="4">
        <f>CHOOSE( CONTROL!$C$32, 8.4425, 8.4388) * CHOOSE(CONTROL!$C$15, $D$11, 100%, $F$11)</f>
        <v>8.4425000000000008</v>
      </c>
      <c r="G214" s="8">
        <f>CHOOSE( CONTROL!$C$32, 7.6155, 7.6119) * CHOOSE( CONTROL!$C$15, $D$11, 100%, $F$11)</f>
        <v>7.6154999999999999</v>
      </c>
      <c r="H214" s="4">
        <f>CHOOSE( CONTROL!$C$32, 8.5902, 8.5866) * CHOOSE(CONTROL!$C$15, $D$11, 100%, $F$11)</f>
        <v>8.5901999999999994</v>
      </c>
      <c r="I214" s="8">
        <f>CHOOSE( CONTROL!$C$32, 7.6078, 7.6043) * CHOOSE(CONTROL!$C$15, $D$11, 100%, $F$11)</f>
        <v>7.6078000000000001</v>
      </c>
      <c r="J214" s="4">
        <f>CHOOSE( CONTROL!$C$32, 7.4615, 7.458) * CHOOSE(CONTROL!$C$15, $D$11, 100%, $F$11)</f>
        <v>7.4615</v>
      </c>
      <c r="K214" s="4"/>
      <c r="L214" s="9">
        <v>29.7257</v>
      </c>
      <c r="M214" s="9">
        <v>11.6745</v>
      </c>
      <c r="N214" s="9">
        <v>4.7850000000000001</v>
      </c>
      <c r="O214" s="9">
        <v>0.36199999999999999</v>
      </c>
      <c r="P214" s="9">
        <v>1.1791</v>
      </c>
      <c r="Q214" s="9">
        <v>30.0258</v>
      </c>
      <c r="R214" s="9"/>
      <c r="S214" s="11"/>
    </row>
    <row r="215" spans="1:19" ht="15.75">
      <c r="A215" s="13">
        <v>48030</v>
      </c>
      <c r="B215" s="8">
        <f>CHOOSE( CONTROL!$C$32, 8.0301, 8.0265) * CHOOSE(CONTROL!$C$15, $D$11, 100%, $F$11)</f>
        <v>8.0300999999999991</v>
      </c>
      <c r="C215" s="8">
        <f>CHOOSE( CONTROL!$C$32, 8.0381, 8.0345) * CHOOSE(CONTROL!$C$15, $D$11, 100%, $F$11)</f>
        <v>8.0381</v>
      </c>
      <c r="D215" s="8">
        <f>CHOOSE( CONTROL!$C$32, 8.0763, 8.0727) * CHOOSE( CONTROL!$C$15, $D$11, 100%, $F$11)</f>
        <v>8.0762999999999998</v>
      </c>
      <c r="E215" s="12">
        <f>CHOOSE( CONTROL!$C$32, 8.0612, 8.0576) * CHOOSE( CONTROL!$C$15, $D$11, 100%, $F$11)</f>
        <v>8.0611999999999995</v>
      </c>
      <c r="F215" s="4">
        <f>CHOOSE( CONTROL!$C$32, 8.7731, 8.7695) * CHOOSE(CONTROL!$C$15, $D$11, 100%, $F$11)</f>
        <v>8.7730999999999995</v>
      </c>
      <c r="G215" s="8">
        <f>CHOOSE( CONTROL!$C$32, 7.9427, 7.9391) * CHOOSE( CONTROL!$C$15, $D$11, 100%, $F$11)</f>
        <v>7.9427000000000003</v>
      </c>
      <c r="H215" s="4">
        <f>CHOOSE( CONTROL!$C$32, 8.917, 8.9134) * CHOOSE(CONTROL!$C$15, $D$11, 100%, $F$11)</f>
        <v>8.9169999999999998</v>
      </c>
      <c r="I215" s="8">
        <f>CHOOSE( CONTROL!$C$32, 7.93, 7.9265) * CHOOSE(CONTROL!$C$15, $D$11, 100%, $F$11)</f>
        <v>7.93</v>
      </c>
      <c r="J215" s="4">
        <f>CHOOSE( CONTROL!$C$32, 7.7824, 7.7789) * CHOOSE(CONTROL!$C$15, $D$11, 100%, $F$11)</f>
        <v>7.7824</v>
      </c>
      <c r="K215" s="4"/>
      <c r="L215" s="9">
        <v>30.7165</v>
      </c>
      <c r="M215" s="9">
        <v>12.063700000000001</v>
      </c>
      <c r="N215" s="9">
        <v>4.9444999999999997</v>
      </c>
      <c r="O215" s="9">
        <v>0.37409999999999999</v>
      </c>
      <c r="P215" s="9">
        <v>1.2183999999999999</v>
      </c>
      <c r="Q215" s="9">
        <v>31.026700000000002</v>
      </c>
      <c r="R215" s="9"/>
      <c r="S215" s="11"/>
    </row>
    <row r="216" spans="1:19" ht="15.75">
      <c r="A216" s="13">
        <v>48061</v>
      </c>
      <c r="B216" s="8">
        <f>CHOOSE( CONTROL!$C$32, 7.4114, 7.4078) * CHOOSE(CONTROL!$C$15, $D$11, 100%, $F$11)</f>
        <v>7.4114000000000004</v>
      </c>
      <c r="C216" s="8">
        <f>CHOOSE( CONTROL!$C$32, 7.4194, 7.4157) * CHOOSE(CONTROL!$C$15, $D$11, 100%, $F$11)</f>
        <v>7.4194000000000004</v>
      </c>
      <c r="D216" s="8">
        <f>CHOOSE( CONTROL!$C$32, 7.4576, 7.454) * CHOOSE( CONTROL!$C$15, $D$11, 100%, $F$11)</f>
        <v>7.4576000000000002</v>
      </c>
      <c r="E216" s="12">
        <f>CHOOSE( CONTROL!$C$32, 7.4425, 7.4389) * CHOOSE( CONTROL!$C$15, $D$11, 100%, $F$11)</f>
        <v>7.4424999999999999</v>
      </c>
      <c r="F216" s="4">
        <f>CHOOSE( CONTROL!$C$32, 8.1544, 8.1508) * CHOOSE(CONTROL!$C$15, $D$11, 100%, $F$11)</f>
        <v>8.1544000000000008</v>
      </c>
      <c r="G216" s="8">
        <f>CHOOSE( CONTROL!$C$32, 7.3313, 7.3277) * CHOOSE( CONTROL!$C$15, $D$11, 100%, $F$11)</f>
        <v>7.3312999999999997</v>
      </c>
      <c r="H216" s="4">
        <f>CHOOSE( CONTROL!$C$32, 8.3056, 8.302) * CHOOSE(CONTROL!$C$15, $D$11, 100%, $F$11)</f>
        <v>8.3056000000000001</v>
      </c>
      <c r="I216" s="8">
        <f>CHOOSE( CONTROL!$C$32, 7.3296, 7.326) * CHOOSE(CONTROL!$C$15, $D$11, 100%, $F$11)</f>
        <v>7.3296000000000001</v>
      </c>
      <c r="J216" s="4">
        <f>CHOOSE( CONTROL!$C$32, 7.182, 7.1784) * CHOOSE(CONTROL!$C$15, $D$11, 100%, $F$11)</f>
        <v>7.1820000000000004</v>
      </c>
      <c r="K216" s="4"/>
      <c r="L216" s="9">
        <v>30.7165</v>
      </c>
      <c r="M216" s="9">
        <v>12.063700000000001</v>
      </c>
      <c r="N216" s="9">
        <v>4.9444999999999997</v>
      </c>
      <c r="O216" s="9">
        <v>0.37409999999999999</v>
      </c>
      <c r="P216" s="9">
        <v>1.2183999999999999</v>
      </c>
      <c r="Q216" s="9">
        <v>31.026700000000002</v>
      </c>
      <c r="R216" s="9"/>
      <c r="S216" s="11"/>
    </row>
    <row r="217" spans="1:19" ht="15.75">
      <c r="A217" s="13">
        <v>48092</v>
      </c>
      <c r="B217" s="8">
        <f>CHOOSE( CONTROL!$C$32, 7.2565, 7.2528) * CHOOSE(CONTROL!$C$15, $D$11, 100%, $F$11)</f>
        <v>7.2565</v>
      </c>
      <c r="C217" s="8">
        <f>CHOOSE( CONTROL!$C$32, 7.2645, 7.2608) * CHOOSE(CONTROL!$C$15, $D$11, 100%, $F$11)</f>
        <v>7.2645</v>
      </c>
      <c r="D217" s="8">
        <f>CHOOSE( CONTROL!$C$32, 7.3026, 7.299) * CHOOSE( CONTROL!$C$15, $D$11, 100%, $F$11)</f>
        <v>7.3026</v>
      </c>
      <c r="E217" s="12">
        <f>CHOOSE( CONTROL!$C$32, 7.2876, 7.2839) * CHOOSE( CONTROL!$C$15, $D$11, 100%, $F$11)</f>
        <v>7.2876000000000003</v>
      </c>
      <c r="F217" s="4">
        <f>CHOOSE( CONTROL!$C$32, 7.9995, 7.9958) * CHOOSE(CONTROL!$C$15, $D$11, 100%, $F$11)</f>
        <v>7.9995000000000003</v>
      </c>
      <c r="G217" s="8">
        <f>CHOOSE( CONTROL!$C$32, 7.1781, 7.1745) * CHOOSE( CONTROL!$C$15, $D$11, 100%, $F$11)</f>
        <v>7.1780999999999997</v>
      </c>
      <c r="H217" s="4">
        <f>CHOOSE( CONTROL!$C$32, 8.1524, 8.1488) * CHOOSE(CONTROL!$C$15, $D$11, 100%, $F$11)</f>
        <v>8.1524000000000001</v>
      </c>
      <c r="I217" s="8">
        <f>CHOOSE( CONTROL!$C$32, 7.1787, 7.1752) * CHOOSE(CONTROL!$C$15, $D$11, 100%, $F$11)</f>
        <v>7.1787000000000001</v>
      </c>
      <c r="J217" s="4">
        <f>CHOOSE( CONTROL!$C$32, 7.0316, 7.0281) * CHOOSE(CONTROL!$C$15, $D$11, 100%, $F$11)</f>
        <v>7.0316000000000001</v>
      </c>
      <c r="K217" s="4"/>
      <c r="L217" s="9">
        <v>29.7257</v>
      </c>
      <c r="M217" s="9">
        <v>11.6745</v>
      </c>
      <c r="N217" s="9">
        <v>4.7850000000000001</v>
      </c>
      <c r="O217" s="9">
        <v>0.36199999999999999</v>
      </c>
      <c r="P217" s="9">
        <v>1.1791</v>
      </c>
      <c r="Q217" s="9">
        <v>30.0258</v>
      </c>
      <c r="R217" s="9"/>
      <c r="S217" s="11"/>
    </row>
    <row r="218" spans="1:19" ht="15.75">
      <c r="A218" s="13">
        <v>48122</v>
      </c>
      <c r="B218" s="8">
        <f>7.5728 * CHOOSE(CONTROL!$C$15, $D$11, 100%, $F$11)</f>
        <v>7.5728</v>
      </c>
      <c r="C218" s="8">
        <f>7.5781 * CHOOSE(CONTROL!$C$15, $D$11, 100%, $F$11)</f>
        <v>7.5781000000000001</v>
      </c>
      <c r="D218" s="8">
        <f>7.6217 * CHOOSE( CONTROL!$C$15, $D$11, 100%, $F$11)</f>
        <v>7.6216999999999997</v>
      </c>
      <c r="E218" s="12">
        <f>7.6067 * CHOOSE( CONTROL!$C$15, $D$11, 100%, $F$11)</f>
        <v>7.6067</v>
      </c>
      <c r="F218" s="4">
        <f>8.3175 * CHOOSE(CONTROL!$C$15, $D$11, 100%, $F$11)</f>
        <v>8.3175000000000008</v>
      </c>
      <c r="G218" s="8">
        <f>7.4919 * CHOOSE( CONTROL!$C$15, $D$11, 100%, $F$11)</f>
        <v>7.4919000000000002</v>
      </c>
      <c r="H218" s="4">
        <f>8.4668 * CHOOSE(CONTROL!$C$15, $D$11, 100%, $F$11)</f>
        <v>8.4667999999999992</v>
      </c>
      <c r="I218" s="8">
        <f>7.4883 * CHOOSE(CONTROL!$C$15, $D$11, 100%, $F$11)</f>
        <v>7.4882999999999997</v>
      </c>
      <c r="J218" s="4">
        <f>7.3403 * CHOOSE(CONTROL!$C$15, $D$11, 100%, $F$11)</f>
        <v>7.3403</v>
      </c>
      <c r="K218" s="4"/>
      <c r="L218" s="9">
        <v>31.095300000000002</v>
      </c>
      <c r="M218" s="9">
        <v>12.063700000000001</v>
      </c>
      <c r="N218" s="9">
        <v>4.9444999999999997</v>
      </c>
      <c r="O218" s="9">
        <v>0.37409999999999999</v>
      </c>
      <c r="P218" s="9">
        <v>1.2183999999999999</v>
      </c>
      <c r="Q218" s="9">
        <v>31.026700000000002</v>
      </c>
      <c r="R218" s="9"/>
      <c r="S218" s="11"/>
    </row>
    <row r="219" spans="1:19" ht="15.75">
      <c r="A219" s="13">
        <v>48153</v>
      </c>
      <c r="B219" s="8">
        <f>8.1662 * CHOOSE(CONTROL!$C$15, $D$11, 100%, $F$11)</f>
        <v>8.1661999999999999</v>
      </c>
      <c r="C219" s="8">
        <f>8.1713 * CHOOSE(CONTROL!$C$15, $D$11, 100%, $F$11)</f>
        <v>8.1713000000000005</v>
      </c>
      <c r="D219" s="8">
        <f>8.1549 * CHOOSE( CONTROL!$C$15, $D$11, 100%, $F$11)</f>
        <v>8.1548999999999996</v>
      </c>
      <c r="E219" s="12">
        <f>8.1604 * CHOOSE( CONTROL!$C$15, $D$11, 100%, $F$11)</f>
        <v>8.1603999999999992</v>
      </c>
      <c r="F219" s="4">
        <f>8.8315 * CHOOSE(CONTROL!$C$15, $D$11, 100%, $F$11)</f>
        <v>8.8315000000000001</v>
      </c>
      <c r="G219" s="8">
        <f>8.0793 * CHOOSE( CONTROL!$C$15, $D$11, 100%, $F$11)</f>
        <v>8.0792999999999999</v>
      </c>
      <c r="H219" s="4">
        <f>8.9747 * CHOOSE(CONTROL!$C$15, $D$11, 100%, $F$11)</f>
        <v>8.9747000000000003</v>
      </c>
      <c r="I219" s="8">
        <f>8.065 * CHOOSE(CONTROL!$C$15, $D$11, 100%, $F$11)</f>
        <v>8.0649999999999995</v>
      </c>
      <c r="J219" s="4">
        <f>7.9165 * CHOOSE(CONTROL!$C$15, $D$11, 100%, $F$11)</f>
        <v>7.9165000000000001</v>
      </c>
      <c r="K219" s="4"/>
      <c r="L219" s="9">
        <v>28.360600000000002</v>
      </c>
      <c r="M219" s="9">
        <v>11.6745</v>
      </c>
      <c r="N219" s="9">
        <v>4.7850000000000001</v>
      </c>
      <c r="O219" s="9">
        <v>0.36199999999999999</v>
      </c>
      <c r="P219" s="9">
        <v>1.2509999999999999</v>
      </c>
      <c r="Q219" s="9">
        <v>30.0258</v>
      </c>
      <c r="R219" s="9"/>
      <c r="S219" s="11"/>
    </row>
    <row r="220" spans="1:19" ht="15.75">
      <c r="A220" s="13">
        <v>48183</v>
      </c>
      <c r="B220" s="8">
        <f>8.1514 * CHOOSE(CONTROL!$C$15, $D$11, 100%, $F$11)</f>
        <v>8.1514000000000006</v>
      </c>
      <c r="C220" s="8">
        <f>8.1564 * CHOOSE(CONTROL!$C$15, $D$11, 100%, $F$11)</f>
        <v>8.1563999999999997</v>
      </c>
      <c r="D220" s="8">
        <f>8.1418 * CHOOSE( CONTROL!$C$15, $D$11, 100%, $F$11)</f>
        <v>8.1417999999999999</v>
      </c>
      <c r="E220" s="12">
        <f>8.1466 * CHOOSE( CONTROL!$C$15, $D$11, 100%, $F$11)</f>
        <v>8.1465999999999994</v>
      </c>
      <c r="F220" s="4">
        <f>8.8166 * CHOOSE(CONTROL!$C$15, $D$11, 100%, $F$11)</f>
        <v>8.8165999999999993</v>
      </c>
      <c r="G220" s="8">
        <f>8.0659 * CHOOSE( CONTROL!$C$15, $D$11, 100%, $F$11)</f>
        <v>8.0658999999999992</v>
      </c>
      <c r="H220" s="4">
        <f>8.96 * CHOOSE(CONTROL!$C$15, $D$11, 100%, $F$11)</f>
        <v>8.9600000000000009</v>
      </c>
      <c r="I220" s="8">
        <f>8.056 * CHOOSE(CONTROL!$C$15, $D$11, 100%, $F$11)</f>
        <v>8.0559999999999992</v>
      </c>
      <c r="J220" s="4">
        <f>7.9021 * CHOOSE(CONTROL!$C$15, $D$11, 100%, $F$11)</f>
        <v>7.9020999999999999</v>
      </c>
      <c r="K220" s="4"/>
      <c r="L220" s="9">
        <v>29.306000000000001</v>
      </c>
      <c r="M220" s="9">
        <v>12.063700000000001</v>
      </c>
      <c r="N220" s="9">
        <v>4.9444999999999997</v>
      </c>
      <c r="O220" s="9">
        <v>0.37409999999999999</v>
      </c>
      <c r="P220" s="9">
        <v>1.2927</v>
      </c>
      <c r="Q220" s="9">
        <v>31.026700000000002</v>
      </c>
      <c r="R220" s="9"/>
      <c r="S220" s="11"/>
    </row>
    <row r="221" spans="1:19" ht="15.75">
      <c r="A221" s="13">
        <v>48214</v>
      </c>
      <c r="B221" s="8">
        <f>8.4389 * CHOOSE(CONTROL!$C$15, $D$11, 100%, $F$11)</f>
        <v>8.4389000000000003</v>
      </c>
      <c r="C221" s="8">
        <f>8.4439 * CHOOSE(CONTROL!$C$15, $D$11, 100%, $F$11)</f>
        <v>8.4438999999999993</v>
      </c>
      <c r="D221" s="8">
        <f>8.415 * CHOOSE( CONTROL!$C$15, $D$11, 100%, $F$11)</f>
        <v>8.4149999999999991</v>
      </c>
      <c r="E221" s="12">
        <f>8.425 * CHOOSE( CONTROL!$C$15, $D$11, 100%, $F$11)</f>
        <v>8.4250000000000007</v>
      </c>
      <c r="F221" s="4">
        <f>9.1041 * CHOOSE(CONTROL!$C$15, $D$11, 100%, $F$11)</f>
        <v>9.1041000000000007</v>
      </c>
      <c r="G221" s="8">
        <f>8.3397 * CHOOSE( CONTROL!$C$15, $D$11, 100%, $F$11)</f>
        <v>8.3397000000000006</v>
      </c>
      <c r="H221" s="4">
        <f>9.2442 * CHOOSE(CONTROL!$C$15, $D$11, 100%, $F$11)</f>
        <v>9.2441999999999993</v>
      </c>
      <c r="I221" s="8">
        <f>8.3297 * CHOOSE(CONTROL!$C$15, $D$11, 100%, $F$11)</f>
        <v>8.3297000000000008</v>
      </c>
      <c r="J221" s="4">
        <f>8.1812 * CHOOSE(CONTROL!$C$15, $D$11, 100%, $F$11)</f>
        <v>8.1812000000000005</v>
      </c>
      <c r="K221" s="4"/>
      <c r="L221" s="9">
        <v>29.306000000000001</v>
      </c>
      <c r="M221" s="9">
        <v>12.063700000000001</v>
      </c>
      <c r="N221" s="9">
        <v>4.9444999999999997</v>
      </c>
      <c r="O221" s="9">
        <v>0.37409999999999999</v>
      </c>
      <c r="P221" s="9">
        <v>1.2927</v>
      </c>
      <c r="Q221" s="9">
        <v>30.8704</v>
      </c>
      <c r="R221" s="9"/>
      <c r="S221" s="11"/>
    </row>
    <row r="222" spans="1:19" ht="15.75">
      <c r="A222" s="13">
        <v>48245</v>
      </c>
      <c r="B222" s="8">
        <f>7.8939 * CHOOSE(CONTROL!$C$15, $D$11, 100%, $F$11)</f>
        <v>7.8939000000000004</v>
      </c>
      <c r="C222" s="8">
        <f>7.899 * CHOOSE(CONTROL!$C$15, $D$11, 100%, $F$11)</f>
        <v>7.899</v>
      </c>
      <c r="D222" s="8">
        <f>7.8701 * CHOOSE( CONTROL!$C$15, $D$11, 100%, $F$11)</f>
        <v>7.8700999999999999</v>
      </c>
      <c r="E222" s="12">
        <f>7.8801 * CHOOSE( CONTROL!$C$15, $D$11, 100%, $F$11)</f>
        <v>7.8800999999999997</v>
      </c>
      <c r="F222" s="4">
        <f>8.5592 * CHOOSE(CONTROL!$C$15, $D$11, 100%, $F$11)</f>
        <v>8.5592000000000006</v>
      </c>
      <c r="G222" s="8">
        <f>7.8011 * CHOOSE( CONTROL!$C$15, $D$11, 100%, $F$11)</f>
        <v>7.8010999999999999</v>
      </c>
      <c r="H222" s="4">
        <f>8.7056 * CHOOSE(CONTROL!$C$15, $D$11, 100%, $F$11)</f>
        <v>8.7056000000000004</v>
      </c>
      <c r="I222" s="8">
        <f>7.8005 * CHOOSE(CONTROL!$C$15, $D$11, 100%, $F$11)</f>
        <v>7.8005000000000004</v>
      </c>
      <c r="J222" s="4">
        <f>7.6523 * CHOOSE(CONTROL!$C$15, $D$11, 100%, $F$11)</f>
        <v>7.6523000000000003</v>
      </c>
      <c r="K222" s="4"/>
      <c r="L222" s="9">
        <v>27.415299999999998</v>
      </c>
      <c r="M222" s="9">
        <v>11.285299999999999</v>
      </c>
      <c r="N222" s="9">
        <v>4.6254999999999997</v>
      </c>
      <c r="O222" s="9">
        <v>0.34989999999999999</v>
      </c>
      <c r="P222" s="9">
        <v>1.2093</v>
      </c>
      <c r="Q222" s="9">
        <v>28.878799999999998</v>
      </c>
      <c r="R222" s="9"/>
      <c r="S222" s="11"/>
    </row>
    <row r="223" spans="1:19" ht="15.75">
      <c r="A223" s="13">
        <v>48274</v>
      </c>
      <c r="B223" s="8">
        <f>7.726 * CHOOSE(CONTROL!$C$15, $D$11, 100%, $F$11)</f>
        <v>7.726</v>
      </c>
      <c r="C223" s="8">
        <f>7.7311 * CHOOSE(CONTROL!$C$15, $D$11, 100%, $F$11)</f>
        <v>7.7310999999999996</v>
      </c>
      <c r="D223" s="8">
        <f>7.7018 * CHOOSE( CONTROL!$C$15, $D$11, 100%, $F$11)</f>
        <v>7.7018000000000004</v>
      </c>
      <c r="E223" s="12">
        <f>7.712 * CHOOSE( CONTROL!$C$15, $D$11, 100%, $F$11)</f>
        <v>7.7119999999999997</v>
      </c>
      <c r="F223" s="4">
        <f>8.3913 * CHOOSE(CONTROL!$C$15, $D$11, 100%, $F$11)</f>
        <v>8.3912999999999993</v>
      </c>
      <c r="G223" s="8">
        <f>7.635 * CHOOSE( CONTROL!$C$15, $D$11, 100%, $F$11)</f>
        <v>7.6349999999999998</v>
      </c>
      <c r="H223" s="4">
        <f>8.5397 * CHOOSE(CONTROL!$C$15, $D$11, 100%, $F$11)</f>
        <v>8.5396999999999998</v>
      </c>
      <c r="I223" s="8">
        <f>7.6363 * CHOOSE(CONTROL!$C$15, $D$11, 100%, $F$11)</f>
        <v>7.6363000000000003</v>
      </c>
      <c r="J223" s="4">
        <f>7.4894 * CHOOSE(CONTROL!$C$15, $D$11, 100%, $F$11)</f>
        <v>7.4893999999999998</v>
      </c>
      <c r="K223" s="4"/>
      <c r="L223" s="9">
        <v>29.306000000000001</v>
      </c>
      <c r="M223" s="9">
        <v>12.063700000000001</v>
      </c>
      <c r="N223" s="9">
        <v>4.9444999999999997</v>
      </c>
      <c r="O223" s="9">
        <v>0.37409999999999999</v>
      </c>
      <c r="P223" s="9">
        <v>1.2927</v>
      </c>
      <c r="Q223" s="9">
        <v>30.8704</v>
      </c>
      <c r="R223" s="9"/>
      <c r="S223" s="11"/>
    </row>
    <row r="224" spans="1:19" ht="15.75">
      <c r="A224" s="13">
        <v>48305</v>
      </c>
      <c r="B224" s="8">
        <f>7.8441 * CHOOSE(CONTROL!$C$15, $D$11, 100%, $F$11)</f>
        <v>7.8441000000000001</v>
      </c>
      <c r="C224" s="8">
        <f>7.8486 * CHOOSE(CONTROL!$C$15, $D$11, 100%, $F$11)</f>
        <v>7.8486000000000002</v>
      </c>
      <c r="D224" s="8">
        <f>7.892 * CHOOSE( CONTROL!$C$15, $D$11, 100%, $F$11)</f>
        <v>7.8920000000000003</v>
      </c>
      <c r="E224" s="12">
        <f>7.8772 * CHOOSE( CONTROL!$C$15, $D$11, 100%, $F$11)</f>
        <v>7.8772000000000002</v>
      </c>
      <c r="F224" s="4">
        <f>8.5885 * CHOOSE(CONTROL!$C$15, $D$11, 100%, $F$11)</f>
        <v>8.5884999999999998</v>
      </c>
      <c r="G224" s="8">
        <f>7.7587 * CHOOSE( CONTROL!$C$15, $D$11, 100%, $F$11)</f>
        <v>7.7587000000000002</v>
      </c>
      <c r="H224" s="4">
        <f>8.7345 * CHOOSE(CONTROL!$C$15, $D$11, 100%, $F$11)</f>
        <v>8.7345000000000006</v>
      </c>
      <c r="I224" s="8">
        <f>7.7484 * CHOOSE(CONTROL!$C$15, $D$11, 100%, $F$11)</f>
        <v>7.7484000000000002</v>
      </c>
      <c r="J224" s="4">
        <f>7.6032 * CHOOSE(CONTROL!$C$15, $D$11, 100%, $F$11)</f>
        <v>7.6032000000000002</v>
      </c>
      <c r="K224" s="4"/>
      <c r="L224" s="9">
        <v>30.092199999999998</v>
      </c>
      <c r="M224" s="9">
        <v>11.6745</v>
      </c>
      <c r="N224" s="9">
        <v>4.7850000000000001</v>
      </c>
      <c r="O224" s="9">
        <v>0.36199999999999999</v>
      </c>
      <c r="P224" s="9">
        <v>1.1791</v>
      </c>
      <c r="Q224" s="9">
        <v>29.874600000000001</v>
      </c>
      <c r="R224" s="9"/>
      <c r="S224" s="11"/>
    </row>
    <row r="225" spans="1:19" ht="15.75">
      <c r="A225" s="13">
        <v>48335</v>
      </c>
      <c r="B225" s="8">
        <f>CHOOSE( CONTROL!$C$32, 8.0578, 8.0542) * CHOOSE(CONTROL!$C$15, $D$11, 100%, $F$11)</f>
        <v>8.0578000000000003</v>
      </c>
      <c r="C225" s="8">
        <f>CHOOSE( CONTROL!$C$32, 8.0658, 8.0622) * CHOOSE(CONTROL!$C$15, $D$11, 100%, $F$11)</f>
        <v>8.0657999999999994</v>
      </c>
      <c r="D225" s="8">
        <f>CHOOSE( CONTROL!$C$32, 8.1036, 8.0999) * CHOOSE( CONTROL!$C$15, $D$11, 100%, $F$11)</f>
        <v>8.1036000000000001</v>
      </c>
      <c r="E225" s="12">
        <f>CHOOSE( CONTROL!$C$32, 8.0887, 8.085) * CHOOSE( CONTROL!$C$15, $D$11, 100%, $F$11)</f>
        <v>8.0886999999999993</v>
      </c>
      <c r="F225" s="4">
        <f>CHOOSE( CONTROL!$C$32, 8.8008, 8.7972) * CHOOSE(CONTROL!$C$15, $D$11, 100%, $F$11)</f>
        <v>8.8008000000000006</v>
      </c>
      <c r="G225" s="8">
        <f>CHOOSE( CONTROL!$C$32, 7.9694, 7.9658) * CHOOSE( CONTROL!$C$15, $D$11, 100%, $F$11)</f>
        <v>7.9694000000000003</v>
      </c>
      <c r="H225" s="4">
        <f>CHOOSE( CONTROL!$C$32, 8.9444, 8.9408) * CHOOSE(CONTROL!$C$15, $D$11, 100%, $F$11)</f>
        <v>8.9443999999999999</v>
      </c>
      <c r="I225" s="8">
        <f>CHOOSE( CONTROL!$C$32, 7.9548, 7.9512) * CHOOSE(CONTROL!$C$15, $D$11, 100%, $F$11)</f>
        <v>7.9547999999999996</v>
      </c>
      <c r="J225" s="4">
        <f>CHOOSE( CONTROL!$C$32, 7.8093, 7.8058) * CHOOSE(CONTROL!$C$15, $D$11, 100%, $F$11)</f>
        <v>7.8093000000000004</v>
      </c>
      <c r="K225" s="4"/>
      <c r="L225" s="9">
        <v>30.7165</v>
      </c>
      <c r="M225" s="9">
        <v>12.063700000000001</v>
      </c>
      <c r="N225" s="9">
        <v>4.9444999999999997</v>
      </c>
      <c r="O225" s="9">
        <v>0.37409999999999999</v>
      </c>
      <c r="P225" s="9">
        <v>1.2183999999999999</v>
      </c>
      <c r="Q225" s="9">
        <v>30.8704</v>
      </c>
      <c r="R225" s="9"/>
      <c r="S225" s="11"/>
    </row>
    <row r="226" spans="1:19" ht="15.75">
      <c r="A226" s="13">
        <v>48366</v>
      </c>
      <c r="B226" s="8">
        <f>CHOOSE( CONTROL!$C$32, 7.9285, 7.9249) * CHOOSE(CONTROL!$C$15, $D$11, 100%, $F$11)</f>
        <v>7.9284999999999997</v>
      </c>
      <c r="C226" s="8">
        <f>CHOOSE( CONTROL!$C$32, 7.9365, 7.9329) * CHOOSE(CONTROL!$C$15, $D$11, 100%, $F$11)</f>
        <v>7.9364999999999997</v>
      </c>
      <c r="D226" s="8">
        <f>CHOOSE( CONTROL!$C$32, 7.9745, 7.9708) * CHOOSE( CONTROL!$C$15, $D$11, 100%, $F$11)</f>
        <v>7.9744999999999999</v>
      </c>
      <c r="E226" s="12">
        <f>CHOOSE( CONTROL!$C$32, 7.9595, 7.9558) * CHOOSE( CONTROL!$C$15, $D$11, 100%, $F$11)</f>
        <v>7.9595000000000002</v>
      </c>
      <c r="F226" s="4">
        <f>CHOOSE( CONTROL!$C$32, 8.6715, 8.6679) * CHOOSE(CONTROL!$C$15, $D$11, 100%, $F$11)</f>
        <v>8.6715</v>
      </c>
      <c r="G226" s="8">
        <f>CHOOSE( CONTROL!$C$32, 7.8419, 7.8383) * CHOOSE( CONTROL!$C$15, $D$11, 100%, $F$11)</f>
        <v>7.8418999999999999</v>
      </c>
      <c r="H226" s="4">
        <f>CHOOSE( CONTROL!$C$32, 8.8166, 8.813) * CHOOSE(CONTROL!$C$15, $D$11, 100%, $F$11)</f>
        <v>8.8165999999999993</v>
      </c>
      <c r="I226" s="8">
        <f>CHOOSE( CONTROL!$C$32, 7.8303, 7.8267) * CHOOSE(CONTROL!$C$15, $D$11, 100%, $F$11)</f>
        <v>7.8303000000000003</v>
      </c>
      <c r="J226" s="4">
        <f>CHOOSE( CONTROL!$C$32, 7.6838, 7.6803) * CHOOSE(CONTROL!$C$15, $D$11, 100%, $F$11)</f>
        <v>7.6837999999999997</v>
      </c>
      <c r="K226" s="4"/>
      <c r="L226" s="9">
        <v>29.7257</v>
      </c>
      <c r="M226" s="9">
        <v>11.6745</v>
      </c>
      <c r="N226" s="9">
        <v>4.7850000000000001</v>
      </c>
      <c r="O226" s="9">
        <v>0.36199999999999999</v>
      </c>
      <c r="P226" s="9">
        <v>1.1791</v>
      </c>
      <c r="Q226" s="9">
        <v>29.874600000000001</v>
      </c>
      <c r="R226" s="9"/>
      <c r="S226" s="11"/>
    </row>
    <row r="227" spans="1:19" ht="15.75">
      <c r="A227" s="13">
        <v>48396</v>
      </c>
      <c r="B227" s="8">
        <f>CHOOSE( CONTROL!$C$32, 8.2691, 8.2654) * CHOOSE(CONTROL!$C$15, $D$11, 100%, $F$11)</f>
        <v>8.2690999999999999</v>
      </c>
      <c r="C227" s="8">
        <f>CHOOSE( CONTROL!$C$32, 8.277, 8.2734) * CHOOSE(CONTROL!$C$15, $D$11, 100%, $F$11)</f>
        <v>8.2769999999999992</v>
      </c>
      <c r="D227" s="8">
        <f>CHOOSE( CONTROL!$C$32, 8.3152, 8.3116) * CHOOSE( CONTROL!$C$15, $D$11, 100%, $F$11)</f>
        <v>8.3152000000000008</v>
      </c>
      <c r="E227" s="12">
        <f>CHOOSE( CONTROL!$C$32, 8.3002, 8.2965) * CHOOSE( CONTROL!$C$15, $D$11, 100%, $F$11)</f>
        <v>8.3002000000000002</v>
      </c>
      <c r="F227" s="4">
        <f>CHOOSE( CONTROL!$C$32, 9.0121, 9.0084) * CHOOSE(CONTROL!$C$15, $D$11, 100%, $F$11)</f>
        <v>9.0121000000000002</v>
      </c>
      <c r="G227" s="8">
        <f>CHOOSE( CONTROL!$C$32, 8.1788, 8.1752) * CHOOSE( CONTROL!$C$15, $D$11, 100%, $F$11)</f>
        <v>8.1788000000000007</v>
      </c>
      <c r="H227" s="4">
        <f>CHOOSE( CONTROL!$C$32, 9.1532, 9.1496) * CHOOSE(CONTROL!$C$15, $D$11, 100%, $F$11)</f>
        <v>9.1532</v>
      </c>
      <c r="I227" s="8">
        <f>CHOOSE( CONTROL!$C$32, 8.162, 8.1585) * CHOOSE(CONTROL!$C$15, $D$11, 100%, $F$11)</f>
        <v>8.1620000000000008</v>
      </c>
      <c r="J227" s="4">
        <f>CHOOSE( CONTROL!$C$32, 8.0143, 8.0108) * CHOOSE(CONTROL!$C$15, $D$11, 100%, $F$11)</f>
        <v>8.0143000000000004</v>
      </c>
      <c r="K227" s="4"/>
      <c r="L227" s="9">
        <v>30.7165</v>
      </c>
      <c r="M227" s="9">
        <v>12.063700000000001</v>
      </c>
      <c r="N227" s="9">
        <v>4.9444999999999997</v>
      </c>
      <c r="O227" s="9">
        <v>0.37409999999999999</v>
      </c>
      <c r="P227" s="9">
        <v>1.2183999999999999</v>
      </c>
      <c r="Q227" s="9">
        <v>30.8704</v>
      </c>
      <c r="R227" s="9"/>
      <c r="S227" s="11"/>
    </row>
    <row r="228" spans="1:19" ht="15.75">
      <c r="A228" s="13">
        <v>48427</v>
      </c>
      <c r="B228" s="8">
        <f>CHOOSE( CONTROL!$C$32, 7.6319, 7.6282) * CHOOSE(CONTROL!$C$15, $D$11, 100%, $F$11)</f>
        <v>7.6318999999999999</v>
      </c>
      <c r="C228" s="8">
        <f>CHOOSE( CONTROL!$C$32, 7.6399, 7.6362) * CHOOSE(CONTROL!$C$15, $D$11, 100%, $F$11)</f>
        <v>7.6398999999999999</v>
      </c>
      <c r="D228" s="8">
        <f>CHOOSE( CONTROL!$C$32, 7.6781, 7.6745) * CHOOSE( CONTROL!$C$15, $D$11, 100%, $F$11)</f>
        <v>7.6780999999999997</v>
      </c>
      <c r="E228" s="12">
        <f>CHOOSE( CONTROL!$C$32, 7.663, 7.6594) * CHOOSE( CONTROL!$C$15, $D$11, 100%, $F$11)</f>
        <v>7.6630000000000003</v>
      </c>
      <c r="F228" s="4">
        <f>CHOOSE( CONTROL!$C$32, 8.3749, 8.3713) * CHOOSE(CONTROL!$C$15, $D$11, 100%, $F$11)</f>
        <v>8.3749000000000002</v>
      </c>
      <c r="G228" s="8">
        <f>CHOOSE( CONTROL!$C$32, 7.5492, 7.5456) * CHOOSE( CONTROL!$C$15, $D$11, 100%, $F$11)</f>
        <v>7.5491999999999999</v>
      </c>
      <c r="H228" s="4">
        <f>CHOOSE( CONTROL!$C$32, 8.5235, 8.5199) * CHOOSE(CONTROL!$C$15, $D$11, 100%, $F$11)</f>
        <v>8.5235000000000003</v>
      </c>
      <c r="I228" s="8">
        <f>CHOOSE( CONTROL!$C$32, 7.5436, 7.5401) * CHOOSE(CONTROL!$C$15, $D$11, 100%, $F$11)</f>
        <v>7.5435999999999996</v>
      </c>
      <c r="J228" s="4">
        <f>CHOOSE( CONTROL!$C$32, 7.3959, 7.3924) * CHOOSE(CONTROL!$C$15, $D$11, 100%, $F$11)</f>
        <v>7.3959000000000001</v>
      </c>
      <c r="K228" s="4"/>
      <c r="L228" s="9">
        <v>30.7165</v>
      </c>
      <c r="M228" s="9">
        <v>12.063700000000001</v>
      </c>
      <c r="N228" s="9">
        <v>4.9444999999999997</v>
      </c>
      <c r="O228" s="9">
        <v>0.37409999999999999</v>
      </c>
      <c r="P228" s="9">
        <v>1.2183999999999999</v>
      </c>
      <c r="Q228" s="9">
        <v>30.8704</v>
      </c>
      <c r="R228" s="9"/>
      <c r="S228" s="11"/>
    </row>
    <row r="229" spans="1:19" ht="15.75">
      <c r="A229" s="13">
        <v>48458</v>
      </c>
      <c r="B229" s="8">
        <f>CHOOSE( CONTROL!$C$32, 7.4723, 7.4687) * CHOOSE(CONTROL!$C$15, $D$11, 100%, $F$11)</f>
        <v>7.4722999999999997</v>
      </c>
      <c r="C229" s="8">
        <f>CHOOSE( CONTROL!$C$32, 7.4803, 7.4767) * CHOOSE(CONTROL!$C$15, $D$11, 100%, $F$11)</f>
        <v>7.4802999999999997</v>
      </c>
      <c r="D229" s="8">
        <f>CHOOSE( CONTROL!$C$32, 7.5185, 7.5148) * CHOOSE( CONTROL!$C$15, $D$11, 100%, $F$11)</f>
        <v>7.5185000000000004</v>
      </c>
      <c r="E229" s="12">
        <f>CHOOSE( CONTROL!$C$32, 7.5034, 7.4998) * CHOOSE( CONTROL!$C$15, $D$11, 100%, $F$11)</f>
        <v>7.5034000000000001</v>
      </c>
      <c r="F229" s="4">
        <f>CHOOSE( CONTROL!$C$32, 8.2153, 8.2117) * CHOOSE(CONTROL!$C$15, $D$11, 100%, $F$11)</f>
        <v>8.2152999999999992</v>
      </c>
      <c r="G229" s="8">
        <f>CHOOSE( CONTROL!$C$32, 7.3914, 7.3878) * CHOOSE( CONTROL!$C$15, $D$11, 100%, $F$11)</f>
        <v>7.3914</v>
      </c>
      <c r="H229" s="4">
        <f>CHOOSE( CONTROL!$C$32, 8.3658, 8.3622) * CHOOSE(CONTROL!$C$15, $D$11, 100%, $F$11)</f>
        <v>8.3658000000000001</v>
      </c>
      <c r="I229" s="8">
        <f>CHOOSE( CONTROL!$C$32, 7.3883, 7.3848) * CHOOSE(CONTROL!$C$15, $D$11, 100%, $F$11)</f>
        <v>7.3883000000000001</v>
      </c>
      <c r="J229" s="4">
        <f>CHOOSE( CONTROL!$C$32, 7.2411, 7.2375) * CHOOSE(CONTROL!$C$15, $D$11, 100%, $F$11)</f>
        <v>7.2411000000000003</v>
      </c>
      <c r="K229" s="4"/>
      <c r="L229" s="9">
        <v>29.7257</v>
      </c>
      <c r="M229" s="9">
        <v>11.6745</v>
      </c>
      <c r="N229" s="9">
        <v>4.7850000000000001</v>
      </c>
      <c r="O229" s="9">
        <v>0.36199999999999999</v>
      </c>
      <c r="P229" s="9">
        <v>1.1791</v>
      </c>
      <c r="Q229" s="9">
        <v>29.874600000000001</v>
      </c>
      <c r="R229" s="9"/>
      <c r="S229" s="11"/>
    </row>
    <row r="230" spans="1:19" ht="15.75">
      <c r="A230" s="13">
        <v>48488</v>
      </c>
      <c r="B230" s="8">
        <f>7.7983 * CHOOSE(CONTROL!$C$15, $D$11, 100%, $F$11)</f>
        <v>7.7983000000000002</v>
      </c>
      <c r="C230" s="8">
        <f>7.8036 * CHOOSE(CONTROL!$C$15, $D$11, 100%, $F$11)</f>
        <v>7.8036000000000003</v>
      </c>
      <c r="D230" s="8">
        <f>7.8471 * CHOOSE( CONTROL!$C$15, $D$11, 100%, $F$11)</f>
        <v>7.8471000000000002</v>
      </c>
      <c r="E230" s="12">
        <f>7.8322 * CHOOSE( CONTROL!$C$15, $D$11, 100%, $F$11)</f>
        <v>7.8322000000000003</v>
      </c>
      <c r="F230" s="4">
        <f>8.543 * CHOOSE(CONTROL!$C$15, $D$11, 100%, $F$11)</f>
        <v>8.5429999999999993</v>
      </c>
      <c r="G230" s="8">
        <f>7.7147 * CHOOSE( CONTROL!$C$15, $D$11, 100%, $F$11)</f>
        <v>7.7146999999999997</v>
      </c>
      <c r="H230" s="4">
        <f>8.6896 * CHOOSE(CONTROL!$C$15, $D$11, 100%, $F$11)</f>
        <v>8.6896000000000004</v>
      </c>
      <c r="I230" s="8">
        <f>7.7072 * CHOOSE(CONTROL!$C$15, $D$11, 100%, $F$11)</f>
        <v>7.7072000000000003</v>
      </c>
      <c r="J230" s="4">
        <f>7.5591 * CHOOSE(CONTROL!$C$15, $D$11, 100%, $F$11)</f>
        <v>7.5590999999999999</v>
      </c>
      <c r="K230" s="4"/>
      <c r="L230" s="9">
        <v>31.095300000000002</v>
      </c>
      <c r="M230" s="9">
        <v>12.063700000000001</v>
      </c>
      <c r="N230" s="9">
        <v>4.9444999999999997</v>
      </c>
      <c r="O230" s="9">
        <v>0.37409999999999999</v>
      </c>
      <c r="P230" s="9">
        <v>1.2183999999999999</v>
      </c>
      <c r="Q230" s="9">
        <v>30.8704</v>
      </c>
      <c r="R230" s="9"/>
      <c r="S230" s="11"/>
    </row>
    <row r="231" spans="1:19" ht="15.75">
      <c r="A231" s="13">
        <v>48519</v>
      </c>
      <c r="B231" s="8">
        <f>8.4093 * CHOOSE(CONTROL!$C$15, $D$11, 100%, $F$11)</f>
        <v>8.4093</v>
      </c>
      <c r="C231" s="8">
        <f>8.4144 * CHOOSE(CONTROL!$C$15, $D$11, 100%, $F$11)</f>
        <v>8.4144000000000005</v>
      </c>
      <c r="D231" s="8">
        <f>8.3981 * CHOOSE( CONTROL!$C$15, $D$11, 100%, $F$11)</f>
        <v>8.3980999999999995</v>
      </c>
      <c r="E231" s="12">
        <f>8.4035 * CHOOSE( CONTROL!$C$15, $D$11, 100%, $F$11)</f>
        <v>8.4034999999999993</v>
      </c>
      <c r="F231" s="4">
        <f>9.0746 * CHOOSE(CONTROL!$C$15, $D$11, 100%, $F$11)</f>
        <v>9.0746000000000002</v>
      </c>
      <c r="G231" s="8">
        <f>8.3196 * CHOOSE( CONTROL!$C$15, $D$11, 100%, $F$11)</f>
        <v>8.3195999999999994</v>
      </c>
      <c r="H231" s="4">
        <f>9.215 * CHOOSE(CONTROL!$C$15, $D$11, 100%, $F$11)</f>
        <v>9.2149999999999999</v>
      </c>
      <c r="I231" s="8">
        <f>8.3011 * CHOOSE(CONTROL!$C$15, $D$11, 100%, $F$11)</f>
        <v>8.3010999999999999</v>
      </c>
      <c r="J231" s="4">
        <f>8.1525 * CHOOSE(CONTROL!$C$15, $D$11, 100%, $F$11)</f>
        <v>8.1524999999999999</v>
      </c>
      <c r="K231" s="4"/>
      <c r="L231" s="9">
        <v>28.360600000000002</v>
      </c>
      <c r="M231" s="9">
        <v>11.6745</v>
      </c>
      <c r="N231" s="9">
        <v>4.7850000000000001</v>
      </c>
      <c r="O231" s="9">
        <v>0.36199999999999999</v>
      </c>
      <c r="P231" s="9">
        <v>1.2509999999999999</v>
      </c>
      <c r="Q231" s="9">
        <v>29.874600000000001</v>
      </c>
      <c r="R231" s="9"/>
      <c r="S231" s="11"/>
    </row>
    <row r="232" spans="1:19" ht="15.75">
      <c r="A232" s="13">
        <v>48549</v>
      </c>
      <c r="B232" s="8">
        <f>8.3941 * CHOOSE(CONTROL!$C$15, $D$11, 100%, $F$11)</f>
        <v>8.3940999999999999</v>
      </c>
      <c r="C232" s="8">
        <f>8.3991 * CHOOSE(CONTROL!$C$15, $D$11, 100%, $F$11)</f>
        <v>8.3991000000000007</v>
      </c>
      <c r="D232" s="8">
        <f>8.3845 * CHOOSE( CONTROL!$C$15, $D$11, 100%, $F$11)</f>
        <v>8.3844999999999992</v>
      </c>
      <c r="E232" s="12">
        <f>8.3893 * CHOOSE( CONTROL!$C$15, $D$11, 100%, $F$11)</f>
        <v>8.3893000000000004</v>
      </c>
      <c r="F232" s="4">
        <f>9.0593 * CHOOSE(CONTROL!$C$15, $D$11, 100%, $F$11)</f>
        <v>9.0593000000000004</v>
      </c>
      <c r="G232" s="8">
        <f>8.3057 * CHOOSE( CONTROL!$C$15, $D$11, 100%, $F$11)</f>
        <v>8.3056999999999999</v>
      </c>
      <c r="H232" s="4">
        <f>9.1999 * CHOOSE(CONTROL!$C$15, $D$11, 100%, $F$11)</f>
        <v>9.1998999999999995</v>
      </c>
      <c r="I232" s="8">
        <f>8.2916 * CHOOSE(CONTROL!$C$15, $D$11, 100%, $F$11)</f>
        <v>8.2916000000000007</v>
      </c>
      <c r="J232" s="4">
        <f>8.1377 * CHOOSE(CONTROL!$C$15, $D$11, 100%, $F$11)</f>
        <v>8.1377000000000006</v>
      </c>
      <c r="K232" s="4"/>
      <c r="L232" s="9">
        <v>29.306000000000001</v>
      </c>
      <c r="M232" s="9">
        <v>12.063700000000001</v>
      </c>
      <c r="N232" s="9">
        <v>4.9444999999999997</v>
      </c>
      <c r="O232" s="9">
        <v>0.37409999999999999</v>
      </c>
      <c r="P232" s="9">
        <v>1.2927</v>
      </c>
      <c r="Q232" s="9">
        <v>30.8704</v>
      </c>
      <c r="R232" s="9"/>
      <c r="S232" s="11"/>
    </row>
    <row r="233" spans="1:19" ht="15.75">
      <c r="A233" s="13">
        <v>48580</v>
      </c>
      <c r="B233" s="8">
        <f>8.6893 * CHOOSE(CONTROL!$C$15, $D$11, 100%, $F$11)</f>
        <v>8.6892999999999994</v>
      </c>
      <c r="C233" s="8">
        <f>8.6944 * CHOOSE(CONTROL!$C$15, $D$11, 100%, $F$11)</f>
        <v>8.6943999999999999</v>
      </c>
      <c r="D233" s="8">
        <f>8.6655 * CHOOSE( CONTROL!$C$15, $D$11, 100%, $F$11)</f>
        <v>8.6654999999999998</v>
      </c>
      <c r="E233" s="12">
        <f>8.6755 * CHOOSE( CONTROL!$C$15, $D$11, 100%, $F$11)</f>
        <v>8.6754999999999995</v>
      </c>
      <c r="F233" s="4">
        <f>9.3546 * CHOOSE(CONTROL!$C$15, $D$11, 100%, $F$11)</f>
        <v>9.3545999999999996</v>
      </c>
      <c r="G233" s="8">
        <f>8.5873 * CHOOSE( CONTROL!$C$15, $D$11, 100%, $F$11)</f>
        <v>8.5873000000000008</v>
      </c>
      <c r="H233" s="4">
        <f>9.4917 * CHOOSE(CONTROL!$C$15, $D$11, 100%, $F$11)</f>
        <v>9.4916999999999998</v>
      </c>
      <c r="I233" s="8">
        <f>8.573 * CHOOSE(CONTROL!$C$15, $D$11, 100%, $F$11)</f>
        <v>8.5730000000000004</v>
      </c>
      <c r="J233" s="4">
        <f>8.4243 * CHOOSE(CONTROL!$C$15, $D$11, 100%, $F$11)</f>
        <v>8.4243000000000006</v>
      </c>
      <c r="K233" s="4"/>
      <c r="L233" s="9">
        <v>29.306000000000001</v>
      </c>
      <c r="M233" s="9">
        <v>12.063700000000001</v>
      </c>
      <c r="N233" s="9">
        <v>4.9444999999999997</v>
      </c>
      <c r="O233" s="9">
        <v>0.37409999999999999</v>
      </c>
      <c r="P233" s="9">
        <v>1.2927</v>
      </c>
      <c r="Q233" s="9">
        <v>30.773700000000002</v>
      </c>
      <c r="R233" s="9"/>
      <c r="S233" s="11"/>
    </row>
    <row r="234" spans="1:19" ht="15.75">
      <c r="A234" s="13">
        <v>48611</v>
      </c>
      <c r="B234" s="8">
        <f>8.1282 * CHOOSE(CONTROL!$C$15, $D$11, 100%, $F$11)</f>
        <v>8.1281999999999996</v>
      </c>
      <c r="C234" s="8">
        <f>8.1332 * CHOOSE(CONTROL!$C$15, $D$11, 100%, $F$11)</f>
        <v>8.1332000000000004</v>
      </c>
      <c r="D234" s="8">
        <f>8.1044 * CHOOSE( CONTROL!$C$15, $D$11, 100%, $F$11)</f>
        <v>8.1044</v>
      </c>
      <c r="E234" s="12">
        <f>8.1144 * CHOOSE( CONTROL!$C$15, $D$11, 100%, $F$11)</f>
        <v>8.1143999999999998</v>
      </c>
      <c r="F234" s="4">
        <f>8.7935 * CHOOSE(CONTROL!$C$15, $D$11, 100%, $F$11)</f>
        <v>8.7934999999999999</v>
      </c>
      <c r="G234" s="8">
        <f>8.0327 * CHOOSE( CONTROL!$C$15, $D$11, 100%, $F$11)</f>
        <v>8.0327000000000002</v>
      </c>
      <c r="H234" s="4">
        <f>8.9371 * CHOOSE(CONTROL!$C$15, $D$11, 100%, $F$11)</f>
        <v>8.9370999999999992</v>
      </c>
      <c r="I234" s="8">
        <f>8.028 * CHOOSE(CONTROL!$C$15, $D$11, 100%, $F$11)</f>
        <v>8.0280000000000005</v>
      </c>
      <c r="J234" s="4">
        <f>7.8796 * CHOOSE(CONTROL!$C$15, $D$11, 100%, $F$11)</f>
        <v>7.8795999999999999</v>
      </c>
      <c r="K234" s="4"/>
      <c r="L234" s="9">
        <v>26.469899999999999</v>
      </c>
      <c r="M234" s="9">
        <v>10.8962</v>
      </c>
      <c r="N234" s="9">
        <v>4.4660000000000002</v>
      </c>
      <c r="O234" s="9">
        <v>0.33789999999999998</v>
      </c>
      <c r="P234" s="9">
        <v>1.1676</v>
      </c>
      <c r="Q234" s="9">
        <v>27.7956</v>
      </c>
      <c r="R234" s="9"/>
      <c r="S234" s="11"/>
    </row>
    <row r="235" spans="1:19" ht="15.75">
      <c r="A235" s="13">
        <v>48639</v>
      </c>
      <c r="B235" s="8">
        <f>7.9553 * CHOOSE(CONTROL!$C$15, $D$11, 100%, $F$11)</f>
        <v>7.9553000000000003</v>
      </c>
      <c r="C235" s="8">
        <f>7.9604 * CHOOSE(CONTROL!$C$15, $D$11, 100%, $F$11)</f>
        <v>7.9603999999999999</v>
      </c>
      <c r="D235" s="8">
        <f>7.9311 * CHOOSE( CONTROL!$C$15, $D$11, 100%, $F$11)</f>
        <v>7.9310999999999998</v>
      </c>
      <c r="E235" s="12">
        <f>7.9413 * CHOOSE( CONTROL!$C$15, $D$11, 100%, $F$11)</f>
        <v>7.9413</v>
      </c>
      <c r="F235" s="4">
        <f>8.6206 * CHOOSE(CONTROL!$C$15, $D$11, 100%, $F$11)</f>
        <v>8.6205999999999996</v>
      </c>
      <c r="G235" s="8">
        <f>7.8616 * CHOOSE( CONTROL!$C$15, $D$11, 100%, $F$11)</f>
        <v>7.8616000000000001</v>
      </c>
      <c r="H235" s="4">
        <f>8.7663 * CHOOSE(CONTROL!$C$15, $D$11, 100%, $F$11)</f>
        <v>8.7662999999999993</v>
      </c>
      <c r="I235" s="8">
        <f>7.859 * CHOOSE(CONTROL!$C$15, $D$11, 100%, $F$11)</f>
        <v>7.859</v>
      </c>
      <c r="J235" s="4">
        <f>7.7119 * CHOOSE(CONTROL!$C$15, $D$11, 100%, $F$11)</f>
        <v>7.7119</v>
      </c>
      <c r="K235" s="4"/>
      <c r="L235" s="9">
        <v>29.306000000000001</v>
      </c>
      <c r="M235" s="9">
        <v>12.063700000000001</v>
      </c>
      <c r="N235" s="9">
        <v>4.9444999999999997</v>
      </c>
      <c r="O235" s="9">
        <v>0.37409999999999999</v>
      </c>
      <c r="P235" s="9">
        <v>1.2927</v>
      </c>
      <c r="Q235" s="9">
        <v>30.773700000000002</v>
      </c>
      <c r="R235" s="9"/>
      <c r="S235" s="11"/>
    </row>
    <row r="236" spans="1:19" ht="15.75">
      <c r="A236" s="13">
        <v>48670</v>
      </c>
      <c r="B236" s="8">
        <f>8.0769 * CHOOSE(CONTROL!$C$15, $D$11, 100%, $F$11)</f>
        <v>8.0769000000000002</v>
      </c>
      <c r="C236" s="8">
        <f>8.0814 * CHOOSE(CONTROL!$C$15, $D$11, 100%, $F$11)</f>
        <v>8.0814000000000004</v>
      </c>
      <c r="D236" s="8">
        <f>8.1248 * CHOOSE( CONTROL!$C$15, $D$11, 100%, $F$11)</f>
        <v>8.1248000000000005</v>
      </c>
      <c r="E236" s="12">
        <f>8.11 * CHOOSE( CONTROL!$C$15, $D$11, 100%, $F$11)</f>
        <v>8.11</v>
      </c>
      <c r="F236" s="4">
        <f>8.8212 * CHOOSE(CONTROL!$C$15, $D$11, 100%, $F$11)</f>
        <v>8.8211999999999993</v>
      </c>
      <c r="G236" s="8">
        <f>7.9887 * CHOOSE( CONTROL!$C$15, $D$11, 100%, $F$11)</f>
        <v>7.9886999999999997</v>
      </c>
      <c r="H236" s="4">
        <f>8.9646 * CHOOSE(CONTROL!$C$15, $D$11, 100%, $F$11)</f>
        <v>8.9646000000000008</v>
      </c>
      <c r="I236" s="8">
        <f>7.9744 * CHOOSE(CONTROL!$C$15, $D$11, 100%, $F$11)</f>
        <v>7.9744000000000002</v>
      </c>
      <c r="J236" s="4">
        <f>7.8291 * CHOOSE(CONTROL!$C$15, $D$11, 100%, $F$11)</f>
        <v>7.8291000000000004</v>
      </c>
      <c r="K236" s="4"/>
      <c r="L236" s="9">
        <v>30.092199999999998</v>
      </c>
      <c r="M236" s="9">
        <v>11.6745</v>
      </c>
      <c r="N236" s="9">
        <v>4.7850000000000001</v>
      </c>
      <c r="O236" s="9">
        <v>0.36199999999999999</v>
      </c>
      <c r="P236" s="9">
        <v>1.1791</v>
      </c>
      <c r="Q236" s="9">
        <v>29.780999999999999</v>
      </c>
      <c r="R236" s="9"/>
      <c r="S236" s="11"/>
    </row>
    <row r="237" spans="1:19" ht="15.75">
      <c r="A237" s="13">
        <v>48700</v>
      </c>
      <c r="B237" s="8">
        <f>CHOOSE( CONTROL!$C$32, 8.2968, 8.2932) * CHOOSE(CONTROL!$C$15, $D$11, 100%, $F$11)</f>
        <v>8.2967999999999993</v>
      </c>
      <c r="C237" s="8">
        <f>CHOOSE( CONTROL!$C$32, 8.3048, 8.3012) * CHOOSE(CONTROL!$C$15, $D$11, 100%, $F$11)</f>
        <v>8.3048000000000002</v>
      </c>
      <c r="D237" s="8">
        <f>CHOOSE( CONTROL!$C$32, 8.3425, 8.3389) * CHOOSE( CONTROL!$C$15, $D$11, 100%, $F$11)</f>
        <v>8.3424999999999994</v>
      </c>
      <c r="E237" s="12">
        <f>CHOOSE( CONTROL!$C$32, 8.3276, 8.324) * CHOOSE( CONTROL!$C$15, $D$11, 100%, $F$11)</f>
        <v>8.3276000000000003</v>
      </c>
      <c r="F237" s="4">
        <f>CHOOSE( CONTROL!$C$32, 9.0398, 9.0362) * CHOOSE(CONTROL!$C$15, $D$11, 100%, $F$11)</f>
        <v>9.0397999999999996</v>
      </c>
      <c r="G237" s="8">
        <f>CHOOSE( CONTROL!$C$32, 8.2056, 8.202) * CHOOSE( CONTROL!$C$15, $D$11, 100%, $F$11)</f>
        <v>8.2056000000000004</v>
      </c>
      <c r="H237" s="4">
        <f>CHOOSE( CONTROL!$C$32, 9.1806, 9.177) * CHOOSE(CONTROL!$C$15, $D$11, 100%, $F$11)</f>
        <v>9.1806000000000001</v>
      </c>
      <c r="I237" s="8">
        <f>CHOOSE( CONTROL!$C$32, 8.1868, 8.1833) * CHOOSE(CONTROL!$C$15, $D$11, 100%, $F$11)</f>
        <v>8.1867999999999999</v>
      </c>
      <c r="J237" s="4">
        <f>CHOOSE( CONTROL!$C$32, 8.0413, 8.0377) * CHOOSE(CONTROL!$C$15, $D$11, 100%, $F$11)</f>
        <v>8.0412999999999997</v>
      </c>
      <c r="K237" s="4"/>
      <c r="L237" s="9">
        <v>30.7165</v>
      </c>
      <c r="M237" s="9">
        <v>12.063700000000001</v>
      </c>
      <c r="N237" s="9">
        <v>4.9444999999999997</v>
      </c>
      <c r="O237" s="9">
        <v>0.37409999999999999</v>
      </c>
      <c r="P237" s="9">
        <v>1.2183999999999999</v>
      </c>
      <c r="Q237" s="9">
        <v>30.773700000000002</v>
      </c>
      <c r="R237" s="9"/>
      <c r="S237" s="11"/>
    </row>
    <row r="238" spans="1:19" ht="15.75">
      <c r="A238" s="13">
        <v>48731</v>
      </c>
      <c r="B238" s="8">
        <f>CHOOSE( CONTROL!$C$32, 8.1637, 8.16) * CHOOSE(CONTROL!$C$15, $D$11, 100%, $F$11)</f>
        <v>8.1637000000000004</v>
      </c>
      <c r="C238" s="8">
        <f>CHOOSE( CONTROL!$C$32, 8.1717, 8.168) * CHOOSE(CONTROL!$C$15, $D$11, 100%, $F$11)</f>
        <v>8.1716999999999995</v>
      </c>
      <c r="D238" s="8">
        <f>CHOOSE( CONTROL!$C$32, 8.2096, 8.206) * CHOOSE( CONTROL!$C$15, $D$11, 100%, $F$11)</f>
        <v>8.2096</v>
      </c>
      <c r="E238" s="12">
        <f>CHOOSE( CONTROL!$C$32, 8.1946, 8.191) * CHOOSE( CONTROL!$C$15, $D$11, 100%, $F$11)</f>
        <v>8.1945999999999994</v>
      </c>
      <c r="F238" s="4">
        <f>CHOOSE( CONTROL!$C$32, 8.9067, 8.903) * CHOOSE(CONTROL!$C$15, $D$11, 100%, $F$11)</f>
        <v>8.9067000000000007</v>
      </c>
      <c r="G238" s="8">
        <f>CHOOSE( CONTROL!$C$32, 8.0743, 8.0707) * CHOOSE( CONTROL!$C$15, $D$11, 100%, $F$11)</f>
        <v>8.0742999999999991</v>
      </c>
      <c r="H238" s="4">
        <f>CHOOSE( CONTROL!$C$32, 9.049, 9.0454) * CHOOSE(CONTROL!$C$15, $D$11, 100%, $F$11)</f>
        <v>9.0489999999999995</v>
      </c>
      <c r="I238" s="8">
        <f>CHOOSE( CONTROL!$C$32, 8.0586, 8.055) * CHOOSE(CONTROL!$C$15, $D$11, 100%, $F$11)</f>
        <v>8.0586000000000002</v>
      </c>
      <c r="J238" s="4">
        <f>CHOOSE( CONTROL!$C$32, 7.912, 7.9085) * CHOOSE(CONTROL!$C$15, $D$11, 100%, $F$11)</f>
        <v>7.9119999999999999</v>
      </c>
      <c r="K238" s="4"/>
      <c r="L238" s="9">
        <v>29.7257</v>
      </c>
      <c r="M238" s="9">
        <v>11.6745</v>
      </c>
      <c r="N238" s="9">
        <v>4.7850000000000001</v>
      </c>
      <c r="O238" s="9">
        <v>0.36199999999999999</v>
      </c>
      <c r="P238" s="9">
        <v>1.1791</v>
      </c>
      <c r="Q238" s="9">
        <v>29.780999999999999</v>
      </c>
      <c r="R238" s="9"/>
      <c r="S238" s="11"/>
    </row>
    <row r="239" spans="1:19" ht="15.75">
      <c r="A239" s="13">
        <v>48761</v>
      </c>
      <c r="B239" s="8">
        <f>CHOOSE( CONTROL!$C$32, 8.5143, 8.5107) * CHOOSE(CONTROL!$C$15, $D$11, 100%, $F$11)</f>
        <v>8.5143000000000004</v>
      </c>
      <c r="C239" s="8">
        <f>CHOOSE( CONTROL!$C$32, 8.5223, 8.5187) * CHOOSE(CONTROL!$C$15, $D$11, 100%, $F$11)</f>
        <v>8.5222999999999995</v>
      </c>
      <c r="D239" s="8">
        <f>CHOOSE( CONTROL!$C$32, 8.5605, 8.5569) * CHOOSE( CONTROL!$C$15, $D$11, 100%, $F$11)</f>
        <v>8.5604999999999993</v>
      </c>
      <c r="E239" s="12">
        <f>CHOOSE( CONTROL!$C$32, 8.5454, 8.5418) * CHOOSE( CONTROL!$C$15, $D$11, 100%, $F$11)</f>
        <v>8.5454000000000008</v>
      </c>
      <c r="F239" s="4">
        <f>CHOOSE( CONTROL!$C$32, 9.2573, 9.2537) * CHOOSE(CONTROL!$C$15, $D$11, 100%, $F$11)</f>
        <v>9.2573000000000008</v>
      </c>
      <c r="G239" s="8">
        <f>CHOOSE( CONTROL!$C$32, 8.4212, 8.4176) * CHOOSE( CONTROL!$C$15, $D$11, 100%, $F$11)</f>
        <v>8.4212000000000007</v>
      </c>
      <c r="H239" s="4">
        <f>CHOOSE( CONTROL!$C$32, 9.3956, 9.392) * CHOOSE(CONTROL!$C$15, $D$11, 100%, $F$11)</f>
        <v>9.3956</v>
      </c>
      <c r="I239" s="8">
        <f>CHOOSE( CONTROL!$C$32, 8.4002, 8.3966) * CHOOSE(CONTROL!$C$15, $D$11, 100%, $F$11)</f>
        <v>8.4001999999999999</v>
      </c>
      <c r="J239" s="4">
        <f>CHOOSE( CONTROL!$C$32, 8.2523, 8.2488) * CHOOSE(CONTROL!$C$15, $D$11, 100%, $F$11)</f>
        <v>8.2523</v>
      </c>
      <c r="K239" s="4"/>
      <c r="L239" s="9">
        <v>30.7165</v>
      </c>
      <c r="M239" s="9">
        <v>12.063700000000001</v>
      </c>
      <c r="N239" s="9">
        <v>4.9444999999999997</v>
      </c>
      <c r="O239" s="9">
        <v>0.37409999999999999</v>
      </c>
      <c r="P239" s="9">
        <v>1.2183999999999999</v>
      </c>
      <c r="Q239" s="9">
        <v>30.773700000000002</v>
      </c>
      <c r="R239" s="9"/>
      <c r="S239" s="11"/>
    </row>
    <row r="240" spans="1:19" ht="15.75">
      <c r="A240" s="13">
        <v>48792</v>
      </c>
      <c r="B240" s="8">
        <f>CHOOSE( CONTROL!$C$32, 7.8582, 7.8546) * CHOOSE(CONTROL!$C$15, $D$11, 100%, $F$11)</f>
        <v>7.8582000000000001</v>
      </c>
      <c r="C240" s="8">
        <f>CHOOSE( CONTROL!$C$32, 7.8662, 7.8626) * CHOOSE(CONTROL!$C$15, $D$11, 100%, $F$11)</f>
        <v>7.8662000000000001</v>
      </c>
      <c r="D240" s="8">
        <f>CHOOSE( CONTROL!$C$32, 7.9045, 7.9008) * CHOOSE( CONTROL!$C$15, $D$11, 100%, $F$11)</f>
        <v>7.9044999999999996</v>
      </c>
      <c r="E240" s="12">
        <f>CHOOSE( CONTROL!$C$32, 7.8894, 7.8857) * CHOOSE( CONTROL!$C$15, $D$11, 100%, $F$11)</f>
        <v>7.8894000000000002</v>
      </c>
      <c r="F240" s="4">
        <f>CHOOSE( CONTROL!$C$32, 8.6012, 8.5976) * CHOOSE(CONTROL!$C$15, $D$11, 100%, $F$11)</f>
        <v>8.6012000000000004</v>
      </c>
      <c r="G240" s="8">
        <f>CHOOSE( CONTROL!$C$32, 7.7729, 7.7693) * CHOOSE( CONTROL!$C$15, $D$11, 100%, $F$11)</f>
        <v>7.7728999999999999</v>
      </c>
      <c r="H240" s="4">
        <f>CHOOSE( CONTROL!$C$32, 8.7471, 8.7435) * CHOOSE(CONTROL!$C$15, $D$11, 100%, $F$11)</f>
        <v>8.7470999999999997</v>
      </c>
      <c r="I240" s="8">
        <f>CHOOSE( CONTROL!$C$32, 7.7634, 7.7599) * CHOOSE(CONTROL!$C$15, $D$11, 100%, $F$11)</f>
        <v>7.7633999999999999</v>
      </c>
      <c r="J240" s="4">
        <f>CHOOSE( CONTROL!$C$32, 7.6156, 7.6121) * CHOOSE(CONTROL!$C$15, $D$11, 100%, $F$11)</f>
        <v>7.6155999999999997</v>
      </c>
      <c r="K240" s="4"/>
      <c r="L240" s="9">
        <v>30.7165</v>
      </c>
      <c r="M240" s="9">
        <v>12.063700000000001</v>
      </c>
      <c r="N240" s="9">
        <v>4.9444999999999997</v>
      </c>
      <c r="O240" s="9">
        <v>0.37409999999999999</v>
      </c>
      <c r="P240" s="9">
        <v>1.2183999999999999</v>
      </c>
      <c r="Q240" s="9">
        <v>30.773700000000002</v>
      </c>
      <c r="R240" s="9"/>
      <c r="S240" s="11"/>
    </row>
    <row r="241" spans="1:19" ht="15.75">
      <c r="A241" s="13">
        <v>48823</v>
      </c>
      <c r="B241" s="8">
        <f>CHOOSE( CONTROL!$C$32, 7.6939, 7.6903) * CHOOSE(CONTROL!$C$15, $D$11, 100%, $F$11)</f>
        <v>7.6939000000000002</v>
      </c>
      <c r="C241" s="8">
        <f>CHOOSE( CONTROL!$C$32, 7.7019, 7.6983) * CHOOSE(CONTROL!$C$15, $D$11, 100%, $F$11)</f>
        <v>7.7019000000000002</v>
      </c>
      <c r="D241" s="8">
        <f>CHOOSE( CONTROL!$C$32, 7.7401, 7.7364) * CHOOSE( CONTROL!$C$15, $D$11, 100%, $F$11)</f>
        <v>7.7401</v>
      </c>
      <c r="E241" s="12">
        <f>CHOOSE( CONTROL!$C$32, 7.725, 7.7214) * CHOOSE( CONTROL!$C$15, $D$11, 100%, $F$11)</f>
        <v>7.7249999999999996</v>
      </c>
      <c r="F241" s="4">
        <f>CHOOSE( CONTROL!$C$32, 8.4369, 8.4333) * CHOOSE(CONTROL!$C$15, $D$11, 100%, $F$11)</f>
        <v>8.4368999999999996</v>
      </c>
      <c r="G241" s="8">
        <f>CHOOSE( CONTROL!$C$32, 7.6104, 7.6068) * CHOOSE( CONTROL!$C$15, $D$11, 100%, $F$11)</f>
        <v>7.6104000000000003</v>
      </c>
      <c r="H241" s="4">
        <f>CHOOSE( CONTROL!$C$32, 8.5848, 8.5812) * CHOOSE(CONTROL!$C$15, $D$11, 100%, $F$11)</f>
        <v>8.5847999999999995</v>
      </c>
      <c r="I241" s="8">
        <f>CHOOSE( CONTROL!$C$32, 7.6035, 7.6) * CHOOSE(CONTROL!$C$15, $D$11, 100%, $F$11)</f>
        <v>7.6035000000000004</v>
      </c>
      <c r="J241" s="4">
        <f>CHOOSE( CONTROL!$C$32, 7.4561, 7.4526) * CHOOSE(CONTROL!$C$15, $D$11, 100%, $F$11)</f>
        <v>7.4561000000000002</v>
      </c>
      <c r="K241" s="4"/>
      <c r="L241" s="9">
        <v>29.7257</v>
      </c>
      <c r="M241" s="9">
        <v>11.6745</v>
      </c>
      <c r="N241" s="9">
        <v>4.7850000000000001</v>
      </c>
      <c r="O241" s="9">
        <v>0.36199999999999999</v>
      </c>
      <c r="P241" s="9">
        <v>1.1791</v>
      </c>
      <c r="Q241" s="9">
        <v>29.780999999999999</v>
      </c>
      <c r="R241" s="9"/>
      <c r="S241" s="11"/>
    </row>
    <row r="242" spans="1:19" ht="15.75">
      <c r="A242" s="13">
        <v>48853</v>
      </c>
      <c r="B242" s="8">
        <f>8.0297 * CHOOSE(CONTROL!$C$15, $D$11, 100%, $F$11)</f>
        <v>8.0297000000000001</v>
      </c>
      <c r="C242" s="8">
        <f>8.035 * CHOOSE(CONTROL!$C$15, $D$11, 100%, $F$11)</f>
        <v>8.0350000000000001</v>
      </c>
      <c r="D242" s="8">
        <f>8.0785 * CHOOSE( CONTROL!$C$15, $D$11, 100%, $F$11)</f>
        <v>8.0785</v>
      </c>
      <c r="E242" s="12">
        <f>8.0636 * CHOOSE( CONTROL!$C$15, $D$11, 100%, $F$11)</f>
        <v>8.0635999999999992</v>
      </c>
      <c r="F242" s="4">
        <f>8.7744 * CHOOSE(CONTROL!$C$15, $D$11, 100%, $F$11)</f>
        <v>8.7744</v>
      </c>
      <c r="G242" s="8">
        <f>7.9434 * CHOOSE( CONTROL!$C$15, $D$11, 100%, $F$11)</f>
        <v>7.9433999999999996</v>
      </c>
      <c r="H242" s="4">
        <f>8.9183 * CHOOSE(CONTROL!$C$15, $D$11, 100%, $F$11)</f>
        <v>8.9183000000000003</v>
      </c>
      <c r="I242" s="8">
        <f>7.9319 * CHOOSE(CONTROL!$C$15, $D$11, 100%, $F$11)</f>
        <v>7.9318999999999997</v>
      </c>
      <c r="J242" s="4">
        <f>7.7837 * CHOOSE(CONTROL!$C$15, $D$11, 100%, $F$11)</f>
        <v>7.7836999999999996</v>
      </c>
      <c r="K242" s="4"/>
      <c r="L242" s="9">
        <v>31.095300000000002</v>
      </c>
      <c r="M242" s="9">
        <v>12.063700000000001</v>
      </c>
      <c r="N242" s="9">
        <v>4.9444999999999997</v>
      </c>
      <c r="O242" s="9">
        <v>0.37409999999999999</v>
      </c>
      <c r="P242" s="9">
        <v>1.2183999999999999</v>
      </c>
      <c r="Q242" s="9">
        <v>30.773700000000002</v>
      </c>
      <c r="R242" s="9"/>
      <c r="S242" s="11"/>
    </row>
    <row r="243" spans="1:19" ht="15.75">
      <c r="A243" s="13">
        <v>48884</v>
      </c>
      <c r="B243" s="8">
        <f>8.659 * CHOOSE(CONTROL!$C$15, $D$11, 100%, $F$11)</f>
        <v>8.6590000000000007</v>
      </c>
      <c r="C243" s="8">
        <f>8.664 * CHOOSE(CONTROL!$C$15, $D$11, 100%, $F$11)</f>
        <v>8.6639999999999997</v>
      </c>
      <c r="D243" s="8">
        <f>8.6477 * CHOOSE( CONTROL!$C$15, $D$11, 100%, $F$11)</f>
        <v>8.6477000000000004</v>
      </c>
      <c r="E243" s="12">
        <f>8.6531 * CHOOSE( CONTROL!$C$15, $D$11, 100%, $F$11)</f>
        <v>8.6531000000000002</v>
      </c>
      <c r="F243" s="4">
        <f>9.3242 * CHOOSE(CONTROL!$C$15, $D$11, 100%, $F$11)</f>
        <v>9.3241999999999994</v>
      </c>
      <c r="G243" s="8">
        <f>8.5663 * CHOOSE( CONTROL!$C$15, $D$11, 100%, $F$11)</f>
        <v>8.5663</v>
      </c>
      <c r="H243" s="4">
        <f>9.4617 * CHOOSE(CONTROL!$C$15, $D$11, 100%, $F$11)</f>
        <v>9.4617000000000004</v>
      </c>
      <c r="I243" s="8">
        <f>8.5435 * CHOOSE(CONTROL!$C$15, $D$11, 100%, $F$11)</f>
        <v>8.5434999999999999</v>
      </c>
      <c r="J243" s="4">
        <f>8.3948 * CHOOSE(CONTROL!$C$15, $D$11, 100%, $F$11)</f>
        <v>8.3948</v>
      </c>
      <c r="K243" s="4"/>
      <c r="L243" s="9">
        <v>28.360600000000002</v>
      </c>
      <c r="M243" s="9">
        <v>11.6745</v>
      </c>
      <c r="N243" s="9">
        <v>4.7850000000000001</v>
      </c>
      <c r="O243" s="9">
        <v>0.36199999999999999</v>
      </c>
      <c r="P243" s="9">
        <v>1.2509999999999999</v>
      </c>
      <c r="Q243" s="9">
        <v>29.780999999999999</v>
      </c>
      <c r="R243" s="9"/>
      <c r="S243" s="11"/>
    </row>
    <row r="244" spans="1:19" ht="15.75">
      <c r="A244" s="13">
        <v>48914</v>
      </c>
      <c r="B244" s="8">
        <f>8.6432 * CHOOSE(CONTROL!$C$15, $D$11, 100%, $F$11)</f>
        <v>8.6432000000000002</v>
      </c>
      <c r="C244" s="8">
        <f>8.6483 * CHOOSE(CONTROL!$C$15, $D$11, 100%, $F$11)</f>
        <v>8.6483000000000008</v>
      </c>
      <c r="D244" s="8">
        <f>8.6337 * CHOOSE( CONTROL!$C$15, $D$11, 100%, $F$11)</f>
        <v>8.6336999999999993</v>
      </c>
      <c r="E244" s="12">
        <f>8.6385 * CHOOSE( CONTROL!$C$15, $D$11, 100%, $F$11)</f>
        <v>8.6385000000000005</v>
      </c>
      <c r="F244" s="4">
        <f>9.3085 * CHOOSE(CONTROL!$C$15, $D$11, 100%, $F$11)</f>
        <v>9.3085000000000004</v>
      </c>
      <c r="G244" s="8">
        <f>8.552 * CHOOSE( CONTROL!$C$15, $D$11, 100%, $F$11)</f>
        <v>8.5519999999999996</v>
      </c>
      <c r="H244" s="4">
        <f>9.4461 * CHOOSE(CONTROL!$C$15, $D$11, 100%, $F$11)</f>
        <v>9.4460999999999995</v>
      </c>
      <c r="I244" s="8">
        <f>8.5336 * CHOOSE(CONTROL!$C$15, $D$11, 100%, $F$11)</f>
        <v>8.5335999999999999</v>
      </c>
      <c r="J244" s="4">
        <f>8.3795 * CHOOSE(CONTROL!$C$15, $D$11, 100%, $F$11)</f>
        <v>8.3795000000000002</v>
      </c>
      <c r="K244" s="4"/>
      <c r="L244" s="9">
        <v>29.306000000000001</v>
      </c>
      <c r="M244" s="9">
        <v>12.063700000000001</v>
      </c>
      <c r="N244" s="9">
        <v>4.9444999999999997</v>
      </c>
      <c r="O244" s="9">
        <v>0.37409999999999999</v>
      </c>
      <c r="P244" s="9">
        <v>1.2927</v>
      </c>
      <c r="Q244" s="9">
        <v>30.773700000000002</v>
      </c>
      <c r="R244" s="9"/>
      <c r="S244" s="11"/>
    </row>
    <row r="245" spans="1:19" ht="15.75">
      <c r="A245" s="13">
        <v>48945</v>
      </c>
      <c r="B245" s="8">
        <f>8.8629 * CHOOSE(CONTROL!$C$15, $D$11, 100%, $F$11)</f>
        <v>8.8628999999999998</v>
      </c>
      <c r="C245" s="8">
        <f>8.868 * CHOOSE(CONTROL!$C$15, $D$11, 100%, $F$11)</f>
        <v>8.8680000000000003</v>
      </c>
      <c r="D245" s="8">
        <f>8.8391 * CHOOSE( CONTROL!$C$15, $D$11, 100%, $F$11)</f>
        <v>8.8391000000000002</v>
      </c>
      <c r="E245" s="12">
        <f>8.8491 * CHOOSE( CONTROL!$C$15, $D$11, 100%, $F$11)</f>
        <v>8.8491</v>
      </c>
      <c r="F245" s="4">
        <f>9.5282 * CHOOSE(CONTROL!$C$15, $D$11, 100%, $F$11)</f>
        <v>9.5282</v>
      </c>
      <c r="G245" s="8">
        <f>8.7589 * CHOOSE( CONTROL!$C$15, $D$11, 100%, $F$11)</f>
        <v>8.7589000000000006</v>
      </c>
      <c r="H245" s="4">
        <f>9.6633 * CHOOSE(CONTROL!$C$15, $D$11, 100%, $F$11)</f>
        <v>9.6632999999999996</v>
      </c>
      <c r="I245" s="8">
        <f>8.7415 * CHOOSE(CONTROL!$C$15, $D$11, 100%, $F$11)</f>
        <v>8.7415000000000003</v>
      </c>
      <c r="J245" s="4">
        <f>8.5927 * CHOOSE(CONTROL!$C$15, $D$11, 100%, $F$11)</f>
        <v>8.5927000000000007</v>
      </c>
      <c r="K245" s="4"/>
      <c r="L245" s="9">
        <v>29.306000000000001</v>
      </c>
      <c r="M245" s="9">
        <v>12.063700000000001</v>
      </c>
      <c r="N245" s="9">
        <v>4.9444999999999997</v>
      </c>
      <c r="O245" s="9">
        <v>0.37409999999999999</v>
      </c>
      <c r="P245" s="9">
        <v>1.2927</v>
      </c>
      <c r="Q245" s="9">
        <v>30.7105</v>
      </c>
      <c r="R245" s="9"/>
      <c r="S245" s="11"/>
    </row>
    <row r="246" spans="1:19" ht="15.75">
      <c r="A246" s="13">
        <v>48976</v>
      </c>
      <c r="B246" s="8">
        <f>8.2906 * CHOOSE(CONTROL!$C$15, $D$11, 100%, $F$11)</f>
        <v>8.2905999999999995</v>
      </c>
      <c r="C246" s="8">
        <f>8.2956 * CHOOSE(CONTROL!$C$15, $D$11, 100%, $F$11)</f>
        <v>8.2956000000000003</v>
      </c>
      <c r="D246" s="8">
        <f>8.2667 * CHOOSE( CONTROL!$C$15, $D$11, 100%, $F$11)</f>
        <v>8.2667000000000002</v>
      </c>
      <c r="E246" s="12">
        <f>8.2767 * CHOOSE( CONTROL!$C$15, $D$11, 100%, $F$11)</f>
        <v>8.2766999999999999</v>
      </c>
      <c r="F246" s="4">
        <f>8.9558 * CHOOSE(CONTROL!$C$15, $D$11, 100%, $F$11)</f>
        <v>8.9558</v>
      </c>
      <c r="G246" s="8">
        <f>8.1932 * CHOOSE( CONTROL!$C$15, $D$11, 100%, $F$11)</f>
        <v>8.1931999999999992</v>
      </c>
      <c r="H246" s="4">
        <f>9.0976 * CHOOSE(CONTROL!$C$15, $D$11, 100%, $F$11)</f>
        <v>9.0975999999999999</v>
      </c>
      <c r="I246" s="8">
        <f>8.1857 * CHOOSE(CONTROL!$C$15, $D$11, 100%, $F$11)</f>
        <v>8.1857000000000006</v>
      </c>
      <c r="J246" s="4">
        <f>8.0372 * CHOOSE(CONTROL!$C$15, $D$11, 100%, $F$11)</f>
        <v>8.0372000000000003</v>
      </c>
      <c r="K246" s="4"/>
      <c r="L246" s="9">
        <v>26.469899999999999</v>
      </c>
      <c r="M246" s="9">
        <v>10.8962</v>
      </c>
      <c r="N246" s="9">
        <v>4.4660000000000002</v>
      </c>
      <c r="O246" s="9">
        <v>0.33789999999999998</v>
      </c>
      <c r="P246" s="9">
        <v>1.1676</v>
      </c>
      <c r="Q246" s="9">
        <v>27.738499999999998</v>
      </c>
      <c r="R246" s="9"/>
      <c r="S246" s="11"/>
    </row>
    <row r="247" spans="1:19" ht="15.75">
      <c r="A247" s="13">
        <v>49004</v>
      </c>
      <c r="B247" s="8">
        <f>8.1143 * CHOOSE(CONTROL!$C$15, $D$11, 100%, $F$11)</f>
        <v>8.1143000000000001</v>
      </c>
      <c r="C247" s="8">
        <f>8.1193 * CHOOSE(CONTROL!$C$15, $D$11, 100%, $F$11)</f>
        <v>8.1193000000000008</v>
      </c>
      <c r="D247" s="8">
        <f>8.09 * CHOOSE( CONTROL!$C$15, $D$11, 100%, $F$11)</f>
        <v>8.09</v>
      </c>
      <c r="E247" s="12">
        <f>8.1002 * CHOOSE( CONTROL!$C$15, $D$11, 100%, $F$11)</f>
        <v>8.1001999999999992</v>
      </c>
      <c r="F247" s="4">
        <f>8.7795 * CHOOSE(CONTROL!$C$15, $D$11, 100%, $F$11)</f>
        <v>8.7795000000000005</v>
      </c>
      <c r="G247" s="8">
        <f>8.0186 * CHOOSE( CONTROL!$C$15, $D$11, 100%, $F$11)</f>
        <v>8.0185999999999993</v>
      </c>
      <c r="H247" s="4">
        <f>8.9234 * CHOOSE(CONTROL!$C$15, $D$11, 100%, $F$11)</f>
        <v>8.9234000000000009</v>
      </c>
      <c r="I247" s="8">
        <f>8.0133 * CHOOSE(CONTROL!$C$15, $D$11, 100%, $F$11)</f>
        <v>8.0132999999999992</v>
      </c>
      <c r="J247" s="4">
        <f>7.8661 * CHOOSE(CONTROL!$C$15, $D$11, 100%, $F$11)</f>
        <v>7.8661000000000003</v>
      </c>
      <c r="K247" s="4"/>
      <c r="L247" s="9">
        <v>29.306000000000001</v>
      </c>
      <c r="M247" s="9">
        <v>12.063700000000001</v>
      </c>
      <c r="N247" s="9">
        <v>4.9444999999999997</v>
      </c>
      <c r="O247" s="9">
        <v>0.37409999999999999</v>
      </c>
      <c r="P247" s="9">
        <v>1.2927</v>
      </c>
      <c r="Q247" s="9">
        <v>30.7105</v>
      </c>
      <c r="R247" s="9"/>
      <c r="S247" s="11"/>
    </row>
    <row r="248" spans="1:19" ht="15.75">
      <c r="A248" s="13">
        <v>49035</v>
      </c>
      <c r="B248" s="8">
        <f>8.2382 * CHOOSE(CONTROL!$C$15, $D$11, 100%, $F$11)</f>
        <v>8.2382000000000009</v>
      </c>
      <c r="C248" s="8">
        <f>8.2427 * CHOOSE(CONTROL!$C$15, $D$11, 100%, $F$11)</f>
        <v>8.2426999999999992</v>
      </c>
      <c r="D248" s="8">
        <f>8.2861 * CHOOSE( CONTROL!$C$15, $D$11, 100%, $F$11)</f>
        <v>8.2860999999999994</v>
      </c>
      <c r="E248" s="12">
        <f>8.2713 * CHOOSE( CONTROL!$C$15, $D$11, 100%, $F$11)</f>
        <v>8.2713000000000001</v>
      </c>
      <c r="F248" s="4">
        <f>8.9826 * CHOOSE(CONTROL!$C$15, $D$11, 100%, $F$11)</f>
        <v>8.9825999999999997</v>
      </c>
      <c r="G248" s="8">
        <f>8.1482 * CHOOSE( CONTROL!$C$15, $D$11, 100%, $F$11)</f>
        <v>8.1481999999999992</v>
      </c>
      <c r="H248" s="4">
        <f>9.124 * CHOOSE(CONTROL!$C$15, $D$11, 100%, $F$11)</f>
        <v>9.1240000000000006</v>
      </c>
      <c r="I248" s="8">
        <f>8.1311 * CHOOSE(CONTROL!$C$15, $D$11, 100%, $F$11)</f>
        <v>8.1311</v>
      </c>
      <c r="J248" s="4">
        <f>7.9857 * CHOOSE(CONTROL!$C$15, $D$11, 100%, $F$11)</f>
        <v>7.9856999999999996</v>
      </c>
      <c r="K248" s="4"/>
      <c r="L248" s="9">
        <v>30.092199999999998</v>
      </c>
      <c r="M248" s="9">
        <v>11.6745</v>
      </c>
      <c r="N248" s="9">
        <v>4.7850000000000001</v>
      </c>
      <c r="O248" s="9">
        <v>0.36199999999999999</v>
      </c>
      <c r="P248" s="9">
        <v>1.1791</v>
      </c>
      <c r="Q248" s="9">
        <v>29.719799999999999</v>
      </c>
      <c r="R248" s="9"/>
      <c r="S248" s="11"/>
    </row>
    <row r="249" spans="1:19" ht="15.75">
      <c r="A249" s="13">
        <v>49065</v>
      </c>
      <c r="B249" s="8">
        <f>CHOOSE( CONTROL!$C$32, 8.4625, 8.4588) * CHOOSE(CONTROL!$C$15, $D$11, 100%, $F$11)</f>
        <v>8.4625000000000004</v>
      </c>
      <c r="C249" s="8">
        <f>CHOOSE( CONTROL!$C$32, 8.4704, 8.4668) * CHOOSE(CONTROL!$C$15, $D$11, 100%, $F$11)</f>
        <v>8.4703999999999997</v>
      </c>
      <c r="D249" s="8">
        <f>CHOOSE( CONTROL!$C$32, 8.5082, 8.5045) * CHOOSE( CONTROL!$C$15, $D$11, 100%, $F$11)</f>
        <v>8.5082000000000004</v>
      </c>
      <c r="E249" s="12">
        <f>CHOOSE( CONTROL!$C$32, 8.4933, 8.4896) * CHOOSE( CONTROL!$C$15, $D$11, 100%, $F$11)</f>
        <v>8.4932999999999996</v>
      </c>
      <c r="F249" s="4">
        <f>CHOOSE( CONTROL!$C$32, 9.2055, 9.2018) * CHOOSE(CONTROL!$C$15, $D$11, 100%, $F$11)</f>
        <v>9.2055000000000007</v>
      </c>
      <c r="G249" s="8">
        <f>CHOOSE( CONTROL!$C$32, 8.3693, 8.3657) * CHOOSE( CONTROL!$C$15, $D$11, 100%, $F$11)</f>
        <v>8.3693000000000008</v>
      </c>
      <c r="H249" s="4">
        <f>CHOOSE( CONTROL!$C$32, 9.3443, 9.3407) * CHOOSE(CONTROL!$C$15, $D$11, 100%, $F$11)</f>
        <v>9.3443000000000005</v>
      </c>
      <c r="I249" s="8">
        <f>CHOOSE( CONTROL!$C$32, 8.3477, 8.3441) * CHOOSE(CONTROL!$C$15, $D$11, 100%, $F$11)</f>
        <v>8.3476999999999997</v>
      </c>
      <c r="J249" s="4">
        <f>CHOOSE( CONTROL!$C$32, 8.202, 8.1985) * CHOOSE(CONTROL!$C$15, $D$11, 100%, $F$11)</f>
        <v>8.202</v>
      </c>
      <c r="K249" s="4"/>
      <c r="L249" s="9">
        <v>30.7165</v>
      </c>
      <c r="M249" s="9">
        <v>12.063700000000001</v>
      </c>
      <c r="N249" s="9">
        <v>4.9444999999999997</v>
      </c>
      <c r="O249" s="9">
        <v>0.37409999999999999</v>
      </c>
      <c r="P249" s="9">
        <v>1.2183999999999999</v>
      </c>
      <c r="Q249" s="9">
        <v>30.7105</v>
      </c>
      <c r="R249" s="9"/>
      <c r="S249" s="11"/>
    </row>
    <row r="250" spans="1:19" ht="15.75">
      <c r="A250" s="13">
        <v>49096</v>
      </c>
      <c r="B250" s="8">
        <f>CHOOSE( CONTROL!$C$32, 8.3267, 8.323) * CHOOSE(CONTROL!$C$15, $D$11, 100%, $F$11)</f>
        <v>8.3267000000000007</v>
      </c>
      <c r="C250" s="8">
        <f>CHOOSE( CONTROL!$C$32, 8.3346, 8.331) * CHOOSE(CONTROL!$C$15, $D$11, 100%, $F$11)</f>
        <v>8.3346</v>
      </c>
      <c r="D250" s="8">
        <f>CHOOSE( CONTROL!$C$32, 8.3726, 8.3689) * CHOOSE( CONTROL!$C$15, $D$11, 100%, $F$11)</f>
        <v>8.3726000000000003</v>
      </c>
      <c r="E250" s="12">
        <f>CHOOSE( CONTROL!$C$32, 8.3576, 8.3539) * CHOOSE( CONTROL!$C$15, $D$11, 100%, $F$11)</f>
        <v>8.3575999999999997</v>
      </c>
      <c r="F250" s="4">
        <f>CHOOSE( CONTROL!$C$32, 9.0697, 9.066) * CHOOSE(CONTROL!$C$15, $D$11, 100%, $F$11)</f>
        <v>9.0696999999999992</v>
      </c>
      <c r="G250" s="8">
        <f>CHOOSE( CONTROL!$C$32, 8.2354, 8.2318) * CHOOSE( CONTROL!$C$15, $D$11, 100%, $F$11)</f>
        <v>8.2354000000000003</v>
      </c>
      <c r="H250" s="4">
        <f>CHOOSE( CONTROL!$C$32, 9.2101, 9.2065) * CHOOSE(CONTROL!$C$15, $D$11, 100%, $F$11)</f>
        <v>9.2101000000000006</v>
      </c>
      <c r="I250" s="8">
        <f>CHOOSE( CONTROL!$C$32, 8.2168, 8.2133) * CHOOSE(CONTROL!$C$15, $D$11, 100%, $F$11)</f>
        <v>8.2167999999999992</v>
      </c>
      <c r="J250" s="4">
        <f>CHOOSE( CONTROL!$C$32, 8.0702, 8.0667) * CHOOSE(CONTROL!$C$15, $D$11, 100%, $F$11)</f>
        <v>8.0701999999999998</v>
      </c>
      <c r="K250" s="4"/>
      <c r="L250" s="9">
        <v>29.7257</v>
      </c>
      <c r="M250" s="9">
        <v>11.6745</v>
      </c>
      <c r="N250" s="9">
        <v>4.7850000000000001</v>
      </c>
      <c r="O250" s="9">
        <v>0.36199999999999999</v>
      </c>
      <c r="P250" s="9">
        <v>1.1791</v>
      </c>
      <c r="Q250" s="9">
        <v>29.719799999999999</v>
      </c>
      <c r="R250" s="9"/>
      <c r="S250" s="11"/>
    </row>
    <row r="251" spans="1:19" ht="15.75">
      <c r="A251" s="13">
        <v>49126</v>
      </c>
      <c r="B251" s="8">
        <f>CHOOSE( CONTROL!$C$32, 8.6843, 8.6807) * CHOOSE(CONTROL!$C$15, $D$11, 100%, $F$11)</f>
        <v>8.6843000000000004</v>
      </c>
      <c r="C251" s="8">
        <f>CHOOSE( CONTROL!$C$32, 8.6923, 8.6886) * CHOOSE(CONTROL!$C$15, $D$11, 100%, $F$11)</f>
        <v>8.6922999999999995</v>
      </c>
      <c r="D251" s="8">
        <f>CHOOSE( CONTROL!$C$32, 8.7305, 8.7268) * CHOOSE( CONTROL!$C$15, $D$11, 100%, $F$11)</f>
        <v>8.7304999999999993</v>
      </c>
      <c r="E251" s="12">
        <f>CHOOSE( CONTROL!$C$32, 8.7154, 8.7118) * CHOOSE( CONTROL!$C$15, $D$11, 100%, $F$11)</f>
        <v>8.7154000000000007</v>
      </c>
      <c r="F251" s="4">
        <f>CHOOSE( CONTROL!$C$32, 9.4273, 9.4237) * CHOOSE(CONTROL!$C$15, $D$11, 100%, $F$11)</f>
        <v>9.4273000000000007</v>
      </c>
      <c r="G251" s="8">
        <f>CHOOSE( CONTROL!$C$32, 8.5892, 8.5856) * CHOOSE( CONTROL!$C$15, $D$11, 100%, $F$11)</f>
        <v>8.5891999999999999</v>
      </c>
      <c r="H251" s="4">
        <f>CHOOSE( CONTROL!$C$32, 9.5636, 9.56) * CHOOSE(CONTROL!$C$15, $D$11, 100%, $F$11)</f>
        <v>9.5635999999999992</v>
      </c>
      <c r="I251" s="8">
        <f>CHOOSE( CONTROL!$C$32, 8.5652, 8.5617) * CHOOSE(CONTROL!$C$15, $D$11, 100%, $F$11)</f>
        <v>8.5652000000000008</v>
      </c>
      <c r="J251" s="4">
        <f>CHOOSE( CONTROL!$C$32, 8.4173, 8.4138) * CHOOSE(CONTROL!$C$15, $D$11, 100%, $F$11)</f>
        <v>8.4172999999999991</v>
      </c>
      <c r="K251" s="4"/>
      <c r="L251" s="9">
        <v>30.7165</v>
      </c>
      <c r="M251" s="9">
        <v>12.063700000000001</v>
      </c>
      <c r="N251" s="9">
        <v>4.9444999999999997</v>
      </c>
      <c r="O251" s="9">
        <v>0.37409999999999999</v>
      </c>
      <c r="P251" s="9">
        <v>1.2183999999999999</v>
      </c>
      <c r="Q251" s="9">
        <v>30.7105</v>
      </c>
      <c r="R251" s="9"/>
      <c r="S251" s="11"/>
    </row>
    <row r="252" spans="1:19" ht="15.75">
      <c r="A252" s="13">
        <v>49157</v>
      </c>
      <c r="B252" s="8">
        <f>CHOOSE( CONTROL!$C$32, 8.0151, 8.0115) * CHOOSE(CONTROL!$C$15, $D$11, 100%, $F$11)</f>
        <v>8.0151000000000003</v>
      </c>
      <c r="C252" s="8">
        <f>CHOOSE( CONTROL!$C$32, 8.0231, 8.0194) * CHOOSE(CONTROL!$C$15, $D$11, 100%, $F$11)</f>
        <v>8.0230999999999995</v>
      </c>
      <c r="D252" s="8">
        <f>CHOOSE( CONTROL!$C$32, 8.0613, 8.0577) * CHOOSE( CONTROL!$C$15, $D$11, 100%, $F$11)</f>
        <v>8.0612999999999992</v>
      </c>
      <c r="E252" s="12">
        <f>CHOOSE( CONTROL!$C$32, 8.0462, 8.0426) * CHOOSE( CONTROL!$C$15, $D$11, 100%, $F$11)</f>
        <v>8.0462000000000007</v>
      </c>
      <c r="F252" s="4">
        <f>CHOOSE( CONTROL!$C$32, 8.7581, 8.7545) * CHOOSE(CONTROL!$C$15, $D$11, 100%, $F$11)</f>
        <v>8.7581000000000007</v>
      </c>
      <c r="G252" s="8">
        <f>CHOOSE( CONTROL!$C$32, 7.9279, 7.9243) * CHOOSE( CONTROL!$C$15, $D$11, 100%, $F$11)</f>
        <v>7.9279000000000002</v>
      </c>
      <c r="H252" s="4">
        <f>CHOOSE( CONTROL!$C$32, 8.9022, 8.8986) * CHOOSE(CONTROL!$C$15, $D$11, 100%, $F$11)</f>
        <v>8.9022000000000006</v>
      </c>
      <c r="I252" s="8">
        <f>CHOOSE( CONTROL!$C$32, 7.9157, 7.9122) * CHOOSE(CONTROL!$C$15, $D$11, 100%, $F$11)</f>
        <v>7.9157000000000002</v>
      </c>
      <c r="J252" s="4">
        <f>CHOOSE( CONTROL!$C$32, 7.7678, 7.7643) * CHOOSE(CONTROL!$C$15, $D$11, 100%, $F$11)</f>
        <v>7.7678000000000003</v>
      </c>
      <c r="K252" s="4"/>
      <c r="L252" s="9">
        <v>30.7165</v>
      </c>
      <c r="M252" s="9">
        <v>12.063700000000001</v>
      </c>
      <c r="N252" s="9">
        <v>4.9444999999999997</v>
      </c>
      <c r="O252" s="9">
        <v>0.37409999999999999</v>
      </c>
      <c r="P252" s="9">
        <v>1.2183999999999999</v>
      </c>
      <c r="Q252" s="9">
        <v>30.7105</v>
      </c>
      <c r="R252" s="9"/>
      <c r="S252" s="11"/>
    </row>
    <row r="253" spans="1:19" ht="15.75">
      <c r="A253" s="13">
        <v>49188</v>
      </c>
      <c r="B253" s="8">
        <f>CHOOSE( CONTROL!$C$32, 7.8475, 7.8439) * CHOOSE(CONTROL!$C$15, $D$11, 100%, $F$11)</f>
        <v>7.8475000000000001</v>
      </c>
      <c r="C253" s="8">
        <f>CHOOSE( CONTROL!$C$32, 7.8555, 7.8518) * CHOOSE(CONTROL!$C$15, $D$11, 100%, $F$11)</f>
        <v>7.8555000000000001</v>
      </c>
      <c r="D253" s="8">
        <f>CHOOSE( CONTROL!$C$32, 7.8937, 7.89) * CHOOSE( CONTROL!$C$15, $D$11, 100%, $F$11)</f>
        <v>7.8936999999999999</v>
      </c>
      <c r="E253" s="12">
        <f>CHOOSE( CONTROL!$C$32, 7.8786, 7.875) * CHOOSE( CONTROL!$C$15, $D$11, 100%, $F$11)</f>
        <v>7.8785999999999996</v>
      </c>
      <c r="F253" s="4">
        <f>CHOOSE( CONTROL!$C$32, 8.5905, 8.5869) * CHOOSE(CONTROL!$C$15, $D$11, 100%, $F$11)</f>
        <v>8.5905000000000005</v>
      </c>
      <c r="G253" s="8">
        <f>CHOOSE( CONTROL!$C$32, 7.7622, 7.7586) * CHOOSE( CONTROL!$C$15, $D$11, 100%, $F$11)</f>
        <v>7.7622</v>
      </c>
      <c r="H253" s="4">
        <f>CHOOSE( CONTROL!$C$32, 8.7366, 8.733) * CHOOSE(CONTROL!$C$15, $D$11, 100%, $F$11)</f>
        <v>8.7365999999999993</v>
      </c>
      <c r="I253" s="8">
        <f>CHOOSE( CONTROL!$C$32, 7.7526, 7.7491) * CHOOSE(CONTROL!$C$15, $D$11, 100%, $F$11)</f>
        <v>7.7526000000000002</v>
      </c>
      <c r="J253" s="4">
        <f>CHOOSE( CONTROL!$C$32, 7.6052, 7.6017) * CHOOSE(CONTROL!$C$15, $D$11, 100%, $F$11)</f>
        <v>7.6052</v>
      </c>
      <c r="K253" s="4"/>
      <c r="L253" s="9">
        <v>29.7257</v>
      </c>
      <c r="M253" s="9">
        <v>11.6745</v>
      </c>
      <c r="N253" s="9">
        <v>4.7850000000000001</v>
      </c>
      <c r="O253" s="9">
        <v>0.36199999999999999</v>
      </c>
      <c r="P253" s="9">
        <v>1.1791</v>
      </c>
      <c r="Q253" s="9">
        <v>29.719799999999999</v>
      </c>
      <c r="R253" s="9"/>
      <c r="S253" s="11"/>
    </row>
    <row r="254" spans="1:19" ht="15.75">
      <c r="A254" s="13">
        <v>49218</v>
      </c>
      <c r="B254" s="8">
        <f>8.1901 * CHOOSE(CONTROL!$C$15, $D$11, 100%, $F$11)</f>
        <v>8.1900999999999993</v>
      </c>
      <c r="C254" s="8">
        <f>8.1954 * CHOOSE(CONTROL!$C$15, $D$11, 100%, $F$11)</f>
        <v>8.1953999999999994</v>
      </c>
      <c r="D254" s="8">
        <f>8.239 * CHOOSE( CONTROL!$C$15, $D$11, 100%, $F$11)</f>
        <v>8.2390000000000008</v>
      </c>
      <c r="E254" s="12">
        <f>8.224 * CHOOSE( CONTROL!$C$15, $D$11, 100%, $F$11)</f>
        <v>8.2240000000000002</v>
      </c>
      <c r="F254" s="4">
        <f>8.9348 * CHOOSE(CONTROL!$C$15, $D$11, 100%, $F$11)</f>
        <v>8.9347999999999992</v>
      </c>
      <c r="G254" s="8">
        <f>8.1019 * CHOOSE( CONTROL!$C$15, $D$11, 100%, $F$11)</f>
        <v>8.1019000000000005</v>
      </c>
      <c r="H254" s="4">
        <f>9.0768 * CHOOSE(CONTROL!$C$15, $D$11, 100%, $F$11)</f>
        <v>9.0768000000000004</v>
      </c>
      <c r="I254" s="8">
        <f>8.0877 * CHOOSE(CONTROL!$C$15, $D$11, 100%, $F$11)</f>
        <v>8.0876999999999999</v>
      </c>
      <c r="J254" s="4">
        <f>7.9393 * CHOOSE(CONTROL!$C$15, $D$11, 100%, $F$11)</f>
        <v>7.9393000000000002</v>
      </c>
      <c r="K254" s="4"/>
      <c r="L254" s="9">
        <v>31.095300000000002</v>
      </c>
      <c r="M254" s="9">
        <v>12.063700000000001</v>
      </c>
      <c r="N254" s="9">
        <v>4.9444999999999997</v>
      </c>
      <c r="O254" s="9">
        <v>0.37409999999999999</v>
      </c>
      <c r="P254" s="9">
        <v>1.2183999999999999</v>
      </c>
      <c r="Q254" s="9">
        <v>30.7105</v>
      </c>
      <c r="R254" s="9"/>
      <c r="S254" s="11"/>
    </row>
    <row r="255" spans="1:19" ht="15.75">
      <c r="A255" s="13">
        <v>49249</v>
      </c>
      <c r="B255" s="8">
        <f>8.832 * CHOOSE(CONTROL!$C$15, $D$11, 100%, $F$11)</f>
        <v>8.8320000000000007</v>
      </c>
      <c r="C255" s="8">
        <f>8.837 * CHOOSE(CONTROL!$C$15, $D$11, 100%, $F$11)</f>
        <v>8.8369999999999997</v>
      </c>
      <c r="D255" s="8">
        <f>8.8207 * CHOOSE( CONTROL!$C$15, $D$11, 100%, $F$11)</f>
        <v>8.8207000000000004</v>
      </c>
      <c r="E255" s="12">
        <f>8.8261 * CHOOSE( CONTROL!$C$15, $D$11, 100%, $F$11)</f>
        <v>8.8261000000000003</v>
      </c>
      <c r="F255" s="4">
        <f>9.4972 * CHOOSE(CONTROL!$C$15, $D$11, 100%, $F$11)</f>
        <v>9.4971999999999994</v>
      </c>
      <c r="G255" s="8">
        <f>8.7373 * CHOOSE( CONTROL!$C$15, $D$11, 100%, $F$11)</f>
        <v>8.7372999999999994</v>
      </c>
      <c r="H255" s="4">
        <f>9.6327 * CHOOSE(CONTROL!$C$15, $D$11, 100%, $F$11)</f>
        <v>9.6326999999999998</v>
      </c>
      <c r="I255" s="8">
        <f>8.7114 * CHOOSE(CONTROL!$C$15, $D$11, 100%, $F$11)</f>
        <v>8.7113999999999994</v>
      </c>
      <c r="J255" s="4">
        <f>8.5627 * CHOOSE(CONTROL!$C$15, $D$11, 100%, $F$11)</f>
        <v>8.5626999999999995</v>
      </c>
      <c r="K255" s="4"/>
      <c r="L255" s="9">
        <v>28.360600000000002</v>
      </c>
      <c r="M255" s="9">
        <v>11.6745</v>
      </c>
      <c r="N255" s="9">
        <v>4.7850000000000001</v>
      </c>
      <c r="O255" s="9">
        <v>0.36199999999999999</v>
      </c>
      <c r="P255" s="9">
        <v>1.2509999999999999</v>
      </c>
      <c r="Q255" s="9">
        <v>29.719799999999999</v>
      </c>
      <c r="R255" s="9"/>
      <c r="S255" s="11"/>
    </row>
    <row r="256" spans="1:19" ht="15.75">
      <c r="A256" s="13">
        <v>49279</v>
      </c>
      <c r="B256" s="8">
        <f>8.8159 * CHOOSE(CONTROL!$C$15, $D$11, 100%, $F$11)</f>
        <v>8.8158999999999992</v>
      </c>
      <c r="C256" s="8">
        <f>8.821 * CHOOSE(CONTROL!$C$15, $D$11, 100%, $F$11)</f>
        <v>8.8209999999999997</v>
      </c>
      <c r="D256" s="8">
        <f>8.8064 * CHOOSE( CONTROL!$C$15, $D$11, 100%, $F$11)</f>
        <v>8.8064</v>
      </c>
      <c r="E256" s="12">
        <f>8.8112 * CHOOSE( CONTROL!$C$15, $D$11, 100%, $F$11)</f>
        <v>8.8111999999999995</v>
      </c>
      <c r="F256" s="4">
        <f>9.4812 * CHOOSE(CONTROL!$C$15, $D$11, 100%, $F$11)</f>
        <v>9.4811999999999994</v>
      </c>
      <c r="G256" s="8">
        <f>8.7226 * CHOOSE( CONTROL!$C$15, $D$11, 100%, $F$11)</f>
        <v>8.7225999999999999</v>
      </c>
      <c r="H256" s="4">
        <f>9.6168 * CHOOSE(CONTROL!$C$15, $D$11, 100%, $F$11)</f>
        <v>9.6167999999999996</v>
      </c>
      <c r="I256" s="8">
        <f>8.7012 * CHOOSE(CONTROL!$C$15, $D$11, 100%, $F$11)</f>
        <v>8.7012</v>
      </c>
      <c r="J256" s="4">
        <f>8.5471 * CHOOSE(CONTROL!$C$15, $D$11, 100%, $F$11)</f>
        <v>8.5471000000000004</v>
      </c>
      <c r="K256" s="4"/>
      <c r="L256" s="9">
        <v>29.306000000000001</v>
      </c>
      <c r="M256" s="9">
        <v>12.063700000000001</v>
      </c>
      <c r="N256" s="9">
        <v>4.9444999999999997</v>
      </c>
      <c r="O256" s="9">
        <v>0.37409999999999999</v>
      </c>
      <c r="P256" s="9">
        <v>1.2927</v>
      </c>
      <c r="Q256" s="9">
        <v>30.7105</v>
      </c>
      <c r="R256" s="9"/>
      <c r="S256" s="11"/>
    </row>
    <row r="257" spans="1:19" ht="15.75">
      <c r="A257" s="13">
        <v>49310</v>
      </c>
      <c r="B257" s="8">
        <f>9.04 * CHOOSE(CONTROL!$C$15, $D$11, 100%, $F$11)</f>
        <v>9.0399999999999991</v>
      </c>
      <c r="C257" s="8">
        <f>9.0451 * CHOOSE(CONTROL!$C$15, $D$11, 100%, $F$11)</f>
        <v>9.0450999999999997</v>
      </c>
      <c r="D257" s="8">
        <f>9.0162 * CHOOSE( CONTROL!$C$15, $D$11, 100%, $F$11)</f>
        <v>9.0161999999999995</v>
      </c>
      <c r="E257" s="12">
        <f>9.0262 * CHOOSE( CONTROL!$C$15, $D$11, 100%, $F$11)</f>
        <v>9.0261999999999993</v>
      </c>
      <c r="F257" s="4">
        <f>9.7053 * CHOOSE(CONTROL!$C$15, $D$11, 100%, $F$11)</f>
        <v>9.7052999999999994</v>
      </c>
      <c r="G257" s="8">
        <f>8.9339 * CHOOSE( CONTROL!$C$15, $D$11, 100%, $F$11)</f>
        <v>8.9338999999999995</v>
      </c>
      <c r="H257" s="4">
        <f>9.8383 * CHOOSE(CONTROL!$C$15, $D$11, 100%, $F$11)</f>
        <v>9.8383000000000003</v>
      </c>
      <c r="I257" s="8">
        <f>8.9135 * CHOOSE(CONTROL!$C$15, $D$11, 100%, $F$11)</f>
        <v>8.9135000000000009</v>
      </c>
      <c r="J257" s="4">
        <f>8.7646 * CHOOSE(CONTROL!$C$15, $D$11, 100%, $F$11)</f>
        <v>8.7645999999999997</v>
      </c>
      <c r="K257" s="4"/>
      <c r="L257" s="9">
        <v>29.306000000000001</v>
      </c>
      <c r="M257" s="9">
        <v>12.063700000000001</v>
      </c>
      <c r="N257" s="9">
        <v>4.9444999999999997</v>
      </c>
      <c r="O257" s="9">
        <v>0.37409999999999999</v>
      </c>
      <c r="P257" s="9">
        <v>1.2927</v>
      </c>
      <c r="Q257" s="9">
        <v>30.645399999999999</v>
      </c>
      <c r="R257" s="9"/>
      <c r="S257" s="11"/>
    </row>
    <row r="258" spans="1:19" ht="15.75">
      <c r="A258" s="13">
        <v>49341</v>
      </c>
      <c r="B258" s="8">
        <f>8.4562 * CHOOSE(CONTROL!$C$15, $D$11, 100%, $F$11)</f>
        <v>8.4562000000000008</v>
      </c>
      <c r="C258" s="8">
        <f>8.4613 * CHOOSE(CONTROL!$C$15, $D$11, 100%, $F$11)</f>
        <v>8.4612999999999996</v>
      </c>
      <c r="D258" s="8">
        <f>8.4324 * CHOOSE( CONTROL!$C$15, $D$11, 100%, $F$11)</f>
        <v>8.4323999999999995</v>
      </c>
      <c r="E258" s="12">
        <f>8.4424 * CHOOSE( CONTROL!$C$15, $D$11, 100%, $F$11)</f>
        <v>8.4423999999999992</v>
      </c>
      <c r="F258" s="4">
        <f>9.1215 * CHOOSE(CONTROL!$C$15, $D$11, 100%, $F$11)</f>
        <v>9.1214999999999993</v>
      </c>
      <c r="G258" s="8">
        <f>8.3569 * CHOOSE( CONTROL!$C$15, $D$11, 100%, $F$11)</f>
        <v>8.3568999999999996</v>
      </c>
      <c r="H258" s="4">
        <f>9.2613 * CHOOSE(CONTROL!$C$15, $D$11, 100%, $F$11)</f>
        <v>9.2613000000000003</v>
      </c>
      <c r="I258" s="8">
        <f>8.3465 * CHOOSE(CONTROL!$C$15, $D$11, 100%, $F$11)</f>
        <v>8.3465000000000007</v>
      </c>
      <c r="J258" s="4">
        <f>8.198 * CHOOSE(CONTROL!$C$15, $D$11, 100%, $F$11)</f>
        <v>8.1980000000000004</v>
      </c>
      <c r="K258" s="4"/>
      <c r="L258" s="9">
        <v>26.469899999999999</v>
      </c>
      <c r="M258" s="9">
        <v>10.8962</v>
      </c>
      <c r="N258" s="9">
        <v>4.4660000000000002</v>
      </c>
      <c r="O258" s="9">
        <v>0.33789999999999998</v>
      </c>
      <c r="P258" s="9">
        <v>1.1676</v>
      </c>
      <c r="Q258" s="9">
        <v>27.6797</v>
      </c>
      <c r="R258" s="9"/>
      <c r="S258" s="11"/>
    </row>
    <row r="259" spans="1:19" ht="15.75">
      <c r="A259" s="13">
        <v>49369</v>
      </c>
      <c r="B259" s="8">
        <f>8.2764 * CHOOSE(CONTROL!$C$15, $D$11, 100%, $F$11)</f>
        <v>8.2764000000000006</v>
      </c>
      <c r="C259" s="8">
        <f>8.2814 * CHOOSE(CONTROL!$C$15, $D$11, 100%, $F$11)</f>
        <v>8.2813999999999997</v>
      </c>
      <c r="D259" s="8">
        <f>8.2521 * CHOOSE( CONTROL!$C$15, $D$11, 100%, $F$11)</f>
        <v>8.2521000000000004</v>
      </c>
      <c r="E259" s="12">
        <f>8.2623 * CHOOSE( CONTROL!$C$15, $D$11, 100%, $F$11)</f>
        <v>8.2622999999999998</v>
      </c>
      <c r="F259" s="4">
        <f>8.9416 * CHOOSE(CONTROL!$C$15, $D$11, 100%, $F$11)</f>
        <v>8.9415999999999993</v>
      </c>
      <c r="G259" s="8">
        <f>8.1789 * CHOOSE( CONTROL!$C$15, $D$11, 100%, $F$11)</f>
        <v>8.1789000000000005</v>
      </c>
      <c r="H259" s="4">
        <f>9.0836 * CHOOSE(CONTROL!$C$15, $D$11, 100%, $F$11)</f>
        <v>9.0836000000000006</v>
      </c>
      <c r="I259" s="8">
        <f>8.1707 * CHOOSE(CONTROL!$C$15, $D$11, 100%, $F$11)</f>
        <v>8.1707000000000001</v>
      </c>
      <c r="J259" s="4">
        <f>8.0235 * CHOOSE(CONTROL!$C$15, $D$11, 100%, $F$11)</f>
        <v>8.0235000000000003</v>
      </c>
      <c r="K259" s="4"/>
      <c r="L259" s="9">
        <v>29.306000000000001</v>
      </c>
      <c r="M259" s="9">
        <v>12.063700000000001</v>
      </c>
      <c r="N259" s="9">
        <v>4.9444999999999997</v>
      </c>
      <c r="O259" s="9">
        <v>0.37409999999999999</v>
      </c>
      <c r="P259" s="9">
        <v>1.2927</v>
      </c>
      <c r="Q259" s="9">
        <v>30.645399999999999</v>
      </c>
      <c r="R259" s="9"/>
      <c r="S259" s="11"/>
    </row>
    <row r="260" spans="1:19" ht="15.75">
      <c r="A260" s="13">
        <v>49400</v>
      </c>
      <c r="B260" s="8">
        <f>8.4028 * CHOOSE(CONTROL!$C$15, $D$11, 100%, $F$11)</f>
        <v>8.4027999999999992</v>
      </c>
      <c r="C260" s="8">
        <f>8.4073 * CHOOSE(CONTROL!$C$15, $D$11, 100%, $F$11)</f>
        <v>8.4072999999999993</v>
      </c>
      <c r="D260" s="8">
        <f>8.4507 * CHOOSE( CONTROL!$C$15, $D$11, 100%, $F$11)</f>
        <v>8.4506999999999994</v>
      </c>
      <c r="E260" s="12">
        <f>8.4359 * CHOOSE( CONTROL!$C$15, $D$11, 100%, $F$11)</f>
        <v>8.4359000000000002</v>
      </c>
      <c r="F260" s="4">
        <f>9.1472 * CHOOSE(CONTROL!$C$15, $D$11, 100%, $F$11)</f>
        <v>9.1471999999999998</v>
      </c>
      <c r="G260" s="8">
        <f>8.3108 * CHOOSE( CONTROL!$C$15, $D$11, 100%, $F$11)</f>
        <v>8.3108000000000004</v>
      </c>
      <c r="H260" s="4">
        <f>9.2867 * CHOOSE(CONTROL!$C$15, $D$11, 100%, $F$11)</f>
        <v>9.2866999999999997</v>
      </c>
      <c r="I260" s="8">
        <f>8.2909 * CHOOSE(CONTROL!$C$15, $D$11, 100%, $F$11)</f>
        <v>8.2909000000000006</v>
      </c>
      <c r="J260" s="4">
        <f>8.1454 * CHOOSE(CONTROL!$C$15, $D$11, 100%, $F$11)</f>
        <v>8.1454000000000004</v>
      </c>
      <c r="K260" s="4"/>
      <c r="L260" s="9">
        <v>30.092199999999998</v>
      </c>
      <c r="M260" s="9">
        <v>11.6745</v>
      </c>
      <c r="N260" s="9">
        <v>4.7850000000000001</v>
      </c>
      <c r="O260" s="9">
        <v>0.36199999999999999</v>
      </c>
      <c r="P260" s="9">
        <v>1.1791</v>
      </c>
      <c r="Q260" s="9">
        <v>29.6568</v>
      </c>
      <c r="R260" s="9"/>
      <c r="S260" s="11"/>
    </row>
    <row r="261" spans="1:19" ht="15.75">
      <c r="A261" s="13">
        <v>49430</v>
      </c>
      <c r="B261" s="8">
        <f>CHOOSE( CONTROL!$C$32, 8.6314, 8.6278) * CHOOSE(CONTROL!$C$15, $D$11, 100%, $F$11)</f>
        <v>8.6313999999999993</v>
      </c>
      <c r="C261" s="8">
        <f>CHOOSE( CONTROL!$C$32, 8.6394, 8.6358) * CHOOSE(CONTROL!$C$15, $D$11, 100%, $F$11)</f>
        <v>8.6394000000000002</v>
      </c>
      <c r="D261" s="8">
        <f>CHOOSE( CONTROL!$C$32, 8.6771, 8.6735) * CHOOSE( CONTROL!$C$15, $D$11, 100%, $F$11)</f>
        <v>8.6770999999999994</v>
      </c>
      <c r="E261" s="12">
        <f>CHOOSE( CONTROL!$C$32, 8.6622, 8.6586) * CHOOSE( CONTROL!$C$15, $D$11, 100%, $F$11)</f>
        <v>8.6622000000000003</v>
      </c>
      <c r="F261" s="4">
        <f>CHOOSE( CONTROL!$C$32, 9.3744, 9.3708) * CHOOSE(CONTROL!$C$15, $D$11, 100%, $F$11)</f>
        <v>9.3743999999999996</v>
      </c>
      <c r="G261" s="8">
        <f>CHOOSE( CONTROL!$C$32, 8.5362, 8.5326) * CHOOSE( CONTROL!$C$15, $D$11, 100%, $F$11)</f>
        <v>8.5361999999999991</v>
      </c>
      <c r="H261" s="4">
        <f>CHOOSE( CONTROL!$C$32, 9.5113, 9.5077) * CHOOSE(CONTROL!$C$15, $D$11, 100%, $F$11)</f>
        <v>9.5113000000000003</v>
      </c>
      <c r="I261" s="8">
        <f>CHOOSE( CONTROL!$C$32, 8.5117, 8.5082) * CHOOSE(CONTROL!$C$15, $D$11, 100%, $F$11)</f>
        <v>8.5116999999999994</v>
      </c>
      <c r="J261" s="4">
        <f>CHOOSE( CONTROL!$C$32, 8.366, 8.3624) * CHOOSE(CONTROL!$C$15, $D$11, 100%, $F$11)</f>
        <v>8.3659999999999997</v>
      </c>
      <c r="K261" s="4"/>
      <c r="L261" s="9">
        <v>30.7165</v>
      </c>
      <c r="M261" s="9">
        <v>12.063700000000001</v>
      </c>
      <c r="N261" s="9">
        <v>4.9444999999999997</v>
      </c>
      <c r="O261" s="9">
        <v>0.37409999999999999</v>
      </c>
      <c r="P261" s="9">
        <v>1.2183999999999999</v>
      </c>
      <c r="Q261" s="9">
        <v>30.645399999999999</v>
      </c>
      <c r="R261" s="9"/>
      <c r="S261" s="11"/>
    </row>
    <row r="262" spans="1:19" ht="15.75">
      <c r="A262" s="14">
        <v>49461</v>
      </c>
      <c r="B262" s="8">
        <f>CHOOSE( CONTROL!$C$32, 8.4929, 8.4892) * CHOOSE(CONTROL!$C$15, $D$11, 100%, $F$11)</f>
        <v>8.4929000000000006</v>
      </c>
      <c r="C262" s="8">
        <f>CHOOSE( CONTROL!$C$32, 8.5009, 8.4972) * CHOOSE(CONTROL!$C$15, $D$11, 100%, $F$11)</f>
        <v>8.5008999999999997</v>
      </c>
      <c r="D262" s="8">
        <f>CHOOSE( CONTROL!$C$32, 8.5388, 8.5352) * CHOOSE( CONTROL!$C$15, $D$11, 100%, $F$11)</f>
        <v>8.5388000000000002</v>
      </c>
      <c r="E262" s="12">
        <f>CHOOSE( CONTROL!$C$32, 8.5238, 8.5202) * CHOOSE( CONTROL!$C$15, $D$11, 100%, $F$11)</f>
        <v>8.5237999999999996</v>
      </c>
      <c r="F262" s="4">
        <f>CHOOSE( CONTROL!$C$32, 9.2359, 9.2323) * CHOOSE(CONTROL!$C$15, $D$11, 100%, $F$11)</f>
        <v>9.2359000000000009</v>
      </c>
      <c r="G262" s="8">
        <f>CHOOSE( CONTROL!$C$32, 8.3997, 8.3961) * CHOOSE( CONTROL!$C$15, $D$11, 100%, $F$11)</f>
        <v>8.3996999999999993</v>
      </c>
      <c r="H262" s="4">
        <f>CHOOSE( CONTROL!$C$32, 9.3744, 9.3708) * CHOOSE(CONTROL!$C$15, $D$11, 100%, $F$11)</f>
        <v>9.3743999999999996</v>
      </c>
      <c r="I262" s="8">
        <f>CHOOSE( CONTROL!$C$32, 8.3782, 8.3747) * CHOOSE(CONTROL!$C$15, $D$11, 100%, $F$11)</f>
        <v>8.3781999999999996</v>
      </c>
      <c r="J262" s="4">
        <f>CHOOSE( CONTROL!$C$32, 8.2315, 8.228) * CHOOSE(CONTROL!$C$15, $D$11, 100%, $F$11)</f>
        <v>8.2315000000000005</v>
      </c>
      <c r="K262" s="4"/>
      <c r="L262" s="9">
        <v>29.7257</v>
      </c>
      <c r="M262" s="9">
        <v>11.6745</v>
      </c>
      <c r="N262" s="9">
        <v>4.7850000000000001</v>
      </c>
      <c r="O262" s="9">
        <v>0.36199999999999999</v>
      </c>
      <c r="P262" s="9">
        <v>1.1791</v>
      </c>
      <c r="Q262" s="9">
        <v>29.6568</v>
      </c>
      <c r="R262" s="9"/>
      <c r="S262" s="11"/>
    </row>
    <row r="263" spans="1:19" ht="15.75">
      <c r="A263" s="14">
        <v>49491</v>
      </c>
      <c r="B263" s="8">
        <f>CHOOSE( CONTROL!$C$32, 8.8577, 8.8541) * CHOOSE(CONTROL!$C$15, $D$11, 100%, $F$11)</f>
        <v>8.8576999999999995</v>
      </c>
      <c r="C263" s="8">
        <f>CHOOSE( CONTROL!$C$32, 8.8657, 8.862) * CHOOSE(CONTROL!$C$15, $D$11, 100%, $F$11)</f>
        <v>8.8657000000000004</v>
      </c>
      <c r="D263" s="8">
        <f>CHOOSE( CONTROL!$C$32, 8.9039, 8.9002) * CHOOSE( CONTROL!$C$15, $D$11, 100%, $F$11)</f>
        <v>8.9039000000000001</v>
      </c>
      <c r="E263" s="12">
        <f>CHOOSE( CONTROL!$C$32, 8.8888, 8.8852) * CHOOSE( CONTROL!$C$15, $D$11, 100%, $F$11)</f>
        <v>8.8887999999999998</v>
      </c>
      <c r="F263" s="4">
        <f>CHOOSE( CONTROL!$C$32, 9.6007, 9.5971) * CHOOSE(CONTROL!$C$15, $D$11, 100%, $F$11)</f>
        <v>9.6006999999999998</v>
      </c>
      <c r="G263" s="8">
        <f>CHOOSE( CONTROL!$C$32, 8.7606, 8.757) * CHOOSE( CONTROL!$C$15, $D$11, 100%, $F$11)</f>
        <v>8.7606000000000002</v>
      </c>
      <c r="H263" s="4">
        <f>CHOOSE( CONTROL!$C$32, 9.7349, 9.7313) * CHOOSE(CONTROL!$C$15, $D$11, 100%, $F$11)</f>
        <v>9.7348999999999997</v>
      </c>
      <c r="I263" s="8">
        <f>CHOOSE( CONTROL!$C$32, 8.7336, 8.7301) * CHOOSE(CONTROL!$C$15, $D$11, 100%, $F$11)</f>
        <v>8.7335999999999991</v>
      </c>
      <c r="J263" s="4">
        <f>CHOOSE( CONTROL!$C$32, 8.5856, 8.582) * CHOOSE(CONTROL!$C$15, $D$11, 100%, $F$11)</f>
        <v>8.5855999999999995</v>
      </c>
      <c r="K263" s="4"/>
      <c r="L263" s="9">
        <v>30.7165</v>
      </c>
      <c r="M263" s="9">
        <v>12.063700000000001</v>
      </c>
      <c r="N263" s="9">
        <v>4.9444999999999997</v>
      </c>
      <c r="O263" s="9">
        <v>0.37409999999999999</v>
      </c>
      <c r="P263" s="9">
        <v>1.2183999999999999</v>
      </c>
      <c r="Q263" s="9">
        <v>30.645399999999999</v>
      </c>
      <c r="R263" s="9"/>
      <c r="S263" s="11"/>
    </row>
    <row r="264" spans="1:19" ht="15.75">
      <c r="A264" s="14">
        <v>49522</v>
      </c>
      <c r="B264" s="8">
        <f>CHOOSE( CONTROL!$C$32, 8.1751, 8.1715) * CHOOSE(CONTROL!$C$15, $D$11, 100%, $F$11)</f>
        <v>8.1751000000000005</v>
      </c>
      <c r="C264" s="8">
        <f>CHOOSE( CONTROL!$C$32, 8.1831, 8.1794) * CHOOSE(CONTROL!$C$15, $D$11, 100%, $F$11)</f>
        <v>8.1830999999999996</v>
      </c>
      <c r="D264" s="8">
        <f>CHOOSE( CONTROL!$C$32, 8.2213, 8.2177) * CHOOSE( CONTROL!$C$15, $D$11, 100%, $F$11)</f>
        <v>8.2212999999999994</v>
      </c>
      <c r="E264" s="12">
        <f>CHOOSE( CONTROL!$C$32, 8.2062, 8.2026) * CHOOSE( CONTROL!$C$15, $D$11, 100%, $F$11)</f>
        <v>8.2062000000000008</v>
      </c>
      <c r="F264" s="4">
        <f>CHOOSE( CONTROL!$C$32, 8.9181, 8.9145) * CHOOSE(CONTROL!$C$15, $D$11, 100%, $F$11)</f>
        <v>8.9181000000000008</v>
      </c>
      <c r="G264" s="8">
        <f>CHOOSE( CONTROL!$C$32, 8.086, 8.0824) * CHOOSE( CONTROL!$C$15, $D$11, 100%, $F$11)</f>
        <v>8.0860000000000003</v>
      </c>
      <c r="H264" s="4">
        <f>CHOOSE( CONTROL!$C$32, 9.0603, 9.0567) * CHOOSE(CONTROL!$C$15, $D$11, 100%, $F$11)</f>
        <v>9.0602999999999998</v>
      </c>
      <c r="I264" s="8">
        <f>CHOOSE( CONTROL!$C$32, 8.0711, 8.0675) * CHOOSE(CONTROL!$C$15, $D$11, 100%, $F$11)</f>
        <v>8.0710999999999995</v>
      </c>
      <c r="J264" s="4">
        <f>CHOOSE( CONTROL!$C$32, 7.9231, 7.9196) * CHOOSE(CONTROL!$C$15, $D$11, 100%, $F$11)</f>
        <v>7.9230999999999998</v>
      </c>
      <c r="K264" s="4"/>
      <c r="L264" s="9">
        <v>30.7165</v>
      </c>
      <c r="M264" s="9">
        <v>12.063700000000001</v>
      </c>
      <c r="N264" s="9">
        <v>4.9444999999999997</v>
      </c>
      <c r="O264" s="9">
        <v>0.37409999999999999</v>
      </c>
      <c r="P264" s="9">
        <v>1.2183999999999999</v>
      </c>
      <c r="Q264" s="9">
        <v>30.645399999999999</v>
      </c>
      <c r="R264" s="9"/>
      <c r="S264" s="11"/>
    </row>
    <row r="265" spans="1:19" ht="15.75">
      <c r="A265" s="14">
        <v>49553</v>
      </c>
      <c r="B265" s="8">
        <f>CHOOSE( CONTROL!$C$32, 8.0042, 8.0005) * CHOOSE(CONTROL!$C$15, $D$11, 100%, $F$11)</f>
        <v>8.0042000000000009</v>
      </c>
      <c r="C265" s="8">
        <f>CHOOSE( CONTROL!$C$32, 8.0121, 8.0085) * CHOOSE(CONTROL!$C$15, $D$11, 100%, $F$11)</f>
        <v>8.0121000000000002</v>
      </c>
      <c r="D265" s="8">
        <f>CHOOSE( CONTROL!$C$32, 8.0503, 8.0467) * CHOOSE( CONTROL!$C$15, $D$11, 100%, $F$11)</f>
        <v>8.0503</v>
      </c>
      <c r="E265" s="12">
        <f>CHOOSE( CONTROL!$C$32, 8.0353, 8.0316) * CHOOSE( CONTROL!$C$15, $D$11, 100%, $F$11)</f>
        <v>8.0352999999999994</v>
      </c>
      <c r="F265" s="4">
        <f>CHOOSE( CONTROL!$C$32, 8.7472, 8.7435) * CHOOSE(CONTROL!$C$15, $D$11, 100%, $F$11)</f>
        <v>8.7471999999999994</v>
      </c>
      <c r="G265" s="8">
        <f>CHOOSE( CONTROL!$C$32, 7.917, 7.9134) * CHOOSE( CONTROL!$C$15, $D$11, 100%, $F$11)</f>
        <v>7.9169999999999998</v>
      </c>
      <c r="H265" s="4">
        <f>CHOOSE( CONTROL!$C$32, 8.8914, 8.8878) * CHOOSE(CONTROL!$C$15, $D$11, 100%, $F$11)</f>
        <v>8.8914000000000009</v>
      </c>
      <c r="I265" s="8">
        <f>CHOOSE( CONTROL!$C$32, 7.9047, 7.9012) * CHOOSE(CONTROL!$C$15, $D$11, 100%, $F$11)</f>
        <v>7.9047000000000001</v>
      </c>
      <c r="J265" s="4">
        <f>CHOOSE( CONTROL!$C$32, 7.7572, 7.7537) * CHOOSE(CONTROL!$C$15, $D$11, 100%, $F$11)</f>
        <v>7.7572000000000001</v>
      </c>
      <c r="K265" s="4"/>
      <c r="L265" s="9">
        <v>29.7257</v>
      </c>
      <c r="M265" s="9">
        <v>11.6745</v>
      </c>
      <c r="N265" s="9">
        <v>4.7850000000000001</v>
      </c>
      <c r="O265" s="9">
        <v>0.36199999999999999</v>
      </c>
      <c r="P265" s="9">
        <v>1.1791</v>
      </c>
      <c r="Q265" s="9">
        <v>29.6568</v>
      </c>
      <c r="R265" s="9"/>
      <c r="S265" s="11"/>
    </row>
    <row r="266" spans="1:19" ht="15.75">
      <c r="A266" s="14">
        <v>49583</v>
      </c>
      <c r="B266" s="8">
        <f>8.3537 * CHOOSE(CONTROL!$C$15, $D$11, 100%, $F$11)</f>
        <v>8.3536999999999999</v>
      </c>
      <c r="C266" s="8">
        <f>8.359 * CHOOSE(CONTROL!$C$15, $D$11, 100%, $F$11)</f>
        <v>8.359</v>
      </c>
      <c r="D266" s="8">
        <f>8.4026 * CHOOSE( CONTROL!$C$15, $D$11, 100%, $F$11)</f>
        <v>8.4025999999999996</v>
      </c>
      <c r="E266" s="12">
        <f>8.3876 * CHOOSE( CONTROL!$C$15, $D$11, 100%, $F$11)</f>
        <v>8.3876000000000008</v>
      </c>
      <c r="F266" s="4">
        <f>9.0984 * CHOOSE(CONTROL!$C$15, $D$11, 100%, $F$11)</f>
        <v>9.0983999999999998</v>
      </c>
      <c r="G266" s="8">
        <f>8.2636 * CHOOSE( CONTROL!$C$15, $D$11, 100%, $F$11)</f>
        <v>8.2636000000000003</v>
      </c>
      <c r="H266" s="4">
        <f>9.2385 * CHOOSE(CONTROL!$C$15, $D$11, 100%, $F$11)</f>
        <v>9.2385000000000002</v>
      </c>
      <c r="I266" s="8">
        <f>8.2466 * CHOOSE(CONTROL!$C$15, $D$11, 100%, $F$11)</f>
        <v>8.2466000000000008</v>
      </c>
      <c r="J266" s="4">
        <f>8.0981 * CHOOSE(CONTROL!$C$15, $D$11, 100%, $F$11)</f>
        <v>8.0981000000000005</v>
      </c>
      <c r="K266" s="4"/>
      <c r="L266" s="9">
        <v>31.095300000000002</v>
      </c>
      <c r="M266" s="9">
        <v>12.063700000000001</v>
      </c>
      <c r="N266" s="9">
        <v>4.9444999999999997</v>
      </c>
      <c r="O266" s="9">
        <v>0.37409999999999999</v>
      </c>
      <c r="P266" s="9">
        <v>1.2183999999999999</v>
      </c>
      <c r="Q266" s="9">
        <v>30.645399999999999</v>
      </c>
      <c r="R266" s="9"/>
      <c r="S266" s="11"/>
    </row>
    <row r="267" spans="1:19" ht="15.75">
      <c r="A267" s="14">
        <v>49614</v>
      </c>
      <c r="B267" s="8">
        <f>9.0084 * CHOOSE(CONTROL!$C$15, $D$11, 100%, $F$11)</f>
        <v>9.0084</v>
      </c>
      <c r="C267" s="8">
        <f>9.0135 * CHOOSE(CONTROL!$C$15, $D$11, 100%, $F$11)</f>
        <v>9.0135000000000005</v>
      </c>
      <c r="D267" s="8">
        <f>8.9971 * CHOOSE( CONTROL!$C$15, $D$11, 100%, $F$11)</f>
        <v>8.9970999999999997</v>
      </c>
      <c r="E267" s="12">
        <f>9.0026 * CHOOSE( CONTROL!$C$15, $D$11, 100%, $F$11)</f>
        <v>9.0025999999999993</v>
      </c>
      <c r="F267" s="4">
        <f>9.6737 * CHOOSE(CONTROL!$C$15, $D$11, 100%, $F$11)</f>
        <v>9.6737000000000002</v>
      </c>
      <c r="G267" s="8">
        <f>8.9117 * CHOOSE( CONTROL!$C$15, $D$11, 100%, $F$11)</f>
        <v>8.9116999999999997</v>
      </c>
      <c r="H267" s="4">
        <f>9.807 * CHOOSE(CONTROL!$C$15, $D$11, 100%, $F$11)</f>
        <v>9.8070000000000004</v>
      </c>
      <c r="I267" s="8">
        <f>8.8828 * CHOOSE(CONTROL!$C$15, $D$11, 100%, $F$11)</f>
        <v>8.8827999999999996</v>
      </c>
      <c r="J267" s="4">
        <f>8.7339 * CHOOSE(CONTROL!$C$15, $D$11, 100%, $F$11)</f>
        <v>8.7339000000000002</v>
      </c>
      <c r="K267" s="4"/>
      <c r="L267" s="9">
        <v>28.360600000000002</v>
      </c>
      <c r="M267" s="9">
        <v>11.6745</v>
      </c>
      <c r="N267" s="9">
        <v>4.7850000000000001</v>
      </c>
      <c r="O267" s="9">
        <v>0.36199999999999999</v>
      </c>
      <c r="P267" s="9">
        <v>1.2509999999999999</v>
      </c>
      <c r="Q267" s="9">
        <v>29.6568</v>
      </c>
      <c r="R267" s="9"/>
      <c r="S267" s="11"/>
    </row>
    <row r="268" spans="1:19" ht="15.75">
      <c r="A268" s="14">
        <v>49644</v>
      </c>
      <c r="B268" s="8">
        <f>8.992 * CHOOSE(CONTROL!$C$15, $D$11, 100%, $F$11)</f>
        <v>8.9920000000000009</v>
      </c>
      <c r="C268" s="8">
        <f>8.9971 * CHOOSE(CONTROL!$C$15, $D$11, 100%, $F$11)</f>
        <v>8.9970999999999997</v>
      </c>
      <c r="D268" s="8">
        <f>8.9825 * CHOOSE( CONTROL!$C$15, $D$11, 100%, $F$11)</f>
        <v>8.9824999999999999</v>
      </c>
      <c r="E268" s="12">
        <f>8.9873 * CHOOSE( CONTROL!$C$15, $D$11, 100%, $F$11)</f>
        <v>8.9872999999999994</v>
      </c>
      <c r="F268" s="4">
        <f>9.6573 * CHOOSE(CONTROL!$C$15, $D$11, 100%, $F$11)</f>
        <v>9.6572999999999993</v>
      </c>
      <c r="G268" s="8">
        <f>8.8967 * CHOOSE( CONTROL!$C$15, $D$11, 100%, $F$11)</f>
        <v>8.8966999999999992</v>
      </c>
      <c r="H268" s="4">
        <f>9.7909 * CHOOSE(CONTROL!$C$15, $D$11, 100%, $F$11)</f>
        <v>9.7909000000000006</v>
      </c>
      <c r="I268" s="8">
        <f>8.8723 * CHOOSE(CONTROL!$C$15, $D$11, 100%, $F$11)</f>
        <v>8.8722999999999992</v>
      </c>
      <c r="J268" s="4">
        <f>8.718 * CHOOSE(CONTROL!$C$15, $D$11, 100%, $F$11)</f>
        <v>8.718</v>
      </c>
      <c r="K268" s="4"/>
      <c r="L268" s="9">
        <v>29.306000000000001</v>
      </c>
      <c r="M268" s="9">
        <v>12.063700000000001</v>
      </c>
      <c r="N268" s="9">
        <v>4.9444999999999997</v>
      </c>
      <c r="O268" s="9">
        <v>0.37409999999999999</v>
      </c>
      <c r="P268" s="9">
        <v>1.2927</v>
      </c>
      <c r="Q268" s="9">
        <v>30.645399999999999</v>
      </c>
      <c r="R268" s="9"/>
      <c r="S268" s="11"/>
    </row>
    <row r="269" spans="1:19" ht="15.75">
      <c r="A269" s="14">
        <v>49675</v>
      </c>
      <c r="B269" s="8">
        <f>9.257 * CHOOSE(CONTROL!$C$15, $D$11, 100%, $F$11)</f>
        <v>9.2569999999999997</v>
      </c>
      <c r="C269" s="8">
        <f>9.2621 * CHOOSE(CONTROL!$C$15, $D$11, 100%, $F$11)</f>
        <v>9.2621000000000002</v>
      </c>
      <c r="D269" s="8">
        <f>9.2332 * CHOOSE( CONTROL!$C$15, $D$11, 100%, $F$11)</f>
        <v>9.2332000000000001</v>
      </c>
      <c r="E269" s="12">
        <f>9.2432 * CHOOSE( CONTROL!$C$15, $D$11, 100%, $F$11)</f>
        <v>9.2431999999999999</v>
      </c>
      <c r="F269" s="4">
        <f>9.9223 * CHOOSE(CONTROL!$C$15, $D$11, 100%, $F$11)</f>
        <v>9.9222999999999999</v>
      </c>
      <c r="G269" s="8">
        <f>9.1483 * CHOOSE( CONTROL!$C$15, $D$11, 100%, $F$11)</f>
        <v>9.1483000000000008</v>
      </c>
      <c r="H269" s="4">
        <f>10.0527 * CHOOSE(CONTROL!$C$15, $D$11, 100%, $F$11)</f>
        <v>10.0527</v>
      </c>
      <c r="I269" s="8">
        <f>9.1242 * CHOOSE(CONTROL!$C$15, $D$11, 100%, $F$11)</f>
        <v>9.1242000000000001</v>
      </c>
      <c r="J269" s="4">
        <f>8.9752 * CHOOSE(CONTROL!$C$15, $D$11, 100%, $F$11)</f>
        <v>8.9751999999999992</v>
      </c>
      <c r="K269" s="4"/>
      <c r="L269" s="9">
        <v>29.306000000000001</v>
      </c>
      <c r="M269" s="9">
        <v>12.063700000000001</v>
      </c>
      <c r="N269" s="9">
        <v>4.9444999999999997</v>
      </c>
      <c r="O269" s="9">
        <v>0.37409999999999999</v>
      </c>
      <c r="P269" s="9">
        <v>1.2927</v>
      </c>
      <c r="Q269" s="9">
        <v>30.580300000000001</v>
      </c>
      <c r="R269" s="9"/>
      <c r="S269" s="11"/>
    </row>
    <row r="270" spans="1:19" ht="15.75">
      <c r="A270" s="14">
        <v>49706</v>
      </c>
      <c r="B270" s="8">
        <f>8.6591 * CHOOSE(CONTROL!$C$15, $D$11, 100%, $F$11)</f>
        <v>8.6591000000000005</v>
      </c>
      <c r="C270" s="8">
        <f>8.6642 * CHOOSE(CONTROL!$C$15, $D$11, 100%, $F$11)</f>
        <v>8.6641999999999992</v>
      </c>
      <c r="D270" s="8">
        <f>8.6353 * CHOOSE( CONTROL!$C$15, $D$11, 100%, $F$11)</f>
        <v>8.6353000000000009</v>
      </c>
      <c r="E270" s="12">
        <f>8.6453 * CHOOSE( CONTROL!$C$15, $D$11, 100%, $F$11)</f>
        <v>8.6453000000000007</v>
      </c>
      <c r="F270" s="4">
        <f>9.3244 * CHOOSE(CONTROL!$C$15, $D$11, 100%, $F$11)</f>
        <v>9.3244000000000007</v>
      </c>
      <c r="G270" s="8">
        <f>8.5574 * CHOOSE( CONTROL!$C$15, $D$11, 100%, $F$11)</f>
        <v>8.5573999999999995</v>
      </c>
      <c r="H270" s="4">
        <f>9.4619 * CHOOSE(CONTROL!$C$15, $D$11, 100%, $F$11)</f>
        <v>9.4619</v>
      </c>
      <c r="I270" s="8">
        <f>8.5436 * CHOOSE(CONTROL!$C$15, $D$11, 100%, $F$11)</f>
        <v>8.5435999999999996</v>
      </c>
      <c r="J270" s="4">
        <f>8.3949 * CHOOSE(CONTROL!$C$15, $D$11, 100%, $F$11)</f>
        <v>8.3948999999999998</v>
      </c>
      <c r="K270" s="4"/>
      <c r="L270" s="9">
        <v>27.415299999999998</v>
      </c>
      <c r="M270" s="9">
        <v>11.285299999999999</v>
      </c>
      <c r="N270" s="9">
        <v>4.6254999999999997</v>
      </c>
      <c r="O270" s="9">
        <v>0.34989999999999999</v>
      </c>
      <c r="P270" s="9">
        <v>1.2093</v>
      </c>
      <c r="Q270" s="9">
        <v>28.607299999999999</v>
      </c>
      <c r="R270" s="9"/>
      <c r="S270" s="11"/>
    </row>
    <row r="271" spans="1:19" ht="15.75">
      <c r="A271" s="14">
        <v>49735</v>
      </c>
      <c r="B271" s="8">
        <f>8.475 * CHOOSE(CONTROL!$C$15, $D$11, 100%, $F$11)</f>
        <v>8.4749999999999996</v>
      </c>
      <c r="C271" s="8">
        <f>8.4801 * CHOOSE(CONTROL!$C$15, $D$11, 100%, $F$11)</f>
        <v>8.4801000000000002</v>
      </c>
      <c r="D271" s="8">
        <f>8.4508 * CHOOSE( CONTROL!$C$15, $D$11, 100%, $F$11)</f>
        <v>8.4507999999999992</v>
      </c>
      <c r="E271" s="12">
        <f>8.461 * CHOOSE( CONTROL!$C$15, $D$11, 100%, $F$11)</f>
        <v>8.4610000000000003</v>
      </c>
      <c r="F271" s="4">
        <f>9.1403 * CHOOSE(CONTROL!$C$15, $D$11, 100%, $F$11)</f>
        <v>9.1402999999999999</v>
      </c>
      <c r="G271" s="8">
        <f>8.3752 * CHOOSE( CONTROL!$C$15, $D$11, 100%, $F$11)</f>
        <v>8.3751999999999995</v>
      </c>
      <c r="H271" s="4">
        <f>9.2799 * CHOOSE(CONTROL!$C$15, $D$11, 100%, $F$11)</f>
        <v>9.2798999999999996</v>
      </c>
      <c r="I271" s="8">
        <f>8.3636 * CHOOSE(CONTROL!$C$15, $D$11, 100%, $F$11)</f>
        <v>8.3635999999999999</v>
      </c>
      <c r="J271" s="4">
        <f>8.2162 * CHOOSE(CONTROL!$C$15, $D$11, 100%, $F$11)</f>
        <v>8.2162000000000006</v>
      </c>
      <c r="K271" s="4"/>
      <c r="L271" s="9">
        <v>29.306000000000001</v>
      </c>
      <c r="M271" s="9">
        <v>12.063700000000001</v>
      </c>
      <c r="N271" s="9">
        <v>4.9444999999999997</v>
      </c>
      <c r="O271" s="9">
        <v>0.37409999999999999</v>
      </c>
      <c r="P271" s="9">
        <v>1.2927</v>
      </c>
      <c r="Q271" s="9">
        <v>30.580300000000001</v>
      </c>
      <c r="R271" s="9"/>
      <c r="S271" s="11"/>
    </row>
    <row r="272" spans="1:19" ht="15.75">
      <c r="A272" s="14">
        <v>49766</v>
      </c>
      <c r="B272" s="8">
        <f>8.6044 * CHOOSE(CONTROL!$C$15, $D$11, 100%, $F$11)</f>
        <v>8.6044</v>
      </c>
      <c r="C272" s="8">
        <f>8.6089 * CHOOSE(CONTROL!$C$15, $D$11, 100%, $F$11)</f>
        <v>8.6089000000000002</v>
      </c>
      <c r="D272" s="8">
        <f>8.6523 * CHOOSE( CONTROL!$C$15, $D$11, 100%, $F$11)</f>
        <v>8.6523000000000003</v>
      </c>
      <c r="E272" s="12">
        <f>8.6375 * CHOOSE( CONTROL!$C$15, $D$11, 100%, $F$11)</f>
        <v>8.6374999999999993</v>
      </c>
      <c r="F272" s="4">
        <f>9.3488 * CHOOSE(CONTROL!$C$15, $D$11, 100%, $F$11)</f>
        <v>9.3488000000000007</v>
      </c>
      <c r="G272" s="8">
        <f>8.5101 * CHOOSE( CONTROL!$C$15, $D$11, 100%, $F$11)</f>
        <v>8.5100999999999996</v>
      </c>
      <c r="H272" s="4">
        <f>9.486 * CHOOSE(CONTROL!$C$15, $D$11, 100%, $F$11)</f>
        <v>9.4860000000000007</v>
      </c>
      <c r="I272" s="8">
        <f>8.4867 * CHOOSE(CONTROL!$C$15, $D$11, 100%, $F$11)</f>
        <v>8.4867000000000008</v>
      </c>
      <c r="J272" s="4">
        <f>8.3411 * CHOOSE(CONTROL!$C$15, $D$11, 100%, $F$11)</f>
        <v>8.3411000000000008</v>
      </c>
      <c r="K272" s="4"/>
      <c r="L272" s="9">
        <v>30.092199999999998</v>
      </c>
      <c r="M272" s="9">
        <v>11.6745</v>
      </c>
      <c r="N272" s="9">
        <v>4.7850000000000001</v>
      </c>
      <c r="O272" s="9">
        <v>0.36199999999999999</v>
      </c>
      <c r="P272" s="9">
        <v>1.1791</v>
      </c>
      <c r="Q272" s="9">
        <v>29.593800000000002</v>
      </c>
      <c r="R272" s="9"/>
      <c r="S272" s="11"/>
    </row>
    <row r="273" spans="1:19" ht="15.75">
      <c r="A273" s="14">
        <v>49796</v>
      </c>
      <c r="B273" s="8">
        <f>CHOOSE( CONTROL!$C$32, 8.8385, 8.8348) * CHOOSE(CONTROL!$C$15, $D$11, 100%, $F$11)</f>
        <v>8.8384999999999998</v>
      </c>
      <c r="C273" s="8">
        <f>CHOOSE( CONTROL!$C$32, 8.8464, 8.8428) * CHOOSE(CONTROL!$C$15, $D$11, 100%, $F$11)</f>
        <v>8.8463999999999992</v>
      </c>
      <c r="D273" s="8">
        <f>CHOOSE( CONTROL!$C$32, 8.8842, 8.8805) * CHOOSE( CONTROL!$C$15, $D$11, 100%, $F$11)</f>
        <v>8.8841999999999999</v>
      </c>
      <c r="E273" s="12">
        <f>CHOOSE( CONTROL!$C$32, 8.8693, 8.8656) * CHOOSE( CONTROL!$C$15, $D$11, 100%, $F$11)</f>
        <v>8.8693000000000008</v>
      </c>
      <c r="F273" s="4">
        <f>CHOOSE( CONTROL!$C$32, 9.5815, 9.5778) * CHOOSE(CONTROL!$C$15, $D$11, 100%, $F$11)</f>
        <v>9.5815000000000001</v>
      </c>
      <c r="G273" s="8">
        <f>CHOOSE( CONTROL!$C$32, 8.7409, 8.7373) * CHOOSE( CONTROL!$C$15, $D$11, 100%, $F$11)</f>
        <v>8.7408999999999999</v>
      </c>
      <c r="H273" s="4">
        <f>CHOOSE( CONTROL!$C$32, 9.7159, 9.7123) * CHOOSE(CONTROL!$C$15, $D$11, 100%, $F$11)</f>
        <v>9.7158999999999995</v>
      </c>
      <c r="I273" s="8">
        <f>CHOOSE( CONTROL!$C$32, 8.7127, 8.7092) * CHOOSE(CONTROL!$C$15, $D$11, 100%, $F$11)</f>
        <v>8.7126999999999999</v>
      </c>
      <c r="J273" s="4">
        <f>CHOOSE( CONTROL!$C$32, 8.5669, 8.5634) * CHOOSE(CONTROL!$C$15, $D$11, 100%, $F$11)</f>
        <v>8.5669000000000004</v>
      </c>
      <c r="K273" s="4"/>
      <c r="L273" s="9">
        <v>30.7165</v>
      </c>
      <c r="M273" s="9">
        <v>12.063700000000001</v>
      </c>
      <c r="N273" s="9">
        <v>4.9444999999999997</v>
      </c>
      <c r="O273" s="9">
        <v>0.37409999999999999</v>
      </c>
      <c r="P273" s="9">
        <v>1.2183999999999999</v>
      </c>
      <c r="Q273" s="9">
        <v>30.580300000000001</v>
      </c>
      <c r="R273" s="9"/>
      <c r="S273" s="11"/>
    </row>
    <row r="274" spans="1:19" ht="15.75">
      <c r="A274" s="14">
        <v>49827</v>
      </c>
      <c r="B274" s="8">
        <f>CHOOSE( CONTROL!$C$32, 8.6966, 8.693) * CHOOSE(CONTROL!$C$15, $D$11, 100%, $F$11)</f>
        <v>8.6966000000000001</v>
      </c>
      <c r="C274" s="8">
        <f>CHOOSE( CONTROL!$C$32, 8.7046, 8.7009) * CHOOSE(CONTROL!$C$15, $D$11, 100%, $F$11)</f>
        <v>8.7045999999999992</v>
      </c>
      <c r="D274" s="8">
        <f>CHOOSE( CONTROL!$C$32, 8.7425, 8.7389) * CHOOSE( CONTROL!$C$15, $D$11, 100%, $F$11)</f>
        <v>8.7424999999999997</v>
      </c>
      <c r="E274" s="12">
        <f>CHOOSE( CONTROL!$C$32, 8.7275, 8.7239) * CHOOSE( CONTROL!$C$15, $D$11, 100%, $F$11)</f>
        <v>8.7274999999999991</v>
      </c>
      <c r="F274" s="4">
        <f>CHOOSE( CONTROL!$C$32, 9.4396, 9.436) * CHOOSE(CONTROL!$C$15, $D$11, 100%, $F$11)</f>
        <v>9.4396000000000004</v>
      </c>
      <c r="G274" s="8">
        <f>CHOOSE( CONTROL!$C$32, 8.601, 8.5974) * CHOOSE( CONTROL!$C$15, $D$11, 100%, $F$11)</f>
        <v>8.6010000000000009</v>
      </c>
      <c r="H274" s="4">
        <f>CHOOSE( CONTROL!$C$32, 9.5757, 9.5721) * CHOOSE(CONTROL!$C$15, $D$11, 100%, $F$11)</f>
        <v>9.5756999999999994</v>
      </c>
      <c r="I274" s="8">
        <f>CHOOSE( CONTROL!$C$32, 8.576, 8.5725) * CHOOSE(CONTROL!$C$15, $D$11, 100%, $F$11)</f>
        <v>8.5760000000000005</v>
      </c>
      <c r="J274" s="4">
        <f>CHOOSE( CONTROL!$C$32, 8.4292, 8.4257) * CHOOSE(CONTROL!$C$15, $D$11, 100%, $F$11)</f>
        <v>8.4291999999999998</v>
      </c>
      <c r="K274" s="4"/>
      <c r="L274" s="9">
        <v>29.7257</v>
      </c>
      <c r="M274" s="9">
        <v>11.6745</v>
      </c>
      <c r="N274" s="9">
        <v>4.7850000000000001</v>
      </c>
      <c r="O274" s="9">
        <v>0.36199999999999999</v>
      </c>
      <c r="P274" s="9">
        <v>1.1791</v>
      </c>
      <c r="Q274" s="9">
        <v>29.593800000000002</v>
      </c>
      <c r="R274" s="9"/>
      <c r="S274" s="11"/>
    </row>
    <row r="275" spans="1:19" ht="15.75">
      <c r="A275" s="14">
        <v>49857</v>
      </c>
      <c r="B275" s="8">
        <f>CHOOSE( CONTROL!$C$32, 9.0702, 9.0665) * CHOOSE(CONTROL!$C$15, $D$11, 100%, $F$11)</f>
        <v>9.0701999999999998</v>
      </c>
      <c r="C275" s="8">
        <f>CHOOSE( CONTROL!$C$32, 9.0782, 9.0745) * CHOOSE(CONTROL!$C$15, $D$11, 100%, $F$11)</f>
        <v>9.0782000000000007</v>
      </c>
      <c r="D275" s="8">
        <f>CHOOSE( CONTROL!$C$32, 9.1164, 9.1127) * CHOOSE( CONTROL!$C$15, $D$11, 100%, $F$11)</f>
        <v>9.1164000000000005</v>
      </c>
      <c r="E275" s="12">
        <f>CHOOSE( CONTROL!$C$32, 9.1013, 9.0976) * CHOOSE( CONTROL!$C$15, $D$11, 100%, $F$11)</f>
        <v>9.1013000000000002</v>
      </c>
      <c r="F275" s="4">
        <f>CHOOSE( CONTROL!$C$32, 9.8132, 9.8095) * CHOOSE(CONTROL!$C$15, $D$11, 100%, $F$11)</f>
        <v>9.8132000000000001</v>
      </c>
      <c r="G275" s="8">
        <f>CHOOSE( CONTROL!$C$32, 8.9705, 8.9669) * CHOOSE( CONTROL!$C$15, $D$11, 100%, $F$11)</f>
        <v>8.9704999999999995</v>
      </c>
      <c r="H275" s="4">
        <f>CHOOSE( CONTROL!$C$32, 9.9449, 9.9413) * CHOOSE(CONTROL!$C$15, $D$11, 100%, $F$11)</f>
        <v>9.9449000000000005</v>
      </c>
      <c r="I275" s="8">
        <f>CHOOSE( CONTROL!$C$32, 8.9399, 8.9364) * CHOOSE(CONTROL!$C$15, $D$11, 100%, $F$11)</f>
        <v>8.9398999999999997</v>
      </c>
      <c r="J275" s="4">
        <f>CHOOSE( CONTROL!$C$32, 8.7918, 8.7883) * CHOOSE(CONTROL!$C$15, $D$11, 100%, $F$11)</f>
        <v>8.7918000000000003</v>
      </c>
      <c r="K275" s="4"/>
      <c r="L275" s="9">
        <v>30.7165</v>
      </c>
      <c r="M275" s="9">
        <v>12.063700000000001</v>
      </c>
      <c r="N275" s="9">
        <v>4.9444999999999997</v>
      </c>
      <c r="O275" s="9">
        <v>0.37409999999999999</v>
      </c>
      <c r="P275" s="9">
        <v>1.2183999999999999</v>
      </c>
      <c r="Q275" s="9">
        <v>30.580300000000001</v>
      </c>
      <c r="R275" s="9"/>
      <c r="S275" s="11"/>
    </row>
    <row r="276" spans="1:19" ht="15.75">
      <c r="A276" s="14">
        <v>49888</v>
      </c>
      <c r="B276" s="8">
        <f>CHOOSE( CONTROL!$C$32, 8.3712, 8.3675) * CHOOSE(CONTROL!$C$15, $D$11, 100%, $F$11)</f>
        <v>8.3712</v>
      </c>
      <c r="C276" s="8">
        <f>CHOOSE( CONTROL!$C$32, 8.3791, 8.3755) * CHOOSE(CONTROL!$C$15, $D$11, 100%, $F$11)</f>
        <v>8.3790999999999993</v>
      </c>
      <c r="D276" s="8">
        <f>CHOOSE( CONTROL!$C$32, 8.4174, 8.4138) * CHOOSE( CONTROL!$C$15, $D$11, 100%, $F$11)</f>
        <v>8.4174000000000007</v>
      </c>
      <c r="E276" s="12">
        <f>CHOOSE( CONTROL!$C$32, 8.4023, 8.3987) * CHOOSE( CONTROL!$C$15, $D$11, 100%, $F$11)</f>
        <v>8.4023000000000003</v>
      </c>
      <c r="F276" s="4">
        <f>CHOOSE( CONTROL!$C$32, 9.1142, 9.1105) * CHOOSE(CONTROL!$C$15, $D$11, 100%, $F$11)</f>
        <v>9.1142000000000003</v>
      </c>
      <c r="G276" s="8">
        <f>CHOOSE( CONTROL!$C$32, 8.2798, 8.2762) * CHOOSE( CONTROL!$C$15, $D$11, 100%, $F$11)</f>
        <v>8.2797999999999998</v>
      </c>
      <c r="H276" s="4">
        <f>CHOOSE( CONTROL!$C$32, 9.2541, 9.2505) * CHOOSE(CONTROL!$C$15, $D$11, 100%, $F$11)</f>
        <v>9.2540999999999993</v>
      </c>
      <c r="I276" s="8">
        <f>CHOOSE( CONTROL!$C$32, 8.2615, 8.2579) * CHOOSE(CONTROL!$C$15, $D$11, 100%, $F$11)</f>
        <v>8.2614999999999998</v>
      </c>
      <c r="J276" s="4">
        <f>CHOOSE( CONTROL!$C$32, 8.1134, 8.1099) * CHOOSE(CONTROL!$C$15, $D$11, 100%, $F$11)</f>
        <v>8.1134000000000004</v>
      </c>
      <c r="K276" s="4"/>
      <c r="L276" s="9">
        <v>30.7165</v>
      </c>
      <c r="M276" s="9">
        <v>12.063700000000001</v>
      </c>
      <c r="N276" s="9">
        <v>4.9444999999999997</v>
      </c>
      <c r="O276" s="9">
        <v>0.37409999999999999</v>
      </c>
      <c r="P276" s="9">
        <v>1.2183999999999999</v>
      </c>
      <c r="Q276" s="9">
        <v>30.580300000000001</v>
      </c>
      <c r="R276" s="9"/>
      <c r="S276" s="11"/>
    </row>
    <row r="277" spans="1:19" ht="15.75">
      <c r="A277" s="14">
        <v>49919</v>
      </c>
      <c r="B277" s="8">
        <f>CHOOSE( CONTROL!$C$32, 8.1961, 8.1925) * CHOOSE(CONTROL!$C$15, $D$11, 100%, $F$11)</f>
        <v>8.1960999999999995</v>
      </c>
      <c r="C277" s="8">
        <f>CHOOSE( CONTROL!$C$32, 8.2041, 8.2005) * CHOOSE(CONTROL!$C$15, $D$11, 100%, $F$11)</f>
        <v>8.2041000000000004</v>
      </c>
      <c r="D277" s="8">
        <f>CHOOSE( CONTROL!$C$32, 8.2423, 8.2386) * CHOOSE( CONTROL!$C$15, $D$11, 100%, $F$11)</f>
        <v>8.2423000000000002</v>
      </c>
      <c r="E277" s="12">
        <f>CHOOSE( CONTROL!$C$32, 8.2272, 8.2236) * CHOOSE( CONTROL!$C$15, $D$11, 100%, $F$11)</f>
        <v>8.2271999999999998</v>
      </c>
      <c r="F277" s="4">
        <f>CHOOSE( CONTROL!$C$32, 8.9391, 8.9355) * CHOOSE(CONTROL!$C$15, $D$11, 100%, $F$11)</f>
        <v>8.9390999999999998</v>
      </c>
      <c r="G277" s="8">
        <f>CHOOSE( CONTROL!$C$32, 8.1067, 8.1031) * CHOOSE( CONTROL!$C$15, $D$11, 100%, $F$11)</f>
        <v>8.1067</v>
      </c>
      <c r="H277" s="4">
        <f>CHOOSE( CONTROL!$C$32, 9.0811, 9.0775) * CHOOSE(CONTROL!$C$15, $D$11, 100%, $F$11)</f>
        <v>9.0810999999999993</v>
      </c>
      <c r="I277" s="8">
        <f>CHOOSE( CONTROL!$C$32, 8.0911, 8.0876) * CHOOSE(CONTROL!$C$15, $D$11, 100%, $F$11)</f>
        <v>8.0911000000000008</v>
      </c>
      <c r="J277" s="4">
        <f>CHOOSE( CONTROL!$C$32, 7.9435, 7.94) * CHOOSE(CONTROL!$C$15, $D$11, 100%, $F$11)</f>
        <v>7.9435000000000002</v>
      </c>
      <c r="K277" s="4"/>
      <c r="L277" s="9">
        <v>29.7257</v>
      </c>
      <c r="M277" s="9">
        <v>11.6745</v>
      </c>
      <c r="N277" s="9">
        <v>4.7850000000000001</v>
      </c>
      <c r="O277" s="9">
        <v>0.36199999999999999</v>
      </c>
      <c r="P277" s="9">
        <v>1.1791</v>
      </c>
      <c r="Q277" s="9">
        <v>29.593800000000002</v>
      </c>
      <c r="R277" s="9"/>
      <c r="S277" s="11"/>
    </row>
    <row r="278" spans="1:19" ht="15.75">
      <c r="A278" s="14">
        <v>49949</v>
      </c>
      <c r="B278" s="8">
        <f>8.5542 * CHOOSE(CONTROL!$C$15, $D$11, 100%, $F$11)</f>
        <v>8.5541999999999998</v>
      </c>
      <c r="C278" s="8">
        <f>8.5595 * CHOOSE(CONTROL!$C$15, $D$11, 100%, $F$11)</f>
        <v>8.5594999999999999</v>
      </c>
      <c r="D278" s="8">
        <f>8.6031 * CHOOSE( CONTROL!$C$15, $D$11, 100%, $F$11)</f>
        <v>8.6030999999999995</v>
      </c>
      <c r="E278" s="12">
        <f>8.5881 * CHOOSE( CONTROL!$C$15, $D$11, 100%, $F$11)</f>
        <v>8.5881000000000007</v>
      </c>
      <c r="F278" s="4">
        <f>9.2989 * CHOOSE(CONTROL!$C$15, $D$11, 100%, $F$11)</f>
        <v>9.2988999999999997</v>
      </c>
      <c r="G278" s="8">
        <f>8.4618 * CHOOSE( CONTROL!$C$15, $D$11, 100%, $F$11)</f>
        <v>8.4618000000000002</v>
      </c>
      <c r="H278" s="4">
        <f>9.4367 * CHOOSE(CONTROL!$C$15, $D$11, 100%, $F$11)</f>
        <v>9.4367000000000001</v>
      </c>
      <c r="I278" s="8">
        <f>8.4412 * CHOOSE(CONTROL!$C$15, $D$11, 100%, $F$11)</f>
        <v>8.4412000000000003</v>
      </c>
      <c r="J278" s="4">
        <f>8.2927 * CHOOSE(CONTROL!$C$15, $D$11, 100%, $F$11)</f>
        <v>8.2927</v>
      </c>
      <c r="K278" s="4"/>
      <c r="L278" s="9">
        <v>31.095300000000002</v>
      </c>
      <c r="M278" s="9">
        <v>12.063700000000001</v>
      </c>
      <c r="N278" s="9">
        <v>4.9444999999999997</v>
      </c>
      <c r="O278" s="9">
        <v>0.37409999999999999</v>
      </c>
      <c r="P278" s="9">
        <v>1.2183999999999999</v>
      </c>
      <c r="Q278" s="9">
        <v>30.580300000000001</v>
      </c>
      <c r="R278" s="9"/>
      <c r="S278" s="11"/>
    </row>
    <row r="279" spans="1:19" ht="15.75">
      <c r="A279" s="14">
        <v>49980</v>
      </c>
      <c r="B279" s="8">
        <f>9.2246 * CHOOSE(CONTROL!$C$15, $D$11, 100%, $F$11)</f>
        <v>9.2246000000000006</v>
      </c>
      <c r="C279" s="8">
        <f>9.2297 * CHOOSE(CONTROL!$C$15, $D$11, 100%, $F$11)</f>
        <v>9.2296999999999993</v>
      </c>
      <c r="D279" s="8">
        <f>9.2134 * CHOOSE( CONTROL!$C$15, $D$11, 100%, $F$11)</f>
        <v>9.2134</v>
      </c>
      <c r="E279" s="12">
        <f>9.2188 * CHOOSE( CONTROL!$C$15, $D$11, 100%, $F$11)</f>
        <v>9.2187999999999999</v>
      </c>
      <c r="F279" s="4">
        <f>9.8899 * CHOOSE(CONTROL!$C$15, $D$11, 100%, $F$11)</f>
        <v>9.8899000000000008</v>
      </c>
      <c r="G279" s="8">
        <f>9.1254 * CHOOSE( CONTROL!$C$15, $D$11, 100%, $F$11)</f>
        <v>9.1254000000000008</v>
      </c>
      <c r="H279" s="4">
        <f>10.0207 * CHOOSE(CONTROL!$C$15, $D$11, 100%, $F$11)</f>
        <v>10.0207</v>
      </c>
      <c r="I279" s="8">
        <f>9.0927 * CHOOSE(CONTROL!$C$15, $D$11, 100%, $F$11)</f>
        <v>9.0927000000000007</v>
      </c>
      <c r="J279" s="4">
        <f>8.9438 * CHOOSE(CONTROL!$C$15, $D$11, 100%, $F$11)</f>
        <v>8.9437999999999995</v>
      </c>
      <c r="K279" s="4"/>
      <c r="L279" s="9">
        <v>28.360600000000002</v>
      </c>
      <c r="M279" s="9">
        <v>11.6745</v>
      </c>
      <c r="N279" s="9">
        <v>4.7850000000000001</v>
      </c>
      <c r="O279" s="9">
        <v>0.36199999999999999</v>
      </c>
      <c r="P279" s="9">
        <v>1.2509999999999999</v>
      </c>
      <c r="Q279" s="9">
        <v>29.593800000000002</v>
      </c>
      <c r="R279" s="9"/>
      <c r="S279" s="11"/>
    </row>
    <row r="280" spans="1:19" ht="15.75">
      <c r="A280" s="14">
        <v>50010</v>
      </c>
      <c r="B280" s="8">
        <f>9.2079 * CHOOSE(CONTROL!$C$15, $D$11, 100%, $F$11)</f>
        <v>9.2079000000000004</v>
      </c>
      <c r="C280" s="8">
        <f>9.213 * CHOOSE(CONTROL!$C$15, $D$11, 100%, $F$11)</f>
        <v>9.2129999999999992</v>
      </c>
      <c r="D280" s="8">
        <f>9.1983 * CHOOSE( CONTROL!$C$15, $D$11, 100%, $F$11)</f>
        <v>9.1982999999999997</v>
      </c>
      <c r="E280" s="12">
        <f>9.2031 * CHOOSE( CONTROL!$C$15, $D$11, 100%, $F$11)</f>
        <v>9.2030999999999992</v>
      </c>
      <c r="F280" s="4">
        <f>9.8732 * CHOOSE(CONTROL!$C$15, $D$11, 100%, $F$11)</f>
        <v>9.8732000000000006</v>
      </c>
      <c r="G280" s="8">
        <f>9.11 * CHOOSE( CONTROL!$C$15, $D$11, 100%, $F$11)</f>
        <v>9.11</v>
      </c>
      <c r="H280" s="4">
        <f>10.0042 * CHOOSE(CONTROL!$C$15, $D$11, 100%, $F$11)</f>
        <v>10.004200000000001</v>
      </c>
      <c r="I280" s="8">
        <f>9.0818 * CHOOSE(CONTROL!$C$15, $D$11, 100%, $F$11)</f>
        <v>9.0817999999999994</v>
      </c>
      <c r="J280" s="4">
        <f>8.9275 * CHOOSE(CONTROL!$C$15, $D$11, 100%, $F$11)</f>
        <v>8.9275000000000002</v>
      </c>
      <c r="K280" s="4"/>
      <c r="L280" s="9">
        <v>29.306000000000001</v>
      </c>
      <c r="M280" s="9">
        <v>12.063700000000001</v>
      </c>
      <c r="N280" s="9">
        <v>4.9444999999999997</v>
      </c>
      <c r="O280" s="9">
        <v>0.37409999999999999</v>
      </c>
      <c r="P280" s="9">
        <v>1.2927</v>
      </c>
      <c r="Q280" s="9">
        <v>30.580300000000001</v>
      </c>
      <c r="R280" s="9"/>
      <c r="S280" s="11"/>
    </row>
    <row r="281" spans="1:19" ht="15.75">
      <c r="A281" s="14">
        <v>50041</v>
      </c>
      <c r="B281" s="8">
        <f>9.4792 * CHOOSE(CONTROL!$C$15, $D$11, 100%, $F$11)</f>
        <v>9.4792000000000005</v>
      </c>
      <c r="C281" s="8">
        <f>9.4843 * CHOOSE(CONTROL!$C$15, $D$11, 100%, $F$11)</f>
        <v>9.4842999999999993</v>
      </c>
      <c r="D281" s="8">
        <f>9.4554 * CHOOSE( CONTROL!$C$15, $D$11, 100%, $F$11)</f>
        <v>9.4553999999999991</v>
      </c>
      <c r="E281" s="12">
        <f>9.4654 * CHOOSE( CONTROL!$C$15, $D$11, 100%, $F$11)</f>
        <v>9.4654000000000007</v>
      </c>
      <c r="F281" s="4">
        <f>10.1445 * CHOOSE(CONTROL!$C$15, $D$11, 100%, $F$11)</f>
        <v>10.144500000000001</v>
      </c>
      <c r="G281" s="8">
        <f>9.3679 * CHOOSE( CONTROL!$C$15, $D$11, 100%, $F$11)</f>
        <v>9.3679000000000006</v>
      </c>
      <c r="H281" s="4">
        <f>10.2723 * CHOOSE(CONTROL!$C$15, $D$11, 100%, $F$11)</f>
        <v>10.2723</v>
      </c>
      <c r="I281" s="8">
        <f>9.3399 * CHOOSE(CONTROL!$C$15, $D$11, 100%, $F$11)</f>
        <v>9.3399000000000001</v>
      </c>
      <c r="J281" s="4">
        <f>9.1908 * CHOOSE(CONTROL!$C$15, $D$11, 100%, $F$11)</f>
        <v>9.1907999999999994</v>
      </c>
      <c r="K281" s="4"/>
      <c r="L281" s="9">
        <v>29.306000000000001</v>
      </c>
      <c r="M281" s="9">
        <v>12.063700000000001</v>
      </c>
      <c r="N281" s="9">
        <v>4.9444999999999997</v>
      </c>
      <c r="O281" s="9">
        <v>0.37409999999999999</v>
      </c>
      <c r="P281" s="9">
        <v>1.2927</v>
      </c>
      <c r="Q281" s="9">
        <v>30.5152</v>
      </c>
      <c r="R281" s="9"/>
      <c r="S281" s="11"/>
    </row>
    <row r="282" spans="1:19" ht="15.75">
      <c r="A282" s="14">
        <v>50072</v>
      </c>
      <c r="B282" s="8">
        <f>8.867 * CHOOSE(CONTROL!$C$15, $D$11, 100%, $F$11)</f>
        <v>8.8670000000000009</v>
      </c>
      <c r="C282" s="8">
        <f>8.8721 * CHOOSE(CONTROL!$C$15, $D$11, 100%, $F$11)</f>
        <v>8.8720999999999997</v>
      </c>
      <c r="D282" s="8">
        <f>8.8432 * CHOOSE( CONTROL!$C$15, $D$11, 100%, $F$11)</f>
        <v>8.8431999999999995</v>
      </c>
      <c r="E282" s="12">
        <f>8.8532 * CHOOSE( CONTROL!$C$15, $D$11, 100%, $F$11)</f>
        <v>8.8531999999999993</v>
      </c>
      <c r="F282" s="4">
        <f>9.5323 * CHOOSE(CONTROL!$C$15, $D$11, 100%, $F$11)</f>
        <v>9.5322999999999993</v>
      </c>
      <c r="G282" s="8">
        <f>8.7628 * CHOOSE( CONTROL!$C$15, $D$11, 100%, $F$11)</f>
        <v>8.7628000000000004</v>
      </c>
      <c r="H282" s="4">
        <f>9.6673 * CHOOSE(CONTROL!$C$15, $D$11, 100%, $F$11)</f>
        <v>9.6672999999999991</v>
      </c>
      <c r="I282" s="8">
        <f>8.7454 * CHOOSE(CONTROL!$C$15, $D$11, 100%, $F$11)</f>
        <v>8.7454000000000001</v>
      </c>
      <c r="J282" s="4">
        <f>8.5967 * CHOOSE(CONTROL!$C$15, $D$11, 100%, $F$11)</f>
        <v>8.5967000000000002</v>
      </c>
      <c r="K282" s="4"/>
      <c r="L282" s="9">
        <v>26.469899999999999</v>
      </c>
      <c r="M282" s="9">
        <v>10.8962</v>
      </c>
      <c r="N282" s="9">
        <v>4.4660000000000002</v>
      </c>
      <c r="O282" s="9">
        <v>0.33789999999999998</v>
      </c>
      <c r="P282" s="9">
        <v>1.1676</v>
      </c>
      <c r="Q282" s="9">
        <v>27.562100000000001</v>
      </c>
      <c r="R282" s="9"/>
      <c r="S282" s="11"/>
    </row>
    <row r="283" spans="1:19" ht="15.75">
      <c r="A283" s="14">
        <v>50100</v>
      </c>
      <c r="B283" s="8">
        <f>8.6784 * CHOOSE(CONTROL!$C$15, $D$11, 100%, $F$11)</f>
        <v>8.6783999999999999</v>
      </c>
      <c r="C283" s="8">
        <f>8.6835 * CHOOSE(CONTROL!$C$15, $D$11, 100%, $F$11)</f>
        <v>8.6835000000000004</v>
      </c>
      <c r="D283" s="8">
        <f>8.6542 * CHOOSE( CONTROL!$C$15, $D$11, 100%, $F$11)</f>
        <v>8.6541999999999994</v>
      </c>
      <c r="E283" s="12">
        <f>8.6644 * CHOOSE( CONTROL!$C$15, $D$11, 100%, $F$11)</f>
        <v>8.6644000000000005</v>
      </c>
      <c r="F283" s="4">
        <f>9.3437 * CHOOSE(CONTROL!$C$15, $D$11, 100%, $F$11)</f>
        <v>9.3437000000000001</v>
      </c>
      <c r="G283" s="8">
        <f>8.5762 * CHOOSE( CONTROL!$C$15, $D$11, 100%, $F$11)</f>
        <v>8.5762</v>
      </c>
      <c r="H283" s="4">
        <f>9.4809 * CHOOSE(CONTROL!$C$15, $D$11, 100%, $F$11)</f>
        <v>9.4809000000000001</v>
      </c>
      <c r="I283" s="8">
        <f>8.5611 * CHOOSE(CONTROL!$C$15, $D$11, 100%, $F$11)</f>
        <v>8.5610999999999997</v>
      </c>
      <c r="J283" s="4">
        <f>8.4137 * CHOOSE(CONTROL!$C$15, $D$11, 100%, $F$11)</f>
        <v>8.4137000000000004</v>
      </c>
      <c r="K283" s="4"/>
      <c r="L283" s="9">
        <v>29.306000000000001</v>
      </c>
      <c r="M283" s="9">
        <v>12.063700000000001</v>
      </c>
      <c r="N283" s="9">
        <v>4.9444999999999997</v>
      </c>
      <c r="O283" s="9">
        <v>0.37409999999999999</v>
      </c>
      <c r="P283" s="9">
        <v>1.2927</v>
      </c>
      <c r="Q283" s="9">
        <v>30.5152</v>
      </c>
      <c r="R283" s="9"/>
      <c r="S283" s="11"/>
    </row>
    <row r="284" spans="1:19" ht="15.75">
      <c r="A284" s="14">
        <v>50131</v>
      </c>
      <c r="B284" s="8">
        <f>8.811 * CHOOSE(CONTROL!$C$15, $D$11, 100%, $F$11)</f>
        <v>8.8109999999999999</v>
      </c>
      <c r="C284" s="8">
        <f>8.8155 * CHOOSE(CONTROL!$C$15, $D$11, 100%, $F$11)</f>
        <v>8.8155000000000001</v>
      </c>
      <c r="D284" s="8">
        <f>8.8588 * CHOOSE( CONTROL!$C$15, $D$11, 100%, $F$11)</f>
        <v>8.8588000000000005</v>
      </c>
      <c r="E284" s="12">
        <f>8.844 * CHOOSE( CONTROL!$C$15, $D$11, 100%, $F$11)</f>
        <v>8.8439999999999994</v>
      </c>
      <c r="F284" s="4">
        <f>9.5553 * CHOOSE(CONTROL!$C$15, $D$11, 100%, $F$11)</f>
        <v>9.5553000000000008</v>
      </c>
      <c r="G284" s="8">
        <f>8.7142 * CHOOSE( CONTROL!$C$15, $D$11, 100%, $F$11)</f>
        <v>8.7141999999999999</v>
      </c>
      <c r="H284" s="4">
        <f>9.6901 * CHOOSE(CONTROL!$C$15, $D$11, 100%, $F$11)</f>
        <v>9.6900999999999993</v>
      </c>
      <c r="I284" s="8">
        <f>8.6872 * CHOOSE(CONTROL!$C$15, $D$11, 100%, $F$11)</f>
        <v>8.6872000000000007</v>
      </c>
      <c r="J284" s="4">
        <f>8.5415 * CHOOSE(CONTROL!$C$15, $D$11, 100%, $F$11)</f>
        <v>8.5414999999999992</v>
      </c>
      <c r="K284" s="4"/>
      <c r="L284" s="9">
        <v>30.092199999999998</v>
      </c>
      <c r="M284" s="9">
        <v>11.6745</v>
      </c>
      <c r="N284" s="9">
        <v>4.7850000000000001</v>
      </c>
      <c r="O284" s="9">
        <v>0.36199999999999999</v>
      </c>
      <c r="P284" s="9">
        <v>1.1791</v>
      </c>
      <c r="Q284" s="9">
        <v>29.530799999999999</v>
      </c>
      <c r="R284" s="9"/>
      <c r="S284" s="11"/>
    </row>
    <row r="285" spans="1:19" ht="15.75">
      <c r="A285" s="14">
        <v>50161</v>
      </c>
      <c r="B285" s="8">
        <f>CHOOSE( CONTROL!$C$32, 9.0505, 9.0468) * CHOOSE(CONTROL!$C$15, $D$11, 100%, $F$11)</f>
        <v>9.0504999999999995</v>
      </c>
      <c r="C285" s="8">
        <f>CHOOSE( CONTROL!$C$32, 9.0584, 9.0548) * CHOOSE(CONTROL!$C$15, $D$11, 100%, $F$11)</f>
        <v>9.0584000000000007</v>
      </c>
      <c r="D285" s="8">
        <f>CHOOSE( CONTROL!$C$32, 9.0962, 9.0925) * CHOOSE( CONTROL!$C$15, $D$11, 100%, $F$11)</f>
        <v>9.0961999999999996</v>
      </c>
      <c r="E285" s="12">
        <f>CHOOSE( CONTROL!$C$32, 9.0813, 9.0776) * CHOOSE( CONTROL!$C$15, $D$11, 100%, $F$11)</f>
        <v>9.0813000000000006</v>
      </c>
      <c r="F285" s="4">
        <f>CHOOSE( CONTROL!$C$32, 9.7935, 9.7898) * CHOOSE(CONTROL!$C$15, $D$11, 100%, $F$11)</f>
        <v>9.7934999999999999</v>
      </c>
      <c r="G285" s="8">
        <f>CHOOSE( CONTROL!$C$32, 8.9504, 8.9468) * CHOOSE( CONTROL!$C$15, $D$11, 100%, $F$11)</f>
        <v>8.9504000000000001</v>
      </c>
      <c r="H285" s="4">
        <f>CHOOSE( CONTROL!$C$32, 9.9254, 9.9218) * CHOOSE(CONTROL!$C$15, $D$11, 100%, $F$11)</f>
        <v>9.9253999999999998</v>
      </c>
      <c r="I285" s="8">
        <f>CHOOSE( CONTROL!$C$32, 8.9186, 8.9151) * CHOOSE(CONTROL!$C$15, $D$11, 100%, $F$11)</f>
        <v>8.9185999999999996</v>
      </c>
      <c r="J285" s="4">
        <f>CHOOSE( CONTROL!$C$32, 8.7727, 8.7691) * CHOOSE(CONTROL!$C$15, $D$11, 100%, $F$11)</f>
        <v>8.7727000000000004</v>
      </c>
      <c r="K285" s="4"/>
      <c r="L285" s="9">
        <v>30.7165</v>
      </c>
      <c r="M285" s="9">
        <v>12.063700000000001</v>
      </c>
      <c r="N285" s="9">
        <v>4.9444999999999997</v>
      </c>
      <c r="O285" s="9">
        <v>0.37409999999999999</v>
      </c>
      <c r="P285" s="9">
        <v>1.2183999999999999</v>
      </c>
      <c r="Q285" s="9">
        <v>30.5152</v>
      </c>
      <c r="R285" s="9"/>
      <c r="S285" s="11"/>
    </row>
    <row r="286" spans="1:19" ht="15.75">
      <c r="A286" s="14">
        <v>50192</v>
      </c>
      <c r="B286" s="8">
        <f>CHOOSE( CONTROL!$C$32, 8.9052, 8.9016) * CHOOSE(CONTROL!$C$15, $D$11, 100%, $F$11)</f>
        <v>8.9052000000000007</v>
      </c>
      <c r="C286" s="8">
        <f>CHOOSE( CONTROL!$C$32, 8.9132, 8.9095) * CHOOSE(CONTROL!$C$15, $D$11, 100%, $F$11)</f>
        <v>8.9131999999999998</v>
      </c>
      <c r="D286" s="8">
        <f>CHOOSE( CONTROL!$C$32, 8.9511, 8.9475) * CHOOSE( CONTROL!$C$15, $D$11, 100%, $F$11)</f>
        <v>8.9511000000000003</v>
      </c>
      <c r="E286" s="12">
        <f>CHOOSE( CONTROL!$C$32, 8.9361, 8.9325) * CHOOSE( CONTROL!$C$15, $D$11, 100%, $F$11)</f>
        <v>8.9360999999999997</v>
      </c>
      <c r="F286" s="4">
        <f>CHOOSE( CONTROL!$C$32, 9.6482, 9.6446) * CHOOSE(CONTROL!$C$15, $D$11, 100%, $F$11)</f>
        <v>9.6481999999999992</v>
      </c>
      <c r="G286" s="8">
        <f>CHOOSE( CONTROL!$C$32, 8.8071, 8.8035) * CHOOSE( CONTROL!$C$15, $D$11, 100%, $F$11)</f>
        <v>8.8071000000000002</v>
      </c>
      <c r="H286" s="4">
        <f>CHOOSE( CONTROL!$C$32, 9.7819, 9.7783) * CHOOSE(CONTROL!$C$15, $D$11, 100%, $F$11)</f>
        <v>9.7819000000000003</v>
      </c>
      <c r="I286" s="8">
        <f>CHOOSE( CONTROL!$C$32, 8.7786, 8.7751) * CHOOSE(CONTROL!$C$15, $D$11, 100%, $F$11)</f>
        <v>8.7786000000000008</v>
      </c>
      <c r="J286" s="4">
        <f>CHOOSE( CONTROL!$C$32, 8.6317, 8.6281) * CHOOSE(CONTROL!$C$15, $D$11, 100%, $F$11)</f>
        <v>8.6317000000000004</v>
      </c>
      <c r="K286" s="4"/>
      <c r="L286" s="9">
        <v>29.7257</v>
      </c>
      <c r="M286" s="9">
        <v>11.6745</v>
      </c>
      <c r="N286" s="9">
        <v>4.7850000000000001</v>
      </c>
      <c r="O286" s="9">
        <v>0.36199999999999999</v>
      </c>
      <c r="P286" s="9">
        <v>1.1791</v>
      </c>
      <c r="Q286" s="9">
        <v>29.530799999999999</v>
      </c>
      <c r="R286" s="9"/>
      <c r="S286" s="11"/>
    </row>
    <row r="287" spans="1:19" ht="15.75">
      <c r="A287" s="14">
        <v>50222</v>
      </c>
      <c r="B287" s="8">
        <f>CHOOSE( CONTROL!$C$32, 9.2878, 9.2841) * CHOOSE(CONTROL!$C$15, $D$11, 100%, $F$11)</f>
        <v>9.2878000000000007</v>
      </c>
      <c r="C287" s="8">
        <f>CHOOSE( CONTROL!$C$32, 9.2957, 9.2921) * CHOOSE(CONTROL!$C$15, $D$11, 100%, $F$11)</f>
        <v>9.2957000000000001</v>
      </c>
      <c r="D287" s="8">
        <f>CHOOSE( CONTROL!$C$32, 9.3339, 9.3303) * CHOOSE( CONTROL!$C$15, $D$11, 100%, $F$11)</f>
        <v>9.3338999999999999</v>
      </c>
      <c r="E287" s="12">
        <f>CHOOSE( CONTROL!$C$32, 9.3189, 9.3152) * CHOOSE( CONTROL!$C$15, $D$11, 100%, $F$11)</f>
        <v>9.3188999999999993</v>
      </c>
      <c r="F287" s="4">
        <f>CHOOSE( CONTROL!$C$32, 10.0308, 10.0271) * CHOOSE(CONTROL!$C$15, $D$11, 100%, $F$11)</f>
        <v>10.030799999999999</v>
      </c>
      <c r="G287" s="8">
        <f>CHOOSE( CONTROL!$C$32, 9.1856, 9.182) * CHOOSE( CONTROL!$C$15, $D$11, 100%, $F$11)</f>
        <v>9.1856000000000009</v>
      </c>
      <c r="H287" s="4">
        <f>CHOOSE( CONTROL!$C$32, 10.1599, 10.1563) * CHOOSE(CONTROL!$C$15, $D$11, 100%, $F$11)</f>
        <v>10.1599</v>
      </c>
      <c r="I287" s="8">
        <f>CHOOSE( CONTROL!$C$32, 9.1512, 9.1476) * CHOOSE(CONTROL!$C$15, $D$11, 100%, $F$11)</f>
        <v>9.1511999999999993</v>
      </c>
      <c r="J287" s="4">
        <f>CHOOSE( CONTROL!$C$32, 9.0029, 8.9994) * CHOOSE(CONTROL!$C$15, $D$11, 100%, $F$11)</f>
        <v>9.0029000000000003</v>
      </c>
      <c r="K287" s="4"/>
      <c r="L287" s="9">
        <v>30.7165</v>
      </c>
      <c r="M287" s="9">
        <v>12.063700000000001</v>
      </c>
      <c r="N287" s="9">
        <v>4.9444999999999997</v>
      </c>
      <c r="O287" s="9">
        <v>0.37409999999999999</v>
      </c>
      <c r="P287" s="9">
        <v>1.2183999999999999</v>
      </c>
      <c r="Q287" s="9">
        <v>30.5152</v>
      </c>
      <c r="R287" s="9"/>
      <c r="S287" s="11"/>
    </row>
    <row r="288" spans="1:19" ht="15.75">
      <c r="A288" s="14">
        <v>50253</v>
      </c>
      <c r="B288" s="8">
        <f>CHOOSE( CONTROL!$C$32, 8.572, 8.5683) * CHOOSE(CONTROL!$C$15, $D$11, 100%, $F$11)</f>
        <v>8.5719999999999992</v>
      </c>
      <c r="C288" s="8">
        <f>CHOOSE( CONTROL!$C$32, 8.5799, 8.5763) * CHOOSE(CONTROL!$C$15, $D$11, 100%, $F$11)</f>
        <v>8.5799000000000003</v>
      </c>
      <c r="D288" s="8">
        <f>CHOOSE( CONTROL!$C$32, 8.6182, 8.6145) * CHOOSE( CONTROL!$C$15, $D$11, 100%, $F$11)</f>
        <v>8.6181999999999999</v>
      </c>
      <c r="E288" s="12">
        <f>CHOOSE( CONTROL!$C$32, 8.6031, 8.5994) * CHOOSE( CONTROL!$C$15, $D$11, 100%, $F$11)</f>
        <v>8.6030999999999995</v>
      </c>
      <c r="F288" s="4">
        <f>CHOOSE( CONTROL!$C$32, 9.315, 9.3113) * CHOOSE(CONTROL!$C$15, $D$11, 100%, $F$11)</f>
        <v>9.3149999999999995</v>
      </c>
      <c r="G288" s="8">
        <f>CHOOSE( CONTROL!$C$32, 8.4782, 8.4746) * CHOOSE( CONTROL!$C$15, $D$11, 100%, $F$11)</f>
        <v>8.4781999999999993</v>
      </c>
      <c r="H288" s="4">
        <f>CHOOSE( CONTROL!$C$32, 9.4525, 9.4489) * CHOOSE(CONTROL!$C$15, $D$11, 100%, $F$11)</f>
        <v>9.4525000000000006</v>
      </c>
      <c r="I288" s="8">
        <f>CHOOSE( CONTROL!$C$32, 8.4564, 8.4529) * CHOOSE(CONTROL!$C$15, $D$11, 100%, $F$11)</f>
        <v>8.4564000000000004</v>
      </c>
      <c r="J288" s="4">
        <f>CHOOSE( CONTROL!$C$32, 8.3083, 8.3047) * CHOOSE(CONTROL!$C$15, $D$11, 100%, $F$11)</f>
        <v>8.3082999999999991</v>
      </c>
      <c r="K288" s="4"/>
      <c r="L288" s="9">
        <v>30.7165</v>
      </c>
      <c r="M288" s="9">
        <v>12.063700000000001</v>
      </c>
      <c r="N288" s="9">
        <v>4.9444999999999997</v>
      </c>
      <c r="O288" s="9">
        <v>0.37409999999999999</v>
      </c>
      <c r="P288" s="9">
        <v>1.2183999999999999</v>
      </c>
      <c r="Q288" s="9">
        <v>30.5152</v>
      </c>
      <c r="R288" s="9"/>
      <c r="S288" s="11"/>
    </row>
    <row r="289" spans="1:19" ht="15.75">
      <c r="A289" s="14">
        <v>50284</v>
      </c>
      <c r="B289" s="8">
        <f>CHOOSE( CONTROL!$C$32, 8.3927, 8.3891) * CHOOSE(CONTROL!$C$15, $D$11, 100%, $F$11)</f>
        <v>8.3926999999999996</v>
      </c>
      <c r="C289" s="8">
        <f>CHOOSE( CONTROL!$C$32, 8.4007, 8.397) * CHOOSE(CONTROL!$C$15, $D$11, 100%, $F$11)</f>
        <v>8.4007000000000005</v>
      </c>
      <c r="D289" s="8">
        <f>CHOOSE( CONTROL!$C$32, 8.4389, 8.4352) * CHOOSE( CONTROL!$C$15, $D$11, 100%, $F$11)</f>
        <v>8.4389000000000003</v>
      </c>
      <c r="E289" s="12">
        <f>CHOOSE( CONTROL!$C$32, 8.4238, 8.4202) * CHOOSE( CONTROL!$C$15, $D$11, 100%, $F$11)</f>
        <v>8.4238</v>
      </c>
      <c r="F289" s="4">
        <f>CHOOSE( CONTROL!$C$32, 9.1357, 9.1321) * CHOOSE(CONTROL!$C$15, $D$11, 100%, $F$11)</f>
        <v>9.1356999999999999</v>
      </c>
      <c r="G289" s="8">
        <f>CHOOSE( CONTROL!$C$32, 8.301, 8.2974) * CHOOSE( CONTROL!$C$15, $D$11, 100%, $F$11)</f>
        <v>8.3010000000000002</v>
      </c>
      <c r="H289" s="4">
        <f>CHOOSE( CONTROL!$C$32, 9.2754, 9.2718) * CHOOSE(CONTROL!$C$15, $D$11, 100%, $F$11)</f>
        <v>9.2753999999999994</v>
      </c>
      <c r="I289" s="8">
        <f>CHOOSE( CONTROL!$C$32, 8.282, 8.2785) * CHOOSE(CONTROL!$C$15, $D$11, 100%, $F$11)</f>
        <v>8.282</v>
      </c>
      <c r="J289" s="4">
        <f>CHOOSE( CONTROL!$C$32, 8.1343, 8.1308) * CHOOSE(CONTROL!$C$15, $D$11, 100%, $F$11)</f>
        <v>8.1342999999999996</v>
      </c>
      <c r="K289" s="4"/>
      <c r="L289" s="9">
        <v>29.7257</v>
      </c>
      <c r="M289" s="9">
        <v>11.6745</v>
      </c>
      <c r="N289" s="9">
        <v>4.7850000000000001</v>
      </c>
      <c r="O289" s="9">
        <v>0.36199999999999999</v>
      </c>
      <c r="P289" s="9">
        <v>1.1791</v>
      </c>
      <c r="Q289" s="9">
        <v>29.530799999999999</v>
      </c>
      <c r="R289" s="9"/>
      <c r="S289" s="11"/>
    </row>
    <row r="290" spans="1:19" ht="15.75">
      <c r="A290" s="14">
        <v>50314</v>
      </c>
      <c r="B290" s="8">
        <f>8.7595 * CHOOSE(CONTROL!$C$15, $D$11, 100%, $F$11)</f>
        <v>8.7594999999999992</v>
      </c>
      <c r="C290" s="8">
        <f>8.7648 * CHOOSE(CONTROL!$C$15, $D$11, 100%, $F$11)</f>
        <v>8.7647999999999993</v>
      </c>
      <c r="D290" s="8">
        <f>8.8084 * CHOOSE( CONTROL!$C$15, $D$11, 100%, $F$11)</f>
        <v>8.8084000000000007</v>
      </c>
      <c r="E290" s="12">
        <f>8.7934 * CHOOSE( CONTROL!$C$15, $D$11, 100%, $F$11)</f>
        <v>8.7934000000000001</v>
      </c>
      <c r="F290" s="4">
        <f>9.5042 * CHOOSE(CONTROL!$C$15, $D$11, 100%, $F$11)</f>
        <v>9.5042000000000009</v>
      </c>
      <c r="G290" s="8">
        <f>8.6647 * CHOOSE( CONTROL!$C$15, $D$11, 100%, $F$11)</f>
        <v>8.6646999999999998</v>
      </c>
      <c r="H290" s="4">
        <f>9.6396 * CHOOSE(CONTROL!$C$15, $D$11, 100%, $F$11)</f>
        <v>9.6395999999999997</v>
      </c>
      <c r="I290" s="8">
        <f>8.6406 * CHOOSE(CONTROL!$C$15, $D$11, 100%, $F$11)</f>
        <v>8.6405999999999992</v>
      </c>
      <c r="J290" s="4">
        <f>8.492 * CHOOSE(CONTROL!$C$15, $D$11, 100%, $F$11)</f>
        <v>8.4920000000000009</v>
      </c>
      <c r="K290" s="4"/>
      <c r="L290" s="9">
        <v>31.095300000000002</v>
      </c>
      <c r="M290" s="9">
        <v>12.063700000000001</v>
      </c>
      <c r="N290" s="9">
        <v>4.9444999999999997</v>
      </c>
      <c r="O290" s="9">
        <v>0.37409999999999999</v>
      </c>
      <c r="P290" s="9">
        <v>1.2183999999999999</v>
      </c>
      <c r="Q290" s="9">
        <v>30.5152</v>
      </c>
      <c r="R290" s="9"/>
      <c r="S290" s="11"/>
    </row>
    <row r="291" spans="1:19" ht="15.75">
      <c r="A291" s="14">
        <v>50345</v>
      </c>
      <c r="B291" s="8">
        <f>9.4461 * CHOOSE(CONTROL!$C$15, $D$11, 100%, $F$11)</f>
        <v>9.4460999999999995</v>
      </c>
      <c r="C291" s="8">
        <f>9.4511 * CHOOSE(CONTROL!$C$15, $D$11, 100%, $F$11)</f>
        <v>9.4511000000000003</v>
      </c>
      <c r="D291" s="8">
        <f>9.4348 * CHOOSE( CONTROL!$C$15, $D$11, 100%, $F$11)</f>
        <v>9.4347999999999992</v>
      </c>
      <c r="E291" s="12">
        <f>9.4402 * CHOOSE( CONTROL!$C$15, $D$11, 100%, $F$11)</f>
        <v>9.4402000000000008</v>
      </c>
      <c r="F291" s="4">
        <f>10.1114 * CHOOSE(CONTROL!$C$15, $D$11, 100%, $F$11)</f>
        <v>10.1114</v>
      </c>
      <c r="G291" s="8">
        <f>9.3442 * CHOOSE( CONTROL!$C$15, $D$11, 100%, $F$11)</f>
        <v>9.3442000000000007</v>
      </c>
      <c r="H291" s="4">
        <f>10.2396 * CHOOSE(CONTROL!$C$15, $D$11, 100%, $F$11)</f>
        <v>10.239599999999999</v>
      </c>
      <c r="I291" s="8">
        <f>9.3077 * CHOOSE(CONTROL!$C$15, $D$11, 100%, $F$11)</f>
        <v>9.3077000000000005</v>
      </c>
      <c r="J291" s="4">
        <f>9.1587 * CHOOSE(CONTROL!$C$15, $D$11, 100%, $F$11)</f>
        <v>9.1586999999999996</v>
      </c>
      <c r="K291" s="4"/>
      <c r="L291" s="9">
        <v>28.360600000000002</v>
      </c>
      <c r="M291" s="9">
        <v>11.6745</v>
      </c>
      <c r="N291" s="9">
        <v>4.7850000000000001</v>
      </c>
      <c r="O291" s="9">
        <v>0.36199999999999999</v>
      </c>
      <c r="P291" s="9">
        <v>1.2509999999999999</v>
      </c>
      <c r="Q291" s="9">
        <v>29.530799999999999</v>
      </c>
      <c r="R291" s="9"/>
      <c r="S291" s="11"/>
    </row>
    <row r="292" spans="1:19" ht="15.75">
      <c r="A292" s="14">
        <v>50375</v>
      </c>
      <c r="B292" s="8">
        <f>9.4289 * CHOOSE(CONTROL!$C$15, $D$11, 100%, $F$11)</f>
        <v>9.4289000000000005</v>
      </c>
      <c r="C292" s="8">
        <f>9.434 * CHOOSE(CONTROL!$C$15, $D$11, 100%, $F$11)</f>
        <v>9.4339999999999993</v>
      </c>
      <c r="D292" s="8">
        <f>9.4194 * CHOOSE( CONTROL!$C$15, $D$11, 100%, $F$11)</f>
        <v>9.4193999999999996</v>
      </c>
      <c r="E292" s="12">
        <f>9.4242 * CHOOSE( CONTROL!$C$15, $D$11, 100%, $F$11)</f>
        <v>9.4242000000000008</v>
      </c>
      <c r="F292" s="4">
        <f>10.0942 * CHOOSE(CONTROL!$C$15, $D$11, 100%, $F$11)</f>
        <v>10.094200000000001</v>
      </c>
      <c r="G292" s="8">
        <f>9.3285 * CHOOSE( CONTROL!$C$15, $D$11, 100%, $F$11)</f>
        <v>9.3285</v>
      </c>
      <c r="H292" s="4">
        <f>10.2226 * CHOOSE(CONTROL!$C$15, $D$11, 100%, $F$11)</f>
        <v>10.2226</v>
      </c>
      <c r="I292" s="8">
        <f>9.2965 * CHOOSE(CONTROL!$C$15, $D$11, 100%, $F$11)</f>
        <v>9.2965</v>
      </c>
      <c r="J292" s="4">
        <f>9.142 * CHOOSE(CONTROL!$C$15, $D$11, 100%, $F$11)</f>
        <v>9.1419999999999995</v>
      </c>
      <c r="K292" s="4"/>
      <c r="L292" s="9">
        <v>29.306000000000001</v>
      </c>
      <c r="M292" s="9">
        <v>12.063700000000001</v>
      </c>
      <c r="N292" s="9">
        <v>4.9444999999999997</v>
      </c>
      <c r="O292" s="9">
        <v>0.37409999999999999</v>
      </c>
      <c r="P292" s="9">
        <v>1.2927</v>
      </c>
      <c r="Q292" s="9">
        <v>30.5152</v>
      </c>
      <c r="R292" s="9"/>
      <c r="S292" s="11"/>
    </row>
    <row r="293" spans="1:19" ht="15.75">
      <c r="A293" s="13">
        <v>50436</v>
      </c>
      <c r="B293" s="8">
        <f>9.7068 * CHOOSE(CONTROL!$C$15, $D$11, 100%, $F$11)</f>
        <v>9.7067999999999994</v>
      </c>
      <c r="C293" s="8">
        <f>9.7118 * CHOOSE(CONTROL!$C$15, $D$11, 100%, $F$11)</f>
        <v>9.7118000000000002</v>
      </c>
      <c r="D293" s="8">
        <f>9.683 * CHOOSE( CONTROL!$C$15, $D$11, 100%, $F$11)</f>
        <v>9.6829999999999998</v>
      </c>
      <c r="E293" s="12">
        <f>9.693 * CHOOSE( CONTROL!$C$15, $D$11, 100%, $F$11)</f>
        <v>9.6929999999999996</v>
      </c>
      <c r="F293" s="4">
        <f>10.372 * CHOOSE(CONTROL!$C$15, $D$11, 100%, $F$11)</f>
        <v>10.372</v>
      </c>
      <c r="G293" s="8">
        <f>9.5928 * CHOOSE( CONTROL!$C$15, $D$11, 100%, $F$11)</f>
        <v>9.5928000000000004</v>
      </c>
      <c r="H293" s="4">
        <f>10.4972 * CHOOSE(CONTROL!$C$15, $D$11, 100%, $F$11)</f>
        <v>10.497199999999999</v>
      </c>
      <c r="I293" s="8">
        <f>9.5609 * CHOOSE(CONTROL!$C$15, $D$11, 100%, $F$11)</f>
        <v>9.5609000000000002</v>
      </c>
      <c r="J293" s="4">
        <f>9.4117 * CHOOSE(CONTROL!$C$15, $D$11, 100%, $F$11)</f>
        <v>9.4116999999999997</v>
      </c>
      <c r="K293" s="4"/>
      <c r="L293" s="9">
        <v>29.306000000000001</v>
      </c>
      <c r="M293" s="9">
        <v>12.063700000000001</v>
      </c>
      <c r="N293" s="9">
        <v>4.9444999999999997</v>
      </c>
      <c r="O293" s="9">
        <v>0.37409999999999999</v>
      </c>
      <c r="P293" s="9">
        <v>1.2927</v>
      </c>
      <c r="Q293" s="9">
        <v>30.451899999999998</v>
      </c>
      <c r="R293" s="9"/>
      <c r="S293" s="11"/>
    </row>
    <row r="294" spans="1:19" ht="15.75">
      <c r="A294" s="13">
        <v>50464</v>
      </c>
      <c r="B294" s="8">
        <f>9.0798 * CHOOSE(CONTROL!$C$15, $D$11, 100%, $F$11)</f>
        <v>9.0798000000000005</v>
      </c>
      <c r="C294" s="8">
        <f>9.0849 * CHOOSE(CONTROL!$C$15, $D$11, 100%, $F$11)</f>
        <v>9.0848999999999993</v>
      </c>
      <c r="D294" s="8">
        <f>9.056 * CHOOSE( CONTROL!$C$15, $D$11, 100%, $F$11)</f>
        <v>9.0559999999999992</v>
      </c>
      <c r="E294" s="12">
        <f>9.066 * CHOOSE( CONTROL!$C$15, $D$11, 100%, $F$11)</f>
        <v>9.0660000000000007</v>
      </c>
      <c r="F294" s="4">
        <f>9.7451 * CHOOSE(CONTROL!$C$15, $D$11, 100%, $F$11)</f>
        <v>9.7451000000000008</v>
      </c>
      <c r="G294" s="8">
        <f>8.9732 * CHOOSE( CONTROL!$C$15, $D$11, 100%, $F$11)</f>
        <v>8.9732000000000003</v>
      </c>
      <c r="H294" s="4">
        <f>9.8776 * CHOOSE(CONTROL!$C$15, $D$11, 100%, $F$11)</f>
        <v>9.8775999999999993</v>
      </c>
      <c r="I294" s="8">
        <f>8.9521 * CHOOSE(CONTROL!$C$15, $D$11, 100%, $F$11)</f>
        <v>8.9520999999999997</v>
      </c>
      <c r="J294" s="4">
        <f>8.8032 * CHOOSE(CONTROL!$C$15, $D$11, 100%, $F$11)</f>
        <v>8.8032000000000004</v>
      </c>
      <c r="K294" s="4"/>
      <c r="L294" s="9">
        <v>26.469899999999999</v>
      </c>
      <c r="M294" s="9">
        <v>10.8962</v>
      </c>
      <c r="N294" s="9">
        <v>4.4660000000000002</v>
      </c>
      <c r="O294" s="9">
        <v>0.33789999999999998</v>
      </c>
      <c r="P294" s="9">
        <v>1.1676</v>
      </c>
      <c r="Q294" s="9">
        <v>27.504999999999999</v>
      </c>
      <c r="R294" s="9"/>
      <c r="S294" s="11"/>
    </row>
    <row r="295" spans="1:19" ht="15.75">
      <c r="A295" s="13">
        <v>50495</v>
      </c>
      <c r="B295" s="8">
        <f>8.8867 * CHOOSE(CONTROL!$C$15, $D$11, 100%, $F$11)</f>
        <v>8.8866999999999994</v>
      </c>
      <c r="C295" s="8">
        <f>8.8918 * CHOOSE(CONTROL!$C$15, $D$11, 100%, $F$11)</f>
        <v>8.8917999999999999</v>
      </c>
      <c r="D295" s="8">
        <f>8.8625 * CHOOSE( CONTROL!$C$15, $D$11, 100%, $F$11)</f>
        <v>8.8625000000000007</v>
      </c>
      <c r="E295" s="12">
        <f>8.8727 * CHOOSE( CONTROL!$C$15, $D$11, 100%, $F$11)</f>
        <v>8.8727</v>
      </c>
      <c r="F295" s="4">
        <f>9.552 * CHOOSE(CONTROL!$C$15, $D$11, 100%, $F$11)</f>
        <v>9.5519999999999996</v>
      </c>
      <c r="G295" s="8">
        <f>8.7821 * CHOOSE( CONTROL!$C$15, $D$11, 100%, $F$11)</f>
        <v>8.7820999999999998</v>
      </c>
      <c r="H295" s="4">
        <f>9.6868 * CHOOSE(CONTROL!$C$15, $D$11, 100%, $F$11)</f>
        <v>9.6867999999999999</v>
      </c>
      <c r="I295" s="8">
        <f>8.7633 * CHOOSE(CONTROL!$C$15, $D$11, 100%, $F$11)</f>
        <v>8.7632999999999992</v>
      </c>
      <c r="J295" s="4">
        <f>8.6158 * CHOOSE(CONTROL!$C$15, $D$11, 100%, $F$11)</f>
        <v>8.6158000000000001</v>
      </c>
      <c r="K295" s="4"/>
      <c r="L295" s="9">
        <v>29.306000000000001</v>
      </c>
      <c r="M295" s="9">
        <v>12.063700000000001</v>
      </c>
      <c r="N295" s="9">
        <v>4.9444999999999997</v>
      </c>
      <c r="O295" s="9">
        <v>0.37409999999999999</v>
      </c>
      <c r="P295" s="9">
        <v>1.2927</v>
      </c>
      <c r="Q295" s="9">
        <v>30.451899999999998</v>
      </c>
      <c r="R295" s="9"/>
      <c r="S295" s="11"/>
    </row>
    <row r="296" spans="1:19" ht="15.75">
      <c r="A296" s="13">
        <v>50525</v>
      </c>
      <c r="B296" s="8">
        <f>9.0224 * CHOOSE(CONTROL!$C$15, $D$11, 100%, $F$11)</f>
        <v>9.0223999999999993</v>
      </c>
      <c r="C296" s="8">
        <f>9.0269 * CHOOSE(CONTROL!$C$15, $D$11, 100%, $F$11)</f>
        <v>9.0268999999999995</v>
      </c>
      <c r="D296" s="8">
        <f>9.0703 * CHOOSE( CONTROL!$C$15, $D$11, 100%, $F$11)</f>
        <v>9.0702999999999996</v>
      </c>
      <c r="E296" s="12">
        <f>9.0555 * CHOOSE( CONTROL!$C$15, $D$11, 100%, $F$11)</f>
        <v>9.0555000000000003</v>
      </c>
      <c r="F296" s="4">
        <f>9.7668 * CHOOSE(CONTROL!$C$15, $D$11, 100%, $F$11)</f>
        <v>9.7667999999999999</v>
      </c>
      <c r="G296" s="8">
        <f>8.9232 * CHOOSE( CONTROL!$C$15, $D$11, 100%, $F$11)</f>
        <v>8.9231999999999996</v>
      </c>
      <c r="H296" s="4">
        <f>9.8991 * CHOOSE(CONTROL!$C$15, $D$11, 100%, $F$11)</f>
        <v>9.8991000000000007</v>
      </c>
      <c r="I296" s="8">
        <f>8.8926 * CHOOSE(CONTROL!$C$15, $D$11, 100%, $F$11)</f>
        <v>8.8925999999999998</v>
      </c>
      <c r="J296" s="4">
        <f>8.7468 * CHOOSE(CONTROL!$C$15, $D$11, 100%, $F$11)</f>
        <v>8.7468000000000004</v>
      </c>
      <c r="K296" s="4"/>
      <c r="L296" s="9">
        <v>30.092199999999998</v>
      </c>
      <c r="M296" s="9">
        <v>11.6745</v>
      </c>
      <c r="N296" s="9">
        <v>4.7850000000000001</v>
      </c>
      <c r="O296" s="9">
        <v>0.36199999999999999</v>
      </c>
      <c r="P296" s="9">
        <v>1.1791</v>
      </c>
      <c r="Q296" s="9">
        <v>29.4696</v>
      </c>
      <c r="R296" s="9"/>
      <c r="S296" s="11"/>
    </row>
    <row r="297" spans="1:19" ht="15.75">
      <c r="A297" s="13">
        <v>50556</v>
      </c>
      <c r="B297" s="8">
        <f>CHOOSE( CONTROL!$C$32, 9.2676, 9.2639) * CHOOSE(CONTROL!$C$15, $D$11, 100%, $F$11)</f>
        <v>9.2675999999999998</v>
      </c>
      <c r="C297" s="8">
        <f>CHOOSE( CONTROL!$C$32, 9.2756, 9.2719) * CHOOSE(CONTROL!$C$15, $D$11, 100%, $F$11)</f>
        <v>9.2756000000000007</v>
      </c>
      <c r="D297" s="8">
        <f>CHOOSE( CONTROL!$C$32, 9.3133, 9.3096) * CHOOSE( CONTROL!$C$15, $D$11, 100%, $F$11)</f>
        <v>9.3132999999999999</v>
      </c>
      <c r="E297" s="12">
        <f>CHOOSE( CONTROL!$C$32, 9.2984, 9.2947) * CHOOSE( CONTROL!$C$15, $D$11, 100%, $F$11)</f>
        <v>9.2984000000000009</v>
      </c>
      <c r="F297" s="4">
        <f>CHOOSE( CONTROL!$C$32, 10.0106, 10.0069) * CHOOSE(CONTROL!$C$15, $D$11, 100%, $F$11)</f>
        <v>10.0106</v>
      </c>
      <c r="G297" s="8">
        <f>CHOOSE( CONTROL!$C$32, 9.1649, 9.1613) * CHOOSE( CONTROL!$C$15, $D$11, 100%, $F$11)</f>
        <v>9.1648999999999994</v>
      </c>
      <c r="H297" s="4">
        <f>CHOOSE( CONTROL!$C$32, 10.14, 10.1364) * CHOOSE(CONTROL!$C$15, $D$11, 100%, $F$11)</f>
        <v>10.14</v>
      </c>
      <c r="I297" s="8">
        <f>CHOOSE( CONTROL!$C$32, 9.1294, 9.1259) * CHOOSE(CONTROL!$C$15, $D$11, 100%, $F$11)</f>
        <v>9.1294000000000004</v>
      </c>
      <c r="J297" s="4">
        <f>CHOOSE( CONTROL!$C$32, 8.9834, 8.9798) * CHOOSE(CONTROL!$C$15, $D$11, 100%, $F$11)</f>
        <v>8.9833999999999996</v>
      </c>
      <c r="K297" s="4"/>
      <c r="L297" s="9">
        <v>30.7165</v>
      </c>
      <c r="M297" s="9">
        <v>12.063700000000001</v>
      </c>
      <c r="N297" s="9">
        <v>4.9444999999999997</v>
      </c>
      <c r="O297" s="9">
        <v>0.37409999999999999</v>
      </c>
      <c r="P297" s="9">
        <v>1.2183999999999999</v>
      </c>
      <c r="Q297" s="9">
        <v>30.451899999999998</v>
      </c>
      <c r="R297" s="9"/>
      <c r="S297" s="11"/>
    </row>
    <row r="298" spans="1:19" ht="15.75">
      <c r="A298" s="13">
        <v>50586</v>
      </c>
      <c r="B298" s="8">
        <f>CHOOSE( CONTROL!$C$32, 9.1188, 9.1152) * CHOOSE(CONTROL!$C$15, $D$11, 100%, $F$11)</f>
        <v>9.1188000000000002</v>
      </c>
      <c r="C298" s="8">
        <f>CHOOSE( CONTROL!$C$32, 9.1268, 9.1231) * CHOOSE(CONTROL!$C$15, $D$11, 100%, $F$11)</f>
        <v>9.1267999999999994</v>
      </c>
      <c r="D298" s="8">
        <f>CHOOSE( CONTROL!$C$32, 9.1647, 9.1611) * CHOOSE( CONTROL!$C$15, $D$11, 100%, $F$11)</f>
        <v>9.1646999999999998</v>
      </c>
      <c r="E298" s="12">
        <f>CHOOSE( CONTROL!$C$32, 9.1497, 9.1461) * CHOOSE( CONTROL!$C$15, $D$11, 100%, $F$11)</f>
        <v>9.1496999999999993</v>
      </c>
      <c r="F298" s="4">
        <f>CHOOSE( CONTROL!$C$32, 9.8618, 9.8582) * CHOOSE(CONTROL!$C$15, $D$11, 100%, $F$11)</f>
        <v>9.8618000000000006</v>
      </c>
      <c r="G298" s="8">
        <f>CHOOSE( CONTROL!$C$32, 9.0183, 9.0147) * CHOOSE( CONTROL!$C$15, $D$11, 100%, $F$11)</f>
        <v>9.0183</v>
      </c>
      <c r="H298" s="4">
        <f>CHOOSE( CONTROL!$C$32, 9.993, 9.9894) * CHOOSE(CONTROL!$C$15, $D$11, 100%, $F$11)</f>
        <v>9.9930000000000003</v>
      </c>
      <c r="I298" s="8">
        <f>CHOOSE( CONTROL!$C$32, 8.986, 8.9825) * CHOOSE(CONTROL!$C$15, $D$11, 100%, $F$11)</f>
        <v>8.9860000000000007</v>
      </c>
      <c r="J298" s="4">
        <f>CHOOSE( CONTROL!$C$32, 8.839, 8.8355) * CHOOSE(CONTROL!$C$15, $D$11, 100%, $F$11)</f>
        <v>8.8390000000000004</v>
      </c>
      <c r="K298" s="4"/>
      <c r="L298" s="9">
        <v>29.7257</v>
      </c>
      <c r="M298" s="9">
        <v>11.6745</v>
      </c>
      <c r="N298" s="9">
        <v>4.7850000000000001</v>
      </c>
      <c r="O298" s="9">
        <v>0.36199999999999999</v>
      </c>
      <c r="P298" s="9">
        <v>1.1791</v>
      </c>
      <c r="Q298" s="9">
        <v>29.4696</v>
      </c>
      <c r="R298" s="9"/>
      <c r="S298" s="11"/>
    </row>
    <row r="299" spans="1:19" ht="15.75">
      <c r="A299" s="13">
        <v>50617</v>
      </c>
      <c r="B299" s="8">
        <f>CHOOSE( CONTROL!$C$32, 9.5106, 9.5069) * CHOOSE(CONTROL!$C$15, $D$11, 100%, $F$11)</f>
        <v>9.5106000000000002</v>
      </c>
      <c r="C299" s="8">
        <f>CHOOSE( CONTROL!$C$32, 9.5185, 9.5149) * CHOOSE(CONTROL!$C$15, $D$11, 100%, $F$11)</f>
        <v>9.5184999999999995</v>
      </c>
      <c r="D299" s="8">
        <f>CHOOSE( CONTROL!$C$32, 9.5567, 9.5531) * CHOOSE( CONTROL!$C$15, $D$11, 100%, $F$11)</f>
        <v>9.5566999999999993</v>
      </c>
      <c r="E299" s="12">
        <f>CHOOSE( CONTROL!$C$32, 9.5417, 9.538) * CHOOSE( CONTROL!$C$15, $D$11, 100%, $F$11)</f>
        <v>9.5417000000000005</v>
      </c>
      <c r="F299" s="4">
        <f>CHOOSE( CONTROL!$C$32, 10.2536, 10.2499) * CHOOSE(CONTROL!$C$15, $D$11, 100%, $F$11)</f>
        <v>10.2536</v>
      </c>
      <c r="G299" s="8">
        <f>CHOOSE( CONTROL!$C$32, 9.4058, 9.4022) * CHOOSE( CONTROL!$C$15, $D$11, 100%, $F$11)</f>
        <v>9.4057999999999993</v>
      </c>
      <c r="H299" s="4">
        <f>CHOOSE( CONTROL!$C$32, 10.3801, 10.3765) * CHOOSE(CONTROL!$C$15, $D$11, 100%, $F$11)</f>
        <v>10.380100000000001</v>
      </c>
      <c r="I299" s="8">
        <f>CHOOSE( CONTROL!$C$32, 9.3675, 9.364) * CHOOSE(CONTROL!$C$15, $D$11, 100%, $F$11)</f>
        <v>9.3674999999999997</v>
      </c>
      <c r="J299" s="4">
        <f>CHOOSE( CONTROL!$C$32, 9.2192, 9.2156) * CHOOSE(CONTROL!$C$15, $D$11, 100%, $F$11)</f>
        <v>9.2192000000000007</v>
      </c>
      <c r="K299" s="4"/>
      <c r="L299" s="9">
        <v>30.7165</v>
      </c>
      <c r="M299" s="9">
        <v>12.063700000000001</v>
      </c>
      <c r="N299" s="9">
        <v>4.9444999999999997</v>
      </c>
      <c r="O299" s="9">
        <v>0.37409999999999999</v>
      </c>
      <c r="P299" s="9">
        <v>1.2183999999999999</v>
      </c>
      <c r="Q299" s="9">
        <v>30.451899999999998</v>
      </c>
      <c r="R299" s="9"/>
      <c r="S299" s="11"/>
    </row>
    <row r="300" spans="1:19" ht="15.75">
      <c r="A300" s="13">
        <v>50648</v>
      </c>
      <c r="B300" s="8">
        <f>CHOOSE( CONTROL!$C$32, 8.7776, 8.7739) * CHOOSE(CONTROL!$C$15, $D$11, 100%, $F$11)</f>
        <v>8.7775999999999996</v>
      </c>
      <c r="C300" s="8">
        <f>CHOOSE( CONTROL!$C$32, 8.7855, 8.7819) * CHOOSE(CONTROL!$C$15, $D$11, 100%, $F$11)</f>
        <v>8.7855000000000008</v>
      </c>
      <c r="D300" s="8">
        <f>CHOOSE( CONTROL!$C$32, 8.8238, 8.8202) * CHOOSE( CONTROL!$C$15, $D$11, 100%, $F$11)</f>
        <v>8.8238000000000003</v>
      </c>
      <c r="E300" s="12">
        <f>CHOOSE( CONTROL!$C$32, 8.8087, 8.8051) * CHOOSE( CONTROL!$C$15, $D$11, 100%, $F$11)</f>
        <v>8.8087</v>
      </c>
      <c r="F300" s="4">
        <f>CHOOSE( CONTROL!$C$32, 9.5206, 9.5169) * CHOOSE(CONTROL!$C$15, $D$11, 100%, $F$11)</f>
        <v>9.5206</v>
      </c>
      <c r="G300" s="8">
        <f>CHOOSE( CONTROL!$C$32, 8.6814, 8.6778) * CHOOSE( CONTROL!$C$15, $D$11, 100%, $F$11)</f>
        <v>8.6814</v>
      </c>
      <c r="H300" s="4">
        <f>CHOOSE( CONTROL!$C$32, 9.6557, 9.6521) * CHOOSE(CONTROL!$C$15, $D$11, 100%, $F$11)</f>
        <v>9.6556999999999995</v>
      </c>
      <c r="I300" s="8">
        <f>CHOOSE( CONTROL!$C$32, 8.6561, 8.6525) * CHOOSE(CONTROL!$C$15, $D$11, 100%, $F$11)</f>
        <v>8.6561000000000003</v>
      </c>
      <c r="J300" s="4">
        <f>CHOOSE( CONTROL!$C$32, 8.5078, 8.5043) * CHOOSE(CONTROL!$C$15, $D$11, 100%, $F$11)</f>
        <v>8.5077999999999996</v>
      </c>
      <c r="K300" s="4"/>
      <c r="L300" s="9">
        <v>30.7165</v>
      </c>
      <c r="M300" s="9">
        <v>12.063700000000001</v>
      </c>
      <c r="N300" s="9">
        <v>4.9444999999999997</v>
      </c>
      <c r="O300" s="9">
        <v>0.37409999999999999</v>
      </c>
      <c r="P300" s="9">
        <v>1.2183999999999999</v>
      </c>
      <c r="Q300" s="9">
        <v>30.451899999999998</v>
      </c>
      <c r="R300" s="9"/>
      <c r="S300" s="11"/>
    </row>
    <row r="301" spans="1:19" ht="15.75">
      <c r="A301" s="13">
        <v>50678</v>
      </c>
      <c r="B301" s="8">
        <f>CHOOSE( CONTROL!$C$32, 8.594, 8.5904) * CHOOSE(CONTROL!$C$15, $D$11, 100%, $F$11)</f>
        <v>8.5939999999999994</v>
      </c>
      <c r="C301" s="8">
        <f>CHOOSE( CONTROL!$C$32, 8.602, 8.5983) * CHOOSE(CONTROL!$C$15, $D$11, 100%, $F$11)</f>
        <v>8.6020000000000003</v>
      </c>
      <c r="D301" s="8">
        <f>CHOOSE( CONTROL!$C$32, 8.6402, 8.6365) * CHOOSE( CONTROL!$C$15, $D$11, 100%, $F$11)</f>
        <v>8.6402000000000001</v>
      </c>
      <c r="E301" s="12">
        <f>CHOOSE( CONTROL!$C$32, 8.6251, 8.6215) * CHOOSE( CONTROL!$C$15, $D$11, 100%, $F$11)</f>
        <v>8.6250999999999998</v>
      </c>
      <c r="F301" s="4">
        <f>CHOOSE( CONTROL!$C$32, 9.337, 9.3334) * CHOOSE(CONTROL!$C$15, $D$11, 100%, $F$11)</f>
        <v>9.3369999999999997</v>
      </c>
      <c r="G301" s="8">
        <f>CHOOSE( CONTROL!$C$32, 8.4999, 8.4963) * CHOOSE( CONTROL!$C$15, $D$11, 100%, $F$11)</f>
        <v>8.4999000000000002</v>
      </c>
      <c r="H301" s="4">
        <f>CHOOSE( CONTROL!$C$32, 9.4743, 9.4707) * CHOOSE(CONTROL!$C$15, $D$11, 100%, $F$11)</f>
        <v>9.4742999999999995</v>
      </c>
      <c r="I301" s="8">
        <f>CHOOSE( CONTROL!$C$32, 8.4775, 8.4739) * CHOOSE(CONTROL!$C$15, $D$11, 100%, $F$11)</f>
        <v>8.4774999999999991</v>
      </c>
      <c r="J301" s="4">
        <f>CHOOSE( CONTROL!$C$32, 8.3297, 8.3261) * CHOOSE(CONTROL!$C$15, $D$11, 100%, $F$11)</f>
        <v>8.3297000000000008</v>
      </c>
      <c r="K301" s="4"/>
      <c r="L301" s="9">
        <v>29.7257</v>
      </c>
      <c r="M301" s="9">
        <v>11.6745</v>
      </c>
      <c r="N301" s="9">
        <v>4.7850000000000001</v>
      </c>
      <c r="O301" s="9">
        <v>0.36199999999999999</v>
      </c>
      <c r="P301" s="9">
        <v>1.1791</v>
      </c>
      <c r="Q301" s="9">
        <v>29.4696</v>
      </c>
      <c r="R301" s="9"/>
      <c r="S301" s="11"/>
    </row>
    <row r="302" spans="1:19" ht="15.75">
      <c r="A302" s="13">
        <v>50709</v>
      </c>
      <c r="B302" s="8">
        <f>8.9698 * CHOOSE(CONTROL!$C$15, $D$11, 100%, $F$11)</f>
        <v>8.9697999999999993</v>
      </c>
      <c r="C302" s="8">
        <f>8.9751 * CHOOSE(CONTROL!$C$15, $D$11, 100%, $F$11)</f>
        <v>8.9750999999999994</v>
      </c>
      <c r="D302" s="8">
        <f>9.0186 * CHOOSE( CONTROL!$C$15, $D$11, 100%, $F$11)</f>
        <v>9.0185999999999993</v>
      </c>
      <c r="E302" s="12">
        <f>9.0037 * CHOOSE( CONTROL!$C$15, $D$11, 100%, $F$11)</f>
        <v>9.0037000000000003</v>
      </c>
      <c r="F302" s="4">
        <f>9.7145 * CHOOSE(CONTROL!$C$15, $D$11, 100%, $F$11)</f>
        <v>9.7144999999999992</v>
      </c>
      <c r="G302" s="8">
        <f>8.8725 * CHOOSE( CONTROL!$C$15, $D$11, 100%, $F$11)</f>
        <v>8.8725000000000005</v>
      </c>
      <c r="H302" s="4">
        <f>9.8474 * CHOOSE(CONTROL!$C$15, $D$11, 100%, $F$11)</f>
        <v>9.8474000000000004</v>
      </c>
      <c r="I302" s="8">
        <f>8.8447 * CHOOSE(CONTROL!$C$15, $D$11, 100%, $F$11)</f>
        <v>8.8446999999999996</v>
      </c>
      <c r="J302" s="4">
        <f>8.696 * CHOOSE(CONTROL!$C$15, $D$11, 100%, $F$11)</f>
        <v>8.6959999999999997</v>
      </c>
      <c r="K302" s="4"/>
      <c r="L302" s="9">
        <v>31.095300000000002</v>
      </c>
      <c r="M302" s="9">
        <v>12.063700000000001</v>
      </c>
      <c r="N302" s="9">
        <v>4.9444999999999997</v>
      </c>
      <c r="O302" s="9">
        <v>0.37409999999999999</v>
      </c>
      <c r="P302" s="9">
        <v>1.2183999999999999</v>
      </c>
      <c r="Q302" s="9">
        <v>30.451899999999998</v>
      </c>
      <c r="R302" s="9"/>
      <c r="S302" s="11"/>
    </row>
    <row r="303" spans="1:19" ht="15.75">
      <c r="A303" s="13">
        <v>50739</v>
      </c>
      <c r="B303" s="8">
        <f>9.6728 * CHOOSE(CONTROL!$C$15, $D$11, 100%, $F$11)</f>
        <v>9.6728000000000005</v>
      </c>
      <c r="C303" s="8">
        <f>9.6779 * CHOOSE(CONTROL!$C$15, $D$11, 100%, $F$11)</f>
        <v>9.6778999999999993</v>
      </c>
      <c r="D303" s="8">
        <f>9.6615 * CHOOSE( CONTROL!$C$15, $D$11, 100%, $F$11)</f>
        <v>9.6615000000000002</v>
      </c>
      <c r="E303" s="12">
        <f>9.667 * CHOOSE( CONTROL!$C$15, $D$11, 100%, $F$11)</f>
        <v>9.6669999999999998</v>
      </c>
      <c r="F303" s="4">
        <f>10.3381 * CHOOSE(CONTROL!$C$15, $D$11, 100%, $F$11)</f>
        <v>10.338100000000001</v>
      </c>
      <c r="G303" s="8">
        <f>9.5683 * CHOOSE( CONTROL!$C$15, $D$11, 100%, $F$11)</f>
        <v>9.5683000000000007</v>
      </c>
      <c r="H303" s="4">
        <f>10.4637 * CHOOSE(CONTROL!$C$15, $D$11, 100%, $F$11)</f>
        <v>10.463699999999999</v>
      </c>
      <c r="I303" s="8">
        <f>9.5279 * CHOOSE(CONTROL!$C$15, $D$11, 100%, $F$11)</f>
        <v>9.5279000000000007</v>
      </c>
      <c r="J303" s="4">
        <f>9.3787 * CHOOSE(CONTROL!$C$15, $D$11, 100%, $F$11)</f>
        <v>9.3787000000000003</v>
      </c>
      <c r="K303" s="4"/>
      <c r="L303" s="9">
        <v>28.360600000000002</v>
      </c>
      <c r="M303" s="9">
        <v>11.6745</v>
      </c>
      <c r="N303" s="9">
        <v>4.7850000000000001</v>
      </c>
      <c r="O303" s="9">
        <v>0.36199999999999999</v>
      </c>
      <c r="P303" s="9">
        <v>1.2509999999999999</v>
      </c>
      <c r="Q303" s="9">
        <v>29.4696</v>
      </c>
      <c r="R303" s="9"/>
      <c r="S303" s="11"/>
    </row>
    <row r="304" spans="1:19" ht="15.75">
      <c r="A304" s="13">
        <v>50770</v>
      </c>
      <c r="B304" s="8">
        <f>9.6552 * CHOOSE(CONTROL!$C$15, $D$11, 100%, $F$11)</f>
        <v>9.6552000000000007</v>
      </c>
      <c r="C304" s="8">
        <f>9.6603 * CHOOSE(CONTROL!$C$15, $D$11, 100%, $F$11)</f>
        <v>9.6602999999999994</v>
      </c>
      <c r="D304" s="8">
        <f>9.6457 * CHOOSE( CONTROL!$C$15, $D$11, 100%, $F$11)</f>
        <v>9.6456999999999997</v>
      </c>
      <c r="E304" s="12">
        <f>9.6505 * CHOOSE( CONTROL!$C$15, $D$11, 100%, $F$11)</f>
        <v>9.6504999999999992</v>
      </c>
      <c r="F304" s="4">
        <f>10.3205 * CHOOSE(CONTROL!$C$15, $D$11, 100%, $F$11)</f>
        <v>10.320499999999999</v>
      </c>
      <c r="G304" s="8">
        <f>9.5522 * CHOOSE( CONTROL!$C$15, $D$11, 100%, $F$11)</f>
        <v>9.5521999999999991</v>
      </c>
      <c r="H304" s="4">
        <f>10.4463 * CHOOSE(CONTROL!$C$15, $D$11, 100%, $F$11)</f>
        <v>10.446300000000001</v>
      </c>
      <c r="I304" s="8">
        <f>9.5162 * CHOOSE(CONTROL!$C$15, $D$11, 100%, $F$11)</f>
        <v>9.5161999999999995</v>
      </c>
      <c r="J304" s="4">
        <f>9.3617 * CHOOSE(CONTROL!$C$15, $D$11, 100%, $F$11)</f>
        <v>9.3617000000000008</v>
      </c>
      <c r="K304" s="4"/>
      <c r="L304" s="9">
        <v>29.306000000000001</v>
      </c>
      <c r="M304" s="9">
        <v>12.063700000000001</v>
      </c>
      <c r="N304" s="9">
        <v>4.9444999999999997</v>
      </c>
      <c r="O304" s="9">
        <v>0.37409999999999999</v>
      </c>
      <c r="P304" s="9">
        <v>1.2927</v>
      </c>
      <c r="Q304" s="9">
        <v>30.451899999999998</v>
      </c>
      <c r="R304" s="9"/>
      <c r="S304" s="11"/>
    </row>
    <row r="305" spans="1:19" ht="15.75">
      <c r="A305" s="13">
        <v>50801</v>
      </c>
      <c r="B305" s="8">
        <f>9.9398 * CHOOSE(CONTROL!$C$15, $D$11, 100%, $F$11)</f>
        <v>9.9398</v>
      </c>
      <c r="C305" s="8">
        <f>9.9449 * CHOOSE(CONTROL!$C$15, $D$11, 100%, $F$11)</f>
        <v>9.9449000000000005</v>
      </c>
      <c r="D305" s="8">
        <f>9.916 * CHOOSE( CONTROL!$C$15, $D$11, 100%, $F$11)</f>
        <v>9.9160000000000004</v>
      </c>
      <c r="E305" s="12">
        <f>9.926 * CHOOSE( CONTROL!$C$15, $D$11, 100%, $F$11)</f>
        <v>9.9260000000000002</v>
      </c>
      <c r="F305" s="4">
        <f>10.6051 * CHOOSE(CONTROL!$C$15, $D$11, 100%, $F$11)</f>
        <v>10.6051</v>
      </c>
      <c r="G305" s="8">
        <f>9.8231 * CHOOSE( CONTROL!$C$15, $D$11, 100%, $F$11)</f>
        <v>9.8231000000000002</v>
      </c>
      <c r="H305" s="4">
        <f>10.7275 * CHOOSE(CONTROL!$C$15, $D$11, 100%, $F$11)</f>
        <v>10.727499999999999</v>
      </c>
      <c r="I305" s="8">
        <f>9.7871 * CHOOSE(CONTROL!$C$15, $D$11, 100%, $F$11)</f>
        <v>9.7871000000000006</v>
      </c>
      <c r="J305" s="4">
        <f>9.6378 * CHOOSE(CONTROL!$C$15, $D$11, 100%, $F$11)</f>
        <v>9.6378000000000004</v>
      </c>
      <c r="K305" s="4"/>
      <c r="L305" s="9">
        <v>29.306000000000001</v>
      </c>
      <c r="M305" s="9">
        <v>12.063700000000001</v>
      </c>
      <c r="N305" s="9">
        <v>4.9444999999999997</v>
      </c>
      <c r="O305" s="9">
        <v>0.37409999999999999</v>
      </c>
      <c r="P305" s="9">
        <v>1.2927</v>
      </c>
      <c r="Q305" s="9">
        <v>30.386800000000001</v>
      </c>
      <c r="R305" s="9"/>
      <c r="S305" s="11"/>
    </row>
    <row r="306" spans="1:19" ht="15.75">
      <c r="A306" s="13">
        <v>50829</v>
      </c>
      <c r="B306" s="8">
        <f>9.2978 * CHOOSE(CONTROL!$C$15, $D$11, 100%, $F$11)</f>
        <v>9.2978000000000005</v>
      </c>
      <c r="C306" s="8">
        <f>9.3028 * CHOOSE(CONTROL!$C$15, $D$11, 100%, $F$11)</f>
        <v>9.3027999999999995</v>
      </c>
      <c r="D306" s="8">
        <f>9.274 * CHOOSE( CONTROL!$C$15, $D$11, 100%, $F$11)</f>
        <v>9.2739999999999991</v>
      </c>
      <c r="E306" s="12">
        <f>9.284 * CHOOSE( CONTROL!$C$15, $D$11, 100%, $F$11)</f>
        <v>9.2840000000000007</v>
      </c>
      <c r="F306" s="4">
        <f>9.963 * CHOOSE(CONTROL!$C$15, $D$11, 100%, $F$11)</f>
        <v>9.9629999999999992</v>
      </c>
      <c r="G306" s="8">
        <f>9.1886 * CHOOSE( CONTROL!$C$15, $D$11, 100%, $F$11)</f>
        <v>9.1885999999999992</v>
      </c>
      <c r="H306" s="4">
        <f>10.093 * CHOOSE(CONTROL!$C$15, $D$11, 100%, $F$11)</f>
        <v>10.093</v>
      </c>
      <c r="I306" s="8">
        <f>9.1637 * CHOOSE(CONTROL!$C$15, $D$11, 100%, $F$11)</f>
        <v>9.1637000000000004</v>
      </c>
      <c r="J306" s="4">
        <f>9.0147 * CHOOSE(CONTROL!$C$15, $D$11, 100%, $F$11)</f>
        <v>9.0146999999999995</v>
      </c>
      <c r="K306" s="4"/>
      <c r="L306" s="9">
        <v>26.469899999999999</v>
      </c>
      <c r="M306" s="9">
        <v>10.8962</v>
      </c>
      <c r="N306" s="9">
        <v>4.4660000000000002</v>
      </c>
      <c r="O306" s="9">
        <v>0.33789999999999998</v>
      </c>
      <c r="P306" s="9">
        <v>1.1676</v>
      </c>
      <c r="Q306" s="9">
        <v>27.446200000000001</v>
      </c>
      <c r="R306" s="9"/>
      <c r="S306" s="11"/>
    </row>
    <row r="307" spans="1:19" ht="15.75">
      <c r="A307" s="13">
        <v>50860</v>
      </c>
      <c r="B307" s="8">
        <f>9.1 * CHOOSE(CONTROL!$C$15, $D$11, 100%, $F$11)</f>
        <v>9.1</v>
      </c>
      <c r="C307" s="8">
        <f>9.1051 * CHOOSE(CONTROL!$C$15, $D$11, 100%, $F$11)</f>
        <v>9.1051000000000002</v>
      </c>
      <c r="D307" s="8">
        <f>9.0758 * CHOOSE( CONTROL!$C$15, $D$11, 100%, $F$11)</f>
        <v>9.0757999999999992</v>
      </c>
      <c r="E307" s="12">
        <f>9.086 * CHOOSE( CONTROL!$C$15, $D$11, 100%, $F$11)</f>
        <v>9.0860000000000003</v>
      </c>
      <c r="F307" s="4">
        <f>9.7653 * CHOOSE(CONTROL!$C$15, $D$11, 100%, $F$11)</f>
        <v>9.7652999999999999</v>
      </c>
      <c r="G307" s="8">
        <f>8.9929 * CHOOSE( CONTROL!$C$15, $D$11, 100%, $F$11)</f>
        <v>8.9929000000000006</v>
      </c>
      <c r="H307" s="4">
        <f>9.8976 * CHOOSE(CONTROL!$C$15, $D$11, 100%, $F$11)</f>
        <v>9.8976000000000006</v>
      </c>
      <c r="I307" s="8">
        <f>8.9705 * CHOOSE(CONTROL!$C$15, $D$11, 100%, $F$11)</f>
        <v>8.9704999999999995</v>
      </c>
      <c r="J307" s="4">
        <f>8.8228 * CHOOSE(CONTROL!$C$15, $D$11, 100%, $F$11)</f>
        <v>8.8228000000000009</v>
      </c>
      <c r="K307" s="4"/>
      <c r="L307" s="9">
        <v>29.306000000000001</v>
      </c>
      <c r="M307" s="9">
        <v>12.063700000000001</v>
      </c>
      <c r="N307" s="9">
        <v>4.9444999999999997</v>
      </c>
      <c r="O307" s="9">
        <v>0.37409999999999999</v>
      </c>
      <c r="P307" s="9">
        <v>1.2927</v>
      </c>
      <c r="Q307" s="9">
        <v>30.386800000000001</v>
      </c>
      <c r="R307" s="9"/>
      <c r="S307" s="11"/>
    </row>
    <row r="308" spans="1:19" ht="15.75">
      <c r="A308" s="13">
        <v>50890</v>
      </c>
      <c r="B308" s="8">
        <f>9.239 * CHOOSE(CONTROL!$C$15, $D$11, 100%, $F$11)</f>
        <v>9.2390000000000008</v>
      </c>
      <c r="C308" s="8">
        <f>9.2435 * CHOOSE(CONTROL!$C$15, $D$11, 100%, $F$11)</f>
        <v>9.2434999999999992</v>
      </c>
      <c r="D308" s="8">
        <f>9.2869 * CHOOSE( CONTROL!$C$15, $D$11, 100%, $F$11)</f>
        <v>9.2868999999999993</v>
      </c>
      <c r="E308" s="12">
        <f>9.2721 * CHOOSE( CONTROL!$C$15, $D$11, 100%, $F$11)</f>
        <v>9.2721</v>
      </c>
      <c r="F308" s="4">
        <f>9.9833 * CHOOSE(CONTROL!$C$15, $D$11, 100%, $F$11)</f>
        <v>9.9832999999999998</v>
      </c>
      <c r="G308" s="8">
        <f>9.1372 * CHOOSE( CONTROL!$C$15, $D$11, 100%, $F$11)</f>
        <v>9.1372</v>
      </c>
      <c r="H308" s="4">
        <f>10.1131 * CHOOSE(CONTROL!$C$15, $D$11, 100%, $F$11)</f>
        <v>10.113099999999999</v>
      </c>
      <c r="I308" s="8">
        <f>9.1028 * CHOOSE(CONTROL!$C$15, $D$11, 100%, $F$11)</f>
        <v>9.1028000000000002</v>
      </c>
      <c r="J308" s="4">
        <f>8.9569 * CHOOSE(CONTROL!$C$15, $D$11, 100%, $F$11)</f>
        <v>8.9568999999999992</v>
      </c>
      <c r="K308" s="4"/>
      <c r="L308" s="9">
        <v>30.092199999999998</v>
      </c>
      <c r="M308" s="9">
        <v>11.6745</v>
      </c>
      <c r="N308" s="9">
        <v>4.7850000000000001</v>
      </c>
      <c r="O308" s="9">
        <v>0.36199999999999999</v>
      </c>
      <c r="P308" s="9">
        <v>1.1791</v>
      </c>
      <c r="Q308" s="9">
        <v>29.406600000000001</v>
      </c>
      <c r="R308" s="9"/>
      <c r="S308" s="11"/>
    </row>
    <row r="309" spans="1:19" ht="15.75">
      <c r="A309" s="13">
        <v>50921</v>
      </c>
      <c r="B309" s="8">
        <f>CHOOSE( CONTROL!$C$32, 9.4899, 9.4863) * CHOOSE(CONTROL!$C$15, $D$11, 100%, $F$11)</f>
        <v>9.4899000000000004</v>
      </c>
      <c r="C309" s="8">
        <f>CHOOSE( CONTROL!$C$32, 9.4979, 9.4942) * CHOOSE(CONTROL!$C$15, $D$11, 100%, $F$11)</f>
        <v>9.4978999999999996</v>
      </c>
      <c r="D309" s="8">
        <f>CHOOSE( CONTROL!$C$32, 9.5356, 9.532) * CHOOSE( CONTROL!$C$15, $D$11, 100%, $F$11)</f>
        <v>9.5356000000000005</v>
      </c>
      <c r="E309" s="12">
        <f>CHOOSE( CONTROL!$C$32, 9.5207, 9.5171) * CHOOSE( CONTROL!$C$15, $D$11, 100%, $F$11)</f>
        <v>9.5206999999999997</v>
      </c>
      <c r="F309" s="4">
        <f>CHOOSE( CONTROL!$C$32, 10.2329, 10.2293) * CHOOSE(CONTROL!$C$15, $D$11, 100%, $F$11)</f>
        <v>10.232900000000001</v>
      </c>
      <c r="G309" s="8">
        <f>CHOOSE( CONTROL!$C$32, 9.3847, 9.3811) * CHOOSE( CONTROL!$C$15, $D$11, 100%, $F$11)</f>
        <v>9.3847000000000005</v>
      </c>
      <c r="H309" s="4">
        <f>CHOOSE( CONTROL!$C$32, 10.3597, 10.3561) * CHOOSE(CONTROL!$C$15, $D$11, 100%, $F$11)</f>
        <v>10.3597</v>
      </c>
      <c r="I309" s="8">
        <f>CHOOSE( CONTROL!$C$32, 9.3453, 9.3417) * CHOOSE(CONTROL!$C$15, $D$11, 100%, $F$11)</f>
        <v>9.3452999999999999</v>
      </c>
      <c r="J309" s="4">
        <f>CHOOSE( CONTROL!$C$32, 9.1991, 9.1956) * CHOOSE(CONTROL!$C$15, $D$11, 100%, $F$11)</f>
        <v>9.1990999999999996</v>
      </c>
      <c r="K309" s="4"/>
      <c r="L309" s="9">
        <v>30.7165</v>
      </c>
      <c r="M309" s="9">
        <v>12.063700000000001</v>
      </c>
      <c r="N309" s="9">
        <v>4.9444999999999997</v>
      </c>
      <c r="O309" s="9">
        <v>0.37409999999999999</v>
      </c>
      <c r="P309" s="9">
        <v>1.2183999999999999</v>
      </c>
      <c r="Q309" s="9">
        <v>30.386800000000001</v>
      </c>
      <c r="R309" s="9"/>
      <c r="S309" s="11"/>
    </row>
    <row r="310" spans="1:19" ht="15.75">
      <c r="A310" s="13">
        <v>50951</v>
      </c>
      <c r="B310" s="8">
        <f>CHOOSE( CONTROL!$C$32, 9.3376, 9.3339) * CHOOSE(CONTROL!$C$15, $D$11, 100%, $F$11)</f>
        <v>9.3376000000000001</v>
      </c>
      <c r="C310" s="8">
        <f>CHOOSE( CONTROL!$C$32, 9.3455, 9.3419) * CHOOSE(CONTROL!$C$15, $D$11, 100%, $F$11)</f>
        <v>9.3454999999999995</v>
      </c>
      <c r="D310" s="8">
        <f>CHOOSE( CONTROL!$C$32, 9.3835, 9.3799) * CHOOSE( CONTROL!$C$15, $D$11, 100%, $F$11)</f>
        <v>9.3834999999999997</v>
      </c>
      <c r="E310" s="12">
        <f>CHOOSE( CONTROL!$C$32, 9.3685, 9.3649) * CHOOSE( CONTROL!$C$15, $D$11, 100%, $F$11)</f>
        <v>9.3684999999999992</v>
      </c>
      <c r="F310" s="4">
        <f>CHOOSE( CONTROL!$C$32, 10.0806, 10.0769) * CHOOSE(CONTROL!$C$15, $D$11, 100%, $F$11)</f>
        <v>10.0806</v>
      </c>
      <c r="G310" s="8">
        <f>CHOOSE( CONTROL!$C$32, 9.2344, 9.2308) * CHOOSE( CONTROL!$C$15, $D$11, 100%, $F$11)</f>
        <v>9.2344000000000008</v>
      </c>
      <c r="H310" s="4">
        <f>CHOOSE( CONTROL!$C$32, 10.2092, 10.2056) * CHOOSE(CONTROL!$C$15, $D$11, 100%, $F$11)</f>
        <v>10.209199999999999</v>
      </c>
      <c r="I310" s="8">
        <f>CHOOSE( CONTROL!$C$32, 9.1984, 9.1949) * CHOOSE(CONTROL!$C$15, $D$11, 100%, $F$11)</f>
        <v>9.1983999999999995</v>
      </c>
      <c r="J310" s="4">
        <f>CHOOSE( CONTROL!$C$32, 9.0513, 9.0477) * CHOOSE(CONTROL!$C$15, $D$11, 100%, $F$11)</f>
        <v>9.0512999999999995</v>
      </c>
      <c r="K310" s="4"/>
      <c r="L310" s="9">
        <v>29.7257</v>
      </c>
      <c r="M310" s="9">
        <v>11.6745</v>
      </c>
      <c r="N310" s="9">
        <v>4.7850000000000001</v>
      </c>
      <c r="O310" s="9">
        <v>0.36199999999999999</v>
      </c>
      <c r="P310" s="9">
        <v>1.1791</v>
      </c>
      <c r="Q310" s="9">
        <v>29.406600000000001</v>
      </c>
      <c r="R310" s="9"/>
      <c r="S310" s="11"/>
    </row>
    <row r="311" spans="1:19" ht="15.75">
      <c r="A311" s="13">
        <v>50982</v>
      </c>
      <c r="B311" s="8">
        <f>CHOOSE( CONTROL!$C$32, 9.7387, 9.7351) * CHOOSE(CONTROL!$C$15, $D$11, 100%, $F$11)</f>
        <v>9.7386999999999997</v>
      </c>
      <c r="C311" s="8">
        <f>CHOOSE( CONTROL!$C$32, 9.7467, 9.7431) * CHOOSE(CONTROL!$C$15, $D$11, 100%, $F$11)</f>
        <v>9.7467000000000006</v>
      </c>
      <c r="D311" s="8">
        <f>CHOOSE( CONTROL!$C$32, 9.7849, 9.7813) * CHOOSE( CONTROL!$C$15, $D$11, 100%, $F$11)</f>
        <v>9.7849000000000004</v>
      </c>
      <c r="E311" s="12">
        <f>CHOOSE( CONTROL!$C$32, 9.7698, 9.7662) * CHOOSE( CONTROL!$C$15, $D$11, 100%, $F$11)</f>
        <v>9.7698</v>
      </c>
      <c r="F311" s="4">
        <f>CHOOSE( CONTROL!$C$32, 10.4817, 10.4781) * CHOOSE(CONTROL!$C$15, $D$11, 100%, $F$11)</f>
        <v>10.4817</v>
      </c>
      <c r="G311" s="8">
        <f>CHOOSE( CONTROL!$C$32, 9.6313, 9.6277) * CHOOSE( CONTROL!$C$15, $D$11, 100%, $F$11)</f>
        <v>9.6312999999999995</v>
      </c>
      <c r="H311" s="4">
        <f>CHOOSE( CONTROL!$C$32, 10.6056, 10.602) * CHOOSE(CONTROL!$C$15, $D$11, 100%, $F$11)</f>
        <v>10.605600000000001</v>
      </c>
      <c r="I311" s="8">
        <f>CHOOSE( CONTROL!$C$32, 9.589, 9.5855) * CHOOSE(CONTROL!$C$15, $D$11, 100%, $F$11)</f>
        <v>9.5890000000000004</v>
      </c>
      <c r="J311" s="4">
        <f>CHOOSE( CONTROL!$C$32, 9.4406, 9.4371) * CHOOSE(CONTROL!$C$15, $D$11, 100%, $F$11)</f>
        <v>9.4405999999999999</v>
      </c>
      <c r="K311" s="4"/>
      <c r="L311" s="9">
        <v>30.7165</v>
      </c>
      <c r="M311" s="9">
        <v>12.063700000000001</v>
      </c>
      <c r="N311" s="9">
        <v>4.9444999999999997</v>
      </c>
      <c r="O311" s="9">
        <v>0.37409999999999999</v>
      </c>
      <c r="P311" s="9">
        <v>1.2183999999999999</v>
      </c>
      <c r="Q311" s="9">
        <v>30.386800000000001</v>
      </c>
      <c r="R311" s="9"/>
      <c r="S311" s="11"/>
    </row>
    <row r="312" spans="1:19" ht="15.75">
      <c r="A312" s="13">
        <v>51013</v>
      </c>
      <c r="B312" s="8">
        <f>CHOOSE( CONTROL!$C$32, 8.9881, 8.9845) * CHOOSE(CONTROL!$C$15, $D$11, 100%, $F$11)</f>
        <v>8.9880999999999993</v>
      </c>
      <c r="C312" s="8">
        <f>CHOOSE( CONTROL!$C$32, 8.9961, 8.9924) * CHOOSE(CONTROL!$C$15, $D$11, 100%, $F$11)</f>
        <v>8.9961000000000002</v>
      </c>
      <c r="D312" s="8">
        <f>CHOOSE( CONTROL!$C$32, 9.0343, 9.0307) * CHOOSE( CONTROL!$C$15, $D$11, 100%, $F$11)</f>
        <v>9.0343</v>
      </c>
      <c r="E312" s="12">
        <f>CHOOSE( CONTROL!$C$32, 9.0192, 9.0156) * CHOOSE( CONTROL!$C$15, $D$11, 100%, $F$11)</f>
        <v>9.0191999999999997</v>
      </c>
      <c r="F312" s="4">
        <f>CHOOSE( CONTROL!$C$32, 9.7311, 9.7275) * CHOOSE(CONTROL!$C$15, $D$11, 100%, $F$11)</f>
        <v>9.7310999999999996</v>
      </c>
      <c r="G312" s="8">
        <f>CHOOSE( CONTROL!$C$32, 8.8895, 8.8859) * CHOOSE( CONTROL!$C$15, $D$11, 100%, $F$11)</f>
        <v>8.8895</v>
      </c>
      <c r="H312" s="4">
        <f>CHOOSE( CONTROL!$C$32, 9.8638, 9.8602) * CHOOSE(CONTROL!$C$15, $D$11, 100%, $F$11)</f>
        <v>9.8637999999999995</v>
      </c>
      <c r="I312" s="8">
        <f>CHOOSE( CONTROL!$C$32, 8.8605, 8.857) * CHOOSE(CONTROL!$C$15, $D$11, 100%, $F$11)</f>
        <v>8.8605</v>
      </c>
      <c r="J312" s="4">
        <f>CHOOSE( CONTROL!$C$32, 8.7121, 8.7086) * CHOOSE(CONTROL!$C$15, $D$11, 100%, $F$11)</f>
        <v>8.7120999999999995</v>
      </c>
      <c r="K312" s="4"/>
      <c r="L312" s="9">
        <v>30.7165</v>
      </c>
      <c r="M312" s="9">
        <v>12.063700000000001</v>
      </c>
      <c r="N312" s="9">
        <v>4.9444999999999997</v>
      </c>
      <c r="O312" s="9">
        <v>0.37409999999999999</v>
      </c>
      <c r="P312" s="9">
        <v>1.2183999999999999</v>
      </c>
      <c r="Q312" s="9">
        <v>30.386800000000001</v>
      </c>
      <c r="R312" s="9"/>
      <c r="S312" s="11"/>
    </row>
    <row r="313" spans="1:19" ht="15.75">
      <c r="A313" s="13">
        <v>51043</v>
      </c>
      <c r="B313" s="8">
        <f>CHOOSE( CONTROL!$C$32, 8.8001, 8.7965) * CHOOSE(CONTROL!$C$15, $D$11, 100%, $F$11)</f>
        <v>8.8001000000000005</v>
      </c>
      <c r="C313" s="8">
        <f>CHOOSE( CONTROL!$C$32, 8.8081, 8.8045) * CHOOSE(CONTROL!$C$15, $D$11, 100%, $F$11)</f>
        <v>8.8080999999999996</v>
      </c>
      <c r="D313" s="8">
        <f>CHOOSE( CONTROL!$C$32, 8.8463, 8.8427) * CHOOSE( CONTROL!$C$15, $D$11, 100%, $F$11)</f>
        <v>8.8462999999999994</v>
      </c>
      <c r="E313" s="12">
        <f>CHOOSE( CONTROL!$C$32, 8.8312, 8.8276) * CHOOSE( CONTROL!$C$15, $D$11, 100%, $F$11)</f>
        <v>8.8312000000000008</v>
      </c>
      <c r="F313" s="4">
        <f>CHOOSE( CONTROL!$C$32, 9.5431, 9.5395) * CHOOSE(CONTROL!$C$15, $D$11, 100%, $F$11)</f>
        <v>9.5431000000000008</v>
      </c>
      <c r="G313" s="8">
        <f>CHOOSE( CONTROL!$C$32, 8.7036, 8.7) * CHOOSE( CONTROL!$C$15, $D$11, 100%, $F$11)</f>
        <v>8.7035999999999998</v>
      </c>
      <c r="H313" s="4">
        <f>CHOOSE( CONTROL!$C$32, 9.678, 9.6744) * CHOOSE(CONTROL!$C$15, $D$11, 100%, $F$11)</f>
        <v>9.6780000000000008</v>
      </c>
      <c r="I313" s="8">
        <f>CHOOSE( CONTROL!$C$32, 8.6776, 8.6741) * CHOOSE(CONTROL!$C$15, $D$11, 100%, $F$11)</f>
        <v>8.6776</v>
      </c>
      <c r="J313" s="4">
        <f>CHOOSE( CONTROL!$C$32, 8.5297, 8.5262) * CHOOSE(CONTROL!$C$15, $D$11, 100%, $F$11)</f>
        <v>8.5297000000000001</v>
      </c>
      <c r="K313" s="4"/>
      <c r="L313" s="9">
        <v>29.7257</v>
      </c>
      <c r="M313" s="9">
        <v>11.6745</v>
      </c>
      <c r="N313" s="9">
        <v>4.7850000000000001</v>
      </c>
      <c r="O313" s="9">
        <v>0.36199999999999999</v>
      </c>
      <c r="P313" s="9">
        <v>1.1791</v>
      </c>
      <c r="Q313" s="9">
        <v>29.406600000000001</v>
      </c>
      <c r="R313" s="9"/>
      <c r="S313" s="11"/>
    </row>
    <row r="314" spans="1:19" ht="15.75">
      <c r="A314" s="13">
        <v>51074</v>
      </c>
      <c r="B314" s="8">
        <f>9.1851 * CHOOSE(CONTROL!$C$15, $D$11, 100%, $F$11)</f>
        <v>9.1851000000000003</v>
      </c>
      <c r="C314" s="8">
        <f>9.1904 * CHOOSE(CONTROL!$C$15, $D$11, 100%, $F$11)</f>
        <v>9.1904000000000003</v>
      </c>
      <c r="D314" s="8">
        <f>9.2339 * CHOOSE( CONTROL!$C$15, $D$11, 100%, $F$11)</f>
        <v>9.2339000000000002</v>
      </c>
      <c r="E314" s="12">
        <f>9.219 * CHOOSE( CONTROL!$C$15, $D$11, 100%, $F$11)</f>
        <v>9.2189999999999994</v>
      </c>
      <c r="F314" s="4">
        <f>9.9298 * CHOOSE(CONTROL!$C$15, $D$11, 100%, $F$11)</f>
        <v>9.9298000000000002</v>
      </c>
      <c r="G314" s="8">
        <f>9.0852 * CHOOSE( CONTROL!$C$15, $D$11, 100%, $F$11)</f>
        <v>9.0852000000000004</v>
      </c>
      <c r="H314" s="4">
        <f>10.0601 * CHOOSE(CONTROL!$C$15, $D$11, 100%, $F$11)</f>
        <v>10.0601</v>
      </c>
      <c r="I314" s="8">
        <f>9.0538 * CHOOSE(CONTROL!$C$15, $D$11, 100%, $F$11)</f>
        <v>9.0538000000000007</v>
      </c>
      <c r="J314" s="4">
        <f>8.9049 * CHOOSE(CONTROL!$C$15, $D$11, 100%, $F$11)</f>
        <v>8.9048999999999996</v>
      </c>
      <c r="K314" s="4"/>
      <c r="L314" s="9">
        <v>31.095300000000002</v>
      </c>
      <c r="M314" s="9">
        <v>12.063700000000001</v>
      </c>
      <c r="N314" s="9">
        <v>4.9444999999999997</v>
      </c>
      <c r="O314" s="9">
        <v>0.37409999999999999</v>
      </c>
      <c r="P314" s="9">
        <v>1.2183999999999999</v>
      </c>
      <c r="Q314" s="9">
        <v>30.386800000000001</v>
      </c>
      <c r="R314" s="9"/>
      <c r="S314" s="11"/>
    </row>
    <row r="315" spans="1:19" ht="15.75">
      <c r="A315" s="13">
        <v>51104</v>
      </c>
      <c r="B315" s="8">
        <f>9.905 * CHOOSE(CONTROL!$C$15, $D$11, 100%, $F$11)</f>
        <v>9.9049999999999994</v>
      </c>
      <c r="C315" s="8">
        <f>9.9101 * CHOOSE(CONTROL!$C$15, $D$11, 100%, $F$11)</f>
        <v>9.9100999999999999</v>
      </c>
      <c r="D315" s="8">
        <f>9.8937 * CHOOSE( CONTROL!$C$15, $D$11, 100%, $F$11)</f>
        <v>9.8937000000000008</v>
      </c>
      <c r="E315" s="12">
        <f>9.8992 * CHOOSE( CONTROL!$C$15, $D$11, 100%, $F$11)</f>
        <v>9.8992000000000004</v>
      </c>
      <c r="F315" s="4">
        <f>10.5703 * CHOOSE(CONTROL!$C$15, $D$11, 100%, $F$11)</f>
        <v>10.5703</v>
      </c>
      <c r="G315" s="8">
        <f>9.7978 * CHOOSE( CONTROL!$C$15, $D$11, 100%, $F$11)</f>
        <v>9.7978000000000005</v>
      </c>
      <c r="H315" s="4">
        <f>10.6932 * CHOOSE(CONTROL!$C$15, $D$11, 100%, $F$11)</f>
        <v>10.693199999999999</v>
      </c>
      <c r="I315" s="8">
        <f>9.7534 * CHOOSE(CONTROL!$C$15, $D$11, 100%, $F$11)</f>
        <v>9.7533999999999992</v>
      </c>
      <c r="J315" s="4">
        <f>9.6041 * CHOOSE(CONTROL!$C$15, $D$11, 100%, $F$11)</f>
        <v>9.6041000000000007</v>
      </c>
      <c r="K315" s="4"/>
      <c r="L315" s="9">
        <v>28.360600000000002</v>
      </c>
      <c r="M315" s="9">
        <v>11.6745</v>
      </c>
      <c r="N315" s="9">
        <v>4.7850000000000001</v>
      </c>
      <c r="O315" s="9">
        <v>0.36199999999999999</v>
      </c>
      <c r="P315" s="9">
        <v>1.2509999999999999</v>
      </c>
      <c r="Q315" s="9">
        <v>29.406600000000001</v>
      </c>
      <c r="R315" s="9"/>
      <c r="S315" s="11"/>
    </row>
    <row r="316" spans="1:19" ht="15.75">
      <c r="A316" s="13">
        <v>51135</v>
      </c>
      <c r="B316" s="8">
        <f>9.887 * CHOOSE(CONTROL!$C$15, $D$11, 100%, $F$11)</f>
        <v>9.8870000000000005</v>
      </c>
      <c r="C316" s="8">
        <f>9.8921 * CHOOSE(CONTROL!$C$15, $D$11, 100%, $F$11)</f>
        <v>9.8920999999999992</v>
      </c>
      <c r="D316" s="8">
        <f>9.8775 * CHOOSE( CONTROL!$C$15, $D$11, 100%, $F$11)</f>
        <v>9.8774999999999995</v>
      </c>
      <c r="E316" s="12">
        <f>9.8823 * CHOOSE( CONTROL!$C$15, $D$11, 100%, $F$11)</f>
        <v>9.8823000000000008</v>
      </c>
      <c r="F316" s="4">
        <f>10.5523 * CHOOSE(CONTROL!$C$15, $D$11, 100%, $F$11)</f>
        <v>10.552300000000001</v>
      </c>
      <c r="G316" s="8">
        <f>9.7812 * CHOOSE( CONTROL!$C$15, $D$11, 100%, $F$11)</f>
        <v>9.7812000000000001</v>
      </c>
      <c r="H316" s="4">
        <f>10.6754 * CHOOSE(CONTROL!$C$15, $D$11, 100%, $F$11)</f>
        <v>10.6754</v>
      </c>
      <c r="I316" s="8">
        <f>9.7413 * CHOOSE(CONTROL!$C$15, $D$11, 100%, $F$11)</f>
        <v>9.7413000000000007</v>
      </c>
      <c r="J316" s="4">
        <f>9.5866 * CHOOSE(CONTROL!$C$15, $D$11, 100%, $F$11)</f>
        <v>9.5866000000000007</v>
      </c>
      <c r="K316" s="4"/>
      <c r="L316" s="9">
        <v>29.306000000000001</v>
      </c>
      <c r="M316" s="9">
        <v>12.063700000000001</v>
      </c>
      <c r="N316" s="9">
        <v>4.9444999999999997</v>
      </c>
      <c r="O316" s="9">
        <v>0.37409999999999999</v>
      </c>
      <c r="P316" s="9">
        <v>1.2927</v>
      </c>
      <c r="Q316" s="9">
        <v>30.386800000000001</v>
      </c>
      <c r="R316" s="9"/>
      <c r="S316" s="11"/>
    </row>
    <row r="317" spans="1:19" ht="15.75">
      <c r="A317" s="13">
        <v>51166</v>
      </c>
      <c r="B317" s="8">
        <f>10.1784 * CHOOSE(CONTROL!$C$15, $D$11, 100%, $F$11)</f>
        <v>10.1784</v>
      </c>
      <c r="C317" s="8">
        <f>10.1835 * CHOOSE(CONTROL!$C$15, $D$11, 100%, $F$11)</f>
        <v>10.1835</v>
      </c>
      <c r="D317" s="8">
        <f>10.1546 * CHOOSE( CONTROL!$C$15, $D$11, 100%, $F$11)</f>
        <v>10.1546</v>
      </c>
      <c r="E317" s="12">
        <f>10.1646 * CHOOSE( CONTROL!$C$15, $D$11, 100%, $F$11)</f>
        <v>10.1646</v>
      </c>
      <c r="F317" s="4">
        <f>10.8437 * CHOOSE(CONTROL!$C$15, $D$11, 100%, $F$11)</f>
        <v>10.8437</v>
      </c>
      <c r="G317" s="8">
        <f>10.0589 * CHOOSE( CONTROL!$C$15, $D$11, 100%, $F$11)</f>
        <v>10.0589</v>
      </c>
      <c r="H317" s="4">
        <f>10.9633 * CHOOSE(CONTROL!$C$15, $D$11, 100%, $F$11)</f>
        <v>10.9633</v>
      </c>
      <c r="I317" s="8">
        <f>10.0188 * CHOOSE(CONTROL!$C$15, $D$11, 100%, $F$11)</f>
        <v>10.018800000000001</v>
      </c>
      <c r="J317" s="4">
        <f>9.8694 * CHOOSE(CONTROL!$C$15, $D$11, 100%, $F$11)</f>
        <v>9.8694000000000006</v>
      </c>
      <c r="K317" s="4"/>
      <c r="L317" s="9">
        <v>29.306000000000001</v>
      </c>
      <c r="M317" s="9">
        <v>12.063700000000001</v>
      </c>
      <c r="N317" s="9">
        <v>4.9444999999999997</v>
      </c>
      <c r="O317" s="9">
        <v>0.37409999999999999</v>
      </c>
      <c r="P317" s="9">
        <v>1.2927</v>
      </c>
      <c r="Q317" s="9">
        <v>30.3217</v>
      </c>
      <c r="R317" s="9"/>
      <c r="S317" s="11"/>
    </row>
    <row r="318" spans="1:19" ht="15.75">
      <c r="A318" s="13">
        <v>51194</v>
      </c>
      <c r="B318" s="8">
        <f>9.521 * CHOOSE(CONTROL!$C$15, $D$11, 100%, $F$11)</f>
        <v>9.5210000000000008</v>
      </c>
      <c r="C318" s="8">
        <f>9.526 * CHOOSE(CONTROL!$C$15, $D$11, 100%, $F$11)</f>
        <v>9.5259999999999998</v>
      </c>
      <c r="D318" s="8">
        <f>9.4971 * CHOOSE( CONTROL!$C$15, $D$11, 100%, $F$11)</f>
        <v>9.4970999999999997</v>
      </c>
      <c r="E318" s="12">
        <f>9.5071 * CHOOSE( CONTROL!$C$15, $D$11, 100%, $F$11)</f>
        <v>9.5070999999999994</v>
      </c>
      <c r="F318" s="4">
        <f>10.1862 * CHOOSE(CONTROL!$C$15, $D$11, 100%, $F$11)</f>
        <v>10.186199999999999</v>
      </c>
      <c r="G318" s="8">
        <f>9.4092 * CHOOSE( CONTROL!$C$15, $D$11, 100%, $F$11)</f>
        <v>9.4092000000000002</v>
      </c>
      <c r="H318" s="4">
        <f>10.3136 * CHOOSE(CONTROL!$C$15, $D$11, 100%, $F$11)</f>
        <v>10.313599999999999</v>
      </c>
      <c r="I318" s="8">
        <f>9.3804 * CHOOSE(CONTROL!$C$15, $D$11, 100%, $F$11)</f>
        <v>9.3803999999999998</v>
      </c>
      <c r="J318" s="4">
        <f>9.2313 * CHOOSE(CONTROL!$C$15, $D$11, 100%, $F$11)</f>
        <v>9.2312999999999992</v>
      </c>
      <c r="K318" s="4"/>
      <c r="L318" s="9">
        <v>27.415299999999998</v>
      </c>
      <c r="M318" s="9">
        <v>11.285299999999999</v>
      </c>
      <c r="N318" s="9">
        <v>4.6254999999999997</v>
      </c>
      <c r="O318" s="9">
        <v>0.34989999999999999</v>
      </c>
      <c r="P318" s="9">
        <v>1.2093</v>
      </c>
      <c r="Q318" s="9">
        <v>28.365500000000001</v>
      </c>
      <c r="R318" s="9"/>
      <c r="S318" s="11"/>
    </row>
    <row r="319" spans="1:19" ht="15.75">
      <c r="A319" s="13">
        <v>51226</v>
      </c>
      <c r="B319" s="8">
        <f>9.3185 * CHOOSE(CONTROL!$C$15, $D$11, 100%, $F$11)</f>
        <v>9.3185000000000002</v>
      </c>
      <c r="C319" s="8">
        <f>9.3235 * CHOOSE(CONTROL!$C$15, $D$11, 100%, $F$11)</f>
        <v>9.3234999999999992</v>
      </c>
      <c r="D319" s="8">
        <f>9.2943 * CHOOSE( CONTROL!$C$15, $D$11, 100%, $F$11)</f>
        <v>9.2942999999999998</v>
      </c>
      <c r="E319" s="12">
        <f>9.3044 * CHOOSE( CONTROL!$C$15, $D$11, 100%, $F$11)</f>
        <v>9.3043999999999993</v>
      </c>
      <c r="F319" s="4">
        <f>9.9837 * CHOOSE(CONTROL!$C$15, $D$11, 100%, $F$11)</f>
        <v>9.9837000000000007</v>
      </c>
      <c r="G319" s="8">
        <f>9.2088 * CHOOSE( CONTROL!$C$15, $D$11, 100%, $F$11)</f>
        <v>9.2088000000000001</v>
      </c>
      <c r="H319" s="4">
        <f>10.1135 * CHOOSE(CONTROL!$C$15, $D$11, 100%, $F$11)</f>
        <v>10.1135</v>
      </c>
      <c r="I319" s="8">
        <f>9.1826 * CHOOSE(CONTROL!$C$15, $D$11, 100%, $F$11)</f>
        <v>9.1826000000000008</v>
      </c>
      <c r="J319" s="4">
        <f>9.0348 * CHOOSE(CONTROL!$C$15, $D$11, 100%, $F$11)</f>
        <v>9.0348000000000006</v>
      </c>
      <c r="K319" s="4"/>
      <c r="L319" s="9">
        <v>29.306000000000001</v>
      </c>
      <c r="M319" s="9">
        <v>12.063700000000001</v>
      </c>
      <c r="N319" s="9">
        <v>4.9444999999999997</v>
      </c>
      <c r="O319" s="9">
        <v>0.37409999999999999</v>
      </c>
      <c r="P319" s="9">
        <v>1.2927</v>
      </c>
      <c r="Q319" s="9">
        <v>30.3217</v>
      </c>
      <c r="R319" s="9"/>
      <c r="S319" s="11"/>
    </row>
    <row r="320" spans="1:19" ht="15.75">
      <c r="A320" s="13">
        <v>51256</v>
      </c>
      <c r="B320" s="8">
        <f>9.4607 * CHOOSE(CONTROL!$C$15, $D$11, 100%, $F$11)</f>
        <v>9.4606999999999992</v>
      </c>
      <c r="C320" s="8">
        <f>9.4652 * CHOOSE(CONTROL!$C$15, $D$11, 100%, $F$11)</f>
        <v>9.4651999999999994</v>
      </c>
      <c r="D320" s="8">
        <f>9.5086 * CHOOSE( CONTROL!$C$15, $D$11, 100%, $F$11)</f>
        <v>9.5085999999999995</v>
      </c>
      <c r="E320" s="12">
        <f>9.4938 * CHOOSE( CONTROL!$C$15, $D$11, 100%, $F$11)</f>
        <v>9.4938000000000002</v>
      </c>
      <c r="F320" s="4">
        <f>10.2051 * CHOOSE(CONTROL!$C$15, $D$11, 100%, $F$11)</f>
        <v>10.2051</v>
      </c>
      <c r="G320" s="8">
        <f>9.3564 * CHOOSE( CONTROL!$C$15, $D$11, 100%, $F$11)</f>
        <v>9.3564000000000007</v>
      </c>
      <c r="H320" s="4">
        <f>10.3322 * CHOOSE(CONTROL!$C$15, $D$11, 100%, $F$11)</f>
        <v>10.3322</v>
      </c>
      <c r="I320" s="8">
        <f>9.3181 * CHOOSE(CONTROL!$C$15, $D$11, 100%, $F$11)</f>
        <v>9.3180999999999994</v>
      </c>
      <c r="J320" s="4">
        <f>9.1721 * CHOOSE(CONTROL!$C$15, $D$11, 100%, $F$11)</f>
        <v>9.1721000000000004</v>
      </c>
      <c r="K320" s="4"/>
      <c r="L320" s="9">
        <v>30.092199999999998</v>
      </c>
      <c r="M320" s="9">
        <v>11.6745</v>
      </c>
      <c r="N320" s="9">
        <v>4.7850000000000001</v>
      </c>
      <c r="O320" s="9">
        <v>0.36199999999999999</v>
      </c>
      <c r="P320" s="9">
        <v>1.1791</v>
      </c>
      <c r="Q320" s="9">
        <v>29.343599999999999</v>
      </c>
      <c r="R320" s="9"/>
      <c r="S320" s="11"/>
    </row>
    <row r="321" spans="1:19" ht="15.75">
      <c r="A321" s="13">
        <v>51287</v>
      </c>
      <c r="B321" s="8">
        <f>CHOOSE( CONTROL!$C$32, 9.7176, 9.7139) * CHOOSE(CONTROL!$C$15, $D$11, 100%, $F$11)</f>
        <v>9.7175999999999991</v>
      </c>
      <c r="C321" s="8">
        <f>CHOOSE( CONTROL!$C$32, 9.7255, 9.7219) * CHOOSE(CONTROL!$C$15, $D$11, 100%, $F$11)</f>
        <v>9.7255000000000003</v>
      </c>
      <c r="D321" s="8">
        <f>CHOOSE( CONTROL!$C$32, 9.7633, 9.7596) * CHOOSE( CONTROL!$C$15, $D$11, 100%, $F$11)</f>
        <v>9.7632999999999992</v>
      </c>
      <c r="E321" s="12">
        <f>CHOOSE( CONTROL!$C$32, 9.7484, 9.7447) * CHOOSE( CONTROL!$C$15, $D$11, 100%, $F$11)</f>
        <v>9.7484000000000002</v>
      </c>
      <c r="F321" s="4">
        <f>CHOOSE( CONTROL!$C$32, 10.4606, 10.4569) * CHOOSE(CONTROL!$C$15, $D$11, 100%, $F$11)</f>
        <v>10.460599999999999</v>
      </c>
      <c r="G321" s="8">
        <f>CHOOSE( CONTROL!$C$32, 9.6097, 9.6061) * CHOOSE( CONTROL!$C$15, $D$11, 100%, $F$11)</f>
        <v>9.6097000000000001</v>
      </c>
      <c r="H321" s="4">
        <f>CHOOSE( CONTROL!$C$32, 10.5847, 10.5811) * CHOOSE(CONTROL!$C$15, $D$11, 100%, $F$11)</f>
        <v>10.5847</v>
      </c>
      <c r="I321" s="8">
        <f>CHOOSE( CONTROL!$C$32, 9.5663, 9.5628) * CHOOSE(CONTROL!$C$15, $D$11, 100%, $F$11)</f>
        <v>9.5663</v>
      </c>
      <c r="J321" s="4">
        <f>CHOOSE( CONTROL!$C$32, 9.4201, 9.4165) * CHOOSE(CONTROL!$C$15, $D$11, 100%, $F$11)</f>
        <v>9.4200999999999997</v>
      </c>
      <c r="K321" s="4"/>
      <c r="L321" s="9">
        <v>30.7165</v>
      </c>
      <c r="M321" s="9">
        <v>12.063700000000001</v>
      </c>
      <c r="N321" s="9">
        <v>4.9444999999999997</v>
      </c>
      <c r="O321" s="9">
        <v>0.37409999999999999</v>
      </c>
      <c r="P321" s="9">
        <v>1.2183999999999999</v>
      </c>
      <c r="Q321" s="9">
        <v>30.3217</v>
      </c>
      <c r="R321" s="9"/>
      <c r="S321" s="11"/>
    </row>
    <row r="322" spans="1:19" ht="15.75">
      <c r="A322" s="13">
        <v>51317</v>
      </c>
      <c r="B322" s="8">
        <f>CHOOSE( CONTROL!$C$32, 9.5616, 9.5579) * CHOOSE(CONTROL!$C$15, $D$11, 100%, $F$11)</f>
        <v>9.5616000000000003</v>
      </c>
      <c r="C322" s="8">
        <f>CHOOSE( CONTROL!$C$32, 9.5695, 9.5659) * CHOOSE(CONTROL!$C$15, $D$11, 100%, $F$11)</f>
        <v>9.5694999999999997</v>
      </c>
      <c r="D322" s="8">
        <f>CHOOSE( CONTROL!$C$32, 9.6075, 9.6039) * CHOOSE( CONTROL!$C$15, $D$11, 100%, $F$11)</f>
        <v>9.6074999999999999</v>
      </c>
      <c r="E322" s="12">
        <f>CHOOSE( CONTROL!$C$32, 9.5925, 9.5889) * CHOOSE( CONTROL!$C$15, $D$11, 100%, $F$11)</f>
        <v>9.5924999999999994</v>
      </c>
      <c r="F322" s="4">
        <f>CHOOSE( CONTROL!$C$32, 10.3046, 10.3009) * CHOOSE(CONTROL!$C$15, $D$11, 100%, $F$11)</f>
        <v>10.304600000000001</v>
      </c>
      <c r="G322" s="8">
        <f>CHOOSE( CONTROL!$C$32, 9.4558, 9.4522) * CHOOSE( CONTROL!$C$15, $D$11, 100%, $F$11)</f>
        <v>9.4558</v>
      </c>
      <c r="H322" s="4">
        <f>CHOOSE( CONTROL!$C$32, 10.4305, 10.4269) * CHOOSE(CONTROL!$C$15, $D$11, 100%, $F$11)</f>
        <v>10.4305</v>
      </c>
      <c r="I322" s="8">
        <f>CHOOSE( CONTROL!$C$32, 9.4159, 9.4124) * CHOOSE(CONTROL!$C$15, $D$11, 100%, $F$11)</f>
        <v>9.4159000000000006</v>
      </c>
      <c r="J322" s="4">
        <f>CHOOSE( CONTROL!$C$32, 9.2687, 9.2651) * CHOOSE(CONTROL!$C$15, $D$11, 100%, $F$11)</f>
        <v>9.2687000000000008</v>
      </c>
      <c r="K322" s="4"/>
      <c r="L322" s="9">
        <v>29.7257</v>
      </c>
      <c r="M322" s="9">
        <v>11.6745</v>
      </c>
      <c r="N322" s="9">
        <v>4.7850000000000001</v>
      </c>
      <c r="O322" s="9">
        <v>0.36199999999999999</v>
      </c>
      <c r="P322" s="9">
        <v>1.1791</v>
      </c>
      <c r="Q322" s="9">
        <v>29.343599999999999</v>
      </c>
      <c r="R322" s="9"/>
      <c r="S322" s="11"/>
    </row>
    <row r="323" spans="1:19" ht="15.75">
      <c r="A323" s="13">
        <v>51348</v>
      </c>
      <c r="B323" s="8">
        <f>CHOOSE( CONTROL!$C$32, 9.9724, 9.9687) * CHOOSE(CONTROL!$C$15, $D$11, 100%, $F$11)</f>
        <v>9.9724000000000004</v>
      </c>
      <c r="C323" s="8">
        <f>CHOOSE( CONTROL!$C$32, 9.9803, 9.9767) * CHOOSE(CONTROL!$C$15, $D$11, 100%, $F$11)</f>
        <v>9.9802999999999997</v>
      </c>
      <c r="D323" s="8">
        <f>CHOOSE( CONTROL!$C$32, 10.0185, 10.0149) * CHOOSE( CONTROL!$C$15, $D$11, 100%, $F$11)</f>
        <v>10.0185</v>
      </c>
      <c r="E323" s="12">
        <f>CHOOSE( CONTROL!$C$32, 10.0035, 9.9998) * CHOOSE( CONTROL!$C$15, $D$11, 100%, $F$11)</f>
        <v>10.003500000000001</v>
      </c>
      <c r="F323" s="4">
        <f>CHOOSE( CONTROL!$C$32, 10.7154, 10.7117) * CHOOSE(CONTROL!$C$15, $D$11, 100%, $F$11)</f>
        <v>10.715400000000001</v>
      </c>
      <c r="G323" s="8">
        <f>CHOOSE( CONTROL!$C$32, 9.8622, 9.8586) * CHOOSE( CONTROL!$C$15, $D$11, 100%, $F$11)</f>
        <v>9.8621999999999996</v>
      </c>
      <c r="H323" s="4">
        <f>CHOOSE( CONTROL!$C$32, 10.8365, 10.8329) * CHOOSE(CONTROL!$C$15, $D$11, 100%, $F$11)</f>
        <v>10.836499999999999</v>
      </c>
      <c r="I323" s="8">
        <f>CHOOSE( CONTROL!$C$32, 9.8159, 9.8124) * CHOOSE(CONTROL!$C$15, $D$11, 100%, $F$11)</f>
        <v>9.8158999999999992</v>
      </c>
      <c r="J323" s="4">
        <f>CHOOSE( CONTROL!$C$32, 9.6674, 9.6638) * CHOOSE(CONTROL!$C$15, $D$11, 100%, $F$11)</f>
        <v>9.6674000000000007</v>
      </c>
      <c r="K323" s="4"/>
      <c r="L323" s="9">
        <v>30.7165</v>
      </c>
      <c r="M323" s="9">
        <v>12.063700000000001</v>
      </c>
      <c r="N323" s="9">
        <v>4.9444999999999997</v>
      </c>
      <c r="O323" s="9">
        <v>0.37409999999999999</v>
      </c>
      <c r="P323" s="9">
        <v>1.2183999999999999</v>
      </c>
      <c r="Q323" s="9">
        <v>30.3217</v>
      </c>
      <c r="R323" s="9"/>
      <c r="S323" s="11"/>
    </row>
    <row r="324" spans="1:19" ht="15.75">
      <c r="A324" s="13">
        <v>51379</v>
      </c>
      <c r="B324" s="8">
        <f>CHOOSE( CONTROL!$C$32, 9.2037, 9.2001) * CHOOSE(CONTROL!$C$15, $D$11, 100%, $F$11)</f>
        <v>9.2036999999999995</v>
      </c>
      <c r="C324" s="8">
        <f>CHOOSE( CONTROL!$C$32, 9.2117, 9.208) * CHOOSE(CONTROL!$C$15, $D$11, 100%, $F$11)</f>
        <v>9.2117000000000004</v>
      </c>
      <c r="D324" s="8">
        <f>CHOOSE( CONTROL!$C$32, 9.2499, 9.2463) * CHOOSE( CONTROL!$C$15, $D$11, 100%, $F$11)</f>
        <v>9.2499000000000002</v>
      </c>
      <c r="E324" s="12">
        <f>CHOOSE( CONTROL!$C$32, 9.2348, 9.2312) * CHOOSE( CONTROL!$C$15, $D$11, 100%, $F$11)</f>
        <v>9.2347999999999999</v>
      </c>
      <c r="F324" s="4">
        <f>CHOOSE( CONTROL!$C$32, 9.9467, 9.9431) * CHOOSE(CONTROL!$C$15, $D$11, 100%, $F$11)</f>
        <v>9.9466999999999999</v>
      </c>
      <c r="G324" s="8">
        <f>CHOOSE( CONTROL!$C$32, 9.1026, 9.099) * CHOOSE( CONTROL!$C$15, $D$11, 100%, $F$11)</f>
        <v>9.1026000000000007</v>
      </c>
      <c r="H324" s="4">
        <f>CHOOSE( CONTROL!$C$32, 10.0769, 10.0733) * CHOOSE(CONTROL!$C$15, $D$11, 100%, $F$11)</f>
        <v>10.0769</v>
      </c>
      <c r="I324" s="8">
        <f>CHOOSE( CONTROL!$C$32, 9.0698, 9.0663) * CHOOSE(CONTROL!$C$15, $D$11, 100%, $F$11)</f>
        <v>9.0698000000000008</v>
      </c>
      <c r="J324" s="4">
        <f>CHOOSE( CONTROL!$C$32, 8.9214, 8.9178) * CHOOSE(CONTROL!$C$15, $D$11, 100%, $F$11)</f>
        <v>8.9214000000000002</v>
      </c>
      <c r="K324" s="4"/>
      <c r="L324" s="9">
        <v>30.7165</v>
      </c>
      <c r="M324" s="9">
        <v>12.063700000000001</v>
      </c>
      <c r="N324" s="9">
        <v>4.9444999999999997</v>
      </c>
      <c r="O324" s="9">
        <v>0.37409999999999999</v>
      </c>
      <c r="P324" s="9">
        <v>1.2183999999999999</v>
      </c>
      <c r="Q324" s="9">
        <v>30.3217</v>
      </c>
      <c r="R324" s="9"/>
      <c r="S324" s="11"/>
    </row>
    <row r="325" spans="1:19" ht="15.75">
      <c r="A325" s="13">
        <v>51409</v>
      </c>
      <c r="B325" s="8">
        <f>CHOOSE( CONTROL!$C$32, 9.0112, 9.0076) * CHOOSE(CONTROL!$C$15, $D$11, 100%, $F$11)</f>
        <v>9.0112000000000005</v>
      </c>
      <c r="C325" s="8">
        <f>CHOOSE( CONTROL!$C$32, 9.0192, 9.0156) * CHOOSE(CONTROL!$C$15, $D$11, 100%, $F$11)</f>
        <v>9.0191999999999997</v>
      </c>
      <c r="D325" s="8">
        <f>CHOOSE( CONTROL!$C$32, 9.0574, 9.0537) * CHOOSE( CONTROL!$C$15, $D$11, 100%, $F$11)</f>
        <v>9.0573999999999995</v>
      </c>
      <c r="E325" s="12">
        <f>CHOOSE( CONTROL!$C$32, 9.0423, 9.0387) * CHOOSE( CONTROL!$C$15, $D$11, 100%, $F$11)</f>
        <v>9.0422999999999991</v>
      </c>
      <c r="F325" s="4">
        <f>CHOOSE( CONTROL!$C$32, 9.7542, 9.7506) * CHOOSE(CONTROL!$C$15, $D$11, 100%, $F$11)</f>
        <v>9.7542000000000009</v>
      </c>
      <c r="G325" s="8">
        <f>CHOOSE( CONTROL!$C$32, 8.9123, 8.9087) * CHOOSE( CONTROL!$C$15, $D$11, 100%, $F$11)</f>
        <v>8.9123000000000001</v>
      </c>
      <c r="H325" s="4">
        <f>CHOOSE( CONTROL!$C$32, 9.8866, 9.8831) * CHOOSE(CONTROL!$C$15, $D$11, 100%, $F$11)</f>
        <v>9.8865999999999996</v>
      </c>
      <c r="I325" s="8">
        <f>CHOOSE( CONTROL!$C$32, 8.8826, 8.879) * CHOOSE(CONTROL!$C$15, $D$11, 100%, $F$11)</f>
        <v>8.8826000000000001</v>
      </c>
      <c r="J325" s="4">
        <f>CHOOSE( CONTROL!$C$32, 8.7346, 8.731) * CHOOSE(CONTROL!$C$15, $D$11, 100%, $F$11)</f>
        <v>8.7346000000000004</v>
      </c>
      <c r="K325" s="4"/>
      <c r="L325" s="9">
        <v>29.7257</v>
      </c>
      <c r="M325" s="9">
        <v>11.6745</v>
      </c>
      <c r="N325" s="9">
        <v>4.7850000000000001</v>
      </c>
      <c r="O325" s="9">
        <v>0.36199999999999999</v>
      </c>
      <c r="P325" s="9">
        <v>1.1791</v>
      </c>
      <c r="Q325" s="9">
        <v>29.343599999999999</v>
      </c>
      <c r="R325" s="9"/>
      <c r="S325" s="11"/>
    </row>
    <row r="326" spans="1:19" ht="15.75">
      <c r="A326" s="13">
        <v>51440</v>
      </c>
      <c r="B326" s="8">
        <f>9.4055 * CHOOSE(CONTROL!$C$15, $D$11, 100%, $F$11)</f>
        <v>9.4055</v>
      </c>
      <c r="C326" s="8">
        <f>9.4108 * CHOOSE(CONTROL!$C$15, $D$11, 100%, $F$11)</f>
        <v>9.4108000000000001</v>
      </c>
      <c r="D326" s="8">
        <f>9.4544 * CHOOSE( CONTROL!$C$15, $D$11, 100%, $F$11)</f>
        <v>9.4543999999999997</v>
      </c>
      <c r="E326" s="12">
        <f>9.4394 * CHOOSE( CONTROL!$C$15, $D$11, 100%, $F$11)</f>
        <v>9.4393999999999991</v>
      </c>
      <c r="F326" s="4">
        <f>10.1502 * CHOOSE(CONTROL!$C$15, $D$11, 100%, $F$11)</f>
        <v>10.1502</v>
      </c>
      <c r="G326" s="8">
        <f>9.3031 * CHOOSE( CONTROL!$C$15, $D$11, 100%, $F$11)</f>
        <v>9.3031000000000006</v>
      </c>
      <c r="H326" s="4">
        <f>10.278 * CHOOSE(CONTROL!$C$15, $D$11, 100%, $F$11)</f>
        <v>10.278</v>
      </c>
      <c r="I326" s="8">
        <f>9.2679 * CHOOSE(CONTROL!$C$15, $D$11, 100%, $F$11)</f>
        <v>9.2678999999999991</v>
      </c>
      <c r="J326" s="4">
        <f>9.1189 * CHOOSE(CONTROL!$C$15, $D$11, 100%, $F$11)</f>
        <v>9.1189</v>
      </c>
      <c r="K326" s="4"/>
      <c r="L326" s="9">
        <v>31.095300000000002</v>
      </c>
      <c r="M326" s="9">
        <v>12.063700000000001</v>
      </c>
      <c r="N326" s="9">
        <v>4.9444999999999997</v>
      </c>
      <c r="O326" s="9">
        <v>0.37409999999999999</v>
      </c>
      <c r="P326" s="9">
        <v>1.2183999999999999</v>
      </c>
      <c r="Q326" s="9">
        <v>30.3217</v>
      </c>
      <c r="R326" s="9"/>
      <c r="S326" s="11"/>
    </row>
    <row r="327" spans="1:19" ht="15.75">
      <c r="A327" s="13">
        <v>51470</v>
      </c>
      <c r="B327" s="8">
        <f>10.1428 * CHOOSE(CONTROL!$C$15, $D$11, 100%, $F$11)</f>
        <v>10.142799999999999</v>
      </c>
      <c r="C327" s="8">
        <f>10.1479 * CHOOSE(CONTROL!$C$15, $D$11, 100%, $F$11)</f>
        <v>10.1479</v>
      </c>
      <c r="D327" s="8">
        <f>10.1315 * CHOOSE( CONTROL!$C$15, $D$11, 100%, $F$11)</f>
        <v>10.131500000000001</v>
      </c>
      <c r="E327" s="12">
        <f>10.137 * CHOOSE( CONTROL!$C$15, $D$11, 100%, $F$11)</f>
        <v>10.137</v>
      </c>
      <c r="F327" s="4">
        <f>10.8081 * CHOOSE(CONTROL!$C$15, $D$11, 100%, $F$11)</f>
        <v>10.8081</v>
      </c>
      <c r="G327" s="8">
        <f>10.0327 * CHOOSE( CONTROL!$C$15, $D$11, 100%, $F$11)</f>
        <v>10.0327</v>
      </c>
      <c r="H327" s="4">
        <f>10.9281 * CHOOSE(CONTROL!$C$15, $D$11, 100%, $F$11)</f>
        <v>10.928100000000001</v>
      </c>
      <c r="I327" s="8">
        <f>9.9842 * CHOOSE(CONTROL!$C$15, $D$11, 100%, $F$11)</f>
        <v>9.9841999999999995</v>
      </c>
      <c r="J327" s="4">
        <f>9.8348 * CHOOSE(CONTROL!$C$15, $D$11, 100%, $F$11)</f>
        <v>9.8347999999999995</v>
      </c>
      <c r="K327" s="4"/>
      <c r="L327" s="9">
        <v>28.360600000000002</v>
      </c>
      <c r="M327" s="9">
        <v>11.6745</v>
      </c>
      <c r="N327" s="9">
        <v>4.7850000000000001</v>
      </c>
      <c r="O327" s="9">
        <v>0.36199999999999999</v>
      </c>
      <c r="P327" s="9">
        <v>1.2509999999999999</v>
      </c>
      <c r="Q327" s="9">
        <v>29.343599999999999</v>
      </c>
      <c r="R327" s="9"/>
      <c r="S327" s="11"/>
    </row>
    <row r="328" spans="1:19" ht="15.75">
      <c r="A328" s="13">
        <v>51501</v>
      </c>
      <c r="B328" s="8">
        <f>10.1244 * CHOOSE(CONTROL!$C$15, $D$11, 100%, $F$11)</f>
        <v>10.1244</v>
      </c>
      <c r="C328" s="8">
        <f>10.1294 * CHOOSE(CONTROL!$C$15, $D$11, 100%, $F$11)</f>
        <v>10.1294</v>
      </c>
      <c r="D328" s="8">
        <f>10.1148 * CHOOSE( CONTROL!$C$15, $D$11, 100%, $F$11)</f>
        <v>10.114800000000001</v>
      </c>
      <c r="E328" s="12">
        <f>10.1196 * CHOOSE( CONTROL!$C$15, $D$11, 100%, $F$11)</f>
        <v>10.1196</v>
      </c>
      <c r="F328" s="4">
        <f>10.7896 * CHOOSE(CONTROL!$C$15, $D$11, 100%, $F$11)</f>
        <v>10.7896</v>
      </c>
      <c r="G328" s="8">
        <f>10.0158 * CHOOSE( CONTROL!$C$15, $D$11, 100%, $F$11)</f>
        <v>10.0158</v>
      </c>
      <c r="H328" s="4">
        <f>10.9099 * CHOOSE(CONTROL!$C$15, $D$11, 100%, $F$11)</f>
        <v>10.9099</v>
      </c>
      <c r="I328" s="8">
        <f>9.9717 * CHOOSE(CONTROL!$C$15, $D$11, 100%, $F$11)</f>
        <v>9.9717000000000002</v>
      </c>
      <c r="J328" s="4">
        <f>9.8169 * CHOOSE(CONTROL!$C$15, $D$11, 100%, $F$11)</f>
        <v>9.8169000000000004</v>
      </c>
      <c r="K328" s="4"/>
      <c r="L328" s="9">
        <v>29.306000000000001</v>
      </c>
      <c r="M328" s="9">
        <v>12.063700000000001</v>
      </c>
      <c r="N328" s="9">
        <v>4.9444999999999997</v>
      </c>
      <c r="O328" s="9">
        <v>0.37409999999999999</v>
      </c>
      <c r="P328" s="9">
        <v>1.2927</v>
      </c>
      <c r="Q328" s="9">
        <v>30.3217</v>
      </c>
      <c r="R328" s="9"/>
      <c r="S328" s="11"/>
    </row>
    <row r="329" spans="1:19" ht="15.75">
      <c r="A329" s="13">
        <v>51532</v>
      </c>
      <c r="B329" s="8">
        <f>10.4227 * CHOOSE(CONTROL!$C$15, $D$11, 100%, $F$11)</f>
        <v>10.422700000000001</v>
      </c>
      <c r="C329" s="8">
        <f>10.4278 * CHOOSE(CONTROL!$C$15, $D$11, 100%, $F$11)</f>
        <v>10.4278</v>
      </c>
      <c r="D329" s="8">
        <f>10.3989 * CHOOSE( CONTROL!$C$15, $D$11, 100%, $F$11)</f>
        <v>10.398899999999999</v>
      </c>
      <c r="E329" s="12">
        <f>10.4089 * CHOOSE( CONTROL!$C$15, $D$11, 100%, $F$11)</f>
        <v>10.408899999999999</v>
      </c>
      <c r="F329" s="4">
        <f>11.088 * CHOOSE(CONTROL!$C$15, $D$11, 100%, $F$11)</f>
        <v>11.087999999999999</v>
      </c>
      <c r="G329" s="8">
        <f>10.3004 * CHOOSE( CONTROL!$C$15, $D$11, 100%, $F$11)</f>
        <v>10.3004</v>
      </c>
      <c r="H329" s="4">
        <f>11.2048 * CHOOSE(CONTROL!$C$15, $D$11, 100%, $F$11)</f>
        <v>11.204800000000001</v>
      </c>
      <c r="I329" s="8">
        <f>10.2561 * CHOOSE(CONTROL!$C$15, $D$11, 100%, $F$11)</f>
        <v>10.2561</v>
      </c>
      <c r="J329" s="4">
        <f>10.1065 * CHOOSE(CONTROL!$C$15, $D$11, 100%, $F$11)</f>
        <v>10.1065</v>
      </c>
      <c r="K329" s="4"/>
      <c r="L329" s="9">
        <v>29.306000000000001</v>
      </c>
      <c r="M329" s="9">
        <v>12.063700000000001</v>
      </c>
      <c r="N329" s="9">
        <v>4.9444999999999997</v>
      </c>
      <c r="O329" s="9">
        <v>0.37409999999999999</v>
      </c>
      <c r="P329" s="9">
        <v>1.2927</v>
      </c>
      <c r="Q329" s="9">
        <v>30.258500000000002</v>
      </c>
      <c r="R329" s="9"/>
      <c r="S329" s="11"/>
    </row>
    <row r="330" spans="1:19" ht="15.75">
      <c r="A330" s="13">
        <v>51560</v>
      </c>
      <c r="B330" s="8">
        <f>9.7495 * CHOOSE(CONTROL!$C$15, $D$11, 100%, $F$11)</f>
        <v>9.7494999999999994</v>
      </c>
      <c r="C330" s="8">
        <f>9.7546 * CHOOSE(CONTROL!$C$15, $D$11, 100%, $F$11)</f>
        <v>9.7545999999999999</v>
      </c>
      <c r="D330" s="8">
        <f>9.7257 * CHOOSE( CONTROL!$C$15, $D$11, 100%, $F$11)</f>
        <v>9.7256999999999998</v>
      </c>
      <c r="E330" s="12">
        <f>9.7357 * CHOOSE( CONTROL!$C$15, $D$11, 100%, $F$11)</f>
        <v>9.7356999999999996</v>
      </c>
      <c r="F330" s="4">
        <f>10.4148 * CHOOSE(CONTROL!$C$15, $D$11, 100%, $F$11)</f>
        <v>10.4148</v>
      </c>
      <c r="G330" s="8">
        <f>9.635 * CHOOSE( CONTROL!$C$15, $D$11, 100%, $F$11)</f>
        <v>9.6349999999999998</v>
      </c>
      <c r="H330" s="4">
        <f>10.5395 * CHOOSE(CONTROL!$C$15, $D$11, 100%, $F$11)</f>
        <v>10.5395</v>
      </c>
      <c r="I330" s="8">
        <f>9.6023 * CHOOSE(CONTROL!$C$15, $D$11, 100%, $F$11)</f>
        <v>9.6022999999999996</v>
      </c>
      <c r="J330" s="4">
        <f>9.4531 * CHOOSE(CONTROL!$C$15, $D$11, 100%, $F$11)</f>
        <v>9.4530999999999992</v>
      </c>
      <c r="K330" s="4"/>
      <c r="L330" s="9">
        <v>26.469899999999999</v>
      </c>
      <c r="M330" s="9">
        <v>10.8962</v>
      </c>
      <c r="N330" s="9">
        <v>4.4660000000000002</v>
      </c>
      <c r="O330" s="9">
        <v>0.33789999999999998</v>
      </c>
      <c r="P330" s="9">
        <v>1.1676</v>
      </c>
      <c r="Q330" s="9">
        <v>27.330200000000001</v>
      </c>
      <c r="R330" s="9"/>
      <c r="S330" s="11"/>
    </row>
    <row r="331" spans="1:19" ht="15.75">
      <c r="A331" s="13">
        <v>51591</v>
      </c>
      <c r="B331" s="8">
        <f>9.5421 * CHOOSE(CONTROL!$C$15, $D$11, 100%, $F$11)</f>
        <v>9.5420999999999996</v>
      </c>
      <c r="C331" s="8">
        <f>9.5472 * CHOOSE(CONTROL!$C$15, $D$11, 100%, $F$11)</f>
        <v>9.5472000000000001</v>
      </c>
      <c r="D331" s="8">
        <f>9.5179 * CHOOSE( CONTROL!$C$15, $D$11, 100%, $F$11)</f>
        <v>9.5178999999999991</v>
      </c>
      <c r="E331" s="12">
        <f>9.5281 * CHOOSE( CONTROL!$C$15, $D$11, 100%, $F$11)</f>
        <v>9.5281000000000002</v>
      </c>
      <c r="F331" s="4">
        <f>10.2074 * CHOOSE(CONTROL!$C$15, $D$11, 100%, $F$11)</f>
        <v>10.2074</v>
      </c>
      <c r="G331" s="8">
        <f>9.4298 * CHOOSE( CONTROL!$C$15, $D$11, 100%, $F$11)</f>
        <v>9.4298000000000002</v>
      </c>
      <c r="H331" s="4">
        <f>10.3345 * CHOOSE(CONTROL!$C$15, $D$11, 100%, $F$11)</f>
        <v>10.3345</v>
      </c>
      <c r="I331" s="8">
        <f>9.3998 * CHOOSE(CONTROL!$C$15, $D$11, 100%, $F$11)</f>
        <v>9.3998000000000008</v>
      </c>
      <c r="J331" s="4">
        <f>9.2519 * CHOOSE(CONTROL!$C$15, $D$11, 100%, $F$11)</f>
        <v>9.2518999999999991</v>
      </c>
      <c r="K331" s="4"/>
      <c r="L331" s="9">
        <v>29.306000000000001</v>
      </c>
      <c r="M331" s="9">
        <v>12.063700000000001</v>
      </c>
      <c r="N331" s="9">
        <v>4.9444999999999997</v>
      </c>
      <c r="O331" s="9">
        <v>0.37409999999999999</v>
      </c>
      <c r="P331" s="9">
        <v>1.2927</v>
      </c>
      <c r="Q331" s="9">
        <v>30.258500000000002</v>
      </c>
      <c r="R331" s="9"/>
      <c r="S331" s="11"/>
    </row>
    <row r="332" spans="1:19" ht="15.75">
      <c r="A332" s="13">
        <v>51621</v>
      </c>
      <c r="B332" s="8">
        <f>9.6878 * CHOOSE(CONTROL!$C$15, $D$11, 100%, $F$11)</f>
        <v>9.6877999999999993</v>
      </c>
      <c r="C332" s="8">
        <f>9.6923 * CHOOSE(CONTROL!$C$15, $D$11, 100%, $F$11)</f>
        <v>9.6922999999999995</v>
      </c>
      <c r="D332" s="8">
        <f>9.7357 * CHOOSE( CONTROL!$C$15, $D$11, 100%, $F$11)</f>
        <v>9.7356999999999996</v>
      </c>
      <c r="E332" s="12">
        <f>9.7209 * CHOOSE( CONTROL!$C$15, $D$11, 100%, $F$11)</f>
        <v>9.7209000000000003</v>
      </c>
      <c r="F332" s="4">
        <f>10.4322 * CHOOSE(CONTROL!$C$15, $D$11, 100%, $F$11)</f>
        <v>10.4322</v>
      </c>
      <c r="G332" s="8">
        <f>9.5808 * CHOOSE( CONTROL!$C$15, $D$11, 100%, $F$11)</f>
        <v>9.5808</v>
      </c>
      <c r="H332" s="4">
        <f>10.5567 * CHOOSE(CONTROL!$C$15, $D$11, 100%, $F$11)</f>
        <v>10.556699999999999</v>
      </c>
      <c r="I332" s="8">
        <f>9.5386 * CHOOSE(CONTROL!$C$15, $D$11, 100%, $F$11)</f>
        <v>9.5386000000000006</v>
      </c>
      <c r="J332" s="4">
        <f>9.3925 * CHOOSE(CONTROL!$C$15, $D$11, 100%, $F$11)</f>
        <v>9.3925000000000001</v>
      </c>
      <c r="K332" s="4"/>
      <c r="L332" s="9">
        <v>30.092199999999998</v>
      </c>
      <c r="M332" s="9">
        <v>11.6745</v>
      </c>
      <c r="N332" s="9">
        <v>4.7850000000000001</v>
      </c>
      <c r="O332" s="9">
        <v>0.36199999999999999</v>
      </c>
      <c r="P332" s="9">
        <v>1.1791</v>
      </c>
      <c r="Q332" s="9">
        <v>29.282399999999999</v>
      </c>
      <c r="R332" s="9"/>
      <c r="S332" s="11"/>
    </row>
    <row r="333" spans="1:19" ht="15.75">
      <c r="A333" s="13">
        <v>51652</v>
      </c>
      <c r="B333" s="8">
        <f>CHOOSE( CONTROL!$C$32, 9.9507, 9.9471) * CHOOSE(CONTROL!$C$15, $D$11, 100%, $F$11)</f>
        <v>9.9506999999999994</v>
      </c>
      <c r="C333" s="8">
        <f>CHOOSE( CONTROL!$C$32, 9.9587, 9.955) * CHOOSE(CONTROL!$C$15, $D$11, 100%, $F$11)</f>
        <v>9.9587000000000003</v>
      </c>
      <c r="D333" s="8">
        <f>CHOOSE( CONTROL!$C$32, 9.9964, 9.9928) * CHOOSE( CONTROL!$C$15, $D$11, 100%, $F$11)</f>
        <v>9.9963999999999995</v>
      </c>
      <c r="E333" s="12">
        <f>CHOOSE( CONTROL!$C$32, 9.9815, 9.9779) * CHOOSE( CONTROL!$C$15, $D$11, 100%, $F$11)</f>
        <v>9.9815000000000005</v>
      </c>
      <c r="F333" s="4">
        <f>CHOOSE( CONTROL!$C$32, 10.6937, 10.6901) * CHOOSE(CONTROL!$C$15, $D$11, 100%, $F$11)</f>
        <v>10.6937</v>
      </c>
      <c r="G333" s="8">
        <f>CHOOSE( CONTROL!$C$32, 9.8401, 9.8365) * CHOOSE( CONTROL!$C$15, $D$11, 100%, $F$11)</f>
        <v>9.8400999999999996</v>
      </c>
      <c r="H333" s="4">
        <f>CHOOSE( CONTROL!$C$32, 10.8151, 10.8115) * CHOOSE(CONTROL!$C$15, $D$11, 100%, $F$11)</f>
        <v>10.815099999999999</v>
      </c>
      <c r="I333" s="8">
        <f>CHOOSE( CONTROL!$C$32, 9.7927, 9.7892) * CHOOSE(CONTROL!$C$15, $D$11, 100%, $F$11)</f>
        <v>9.7927</v>
      </c>
      <c r="J333" s="4">
        <f>CHOOSE( CONTROL!$C$32, 9.6463, 9.6428) * CHOOSE(CONTROL!$C$15, $D$11, 100%, $F$11)</f>
        <v>9.6463000000000001</v>
      </c>
      <c r="K333" s="4"/>
      <c r="L333" s="9">
        <v>30.7165</v>
      </c>
      <c r="M333" s="9">
        <v>12.063700000000001</v>
      </c>
      <c r="N333" s="9">
        <v>4.9444999999999997</v>
      </c>
      <c r="O333" s="9">
        <v>0.37409999999999999</v>
      </c>
      <c r="P333" s="9">
        <v>1.2183999999999999</v>
      </c>
      <c r="Q333" s="9">
        <v>30.258500000000002</v>
      </c>
      <c r="R333" s="9"/>
      <c r="S333" s="11"/>
    </row>
    <row r="334" spans="1:19" ht="15.75">
      <c r="A334" s="13">
        <v>51682</v>
      </c>
      <c r="B334" s="8">
        <f>CHOOSE( CONTROL!$C$32, 9.7909, 9.7873) * CHOOSE(CONTROL!$C$15, $D$11, 100%, $F$11)</f>
        <v>9.7909000000000006</v>
      </c>
      <c r="C334" s="8">
        <f>CHOOSE( CONTROL!$C$32, 9.7989, 9.7953) * CHOOSE(CONTROL!$C$15, $D$11, 100%, $F$11)</f>
        <v>9.7988999999999997</v>
      </c>
      <c r="D334" s="8">
        <f>CHOOSE( CONTROL!$C$32, 9.8369, 9.8332) * CHOOSE( CONTROL!$C$15, $D$11, 100%, $F$11)</f>
        <v>9.8369</v>
      </c>
      <c r="E334" s="12">
        <f>CHOOSE( CONTROL!$C$32, 9.8219, 9.8182) * CHOOSE( CONTROL!$C$15, $D$11, 100%, $F$11)</f>
        <v>9.8218999999999994</v>
      </c>
      <c r="F334" s="4">
        <f>CHOOSE( CONTROL!$C$32, 10.534, 10.5303) * CHOOSE(CONTROL!$C$15, $D$11, 100%, $F$11)</f>
        <v>10.534000000000001</v>
      </c>
      <c r="G334" s="8">
        <f>CHOOSE( CONTROL!$C$32, 9.6825, 9.6789) * CHOOSE( CONTROL!$C$15, $D$11, 100%, $F$11)</f>
        <v>9.6824999999999992</v>
      </c>
      <c r="H334" s="4">
        <f>CHOOSE( CONTROL!$C$32, 10.6572, 10.6536) * CHOOSE(CONTROL!$C$15, $D$11, 100%, $F$11)</f>
        <v>10.6572</v>
      </c>
      <c r="I334" s="8">
        <f>CHOOSE( CONTROL!$C$32, 9.6386, 9.6351) * CHOOSE(CONTROL!$C$15, $D$11, 100%, $F$11)</f>
        <v>9.6386000000000003</v>
      </c>
      <c r="J334" s="4">
        <f>CHOOSE( CONTROL!$C$32, 9.4913, 9.4878) * CHOOSE(CONTROL!$C$15, $D$11, 100%, $F$11)</f>
        <v>9.4913000000000007</v>
      </c>
      <c r="K334" s="4"/>
      <c r="L334" s="9">
        <v>29.7257</v>
      </c>
      <c r="M334" s="9">
        <v>11.6745</v>
      </c>
      <c r="N334" s="9">
        <v>4.7850000000000001</v>
      </c>
      <c r="O334" s="9">
        <v>0.36199999999999999</v>
      </c>
      <c r="P334" s="9">
        <v>1.1791</v>
      </c>
      <c r="Q334" s="9">
        <v>29.282399999999999</v>
      </c>
      <c r="R334" s="9"/>
      <c r="S334" s="11"/>
    </row>
    <row r="335" spans="1:19" ht="15.75">
      <c r="A335" s="13">
        <v>51713</v>
      </c>
      <c r="B335" s="8">
        <f>CHOOSE( CONTROL!$C$32, 10.2116, 10.208) * CHOOSE(CONTROL!$C$15, $D$11, 100%, $F$11)</f>
        <v>10.211600000000001</v>
      </c>
      <c r="C335" s="8">
        <f>CHOOSE( CONTROL!$C$32, 10.2196, 10.2159) * CHOOSE(CONTROL!$C$15, $D$11, 100%, $F$11)</f>
        <v>10.2196</v>
      </c>
      <c r="D335" s="8">
        <f>CHOOSE( CONTROL!$C$32, 10.2578, 10.2541) * CHOOSE( CONTROL!$C$15, $D$11, 100%, $F$11)</f>
        <v>10.2578</v>
      </c>
      <c r="E335" s="12">
        <f>CHOOSE( CONTROL!$C$32, 10.2427, 10.2391) * CHOOSE( CONTROL!$C$15, $D$11, 100%, $F$11)</f>
        <v>10.242699999999999</v>
      </c>
      <c r="F335" s="4">
        <f>CHOOSE( CONTROL!$C$32, 10.9546, 10.951) * CHOOSE(CONTROL!$C$15, $D$11, 100%, $F$11)</f>
        <v>10.954599999999999</v>
      </c>
      <c r="G335" s="8">
        <f>CHOOSE( CONTROL!$C$32, 10.0986, 10.095) * CHOOSE( CONTROL!$C$15, $D$11, 100%, $F$11)</f>
        <v>10.098599999999999</v>
      </c>
      <c r="H335" s="4">
        <f>CHOOSE( CONTROL!$C$32, 11.073, 11.0694) * CHOOSE(CONTROL!$C$15, $D$11, 100%, $F$11)</f>
        <v>11.073</v>
      </c>
      <c r="I335" s="8">
        <f>CHOOSE( CONTROL!$C$32, 10.0482, 10.0447) * CHOOSE(CONTROL!$C$15, $D$11, 100%, $F$11)</f>
        <v>10.0482</v>
      </c>
      <c r="J335" s="4">
        <f>CHOOSE( CONTROL!$C$32, 9.8996, 9.896) * CHOOSE(CONTROL!$C$15, $D$11, 100%, $F$11)</f>
        <v>9.8995999999999995</v>
      </c>
      <c r="K335" s="4"/>
      <c r="L335" s="9">
        <v>30.7165</v>
      </c>
      <c r="M335" s="9">
        <v>12.063700000000001</v>
      </c>
      <c r="N335" s="9">
        <v>4.9444999999999997</v>
      </c>
      <c r="O335" s="9">
        <v>0.37409999999999999</v>
      </c>
      <c r="P335" s="9">
        <v>1.2183999999999999</v>
      </c>
      <c r="Q335" s="9">
        <v>30.258500000000002</v>
      </c>
      <c r="R335" s="9"/>
      <c r="S335" s="11"/>
    </row>
    <row r="336" spans="1:19" ht="15.75">
      <c r="A336" s="13">
        <v>51744</v>
      </c>
      <c r="B336" s="8">
        <f>CHOOSE( CONTROL!$C$32, 9.4245, 9.4209) * CHOOSE(CONTROL!$C$15, $D$11, 100%, $F$11)</f>
        <v>9.4245000000000001</v>
      </c>
      <c r="C336" s="8">
        <f>CHOOSE( CONTROL!$C$32, 9.4325, 9.4288) * CHOOSE(CONTROL!$C$15, $D$11, 100%, $F$11)</f>
        <v>9.4324999999999992</v>
      </c>
      <c r="D336" s="8">
        <f>CHOOSE( CONTROL!$C$32, 9.4707, 9.4671) * CHOOSE( CONTROL!$C$15, $D$11, 100%, $F$11)</f>
        <v>9.4707000000000008</v>
      </c>
      <c r="E336" s="12">
        <f>CHOOSE( CONTROL!$C$32, 9.4556, 9.452) * CHOOSE( CONTROL!$C$15, $D$11, 100%, $F$11)</f>
        <v>9.4556000000000004</v>
      </c>
      <c r="F336" s="4">
        <f>CHOOSE( CONTROL!$C$32, 10.1675, 10.1639) * CHOOSE(CONTROL!$C$15, $D$11, 100%, $F$11)</f>
        <v>10.1675</v>
      </c>
      <c r="G336" s="8">
        <f>CHOOSE( CONTROL!$C$32, 9.3208, 9.3172) * CHOOSE( CONTROL!$C$15, $D$11, 100%, $F$11)</f>
        <v>9.3208000000000002</v>
      </c>
      <c r="H336" s="4">
        <f>CHOOSE( CONTROL!$C$32, 10.2951, 10.2915) * CHOOSE(CONTROL!$C$15, $D$11, 100%, $F$11)</f>
        <v>10.2951</v>
      </c>
      <c r="I336" s="8">
        <f>CHOOSE( CONTROL!$C$32, 9.2842, 9.2807) * CHOOSE(CONTROL!$C$15, $D$11, 100%, $F$11)</f>
        <v>9.2842000000000002</v>
      </c>
      <c r="J336" s="4">
        <f>CHOOSE( CONTROL!$C$32, 9.1357, 9.1321) * CHOOSE(CONTROL!$C$15, $D$11, 100%, $F$11)</f>
        <v>9.1356999999999999</v>
      </c>
      <c r="K336" s="4"/>
      <c r="L336" s="9">
        <v>30.7165</v>
      </c>
      <c r="M336" s="9">
        <v>12.063700000000001</v>
      </c>
      <c r="N336" s="9">
        <v>4.9444999999999997</v>
      </c>
      <c r="O336" s="9">
        <v>0.37409999999999999</v>
      </c>
      <c r="P336" s="9">
        <v>1.2183999999999999</v>
      </c>
      <c r="Q336" s="9">
        <v>30.258500000000002</v>
      </c>
      <c r="R336" s="9"/>
      <c r="S336" s="11"/>
    </row>
    <row r="337" spans="1:19" ht="15.75">
      <c r="A337" s="13">
        <v>51774</v>
      </c>
      <c r="B337" s="8">
        <f>CHOOSE( CONTROL!$C$32, 9.2274, 9.2238) * CHOOSE(CONTROL!$C$15, $D$11, 100%, $F$11)</f>
        <v>9.2273999999999994</v>
      </c>
      <c r="C337" s="8">
        <f>CHOOSE( CONTROL!$C$32, 9.2354, 9.2317) * CHOOSE(CONTROL!$C$15, $D$11, 100%, $F$11)</f>
        <v>9.2354000000000003</v>
      </c>
      <c r="D337" s="8">
        <f>CHOOSE( CONTROL!$C$32, 9.2735, 9.2699) * CHOOSE( CONTROL!$C$15, $D$11, 100%, $F$11)</f>
        <v>9.2735000000000003</v>
      </c>
      <c r="E337" s="12">
        <f>CHOOSE( CONTROL!$C$32, 9.2585, 9.2549) * CHOOSE( CONTROL!$C$15, $D$11, 100%, $F$11)</f>
        <v>9.2584999999999997</v>
      </c>
      <c r="F337" s="4">
        <f>CHOOSE( CONTROL!$C$32, 9.9704, 9.9668) * CHOOSE(CONTROL!$C$15, $D$11, 100%, $F$11)</f>
        <v>9.9703999999999997</v>
      </c>
      <c r="G337" s="8">
        <f>CHOOSE( CONTROL!$C$32, 9.1259, 9.1223) * CHOOSE( CONTROL!$C$15, $D$11, 100%, $F$11)</f>
        <v>9.1258999999999997</v>
      </c>
      <c r="H337" s="4">
        <f>CHOOSE( CONTROL!$C$32, 10.1003, 10.0967) * CHOOSE(CONTROL!$C$15, $D$11, 100%, $F$11)</f>
        <v>10.100300000000001</v>
      </c>
      <c r="I337" s="8">
        <f>CHOOSE( CONTROL!$C$32, 9.0925, 9.0889) * CHOOSE(CONTROL!$C$15, $D$11, 100%, $F$11)</f>
        <v>9.0924999999999994</v>
      </c>
      <c r="J337" s="4">
        <f>CHOOSE( CONTROL!$C$32, 8.9444, 8.9408) * CHOOSE(CONTROL!$C$15, $D$11, 100%, $F$11)</f>
        <v>8.9443999999999999</v>
      </c>
      <c r="K337" s="4"/>
      <c r="L337" s="9">
        <v>29.7257</v>
      </c>
      <c r="M337" s="9">
        <v>11.6745</v>
      </c>
      <c r="N337" s="9">
        <v>4.7850000000000001</v>
      </c>
      <c r="O337" s="9">
        <v>0.36199999999999999</v>
      </c>
      <c r="P337" s="9">
        <v>1.1791</v>
      </c>
      <c r="Q337" s="9">
        <v>29.282399999999999</v>
      </c>
      <c r="R337" s="9"/>
      <c r="S337" s="11"/>
    </row>
    <row r="338" spans="1:19" ht="15.75">
      <c r="A338" s="13">
        <v>51805</v>
      </c>
      <c r="B338" s="8">
        <f>9.6313 * CHOOSE(CONTROL!$C$15, $D$11, 100%, $F$11)</f>
        <v>9.6312999999999995</v>
      </c>
      <c r="C338" s="8">
        <f>9.6366 * CHOOSE(CONTROL!$C$15, $D$11, 100%, $F$11)</f>
        <v>9.6365999999999996</v>
      </c>
      <c r="D338" s="8">
        <f>9.6801 * CHOOSE( CONTROL!$C$15, $D$11, 100%, $F$11)</f>
        <v>9.6800999999999995</v>
      </c>
      <c r="E338" s="12">
        <f>9.6652 * CHOOSE( CONTROL!$C$15, $D$11, 100%, $F$11)</f>
        <v>9.6652000000000005</v>
      </c>
      <c r="F338" s="4">
        <f>10.376 * CHOOSE(CONTROL!$C$15, $D$11, 100%, $F$11)</f>
        <v>10.375999999999999</v>
      </c>
      <c r="G338" s="8">
        <f>9.5262 * CHOOSE( CONTROL!$C$15, $D$11, 100%, $F$11)</f>
        <v>9.5261999999999993</v>
      </c>
      <c r="H338" s="4">
        <f>10.5011 * CHOOSE(CONTROL!$C$15, $D$11, 100%, $F$11)</f>
        <v>10.501099999999999</v>
      </c>
      <c r="I338" s="8">
        <f>9.4871 * CHOOSE(CONTROL!$C$15, $D$11, 100%, $F$11)</f>
        <v>9.4870999999999999</v>
      </c>
      <c r="J338" s="4">
        <f>9.338 * CHOOSE(CONTROL!$C$15, $D$11, 100%, $F$11)</f>
        <v>9.3379999999999992</v>
      </c>
      <c r="K338" s="4"/>
      <c r="L338" s="9">
        <v>31.095300000000002</v>
      </c>
      <c r="M338" s="9">
        <v>12.063700000000001</v>
      </c>
      <c r="N338" s="9">
        <v>4.9444999999999997</v>
      </c>
      <c r="O338" s="9">
        <v>0.37409999999999999</v>
      </c>
      <c r="P338" s="9">
        <v>1.2183999999999999</v>
      </c>
      <c r="Q338" s="9">
        <v>30.258500000000002</v>
      </c>
      <c r="R338" s="9"/>
      <c r="S338" s="11"/>
    </row>
    <row r="339" spans="1:19" ht="15.75">
      <c r="A339" s="13">
        <v>51835</v>
      </c>
      <c r="B339" s="8">
        <f>10.3863 * CHOOSE(CONTROL!$C$15, $D$11, 100%, $F$11)</f>
        <v>10.3863</v>
      </c>
      <c r="C339" s="8">
        <f>10.3914 * CHOOSE(CONTROL!$C$15, $D$11, 100%, $F$11)</f>
        <v>10.391400000000001</v>
      </c>
      <c r="D339" s="8">
        <f>10.375 * CHOOSE( CONTROL!$C$15, $D$11, 100%, $F$11)</f>
        <v>10.375</v>
      </c>
      <c r="E339" s="12">
        <f>10.3805 * CHOOSE( CONTROL!$C$15, $D$11, 100%, $F$11)</f>
        <v>10.3805</v>
      </c>
      <c r="F339" s="4">
        <f>11.0516 * CHOOSE(CONTROL!$C$15, $D$11, 100%, $F$11)</f>
        <v>11.051600000000001</v>
      </c>
      <c r="G339" s="8">
        <f>10.2734 * CHOOSE( CONTROL!$C$15, $D$11, 100%, $F$11)</f>
        <v>10.273400000000001</v>
      </c>
      <c r="H339" s="4">
        <f>11.1688 * CHOOSE(CONTROL!$C$15, $D$11, 100%, $F$11)</f>
        <v>11.168799999999999</v>
      </c>
      <c r="I339" s="8">
        <f>10.2207 * CHOOSE(CONTROL!$C$15, $D$11, 100%, $F$11)</f>
        <v>10.220700000000001</v>
      </c>
      <c r="J339" s="4">
        <f>10.0711 * CHOOSE(CONTROL!$C$15, $D$11, 100%, $F$11)</f>
        <v>10.071099999999999</v>
      </c>
      <c r="K339" s="4"/>
      <c r="L339" s="9">
        <v>28.360600000000002</v>
      </c>
      <c r="M339" s="9">
        <v>11.6745</v>
      </c>
      <c r="N339" s="9">
        <v>4.7850000000000001</v>
      </c>
      <c r="O339" s="9">
        <v>0.36199999999999999</v>
      </c>
      <c r="P339" s="9">
        <v>1.2509999999999999</v>
      </c>
      <c r="Q339" s="9">
        <v>29.282399999999999</v>
      </c>
      <c r="R339" s="9"/>
      <c r="S339" s="11"/>
    </row>
    <row r="340" spans="1:19" ht="15.75">
      <c r="A340" s="13">
        <v>51866</v>
      </c>
      <c r="B340" s="8">
        <f>10.3674 * CHOOSE(CONTROL!$C$15, $D$11, 100%, $F$11)</f>
        <v>10.3674</v>
      </c>
      <c r="C340" s="8">
        <f>10.3725 * CHOOSE(CONTROL!$C$15, $D$11, 100%, $F$11)</f>
        <v>10.3725</v>
      </c>
      <c r="D340" s="8">
        <f>10.3579 * CHOOSE( CONTROL!$C$15, $D$11, 100%, $F$11)</f>
        <v>10.357900000000001</v>
      </c>
      <c r="E340" s="12">
        <f>10.3627 * CHOOSE( CONTROL!$C$15, $D$11, 100%, $F$11)</f>
        <v>10.3627</v>
      </c>
      <c r="F340" s="4">
        <f>11.0327 * CHOOSE(CONTROL!$C$15, $D$11, 100%, $F$11)</f>
        <v>11.0327</v>
      </c>
      <c r="G340" s="8">
        <f>10.256 * CHOOSE( CONTROL!$C$15, $D$11, 100%, $F$11)</f>
        <v>10.256</v>
      </c>
      <c r="H340" s="4">
        <f>11.1501 * CHOOSE(CONTROL!$C$15, $D$11, 100%, $F$11)</f>
        <v>11.1501</v>
      </c>
      <c r="I340" s="8">
        <f>10.2077 * CHOOSE(CONTROL!$C$15, $D$11, 100%, $F$11)</f>
        <v>10.207700000000001</v>
      </c>
      <c r="J340" s="4">
        <f>10.0528 * CHOOSE(CONTROL!$C$15, $D$11, 100%, $F$11)</f>
        <v>10.0528</v>
      </c>
      <c r="K340" s="4"/>
      <c r="L340" s="9">
        <v>29.306000000000001</v>
      </c>
      <c r="M340" s="9">
        <v>12.063700000000001</v>
      </c>
      <c r="N340" s="9">
        <v>4.9444999999999997</v>
      </c>
      <c r="O340" s="9">
        <v>0.37409999999999999</v>
      </c>
      <c r="P340" s="9">
        <v>1.2927</v>
      </c>
      <c r="Q340" s="9">
        <v>30.258500000000002</v>
      </c>
      <c r="R340" s="9"/>
      <c r="S340" s="11"/>
    </row>
    <row r="341" spans="1:19" ht="15.75">
      <c r="A341" s="13">
        <v>51897</v>
      </c>
      <c r="B341" s="8">
        <f>10.6729 * CHOOSE(CONTROL!$C$15, $D$11, 100%, $F$11)</f>
        <v>10.6729</v>
      </c>
      <c r="C341" s="8">
        <f>10.678 * CHOOSE(CONTROL!$C$15, $D$11, 100%, $F$11)</f>
        <v>10.678000000000001</v>
      </c>
      <c r="D341" s="8">
        <f>10.6491 * CHOOSE( CONTROL!$C$15, $D$11, 100%, $F$11)</f>
        <v>10.649100000000001</v>
      </c>
      <c r="E341" s="12">
        <f>10.6591 * CHOOSE( CONTROL!$C$15, $D$11, 100%, $F$11)</f>
        <v>10.6591</v>
      </c>
      <c r="F341" s="4">
        <f>11.3382 * CHOOSE(CONTROL!$C$15, $D$11, 100%, $F$11)</f>
        <v>11.338200000000001</v>
      </c>
      <c r="G341" s="8">
        <f>10.5477 * CHOOSE( CONTROL!$C$15, $D$11, 100%, $F$11)</f>
        <v>10.547700000000001</v>
      </c>
      <c r="H341" s="4">
        <f>11.4521 * CHOOSE(CONTROL!$C$15, $D$11, 100%, $F$11)</f>
        <v>11.4521</v>
      </c>
      <c r="I341" s="8">
        <f>10.499 * CHOOSE(CONTROL!$C$15, $D$11, 100%, $F$11)</f>
        <v>10.499000000000001</v>
      </c>
      <c r="J341" s="4">
        <f>10.3493 * CHOOSE(CONTROL!$C$15, $D$11, 100%, $F$11)</f>
        <v>10.349299999999999</v>
      </c>
      <c r="K341" s="4"/>
      <c r="L341" s="9">
        <v>29.306000000000001</v>
      </c>
      <c r="M341" s="9">
        <v>12.063700000000001</v>
      </c>
      <c r="N341" s="9">
        <v>4.9444999999999997</v>
      </c>
      <c r="O341" s="9">
        <v>0.37409999999999999</v>
      </c>
      <c r="P341" s="9">
        <v>1.2927</v>
      </c>
      <c r="Q341" s="9">
        <v>20.593900000000001</v>
      </c>
      <c r="R341" s="9"/>
      <c r="S341" s="11"/>
    </row>
    <row r="342" spans="1:19" ht="15.75">
      <c r="A342" s="13">
        <v>51925</v>
      </c>
      <c r="B342" s="8">
        <f>9.9835 * CHOOSE(CONTROL!$C$15, $D$11, 100%, $F$11)</f>
        <v>9.9834999999999994</v>
      </c>
      <c r="C342" s="8">
        <f>9.9886 * CHOOSE(CONTROL!$C$15, $D$11, 100%, $F$11)</f>
        <v>9.9885999999999999</v>
      </c>
      <c r="D342" s="8">
        <f>9.9597 * CHOOSE( CONTROL!$C$15, $D$11, 100%, $F$11)</f>
        <v>9.9596999999999998</v>
      </c>
      <c r="E342" s="12">
        <f>9.9697 * CHOOSE( CONTROL!$C$15, $D$11, 100%, $F$11)</f>
        <v>9.9696999999999996</v>
      </c>
      <c r="F342" s="4">
        <f>10.6488 * CHOOSE(CONTROL!$C$15, $D$11, 100%, $F$11)</f>
        <v>10.6488</v>
      </c>
      <c r="G342" s="8">
        <f>9.8663 * CHOOSE( CONTROL!$C$15, $D$11, 100%, $F$11)</f>
        <v>9.8663000000000007</v>
      </c>
      <c r="H342" s="4">
        <f>10.7708 * CHOOSE(CONTROL!$C$15, $D$11, 100%, $F$11)</f>
        <v>10.770799999999999</v>
      </c>
      <c r="I342" s="8">
        <f>9.8296 * CHOOSE(CONTROL!$C$15, $D$11, 100%, $F$11)</f>
        <v>9.8295999999999992</v>
      </c>
      <c r="J342" s="4">
        <f>9.6803 * CHOOSE(CONTROL!$C$15, $D$11, 100%, $F$11)</f>
        <v>9.6803000000000008</v>
      </c>
      <c r="K342" s="4"/>
      <c r="L342" s="9">
        <v>26.469899999999999</v>
      </c>
      <c r="M342" s="9">
        <v>10.8962</v>
      </c>
      <c r="N342" s="9">
        <v>4.4660000000000002</v>
      </c>
      <c r="O342" s="9">
        <v>0.33789999999999998</v>
      </c>
      <c r="P342" s="9">
        <v>1.1676</v>
      </c>
      <c r="Q342" s="9">
        <v>18.600999999999999</v>
      </c>
      <c r="R342" s="9"/>
      <c r="S342" s="11"/>
    </row>
    <row r="343" spans="1:19" ht="15.75">
      <c r="A343" s="13">
        <v>51956</v>
      </c>
      <c r="B343" s="8">
        <f>9.7712 * CHOOSE(CONTROL!$C$15, $D$11, 100%, $F$11)</f>
        <v>9.7712000000000003</v>
      </c>
      <c r="C343" s="8">
        <f>9.7763 * CHOOSE(CONTROL!$C$15, $D$11, 100%, $F$11)</f>
        <v>9.7763000000000009</v>
      </c>
      <c r="D343" s="8">
        <f>9.747 * CHOOSE( CONTROL!$C$15, $D$11, 100%, $F$11)</f>
        <v>9.7469999999999999</v>
      </c>
      <c r="E343" s="12">
        <f>9.7572 * CHOOSE( CONTROL!$C$15, $D$11, 100%, $F$11)</f>
        <v>9.7571999999999992</v>
      </c>
      <c r="F343" s="4">
        <f>10.4365 * CHOOSE(CONTROL!$C$15, $D$11, 100%, $F$11)</f>
        <v>10.436500000000001</v>
      </c>
      <c r="G343" s="8">
        <f>9.6562 * CHOOSE( CONTROL!$C$15, $D$11, 100%, $F$11)</f>
        <v>9.6562000000000001</v>
      </c>
      <c r="H343" s="4">
        <f>10.5609 * CHOOSE(CONTROL!$C$15, $D$11, 100%, $F$11)</f>
        <v>10.5609</v>
      </c>
      <c r="I343" s="8">
        <f>9.6222 * CHOOSE(CONTROL!$C$15, $D$11, 100%, $F$11)</f>
        <v>9.6221999999999994</v>
      </c>
      <c r="J343" s="4">
        <f>9.4742 * CHOOSE(CONTROL!$C$15, $D$11, 100%, $F$11)</f>
        <v>9.4741999999999997</v>
      </c>
      <c r="K343" s="4"/>
      <c r="L343" s="9">
        <v>29.306000000000001</v>
      </c>
      <c r="M343" s="9">
        <v>12.063700000000001</v>
      </c>
      <c r="N343" s="9">
        <v>4.9444999999999997</v>
      </c>
      <c r="O343" s="9">
        <v>0.37409999999999999</v>
      </c>
      <c r="P343" s="9">
        <v>1.2927</v>
      </c>
      <c r="Q343" s="9">
        <v>20.593900000000001</v>
      </c>
      <c r="R343" s="9"/>
      <c r="S343" s="11"/>
    </row>
    <row r="344" spans="1:19" ht="15.75">
      <c r="A344" s="13">
        <v>51986</v>
      </c>
      <c r="B344" s="8">
        <f>9.9203 * CHOOSE(CONTROL!$C$15, $D$11, 100%, $F$11)</f>
        <v>9.9202999999999992</v>
      </c>
      <c r="C344" s="8">
        <f>9.9249 * CHOOSE(CONTROL!$C$15, $D$11, 100%, $F$11)</f>
        <v>9.9248999999999992</v>
      </c>
      <c r="D344" s="8">
        <f>9.9682 * CHOOSE( CONTROL!$C$15, $D$11, 100%, $F$11)</f>
        <v>9.9681999999999995</v>
      </c>
      <c r="E344" s="12">
        <f>9.9534 * CHOOSE( CONTROL!$C$15, $D$11, 100%, $F$11)</f>
        <v>9.9534000000000002</v>
      </c>
      <c r="F344" s="4">
        <f>10.6647 * CHOOSE(CONTROL!$C$15, $D$11, 100%, $F$11)</f>
        <v>10.6647</v>
      </c>
      <c r="G344" s="8">
        <f>9.8106 * CHOOSE( CONTROL!$C$15, $D$11, 100%, $F$11)</f>
        <v>9.8106000000000009</v>
      </c>
      <c r="H344" s="4">
        <f>10.7865 * CHOOSE(CONTROL!$C$15, $D$11, 100%, $F$11)</f>
        <v>10.7865</v>
      </c>
      <c r="I344" s="8">
        <f>9.7644 * CHOOSE(CONTROL!$C$15, $D$11, 100%, $F$11)</f>
        <v>9.7644000000000002</v>
      </c>
      <c r="J344" s="4">
        <f>9.6182 * CHOOSE(CONTROL!$C$15, $D$11, 100%, $F$11)</f>
        <v>9.6181999999999999</v>
      </c>
      <c r="K344" s="4"/>
      <c r="L344" s="9">
        <v>30.092199999999998</v>
      </c>
      <c r="M344" s="9">
        <v>11.6745</v>
      </c>
      <c r="N344" s="9">
        <v>4.7850000000000001</v>
      </c>
      <c r="O344" s="9">
        <v>0.36199999999999999</v>
      </c>
      <c r="P344" s="9">
        <v>1.1791</v>
      </c>
      <c r="Q344" s="9">
        <v>19.929600000000001</v>
      </c>
      <c r="R344" s="9"/>
      <c r="S344" s="11"/>
    </row>
    <row r="345" spans="1:19" ht="15.75">
      <c r="A345" s="13">
        <v>52017</v>
      </c>
      <c r="B345" s="8">
        <f>CHOOSE( CONTROL!$C$32, 10.1894, 10.1858) * CHOOSE(CONTROL!$C$15, $D$11, 100%, $F$11)</f>
        <v>10.189399999999999</v>
      </c>
      <c r="C345" s="8">
        <f>CHOOSE( CONTROL!$C$32, 10.1974, 10.1938) * CHOOSE(CONTROL!$C$15, $D$11, 100%, $F$11)</f>
        <v>10.1974</v>
      </c>
      <c r="D345" s="8">
        <f>CHOOSE( CONTROL!$C$32, 10.2351, 10.2315) * CHOOSE( CONTROL!$C$15, $D$11, 100%, $F$11)</f>
        <v>10.235099999999999</v>
      </c>
      <c r="E345" s="12">
        <f>CHOOSE( CONTROL!$C$32, 10.2202, 10.2166) * CHOOSE( CONTROL!$C$15, $D$11, 100%, $F$11)</f>
        <v>10.2202</v>
      </c>
      <c r="F345" s="4">
        <f>CHOOSE( CONTROL!$C$32, 10.9324, 10.9288) * CHOOSE(CONTROL!$C$15, $D$11, 100%, $F$11)</f>
        <v>10.932399999999999</v>
      </c>
      <c r="G345" s="8">
        <f>CHOOSE( CONTROL!$C$32, 10.076, 10.0724) * CHOOSE( CONTROL!$C$15, $D$11, 100%, $F$11)</f>
        <v>10.076000000000001</v>
      </c>
      <c r="H345" s="4">
        <f>CHOOSE( CONTROL!$C$32, 11.051, 11.0474) * CHOOSE(CONTROL!$C$15, $D$11, 100%, $F$11)</f>
        <v>11.051</v>
      </c>
      <c r="I345" s="8">
        <f>CHOOSE( CONTROL!$C$32, 10.0245, 10.021) * CHOOSE(CONTROL!$C$15, $D$11, 100%, $F$11)</f>
        <v>10.0245</v>
      </c>
      <c r="J345" s="4">
        <f>CHOOSE( CONTROL!$C$32, 9.878, 9.8745) * CHOOSE(CONTROL!$C$15, $D$11, 100%, $F$11)</f>
        <v>9.8780000000000001</v>
      </c>
      <c r="K345" s="4"/>
      <c r="L345" s="9">
        <v>30.7165</v>
      </c>
      <c r="M345" s="9">
        <v>12.063700000000001</v>
      </c>
      <c r="N345" s="9">
        <v>4.9444999999999997</v>
      </c>
      <c r="O345" s="9">
        <v>0.37409999999999999</v>
      </c>
      <c r="P345" s="9">
        <v>1.2183999999999999</v>
      </c>
      <c r="Q345" s="9">
        <v>20.593900000000001</v>
      </c>
      <c r="R345" s="9"/>
      <c r="S345" s="11"/>
    </row>
    <row r="346" spans="1:19" ht="15.75">
      <c r="A346" s="13">
        <v>52047</v>
      </c>
      <c r="B346" s="8">
        <f>CHOOSE( CONTROL!$C$32, 10.0258, 10.0222) * CHOOSE(CONTROL!$C$15, $D$11, 100%, $F$11)</f>
        <v>10.0258</v>
      </c>
      <c r="C346" s="8">
        <f>CHOOSE( CONTROL!$C$32, 10.0338, 10.0302) * CHOOSE(CONTROL!$C$15, $D$11, 100%, $F$11)</f>
        <v>10.033799999999999</v>
      </c>
      <c r="D346" s="8">
        <f>CHOOSE( CONTROL!$C$32, 10.0718, 10.0681) * CHOOSE( CONTROL!$C$15, $D$11, 100%, $F$11)</f>
        <v>10.0718</v>
      </c>
      <c r="E346" s="12">
        <f>CHOOSE( CONTROL!$C$32, 10.0568, 10.0531) * CHOOSE( CONTROL!$C$15, $D$11, 100%, $F$11)</f>
        <v>10.056800000000001</v>
      </c>
      <c r="F346" s="4">
        <f>CHOOSE( CONTROL!$C$32, 10.7688, 10.7652) * CHOOSE(CONTROL!$C$15, $D$11, 100%, $F$11)</f>
        <v>10.768800000000001</v>
      </c>
      <c r="G346" s="8">
        <f>CHOOSE( CONTROL!$C$32, 9.9147, 9.9111) * CHOOSE( CONTROL!$C$15, $D$11, 100%, $F$11)</f>
        <v>9.9146999999999998</v>
      </c>
      <c r="H346" s="4">
        <f>CHOOSE( CONTROL!$C$32, 10.8894, 10.8858) * CHOOSE(CONTROL!$C$15, $D$11, 100%, $F$11)</f>
        <v>10.8894</v>
      </c>
      <c r="I346" s="8">
        <f>CHOOSE( CONTROL!$C$32, 9.8667, 9.8632) * CHOOSE(CONTROL!$C$15, $D$11, 100%, $F$11)</f>
        <v>9.8666999999999998</v>
      </c>
      <c r="J346" s="4">
        <f>CHOOSE( CONTROL!$C$32, 9.7193, 9.7157) * CHOOSE(CONTROL!$C$15, $D$11, 100%, $F$11)</f>
        <v>9.7193000000000005</v>
      </c>
      <c r="K346" s="4"/>
      <c r="L346" s="9">
        <v>29.7257</v>
      </c>
      <c r="M346" s="9">
        <v>11.6745</v>
      </c>
      <c r="N346" s="9">
        <v>4.7850000000000001</v>
      </c>
      <c r="O346" s="9">
        <v>0.36199999999999999</v>
      </c>
      <c r="P346" s="9">
        <v>1.1791</v>
      </c>
      <c r="Q346" s="9">
        <v>19.929600000000001</v>
      </c>
      <c r="R346" s="9"/>
      <c r="S346" s="11"/>
    </row>
    <row r="347" spans="1:19" ht="15.75">
      <c r="A347" s="13">
        <v>52078</v>
      </c>
      <c r="B347" s="8">
        <f>CHOOSE( CONTROL!$C$32, 10.4566, 10.453) * CHOOSE(CONTROL!$C$15, $D$11, 100%, $F$11)</f>
        <v>10.4566</v>
      </c>
      <c r="C347" s="8">
        <f>CHOOSE( CONTROL!$C$32, 10.4646, 10.461) * CHOOSE(CONTROL!$C$15, $D$11, 100%, $F$11)</f>
        <v>10.464600000000001</v>
      </c>
      <c r="D347" s="8">
        <f>CHOOSE( CONTROL!$C$32, 10.5028, 10.4992) * CHOOSE( CONTROL!$C$15, $D$11, 100%, $F$11)</f>
        <v>10.502800000000001</v>
      </c>
      <c r="E347" s="12">
        <f>CHOOSE( CONTROL!$C$32, 10.4877, 10.4841) * CHOOSE( CONTROL!$C$15, $D$11, 100%, $F$11)</f>
        <v>10.4877</v>
      </c>
      <c r="F347" s="4">
        <f>CHOOSE( CONTROL!$C$32, 11.1996, 11.196) * CHOOSE(CONTROL!$C$15, $D$11, 100%, $F$11)</f>
        <v>11.1996</v>
      </c>
      <c r="G347" s="8">
        <f>CHOOSE( CONTROL!$C$32, 10.3408, 10.3372) * CHOOSE( CONTROL!$C$15, $D$11, 100%, $F$11)</f>
        <v>10.3408</v>
      </c>
      <c r="H347" s="4">
        <f>CHOOSE( CONTROL!$C$32, 11.3151, 11.3115) * CHOOSE(CONTROL!$C$15, $D$11, 100%, $F$11)</f>
        <v>11.315099999999999</v>
      </c>
      <c r="I347" s="8">
        <f>CHOOSE( CONTROL!$C$32, 10.2861, 10.2826) * CHOOSE(CONTROL!$C$15, $D$11, 100%, $F$11)</f>
        <v>10.286099999999999</v>
      </c>
      <c r="J347" s="4">
        <f>CHOOSE( CONTROL!$C$32, 10.1373, 10.1338) * CHOOSE(CONTROL!$C$15, $D$11, 100%, $F$11)</f>
        <v>10.1373</v>
      </c>
      <c r="K347" s="4"/>
      <c r="L347" s="9">
        <v>30.7165</v>
      </c>
      <c r="M347" s="9">
        <v>12.063700000000001</v>
      </c>
      <c r="N347" s="9">
        <v>4.9444999999999997</v>
      </c>
      <c r="O347" s="9">
        <v>0.37409999999999999</v>
      </c>
      <c r="P347" s="9">
        <v>1.2183999999999999</v>
      </c>
      <c r="Q347" s="9">
        <v>20.593900000000001</v>
      </c>
      <c r="R347" s="9"/>
      <c r="S347" s="11"/>
    </row>
    <row r="348" spans="1:19" ht="15.75">
      <c r="A348" s="13">
        <v>52109</v>
      </c>
      <c r="B348" s="8">
        <f>CHOOSE( CONTROL!$C$32, 9.6506, 9.6469) * CHOOSE(CONTROL!$C$15, $D$11, 100%, $F$11)</f>
        <v>9.6506000000000007</v>
      </c>
      <c r="C348" s="8">
        <f>CHOOSE( CONTROL!$C$32, 9.6586, 9.6549) * CHOOSE(CONTROL!$C$15, $D$11, 100%, $F$11)</f>
        <v>9.6585999999999999</v>
      </c>
      <c r="D348" s="8">
        <f>CHOOSE( CONTROL!$C$32, 9.6968, 9.6932) * CHOOSE( CONTROL!$C$15, $D$11, 100%, $F$11)</f>
        <v>9.6967999999999996</v>
      </c>
      <c r="E348" s="12">
        <f>CHOOSE( CONTROL!$C$32, 9.6817, 9.6781) * CHOOSE( CONTROL!$C$15, $D$11, 100%, $F$11)</f>
        <v>9.6816999999999993</v>
      </c>
      <c r="F348" s="4">
        <f>CHOOSE( CONTROL!$C$32, 10.3936, 10.39) * CHOOSE(CONTROL!$C$15, $D$11, 100%, $F$11)</f>
        <v>10.393599999999999</v>
      </c>
      <c r="G348" s="8">
        <f>CHOOSE( CONTROL!$C$32, 9.5442, 9.5406) * CHOOSE( CONTROL!$C$15, $D$11, 100%, $F$11)</f>
        <v>9.5442</v>
      </c>
      <c r="H348" s="4">
        <f>CHOOSE( CONTROL!$C$32, 10.5185, 10.5149) * CHOOSE(CONTROL!$C$15, $D$11, 100%, $F$11)</f>
        <v>10.5185</v>
      </c>
      <c r="I348" s="8">
        <f>CHOOSE( CONTROL!$C$32, 9.5038, 9.5002) * CHOOSE(CONTROL!$C$15, $D$11, 100%, $F$11)</f>
        <v>9.5038</v>
      </c>
      <c r="J348" s="4">
        <f>CHOOSE( CONTROL!$C$32, 9.3551, 9.3515) * CHOOSE(CONTROL!$C$15, $D$11, 100%, $F$11)</f>
        <v>9.3551000000000002</v>
      </c>
      <c r="K348" s="4"/>
      <c r="L348" s="9">
        <v>30.7165</v>
      </c>
      <c r="M348" s="9">
        <v>12.063700000000001</v>
      </c>
      <c r="N348" s="9">
        <v>4.9444999999999997</v>
      </c>
      <c r="O348" s="9">
        <v>0.37409999999999999</v>
      </c>
      <c r="P348" s="9">
        <v>1.2183999999999999</v>
      </c>
      <c r="Q348" s="9">
        <v>20.593900000000001</v>
      </c>
      <c r="R348" s="9"/>
      <c r="S348" s="11"/>
    </row>
    <row r="349" spans="1:19" ht="15.75">
      <c r="A349" s="13">
        <v>52139</v>
      </c>
      <c r="B349" s="8">
        <f>CHOOSE( CONTROL!$C$32, 9.4487, 9.4451) * CHOOSE(CONTROL!$C$15, $D$11, 100%, $F$11)</f>
        <v>9.4487000000000005</v>
      </c>
      <c r="C349" s="8">
        <f>CHOOSE( CONTROL!$C$32, 9.4567, 9.4531) * CHOOSE(CONTROL!$C$15, $D$11, 100%, $F$11)</f>
        <v>9.4566999999999997</v>
      </c>
      <c r="D349" s="8">
        <f>CHOOSE( CONTROL!$C$32, 9.4949, 9.4913) * CHOOSE( CONTROL!$C$15, $D$11, 100%, $F$11)</f>
        <v>9.4948999999999995</v>
      </c>
      <c r="E349" s="12">
        <f>CHOOSE( CONTROL!$C$32, 9.4798, 9.4762) * CHOOSE( CONTROL!$C$15, $D$11, 100%, $F$11)</f>
        <v>9.4797999999999991</v>
      </c>
      <c r="F349" s="4">
        <f>CHOOSE( CONTROL!$C$32, 10.1918, 10.1881) * CHOOSE(CONTROL!$C$15, $D$11, 100%, $F$11)</f>
        <v>10.191800000000001</v>
      </c>
      <c r="G349" s="8">
        <f>CHOOSE( CONTROL!$C$32, 9.3447, 9.3411) * CHOOSE( CONTROL!$C$15, $D$11, 100%, $F$11)</f>
        <v>9.3446999999999996</v>
      </c>
      <c r="H349" s="4">
        <f>CHOOSE( CONTROL!$C$32, 10.319, 10.3154) * CHOOSE(CONTROL!$C$15, $D$11, 100%, $F$11)</f>
        <v>10.319000000000001</v>
      </c>
      <c r="I349" s="8">
        <f>CHOOSE( CONTROL!$C$32, 9.3074, 9.3039) * CHOOSE(CONTROL!$C$15, $D$11, 100%, $F$11)</f>
        <v>9.3073999999999995</v>
      </c>
      <c r="J349" s="4">
        <f>CHOOSE( CONTROL!$C$32, 9.1592, 9.1557) * CHOOSE(CONTROL!$C$15, $D$11, 100%, $F$11)</f>
        <v>9.1592000000000002</v>
      </c>
      <c r="K349" s="4"/>
      <c r="L349" s="9">
        <v>29.7257</v>
      </c>
      <c r="M349" s="9">
        <v>11.6745</v>
      </c>
      <c r="N349" s="9">
        <v>4.7850000000000001</v>
      </c>
      <c r="O349" s="9">
        <v>0.36199999999999999</v>
      </c>
      <c r="P349" s="9">
        <v>1.1791</v>
      </c>
      <c r="Q349" s="9">
        <v>19.929600000000001</v>
      </c>
      <c r="R349" s="9"/>
      <c r="S349" s="11"/>
    </row>
    <row r="350" spans="1:19" ht="15.75">
      <c r="A350" s="13">
        <v>52170</v>
      </c>
      <c r="B350" s="8">
        <f>9.8625 * CHOOSE(CONTROL!$C$15, $D$11, 100%, $F$11)</f>
        <v>9.8625000000000007</v>
      </c>
      <c r="C350" s="8">
        <f>9.8678 * CHOOSE(CONTROL!$C$15, $D$11, 100%, $F$11)</f>
        <v>9.8678000000000008</v>
      </c>
      <c r="D350" s="8">
        <f>9.9113 * CHOOSE( CONTROL!$C$15, $D$11, 100%, $F$11)</f>
        <v>9.9113000000000007</v>
      </c>
      <c r="E350" s="12">
        <f>9.8964 * CHOOSE( CONTROL!$C$15, $D$11, 100%, $F$11)</f>
        <v>9.8963999999999999</v>
      </c>
      <c r="F350" s="4">
        <f>10.6072 * CHOOSE(CONTROL!$C$15, $D$11, 100%, $F$11)</f>
        <v>10.607200000000001</v>
      </c>
      <c r="G350" s="8">
        <f>9.7547 * CHOOSE( CONTROL!$C$15, $D$11, 100%, $F$11)</f>
        <v>9.7546999999999997</v>
      </c>
      <c r="H350" s="4">
        <f>10.7296 * CHOOSE(CONTROL!$C$15, $D$11, 100%, $F$11)</f>
        <v>10.7296</v>
      </c>
      <c r="I350" s="8">
        <f>9.7115 * CHOOSE(CONTROL!$C$15, $D$11, 100%, $F$11)</f>
        <v>9.7114999999999991</v>
      </c>
      <c r="J350" s="4">
        <f>9.5624 * CHOOSE(CONTROL!$C$15, $D$11, 100%, $F$11)</f>
        <v>9.5624000000000002</v>
      </c>
      <c r="K350" s="4"/>
      <c r="L350" s="9">
        <v>31.095300000000002</v>
      </c>
      <c r="M350" s="9">
        <v>12.063700000000001</v>
      </c>
      <c r="N350" s="9">
        <v>4.9444999999999997</v>
      </c>
      <c r="O350" s="9">
        <v>0.37409999999999999</v>
      </c>
      <c r="P350" s="9">
        <v>1.2183999999999999</v>
      </c>
      <c r="Q350" s="9">
        <v>20.593900000000001</v>
      </c>
      <c r="R350" s="9"/>
      <c r="S350" s="11"/>
    </row>
    <row r="351" spans="1:19" ht="15.75">
      <c r="A351" s="13">
        <v>52200</v>
      </c>
      <c r="B351" s="8">
        <f>10.6356 * CHOOSE(CONTROL!$C$15, $D$11, 100%, $F$11)</f>
        <v>10.6356</v>
      </c>
      <c r="C351" s="8">
        <f>10.6407 * CHOOSE(CONTROL!$C$15, $D$11, 100%, $F$11)</f>
        <v>10.640700000000001</v>
      </c>
      <c r="D351" s="8">
        <f>10.6243 * CHOOSE( CONTROL!$C$15, $D$11, 100%, $F$11)</f>
        <v>10.6243</v>
      </c>
      <c r="E351" s="12">
        <f>10.6298 * CHOOSE( CONTROL!$C$15, $D$11, 100%, $F$11)</f>
        <v>10.629799999999999</v>
      </c>
      <c r="F351" s="4">
        <f>11.3009 * CHOOSE(CONTROL!$C$15, $D$11, 100%, $F$11)</f>
        <v>11.3009</v>
      </c>
      <c r="G351" s="8">
        <f>10.5198 * CHOOSE( CONTROL!$C$15, $D$11, 100%, $F$11)</f>
        <v>10.5198</v>
      </c>
      <c r="H351" s="4">
        <f>11.4152 * CHOOSE(CONTROL!$C$15, $D$11, 100%, $F$11)</f>
        <v>11.4152</v>
      </c>
      <c r="I351" s="8">
        <f>10.4628 * CHOOSE(CONTROL!$C$15, $D$11, 100%, $F$11)</f>
        <v>10.4628</v>
      </c>
      <c r="J351" s="4">
        <f>10.3131 * CHOOSE(CONTROL!$C$15, $D$11, 100%, $F$11)</f>
        <v>10.3131</v>
      </c>
      <c r="K351" s="4"/>
      <c r="L351" s="9">
        <v>28.360600000000002</v>
      </c>
      <c r="M351" s="9">
        <v>11.6745</v>
      </c>
      <c r="N351" s="9">
        <v>4.7850000000000001</v>
      </c>
      <c r="O351" s="9">
        <v>0.36199999999999999</v>
      </c>
      <c r="P351" s="9">
        <v>1.2509999999999999</v>
      </c>
      <c r="Q351" s="9">
        <v>19.929600000000001</v>
      </c>
      <c r="R351" s="9"/>
      <c r="S351" s="11"/>
    </row>
    <row r="352" spans="1:19" ht="15.75">
      <c r="A352" s="13">
        <v>52231</v>
      </c>
      <c r="B352" s="8">
        <f>10.6163 * CHOOSE(CONTROL!$C$15, $D$11, 100%, $F$11)</f>
        <v>10.616300000000001</v>
      </c>
      <c r="C352" s="8">
        <f>10.6214 * CHOOSE(CONTROL!$C$15, $D$11, 100%, $F$11)</f>
        <v>10.6214</v>
      </c>
      <c r="D352" s="8">
        <f>10.6067 * CHOOSE( CONTROL!$C$15, $D$11, 100%, $F$11)</f>
        <v>10.6067</v>
      </c>
      <c r="E352" s="12">
        <f>10.6115 * CHOOSE( CONTROL!$C$15, $D$11, 100%, $F$11)</f>
        <v>10.611499999999999</v>
      </c>
      <c r="F352" s="4">
        <f>11.2816 * CHOOSE(CONTROL!$C$15, $D$11, 100%, $F$11)</f>
        <v>11.281599999999999</v>
      </c>
      <c r="G352" s="8">
        <f>10.5019 * CHOOSE( CONTROL!$C$15, $D$11, 100%, $F$11)</f>
        <v>10.501899999999999</v>
      </c>
      <c r="H352" s="4">
        <f>11.3961 * CHOOSE(CONTROL!$C$15, $D$11, 100%, $F$11)</f>
        <v>11.396100000000001</v>
      </c>
      <c r="I352" s="8">
        <f>10.4494 * CHOOSE(CONTROL!$C$15, $D$11, 100%, $F$11)</f>
        <v>10.449400000000001</v>
      </c>
      <c r="J352" s="4">
        <f>10.2944 * CHOOSE(CONTROL!$C$15, $D$11, 100%, $F$11)</f>
        <v>10.2944</v>
      </c>
      <c r="K352" s="4"/>
      <c r="L352" s="9">
        <v>29.306000000000001</v>
      </c>
      <c r="M352" s="9">
        <v>12.063700000000001</v>
      </c>
      <c r="N352" s="9">
        <v>4.9444999999999997</v>
      </c>
      <c r="O352" s="9">
        <v>0.37409999999999999</v>
      </c>
      <c r="P352" s="9">
        <v>1.2927</v>
      </c>
      <c r="Q352" s="9">
        <v>20.593900000000001</v>
      </c>
      <c r="R352" s="9"/>
      <c r="S352" s="11"/>
    </row>
    <row r="353" spans="1:19" ht="15.75">
      <c r="A353" s="13">
        <v>52262</v>
      </c>
      <c r="B353" s="8">
        <f>10.9292 * CHOOSE(CONTROL!$C$15, $D$11, 100%, $F$11)</f>
        <v>10.9292</v>
      </c>
      <c r="C353" s="8">
        <f>10.9342 * CHOOSE(CONTROL!$C$15, $D$11, 100%, $F$11)</f>
        <v>10.934200000000001</v>
      </c>
      <c r="D353" s="8">
        <f>10.9054 * CHOOSE( CONTROL!$C$15, $D$11, 100%, $F$11)</f>
        <v>10.9054</v>
      </c>
      <c r="E353" s="12">
        <f>10.9154 * CHOOSE( CONTROL!$C$15, $D$11, 100%, $F$11)</f>
        <v>10.9154</v>
      </c>
      <c r="F353" s="4">
        <f>11.5945 * CHOOSE(CONTROL!$C$15, $D$11, 100%, $F$11)</f>
        <v>11.5945</v>
      </c>
      <c r="G353" s="8">
        <f>10.8009 * CHOOSE( CONTROL!$C$15, $D$11, 100%, $F$11)</f>
        <v>10.8009</v>
      </c>
      <c r="H353" s="4">
        <f>11.7053 * CHOOSE(CONTROL!$C$15, $D$11, 100%, $F$11)</f>
        <v>11.705299999999999</v>
      </c>
      <c r="I353" s="8">
        <f>10.7478 * CHOOSE(CONTROL!$C$15, $D$11, 100%, $F$11)</f>
        <v>10.7478</v>
      </c>
      <c r="J353" s="4">
        <f>10.598 * CHOOSE(CONTROL!$C$15, $D$11, 100%, $F$11)</f>
        <v>10.598000000000001</v>
      </c>
      <c r="K353" s="4"/>
      <c r="L353" s="9">
        <v>29.306000000000001</v>
      </c>
      <c r="M353" s="9">
        <v>12.063700000000001</v>
      </c>
      <c r="N353" s="9">
        <v>4.9444999999999997</v>
      </c>
      <c r="O353" s="9">
        <v>0.37409999999999999</v>
      </c>
      <c r="P353" s="9">
        <v>1.2927</v>
      </c>
      <c r="Q353" s="9">
        <v>20.5288</v>
      </c>
      <c r="R353" s="9"/>
      <c r="S353" s="11"/>
    </row>
    <row r="354" spans="1:19" ht="15.75">
      <c r="A354" s="13">
        <v>52290</v>
      </c>
      <c r="B354" s="8">
        <f>10.2232 * CHOOSE(CONTROL!$C$15, $D$11, 100%, $F$11)</f>
        <v>10.2232</v>
      </c>
      <c r="C354" s="8">
        <f>10.2283 * CHOOSE(CONTROL!$C$15, $D$11, 100%, $F$11)</f>
        <v>10.228300000000001</v>
      </c>
      <c r="D354" s="8">
        <f>10.1994 * CHOOSE( CONTROL!$C$15, $D$11, 100%, $F$11)</f>
        <v>10.199400000000001</v>
      </c>
      <c r="E354" s="12">
        <f>10.2094 * CHOOSE( CONTROL!$C$15, $D$11, 100%, $F$11)</f>
        <v>10.2094</v>
      </c>
      <c r="F354" s="4">
        <f>10.8885 * CHOOSE(CONTROL!$C$15, $D$11, 100%, $F$11)</f>
        <v>10.888500000000001</v>
      </c>
      <c r="G354" s="8">
        <f>10.1032 * CHOOSE( CONTROL!$C$15, $D$11, 100%, $F$11)</f>
        <v>10.103199999999999</v>
      </c>
      <c r="H354" s="4">
        <f>11.0076 * CHOOSE(CONTROL!$C$15, $D$11, 100%, $F$11)</f>
        <v>11.0076</v>
      </c>
      <c r="I354" s="8">
        <f>10.0623 * CHOOSE(CONTROL!$C$15, $D$11, 100%, $F$11)</f>
        <v>10.0623</v>
      </c>
      <c r="J354" s="4">
        <f>9.9129 * CHOOSE(CONTROL!$C$15, $D$11, 100%, $F$11)</f>
        <v>9.9129000000000005</v>
      </c>
      <c r="K354" s="4"/>
      <c r="L354" s="9">
        <v>26.469899999999999</v>
      </c>
      <c r="M354" s="9">
        <v>10.8962</v>
      </c>
      <c r="N354" s="9">
        <v>4.4660000000000002</v>
      </c>
      <c r="O354" s="9">
        <v>0.33789999999999998</v>
      </c>
      <c r="P354" s="9">
        <v>1.1676</v>
      </c>
      <c r="Q354" s="9">
        <v>18.542200000000001</v>
      </c>
      <c r="R354" s="9"/>
      <c r="S354" s="11"/>
    </row>
    <row r="355" spans="1:19" ht="15.75">
      <c r="A355" s="13">
        <v>52321</v>
      </c>
      <c r="B355" s="8">
        <f>10.0058 * CHOOSE(CONTROL!$C$15, $D$11, 100%, $F$11)</f>
        <v>10.005800000000001</v>
      </c>
      <c r="C355" s="8">
        <f>10.0108 * CHOOSE(CONTROL!$C$15, $D$11, 100%, $F$11)</f>
        <v>10.0108</v>
      </c>
      <c r="D355" s="8">
        <f>9.9816 * CHOOSE( CONTROL!$C$15, $D$11, 100%, $F$11)</f>
        <v>9.9816000000000003</v>
      </c>
      <c r="E355" s="12">
        <f>9.9917 * CHOOSE( CONTROL!$C$15, $D$11, 100%, $F$11)</f>
        <v>9.9916999999999998</v>
      </c>
      <c r="F355" s="4">
        <f>10.671 * CHOOSE(CONTROL!$C$15, $D$11, 100%, $F$11)</f>
        <v>10.670999999999999</v>
      </c>
      <c r="G355" s="8">
        <f>9.888 * CHOOSE( CONTROL!$C$15, $D$11, 100%, $F$11)</f>
        <v>9.8879999999999999</v>
      </c>
      <c r="H355" s="4">
        <f>10.7927 * CHOOSE(CONTROL!$C$15, $D$11, 100%, $F$11)</f>
        <v>10.7927</v>
      </c>
      <c r="I355" s="8">
        <f>9.8499 * CHOOSE(CONTROL!$C$15, $D$11, 100%, $F$11)</f>
        <v>9.8498999999999999</v>
      </c>
      <c r="J355" s="4">
        <f>9.7018 * CHOOSE(CONTROL!$C$15, $D$11, 100%, $F$11)</f>
        <v>9.7018000000000004</v>
      </c>
      <c r="K355" s="4"/>
      <c r="L355" s="9">
        <v>29.306000000000001</v>
      </c>
      <c r="M355" s="9">
        <v>12.063700000000001</v>
      </c>
      <c r="N355" s="9">
        <v>4.9444999999999997</v>
      </c>
      <c r="O355" s="9">
        <v>0.37409999999999999</v>
      </c>
      <c r="P355" s="9">
        <v>1.2927</v>
      </c>
      <c r="Q355" s="9">
        <v>20.5288</v>
      </c>
      <c r="R355" s="9"/>
      <c r="S355" s="11"/>
    </row>
    <row r="356" spans="1:19" ht="15.75">
      <c r="A356" s="13">
        <v>52351</v>
      </c>
      <c r="B356" s="8">
        <f>10.1585 * CHOOSE(CONTROL!$C$15, $D$11, 100%, $F$11)</f>
        <v>10.1585</v>
      </c>
      <c r="C356" s="8">
        <f>10.163 * CHOOSE(CONTROL!$C$15, $D$11, 100%, $F$11)</f>
        <v>10.163</v>
      </c>
      <c r="D356" s="8">
        <f>10.2064 * CHOOSE( CONTROL!$C$15, $D$11, 100%, $F$11)</f>
        <v>10.2064</v>
      </c>
      <c r="E356" s="12">
        <f>10.1916 * CHOOSE( CONTROL!$C$15, $D$11, 100%, $F$11)</f>
        <v>10.191599999999999</v>
      </c>
      <c r="F356" s="4">
        <f>10.9028 * CHOOSE(CONTROL!$C$15, $D$11, 100%, $F$11)</f>
        <v>10.902799999999999</v>
      </c>
      <c r="G356" s="8">
        <f>10.046 * CHOOSE( CONTROL!$C$15, $D$11, 100%, $F$11)</f>
        <v>10.045999999999999</v>
      </c>
      <c r="H356" s="4">
        <f>11.0218 * CHOOSE(CONTROL!$C$15, $D$11, 100%, $F$11)</f>
        <v>11.021800000000001</v>
      </c>
      <c r="I356" s="8">
        <f>9.9956 * CHOOSE(CONTROL!$C$15, $D$11, 100%, $F$11)</f>
        <v>9.9955999999999996</v>
      </c>
      <c r="J356" s="4">
        <f>9.8493 * CHOOSE(CONTROL!$C$15, $D$11, 100%, $F$11)</f>
        <v>9.8492999999999995</v>
      </c>
      <c r="K356" s="4"/>
      <c r="L356" s="9">
        <v>30.092199999999998</v>
      </c>
      <c r="M356" s="9">
        <v>11.6745</v>
      </c>
      <c r="N356" s="9">
        <v>4.7850000000000001</v>
      </c>
      <c r="O356" s="9">
        <v>0.36199999999999999</v>
      </c>
      <c r="P356" s="9">
        <v>1.1791</v>
      </c>
      <c r="Q356" s="9">
        <v>19.866599999999998</v>
      </c>
      <c r="R356" s="9"/>
      <c r="S356" s="11"/>
    </row>
    <row r="357" spans="1:19" ht="15.75">
      <c r="A357" s="13">
        <v>52382</v>
      </c>
      <c r="B357" s="8">
        <f>CHOOSE( CONTROL!$C$32, 10.4339, 10.4303) * CHOOSE(CONTROL!$C$15, $D$11, 100%, $F$11)</f>
        <v>10.4339</v>
      </c>
      <c r="C357" s="8">
        <f>CHOOSE( CONTROL!$C$32, 10.4419, 10.4382) * CHOOSE(CONTROL!$C$15, $D$11, 100%, $F$11)</f>
        <v>10.4419</v>
      </c>
      <c r="D357" s="8">
        <f>CHOOSE( CONTROL!$C$32, 10.4796, 10.476) * CHOOSE( CONTROL!$C$15, $D$11, 100%, $F$11)</f>
        <v>10.4796</v>
      </c>
      <c r="E357" s="12">
        <f>CHOOSE( CONTROL!$C$32, 10.4647, 10.4611) * CHOOSE( CONTROL!$C$15, $D$11, 100%, $F$11)</f>
        <v>10.464700000000001</v>
      </c>
      <c r="F357" s="4">
        <f>CHOOSE( CONTROL!$C$32, 11.1769, 11.1733) * CHOOSE(CONTROL!$C$15, $D$11, 100%, $F$11)</f>
        <v>11.1769</v>
      </c>
      <c r="G357" s="8">
        <f>CHOOSE( CONTROL!$C$32, 10.3176, 10.314) * CHOOSE( CONTROL!$C$15, $D$11, 100%, $F$11)</f>
        <v>10.317600000000001</v>
      </c>
      <c r="H357" s="4">
        <f>CHOOSE( CONTROL!$C$32, 11.2927, 11.2891) * CHOOSE(CONTROL!$C$15, $D$11, 100%, $F$11)</f>
        <v>11.2927</v>
      </c>
      <c r="I357" s="8">
        <f>CHOOSE( CONTROL!$C$32, 10.2619, 10.2584) * CHOOSE(CONTROL!$C$15, $D$11, 100%, $F$11)</f>
        <v>10.261900000000001</v>
      </c>
      <c r="J357" s="4">
        <f>CHOOSE( CONTROL!$C$32, 10.1153, 10.1117) * CHOOSE(CONTROL!$C$15, $D$11, 100%, $F$11)</f>
        <v>10.1153</v>
      </c>
      <c r="K357" s="4"/>
      <c r="L357" s="9">
        <v>30.7165</v>
      </c>
      <c r="M357" s="9">
        <v>12.063700000000001</v>
      </c>
      <c r="N357" s="9">
        <v>4.9444999999999997</v>
      </c>
      <c r="O357" s="9">
        <v>0.37409999999999999</v>
      </c>
      <c r="P357" s="9">
        <v>1.2183999999999999</v>
      </c>
      <c r="Q357" s="9">
        <v>20.5288</v>
      </c>
      <c r="R357" s="9"/>
      <c r="S357" s="11"/>
    </row>
    <row r="358" spans="1:19" ht="15.75">
      <c r="A358" s="13">
        <v>52412</v>
      </c>
      <c r="B358" s="8">
        <f>CHOOSE( CONTROL!$C$32, 10.2664, 10.2627) * CHOOSE(CONTROL!$C$15, $D$11, 100%, $F$11)</f>
        <v>10.266400000000001</v>
      </c>
      <c r="C358" s="8">
        <f>CHOOSE( CONTROL!$C$32, 10.2744, 10.2707) * CHOOSE(CONTROL!$C$15, $D$11, 100%, $F$11)</f>
        <v>10.2744</v>
      </c>
      <c r="D358" s="8">
        <f>CHOOSE( CONTROL!$C$32, 10.3123, 10.3087) * CHOOSE( CONTROL!$C$15, $D$11, 100%, $F$11)</f>
        <v>10.3123</v>
      </c>
      <c r="E358" s="12">
        <f>CHOOSE( CONTROL!$C$32, 10.2973, 10.2937) * CHOOSE( CONTROL!$C$15, $D$11, 100%, $F$11)</f>
        <v>10.2973</v>
      </c>
      <c r="F358" s="4">
        <f>CHOOSE( CONTROL!$C$32, 11.0094, 11.0057) * CHOOSE(CONTROL!$C$15, $D$11, 100%, $F$11)</f>
        <v>11.009399999999999</v>
      </c>
      <c r="G358" s="8">
        <f>CHOOSE( CONTROL!$C$32, 10.1524, 10.1488) * CHOOSE( CONTROL!$C$15, $D$11, 100%, $F$11)</f>
        <v>10.1524</v>
      </c>
      <c r="H358" s="4">
        <f>CHOOSE( CONTROL!$C$32, 11.1271, 11.1235) * CHOOSE(CONTROL!$C$15, $D$11, 100%, $F$11)</f>
        <v>11.1271</v>
      </c>
      <c r="I358" s="8">
        <f>CHOOSE( CONTROL!$C$32, 10.1003, 10.0967) * CHOOSE(CONTROL!$C$15, $D$11, 100%, $F$11)</f>
        <v>10.100300000000001</v>
      </c>
      <c r="J358" s="4">
        <f>CHOOSE( CONTROL!$C$32, 9.9527, 9.9492) * CHOOSE(CONTROL!$C$15, $D$11, 100%, $F$11)</f>
        <v>9.9527000000000001</v>
      </c>
      <c r="K358" s="4"/>
      <c r="L358" s="9">
        <v>29.7257</v>
      </c>
      <c r="M358" s="9">
        <v>11.6745</v>
      </c>
      <c r="N358" s="9">
        <v>4.7850000000000001</v>
      </c>
      <c r="O358" s="9">
        <v>0.36199999999999999</v>
      </c>
      <c r="P358" s="9">
        <v>1.1791</v>
      </c>
      <c r="Q358" s="9">
        <v>19.866599999999998</v>
      </c>
      <c r="R358" s="9"/>
      <c r="S358" s="11"/>
    </row>
    <row r="359" spans="1:19" ht="15.75">
      <c r="A359" s="13">
        <v>52443</v>
      </c>
      <c r="B359" s="8">
        <f>CHOOSE( CONTROL!$C$32, 10.7075, 10.7039) * CHOOSE(CONTROL!$C$15, $D$11, 100%, $F$11)</f>
        <v>10.7075</v>
      </c>
      <c r="C359" s="8">
        <f>CHOOSE( CONTROL!$C$32, 10.7155, 10.7118) * CHOOSE(CONTROL!$C$15, $D$11, 100%, $F$11)</f>
        <v>10.7155</v>
      </c>
      <c r="D359" s="8">
        <f>CHOOSE( CONTROL!$C$32, 10.7537, 10.75) * CHOOSE( CONTROL!$C$15, $D$11, 100%, $F$11)</f>
        <v>10.7537</v>
      </c>
      <c r="E359" s="12">
        <f>CHOOSE( CONTROL!$C$32, 10.7386, 10.735) * CHOOSE( CONTROL!$C$15, $D$11, 100%, $F$11)</f>
        <v>10.7386</v>
      </c>
      <c r="F359" s="4">
        <f>CHOOSE( CONTROL!$C$32, 11.4505, 11.4469) * CHOOSE(CONTROL!$C$15, $D$11, 100%, $F$11)</f>
        <v>11.4505</v>
      </c>
      <c r="G359" s="8">
        <f>CHOOSE( CONTROL!$C$32, 10.5887, 10.5851) * CHOOSE( CONTROL!$C$15, $D$11, 100%, $F$11)</f>
        <v>10.588699999999999</v>
      </c>
      <c r="H359" s="4">
        <f>CHOOSE( CONTROL!$C$32, 11.5631, 11.5595) * CHOOSE(CONTROL!$C$15, $D$11, 100%, $F$11)</f>
        <v>11.5631</v>
      </c>
      <c r="I359" s="8">
        <f>CHOOSE( CONTROL!$C$32, 10.5297, 10.5262) * CHOOSE(CONTROL!$C$15, $D$11, 100%, $F$11)</f>
        <v>10.5297</v>
      </c>
      <c r="J359" s="4">
        <f>CHOOSE( CONTROL!$C$32, 10.3808, 10.3773) * CHOOSE(CONTROL!$C$15, $D$11, 100%, $F$11)</f>
        <v>10.380800000000001</v>
      </c>
      <c r="K359" s="4"/>
      <c r="L359" s="9">
        <v>30.7165</v>
      </c>
      <c r="M359" s="9">
        <v>12.063700000000001</v>
      </c>
      <c r="N359" s="9">
        <v>4.9444999999999997</v>
      </c>
      <c r="O359" s="9">
        <v>0.37409999999999999</v>
      </c>
      <c r="P359" s="9">
        <v>1.2183999999999999</v>
      </c>
      <c r="Q359" s="9">
        <v>20.5288</v>
      </c>
      <c r="R359" s="9"/>
      <c r="S359" s="11"/>
    </row>
    <row r="360" spans="1:19" ht="15.75">
      <c r="A360" s="13">
        <v>52474</v>
      </c>
      <c r="B360" s="8">
        <f>CHOOSE( CONTROL!$C$32, 9.8821, 9.8785) * CHOOSE(CONTROL!$C$15, $D$11, 100%, $F$11)</f>
        <v>9.8820999999999994</v>
      </c>
      <c r="C360" s="8">
        <f>CHOOSE( CONTROL!$C$32, 9.8901, 9.8864) * CHOOSE(CONTROL!$C$15, $D$11, 100%, $F$11)</f>
        <v>9.8901000000000003</v>
      </c>
      <c r="D360" s="8">
        <f>CHOOSE( CONTROL!$C$32, 9.9283, 9.9247) * CHOOSE( CONTROL!$C$15, $D$11, 100%, $F$11)</f>
        <v>9.9283000000000001</v>
      </c>
      <c r="E360" s="12">
        <f>CHOOSE( CONTROL!$C$32, 9.9132, 9.9096) * CHOOSE( CONTROL!$C$15, $D$11, 100%, $F$11)</f>
        <v>9.9131999999999998</v>
      </c>
      <c r="F360" s="4">
        <f>CHOOSE( CONTROL!$C$32, 10.6251, 10.6215) * CHOOSE(CONTROL!$C$15, $D$11, 100%, $F$11)</f>
        <v>10.6251</v>
      </c>
      <c r="G360" s="8">
        <f>CHOOSE( CONTROL!$C$32, 9.7731, 9.7695) * CHOOSE( CONTROL!$C$15, $D$11, 100%, $F$11)</f>
        <v>9.7730999999999995</v>
      </c>
      <c r="H360" s="4">
        <f>CHOOSE( CONTROL!$C$32, 10.7473, 10.7437) * CHOOSE(CONTROL!$C$15, $D$11, 100%, $F$11)</f>
        <v>10.747299999999999</v>
      </c>
      <c r="I360" s="8">
        <f>CHOOSE( CONTROL!$C$32, 9.7286, 9.725) * CHOOSE(CONTROL!$C$15, $D$11, 100%, $F$11)</f>
        <v>9.7286000000000001</v>
      </c>
      <c r="J360" s="4">
        <f>CHOOSE( CONTROL!$C$32, 9.5798, 9.5762) * CHOOSE(CONTROL!$C$15, $D$11, 100%, $F$11)</f>
        <v>9.5798000000000005</v>
      </c>
      <c r="K360" s="4"/>
      <c r="L360" s="9">
        <v>30.7165</v>
      </c>
      <c r="M360" s="9">
        <v>12.063700000000001</v>
      </c>
      <c r="N360" s="9">
        <v>4.9444999999999997</v>
      </c>
      <c r="O360" s="9">
        <v>0.37409999999999999</v>
      </c>
      <c r="P360" s="9">
        <v>1.2183999999999999</v>
      </c>
      <c r="Q360" s="9">
        <v>20.5288</v>
      </c>
      <c r="R360" s="9"/>
      <c r="S360" s="11"/>
    </row>
    <row r="361" spans="1:19" ht="15.75">
      <c r="A361" s="13">
        <v>52504</v>
      </c>
      <c r="B361" s="8">
        <f>CHOOSE( CONTROL!$C$32, 9.6754, 9.6718) * CHOOSE(CONTROL!$C$15, $D$11, 100%, $F$11)</f>
        <v>9.6753999999999998</v>
      </c>
      <c r="C361" s="8">
        <f>CHOOSE( CONTROL!$C$32, 9.6834, 9.6798) * CHOOSE(CONTROL!$C$15, $D$11, 100%, $F$11)</f>
        <v>9.6834000000000007</v>
      </c>
      <c r="D361" s="8">
        <f>CHOOSE( CONTROL!$C$32, 9.7216, 9.7179) * CHOOSE( CONTROL!$C$15, $D$11, 100%, $F$11)</f>
        <v>9.7216000000000005</v>
      </c>
      <c r="E361" s="12">
        <f>CHOOSE( CONTROL!$C$32, 9.7065, 9.7029) * CHOOSE( CONTROL!$C$15, $D$11, 100%, $F$11)</f>
        <v>9.7065000000000001</v>
      </c>
      <c r="F361" s="4">
        <f>CHOOSE( CONTROL!$C$32, 10.4184, 10.4148) * CHOOSE(CONTROL!$C$15, $D$11, 100%, $F$11)</f>
        <v>10.4184</v>
      </c>
      <c r="G361" s="8">
        <f>CHOOSE( CONTROL!$C$32, 9.5687, 9.5651) * CHOOSE( CONTROL!$C$15, $D$11, 100%, $F$11)</f>
        <v>9.5686999999999998</v>
      </c>
      <c r="H361" s="4">
        <f>CHOOSE( CONTROL!$C$32, 10.5431, 10.5395) * CHOOSE(CONTROL!$C$15, $D$11, 100%, $F$11)</f>
        <v>10.543100000000001</v>
      </c>
      <c r="I361" s="8">
        <f>CHOOSE( CONTROL!$C$32, 9.5275, 9.524) * CHOOSE(CONTROL!$C$15, $D$11, 100%, $F$11)</f>
        <v>9.5274999999999999</v>
      </c>
      <c r="J361" s="4">
        <f>CHOOSE( CONTROL!$C$32, 9.3792, 9.3756) * CHOOSE(CONTROL!$C$15, $D$11, 100%, $F$11)</f>
        <v>9.3792000000000009</v>
      </c>
      <c r="K361" s="4"/>
      <c r="L361" s="9">
        <v>29.7257</v>
      </c>
      <c r="M361" s="9">
        <v>11.6745</v>
      </c>
      <c r="N361" s="9">
        <v>4.7850000000000001</v>
      </c>
      <c r="O361" s="9">
        <v>0.36199999999999999</v>
      </c>
      <c r="P361" s="9">
        <v>1.1791</v>
      </c>
      <c r="Q361" s="9">
        <v>19.866599999999998</v>
      </c>
      <c r="R361" s="9"/>
      <c r="S361" s="11"/>
    </row>
    <row r="362" spans="1:19" ht="15.75">
      <c r="A362" s="13">
        <v>52535</v>
      </c>
      <c r="B362" s="8">
        <f>10.0992 * CHOOSE(CONTROL!$C$15, $D$11, 100%, $F$11)</f>
        <v>10.0992</v>
      </c>
      <c r="C362" s="8">
        <f>10.1045 * CHOOSE(CONTROL!$C$15, $D$11, 100%, $F$11)</f>
        <v>10.1045</v>
      </c>
      <c r="D362" s="8">
        <f>10.1481 * CHOOSE( CONTROL!$C$15, $D$11, 100%, $F$11)</f>
        <v>10.148099999999999</v>
      </c>
      <c r="E362" s="12">
        <f>10.1331 * CHOOSE( CONTROL!$C$15, $D$11, 100%, $F$11)</f>
        <v>10.133100000000001</v>
      </c>
      <c r="F362" s="4">
        <f>10.8439 * CHOOSE(CONTROL!$C$15, $D$11, 100%, $F$11)</f>
        <v>10.8439</v>
      </c>
      <c r="G362" s="8">
        <f>9.9887 * CHOOSE( CONTROL!$C$15, $D$11, 100%, $F$11)</f>
        <v>9.9886999999999997</v>
      </c>
      <c r="H362" s="4">
        <f>10.9636 * CHOOSE(CONTROL!$C$15, $D$11, 100%, $F$11)</f>
        <v>10.9636</v>
      </c>
      <c r="I362" s="8">
        <f>9.9414 * CHOOSE(CONTROL!$C$15, $D$11, 100%, $F$11)</f>
        <v>9.9413999999999998</v>
      </c>
      <c r="J362" s="4">
        <f>9.7921 * CHOOSE(CONTROL!$C$15, $D$11, 100%, $F$11)</f>
        <v>9.7920999999999996</v>
      </c>
      <c r="K362" s="4"/>
      <c r="L362" s="9">
        <v>31.095300000000002</v>
      </c>
      <c r="M362" s="9">
        <v>12.063700000000001</v>
      </c>
      <c r="N362" s="9">
        <v>4.9444999999999997</v>
      </c>
      <c r="O362" s="9">
        <v>0.37409999999999999</v>
      </c>
      <c r="P362" s="9">
        <v>1.2183999999999999</v>
      </c>
      <c r="Q362" s="9">
        <v>20.5288</v>
      </c>
      <c r="R362" s="9"/>
      <c r="S362" s="11"/>
    </row>
    <row r="363" spans="1:19" ht="15.75">
      <c r="A363" s="13">
        <v>52565</v>
      </c>
      <c r="B363" s="8">
        <f>10.8909 * CHOOSE(CONTROL!$C$15, $D$11, 100%, $F$11)</f>
        <v>10.8909</v>
      </c>
      <c r="C363" s="8">
        <f>10.896 * CHOOSE(CONTROL!$C$15, $D$11, 100%, $F$11)</f>
        <v>10.896000000000001</v>
      </c>
      <c r="D363" s="8">
        <f>10.8797 * CHOOSE( CONTROL!$C$15, $D$11, 100%, $F$11)</f>
        <v>10.8797</v>
      </c>
      <c r="E363" s="12">
        <f>10.8851 * CHOOSE( CONTROL!$C$15, $D$11, 100%, $F$11)</f>
        <v>10.8851</v>
      </c>
      <c r="F363" s="4">
        <f>11.5562 * CHOOSE(CONTROL!$C$15, $D$11, 100%, $F$11)</f>
        <v>11.5562</v>
      </c>
      <c r="G363" s="8">
        <f>10.7721 * CHOOSE( CONTROL!$C$15, $D$11, 100%, $F$11)</f>
        <v>10.7721</v>
      </c>
      <c r="H363" s="4">
        <f>11.6675 * CHOOSE(CONTROL!$C$15, $D$11, 100%, $F$11)</f>
        <v>11.6675</v>
      </c>
      <c r="I363" s="8">
        <f>10.7107 * CHOOSE(CONTROL!$C$15, $D$11, 100%, $F$11)</f>
        <v>10.710699999999999</v>
      </c>
      <c r="J363" s="4">
        <f>10.5609 * CHOOSE(CONTROL!$C$15, $D$11, 100%, $F$11)</f>
        <v>10.5609</v>
      </c>
      <c r="K363" s="4"/>
      <c r="L363" s="9">
        <v>28.360600000000002</v>
      </c>
      <c r="M363" s="9">
        <v>11.6745</v>
      </c>
      <c r="N363" s="9">
        <v>4.7850000000000001</v>
      </c>
      <c r="O363" s="9">
        <v>0.36199999999999999</v>
      </c>
      <c r="P363" s="9">
        <v>1.2509999999999999</v>
      </c>
      <c r="Q363" s="9">
        <v>19.866599999999998</v>
      </c>
      <c r="R363" s="9"/>
      <c r="S363" s="11"/>
    </row>
    <row r="364" spans="1:19" ht="15.75">
      <c r="A364" s="13">
        <v>52596</v>
      </c>
      <c r="B364" s="8">
        <f>10.8712 * CHOOSE(CONTROL!$C$15, $D$11, 100%, $F$11)</f>
        <v>10.8712</v>
      </c>
      <c r="C364" s="8">
        <f>10.8762 * CHOOSE(CONTROL!$C$15, $D$11, 100%, $F$11)</f>
        <v>10.876200000000001</v>
      </c>
      <c r="D364" s="8">
        <f>10.8616 * CHOOSE( CONTROL!$C$15, $D$11, 100%, $F$11)</f>
        <v>10.861599999999999</v>
      </c>
      <c r="E364" s="12">
        <f>10.8664 * CHOOSE( CONTROL!$C$15, $D$11, 100%, $F$11)</f>
        <v>10.866400000000001</v>
      </c>
      <c r="F364" s="4">
        <f>11.5364 * CHOOSE(CONTROL!$C$15, $D$11, 100%, $F$11)</f>
        <v>11.5364</v>
      </c>
      <c r="G364" s="8">
        <f>10.7538 * CHOOSE( CONTROL!$C$15, $D$11, 100%, $F$11)</f>
        <v>10.7538</v>
      </c>
      <c r="H364" s="4">
        <f>11.648 * CHOOSE(CONTROL!$C$15, $D$11, 100%, $F$11)</f>
        <v>11.648</v>
      </c>
      <c r="I364" s="8">
        <f>10.6969 * CHOOSE(CONTROL!$C$15, $D$11, 100%, $F$11)</f>
        <v>10.696899999999999</v>
      </c>
      <c r="J364" s="4">
        <f>10.5417 * CHOOSE(CONTROL!$C$15, $D$11, 100%, $F$11)</f>
        <v>10.541700000000001</v>
      </c>
      <c r="K364" s="4"/>
      <c r="L364" s="9">
        <v>29.306000000000001</v>
      </c>
      <c r="M364" s="9">
        <v>12.063700000000001</v>
      </c>
      <c r="N364" s="9">
        <v>4.9444999999999997</v>
      </c>
      <c r="O364" s="9">
        <v>0.37409999999999999</v>
      </c>
      <c r="P364" s="9">
        <v>1.2927</v>
      </c>
      <c r="Q364" s="9">
        <v>20.5288</v>
      </c>
      <c r="R364" s="9"/>
      <c r="S364" s="11"/>
    </row>
    <row r="365" spans="1:19" ht="15.75">
      <c r="A365" s="13">
        <v>52627</v>
      </c>
      <c r="B365" s="8">
        <f>11.1916 * CHOOSE(CONTROL!$C$15, $D$11, 100%, $F$11)</f>
        <v>11.191599999999999</v>
      </c>
      <c r="C365" s="8">
        <f>11.1966 * CHOOSE(CONTROL!$C$15, $D$11, 100%, $F$11)</f>
        <v>11.1966</v>
      </c>
      <c r="D365" s="8">
        <f>11.1678 * CHOOSE( CONTROL!$C$15, $D$11, 100%, $F$11)</f>
        <v>11.1678</v>
      </c>
      <c r="E365" s="12">
        <f>11.1778 * CHOOSE( CONTROL!$C$15, $D$11, 100%, $F$11)</f>
        <v>11.1778</v>
      </c>
      <c r="F365" s="4">
        <f>11.8568 * CHOOSE(CONTROL!$C$15, $D$11, 100%, $F$11)</f>
        <v>11.8568</v>
      </c>
      <c r="G365" s="8">
        <f>11.0602 * CHOOSE( CONTROL!$C$15, $D$11, 100%, $F$11)</f>
        <v>11.0602</v>
      </c>
      <c r="H365" s="4">
        <f>11.9646 * CHOOSE(CONTROL!$C$15, $D$11, 100%, $F$11)</f>
        <v>11.964600000000001</v>
      </c>
      <c r="I365" s="8">
        <f>11.0026 * CHOOSE(CONTROL!$C$15, $D$11, 100%, $F$11)</f>
        <v>11.002599999999999</v>
      </c>
      <c r="J365" s="4">
        <f>10.8527 * CHOOSE(CONTROL!$C$15, $D$11, 100%, $F$11)</f>
        <v>10.8527</v>
      </c>
      <c r="K365" s="4"/>
      <c r="L365" s="9">
        <v>29.306000000000001</v>
      </c>
      <c r="M365" s="9">
        <v>12.063700000000001</v>
      </c>
      <c r="N365" s="9">
        <v>4.9444999999999997</v>
      </c>
      <c r="O365" s="9">
        <v>0.37409999999999999</v>
      </c>
      <c r="P365" s="9">
        <v>1.2927</v>
      </c>
      <c r="Q365" s="9">
        <v>20.4619</v>
      </c>
      <c r="R365" s="9"/>
      <c r="S365" s="11"/>
    </row>
    <row r="366" spans="1:19" ht="15.75">
      <c r="A366" s="13">
        <v>52655</v>
      </c>
      <c r="B366" s="8">
        <f>10.4686 * CHOOSE(CONTROL!$C$15, $D$11, 100%, $F$11)</f>
        <v>10.4686</v>
      </c>
      <c r="C366" s="8">
        <f>10.4737 * CHOOSE(CONTROL!$C$15, $D$11, 100%, $F$11)</f>
        <v>10.473699999999999</v>
      </c>
      <c r="D366" s="8">
        <f>10.4448 * CHOOSE( CONTROL!$C$15, $D$11, 100%, $F$11)</f>
        <v>10.444800000000001</v>
      </c>
      <c r="E366" s="12">
        <f>10.4548 * CHOOSE( CONTROL!$C$15, $D$11, 100%, $F$11)</f>
        <v>10.454800000000001</v>
      </c>
      <c r="F366" s="4">
        <f>11.1339 * CHOOSE(CONTROL!$C$15, $D$11, 100%, $F$11)</f>
        <v>11.133900000000001</v>
      </c>
      <c r="G366" s="8">
        <f>10.3457 * CHOOSE( CONTROL!$C$15, $D$11, 100%, $F$11)</f>
        <v>10.345700000000001</v>
      </c>
      <c r="H366" s="4">
        <f>11.2502 * CHOOSE(CONTROL!$C$15, $D$11, 100%, $F$11)</f>
        <v>11.2502</v>
      </c>
      <c r="I366" s="8">
        <f>10.3006 * CHOOSE(CONTROL!$C$15, $D$11, 100%, $F$11)</f>
        <v>10.300599999999999</v>
      </c>
      <c r="J366" s="4">
        <f>10.151 * CHOOSE(CONTROL!$C$15, $D$11, 100%, $F$11)</f>
        <v>10.151</v>
      </c>
      <c r="K366" s="4"/>
      <c r="L366" s="9">
        <v>27.415299999999998</v>
      </c>
      <c r="M366" s="9">
        <v>11.285299999999999</v>
      </c>
      <c r="N366" s="9">
        <v>4.6254999999999997</v>
      </c>
      <c r="O366" s="9">
        <v>0.34989999999999999</v>
      </c>
      <c r="P366" s="9">
        <v>1.2093</v>
      </c>
      <c r="Q366" s="9">
        <v>19.1417</v>
      </c>
      <c r="R366" s="9"/>
      <c r="S366" s="11"/>
    </row>
    <row r="367" spans="1:19" ht="15.75">
      <c r="A367" s="13">
        <v>52687</v>
      </c>
      <c r="B367" s="8">
        <f>10.246 * CHOOSE(CONTROL!$C$15, $D$11, 100%, $F$11)</f>
        <v>10.246</v>
      </c>
      <c r="C367" s="8">
        <f>10.251 * CHOOSE(CONTROL!$C$15, $D$11, 100%, $F$11)</f>
        <v>10.250999999999999</v>
      </c>
      <c r="D367" s="8">
        <f>10.2218 * CHOOSE( CONTROL!$C$15, $D$11, 100%, $F$11)</f>
        <v>10.2218</v>
      </c>
      <c r="E367" s="12">
        <f>10.2319 * CHOOSE( CONTROL!$C$15, $D$11, 100%, $F$11)</f>
        <v>10.2319</v>
      </c>
      <c r="F367" s="4">
        <f>10.9112 * CHOOSE(CONTROL!$C$15, $D$11, 100%, $F$11)</f>
        <v>10.911199999999999</v>
      </c>
      <c r="G367" s="8">
        <f>10.1254 * CHOOSE( CONTROL!$C$15, $D$11, 100%, $F$11)</f>
        <v>10.125400000000001</v>
      </c>
      <c r="H367" s="4">
        <f>11.0301 * CHOOSE(CONTROL!$C$15, $D$11, 100%, $F$11)</f>
        <v>11.030099999999999</v>
      </c>
      <c r="I367" s="8">
        <f>10.0831 * CHOOSE(CONTROL!$C$15, $D$11, 100%, $F$11)</f>
        <v>10.0831</v>
      </c>
      <c r="J367" s="4">
        <f>9.935 * CHOOSE(CONTROL!$C$15, $D$11, 100%, $F$11)</f>
        <v>9.9350000000000005</v>
      </c>
      <c r="K367" s="4"/>
      <c r="L367" s="9">
        <v>29.306000000000001</v>
      </c>
      <c r="M367" s="9">
        <v>12.063700000000001</v>
      </c>
      <c r="N367" s="9">
        <v>4.9444999999999997</v>
      </c>
      <c r="O367" s="9">
        <v>0.37409999999999999</v>
      </c>
      <c r="P367" s="9">
        <v>1.2927</v>
      </c>
      <c r="Q367" s="9">
        <v>20.4619</v>
      </c>
      <c r="R367" s="9"/>
      <c r="S367" s="11"/>
    </row>
    <row r="368" spans="1:19" ht="15.75">
      <c r="A368" s="13">
        <v>52717</v>
      </c>
      <c r="B368" s="8">
        <f>10.4023 * CHOOSE(CONTROL!$C$15, $D$11, 100%, $F$11)</f>
        <v>10.4023</v>
      </c>
      <c r="C368" s="8">
        <f>10.4068 * CHOOSE(CONTROL!$C$15, $D$11, 100%, $F$11)</f>
        <v>10.4068</v>
      </c>
      <c r="D368" s="8">
        <f>10.4502 * CHOOSE( CONTROL!$C$15, $D$11, 100%, $F$11)</f>
        <v>10.450200000000001</v>
      </c>
      <c r="E368" s="12">
        <f>10.4354 * CHOOSE( CONTROL!$C$15, $D$11, 100%, $F$11)</f>
        <v>10.4354</v>
      </c>
      <c r="F368" s="4">
        <f>11.1467 * CHOOSE(CONTROL!$C$15, $D$11, 100%, $F$11)</f>
        <v>11.146699999999999</v>
      </c>
      <c r="G368" s="8">
        <f>10.287 * CHOOSE( CONTROL!$C$15, $D$11, 100%, $F$11)</f>
        <v>10.287000000000001</v>
      </c>
      <c r="H368" s="4">
        <f>11.2628 * CHOOSE(CONTROL!$C$15, $D$11, 100%, $F$11)</f>
        <v>11.2628</v>
      </c>
      <c r="I368" s="8">
        <f>10.2324 * CHOOSE(CONTROL!$C$15, $D$11, 100%, $F$11)</f>
        <v>10.2324</v>
      </c>
      <c r="J368" s="4">
        <f>10.086 * CHOOSE(CONTROL!$C$15, $D$11, 100%, $F$11)</f>
        <v>10.086</v>
      </c>
      <c r="K368" s="4"/>
      <c r="L368" s="9">
        <v>30.092199999999998</v>
      </c>
      <c r="M368" s="9">
        <v>11.6745</v>
      </c>
      <c r="N368" s="9">
        <v>4.7850000000000001</v>
      </c>
      <c r="O368" s="9">
        <v>0.36199999999999999</v>
      </c>
      <c r="P368" s="9">
        <v>1.1791</v>
      </c>
      <c r="Q368" s="9">
        <v>19.8018</v>
      </c>
      <c r="R368" s="9"/>
      <c r="S368" s="11"/>
    </row>
    <row r="369" spans="1:19" ht="15.75">
      <c r="A369" s="13">
        <v>52748</v>
      </c>
      <c r="B369" s="8">
        <f>CHOOSE( CONTROL!$C$32, 10.6842, 10.6806) * CHOOSE(CONTROL!$C$15, $D$11, 100%, $F$11)</f>
        <v>10.684200000000001</v>
      </c>
      <c r="C369" s="8">
        <f>CHOOSE( CONTROL!$C$32, 10.6922, 10.6886) * CHOOSE(CONTROL!$C$15, $D$11, 100%, $F$11)</f>
        <v>10.6922</v>
      </c>
      <c r="D369" s="8">
        <f>CHOOSE( CONTROL!$C$32, 10.73, 10.7263) * CHOOSE( CONTROL!$C$15, $D$11, 100%, $F$11)</f>
        <v>10.73</v>
      </c>
      <c r="E369" s="12">
        <f>CHOOSE( CONTROL!$C$32, 10.7151, 10.7114) * CHOOSE( CONTROL!$C$15, $D$11, 100%, $F$11)</f>
        <v>10.7151</v>
      </c>
      <c r="F369" s="4">
        <f>CHOOSE( CONTROL!$C$32, 11.4272, 11.4236) * CHOOSE(CONTROL!$C$15, $D$11, 100%, $F$11)</f>
        <v>11.427199999999999</v>
      </c>
      <c r="G369" s="8">
        <f>CHOOSE( CONTROL!$C$32, 10.565, 10.5614) * CHOOSE( CONTROL!$C$15, $D$11, 100%, $F$11)</f>
        <v>10.565</v>
      </c>
      <c r="H369" s="4">
        <f>CHOOSE( CONTROL!$C$32, 11.5401, 11.5365) * CHOOSE(CONTROL!$C$15, $D$11, 100%, $F$11)</f>
        <v>11.540100000000001</v>
      </c>
      <c r="I369" s="8">
        <f>CHOOSE( CONTROL!$C$32, 10.505, 10.5014) * CHOOSE(CONTROL!$C$15, $D$11, 100%, $F$11)</f>
        <v>10.505000000000001</v>
      </c>
      <c r="J369" s="4">
        <f>CHOOSE( CONTROL!$C$32, 10.3582, 10.3547) * CHOOSE(CONTROL!$C$15, $D$11, 100%, $F$11)</f>
        <v>10.3582</v>
      </c>
      <c r="K369" s="4"/>
      <c r="L369" s="9">
        <v>30.7165</v>
      </c>
      <c r="M369" s="9">
        <v>12.063700000000001</v>
      </c>
      <c r="N369" s="9">
        <v>4.9444999999999997</v>
      </c>
      <c r="O369" s="9">
        <v>0.37409999999999999</v>
      </c>
      <c r="P369" s="9">
        <v>1.2183999999999999</v>
      </c>
      <c r="Q369" s="9">
        <v>20.4619</v>
      </c>
      <c r="R369" s="9"/>
      <c r="S369" s="11"/>
    </row>
    <row r="370" spans="1:19" ht="15.75">
      <c r="A370" s="13">
        <v>52778</v>
      </c>
      <c r="B370" s="8">
        <f>CHOOSE( CONTROL!$C$32, 10.5127, 10.5091) * CHOOSE(CONTROL!$C$15, $D$11, 100%, $F$11)</f>
        <v>10.512700000000001</v>
      </c>
      <c r="C370" s="8">
        <f>CHOOSE( CONTROL!$C$32, 10.5207, 10.517) * CHOOSE(CONTROL!$C$15, $D$11, 100%, $F$11)</f>
        <v>10.5207</v>
      </c>
      <c r="D370" s="8">
        <f>CHOOSE( CONTROL!$C$32, 10.5586, 10.555) * CHOOSE( CONTROL!$C$15, $D$11, 100%, $F$11)</f>
        <v>10.5586</v>
      </c>
      <c r="E370" s="12">
        <f>CHOOSE( CONTROL!$C$32, 10.5436, 10.54) * CHOOSE( CONTROL!$C$15, $D$11, 100%, $F$11)</f>
        <v>10.5436</v>
      </c>
      <c r="F370" s="4">
        <f>CHOOSE( CONTROL!$C$32, 11.2557, 11.2521) * CHOOSE(CONTROL!$C$15, $D$11, 100%, $F$11)</f>
        <v>11.255699999999999</v>
      </c>
      <c r="G370" s="8">
        <f>CHOOSE( CONTROL!$C$32, 10.3958, 10.3922) * CHOOSE( CONTROL!$C$15, $D$11, 100%, $F$11)</f>
        <v>10.395799999999999</v>
      </c>
      <c r="H370" s="4">
        <f>CHOOSE( CONTROL!$C$32, 11.3705, 11.3669) * CHOOSE(CONTROL!$C$15, $D$11, 100%, $F$11)</f>
        <v>11.3705</v>
      </c>
      <c r="I370" s="8">
        <f>CHOOSE( CONTROL!$C$32, 10.3394, 10.3359) * CHOOSE(CONTROL!$C$15, $D$11, 100%, $F$11)</f>
        <v>10.339399999999999</v>
      </c>
      <c r="J370" s="4">
        <f>CHOOSE( CONTROL!$C$32, 10.1918, 10.1882) * CHOOSE(CONTROL!$C$15, $D$11, 100%, $F$11)</f>
        <v>10.191800000000001</v>
      </c>
      <c r="K370" s="4"/>
      <c r="L370" s="9">
        <v>29.7257</v>
      </c>
      <c r="M370" s="9">
        <v>11.6745</v>
      </c>
      <c r="N370" s="9">
        <v>4.7850000000000001</v>
      </c>
      <c r="O370" s="9">
        <v>0.36199999999999999</v>
      </c>
      <c r="P370" s="9">
        <v>1.1791</v>
      </c>
      <c r="Q370" s="9">
        <v>19.8018</v>
      </c>
      <c r="R370" s="9"/>
      <c r="S370" s="11"/>
    </row>
    <row r="371" spans="1:19" ht="15.75">
      <c r="A371" s="13">
        <v>52809</v>
      </c>
      <c r="B371" s="8">
        <f>CHOOSE( CONTROL!$C$32, 10.9644, 10.9608) * CHOOSE(CONTROL!$C$15, $D$11, 100%, $F$11)</f>
        <v>10.964399999999999</v>
      </c>
      <c r="C371" s="8">
        <f>CHOOSE( CONTROL!$C$32, 10.9724, 10.9688) * CHOOSE(CONTROL!$C$15, $D$11, 100%, $F$11)</f>
        <v>10.9724</v>
      </c>
      <c r="D371" s="8">
        <f>CHOOSE( CONTROL!$C$32, 11.0106, 11.007) * CHOOSE( CONTROL!$C$15, $D$11, 100%, $F$11)</f>
        <v>11.0106</v>
      </c>
      <c r="E371" s="12">
        <f>CHOOSE( CONTROL!$C$32, 10.9955, 10.9919) * CHOOSE( CONTROL!$C$15, $D$11, 100%, $F$11)</f>
        <v>10.9955</v>
      </c>
      <c r="F371" s="4">
        <f>CHOOSE( CONTROL!$C$32, 11.7074, 11.7038) * CHOOSE(CONTROL!$C$15, $D$11, 100%, $F$11)</f>
        <v>11.7074</v>
      </c>
      <c r="G371" s="8">
        <f>CHOOSE( CONTROL!$C$32, 10.8426, 10.839) * CHOOSE( CONTROL!$C$15, $D$11, 100%, $F$11)</f>
        <v>10.842599999999999</v>
      </c>
      <c r="H371" s="4">
        <f>CHOOSE( CONTROL!$C$32, 11.817, 11.8134) * CHOOSE(CONTROL!$C$15, $D$11, 100%, $F$11)</f>
        <v>11.817</v>
      </c>
      <c r="I371" s="8">
        <f>CHOOSE( CONTROL!$C$32, 10.7792, 10.7757) * CHOOSE(CONTROL!$C$15, $D$11, 100%, $F$11)</f>
        <v>10.779199999999999</v>
      </c>
      <c r="J371" s="4">
        <f>CHOOSE( CONTROL!$C$32, 10.6302, 10.6266) * CHOOSE(CONTROL!$C$15, $D$11, 100%, $F$11)</f>
        <v>10.6302</v>
      </c>
      <c r="K371" s="4"/>
      <c r="L371" s="9">
        <v>30.7165</v>
      </c>
      <c r="M371" s="9">
        <v>12.063700000000001</v>
      </c>
      <c r="N371" s="9">
        <v>4.9444999999999997</v>
      </c>
      <c r="O371" s="9">
        <v>0.37409999999999999</v>
      </c>
      <c r="P371" s="9">
        <v>1.2183999999999999</v>
      </c>
      <c r="Q371" s="9">
        <v>20.4619</v>
      </c>
      <c r="R371" s="9"/>
      <c r="S371" s="11"/>
    </row>
    <row r="372" spans="1:19" ht="15.75">
      <c r="A372" s="13">
        <v>52840</v>
      </c>
      <c r="B372" s="8">
        <f>CHOOSE( CONTROL!$C$32, 10.1192, 10.1156) * CHOOSE(CONTROL!$C$15, $D$11, 100%, $F$11)</f>
        <v>10.119199999999999</v>
      </c>
      <c r="C372" s="8">
        <f>CHOOSE( CONTROL!$C$32, 10.1272, 10.1235) * CHOOSE(CONTROL!$C$15, $D$11, 100%, $F$11)</f>
        <v>10.1272</v>
      </c>
      <c r="D372" s="8">
        <f>CHOOSE( CONTROL!$C$32, 10.1654, 10.1618) * CHOOSE( CONTROL!$C$15, $D$11, 100%, $F$11)</f>
        <v>10.1654</v>
      </c>
      <c r="E372" s="12">
        <f>CHOOSE( CONTROL!$C$32, 10.1503, 10.1467) * CHOOSE( CONTROL!$C$15, $D$11, 100%, $F$11)</f>
        <v>10.1503</v>
      </c>
      <c r="F372" s="4">
        <f>CHOOSE( CONTROL!$C$32, 10.8622, 10.8586) * CHOOSE(CONTROL!$C$15, $D$11, 100%, $F$11)</f>
        <v>10.8622</v>
      </c>
      <c r="G372" s="8">
        <f>CHOOSE( CONTROL!$C$32, 10.0074, 10.0038) * CHOOSE( CONTROL!$C$15, $D$11, 100%, $F$11)</f>
        <v>10.007400000000001</v>
      </c>
      <c r="H372" s="4">
        <f>CHOOSE( CONTROL!$C$32, 10.9816, 10.978) * CHOOSE(CONTROL!$C$15, $D$11, 100%, $F$11)</f>
        <v>10.9816</v>
      </c>
      <c r="I372" s="8">
        <f>CHOOSE( CONTROL!$C$32, 9.9588, 9.9552) * CHOOSE(CONTROL!$C$15, $D$11, 100%, $F$11)</f>
        <v>9.9588000000000001</v>
      </c>
      <c r="J372" s="4">
        <f>CHOOSE( CONTROL!$C$32, 9.8099, 9.8063) * CHOOSE(CONTROL!$C$15, $D$11, 100%, $F$11)</f>
        <v>9.8099000000000007</v>
      </c>
      <c r="K372" s="4"/>
      <c r="L372" s="9">
        <v>30.7165</v>
      </c>
      <c r="M372" s="9">
        <v>12.063700000000001</v>
      </c>
      <c r="N372" s="9">
        <v>4.9444999999999997</v>
      </c>
      <c r="O372" s="9">
        <v>0.37409999999999999</v>
      </c>
      <c r="P372" s="9">
        <v>1.2183999999999999</v>
      </c>
      <c r="Q372" s="9">
        <v>20.4619</v>
      </c>
      <c r="R372" s="9"/>
      <c r="S372" s="11"/>
    </row>
    <row r="373" spans="1:19" ht="15.75">
      <c r="A373" s="13">
        <v>52870</v>
      </c>
      <c r="B373" s="8">
        <f>CHOOSE( CONTROL!$C$32, 9.9075, 9.9039) * CHOOSE(CONTROL!$C$15, $D$11, 100%, $F$11)</f>
        <v>9.9075000000000006</v>
      </c>
      <c r="C373" s="8">
        <f>CHOOSE( CONTROL!$C$32, 9.9155, 9.9119) * CHOOSE(CONTROL!$C$15, $D$11, 100%, $F$11)</f>
        <v>9.9154999999999998</v>
      </c>
      <c r="D373" s="8">
        <f>CHOOSE( CONTROL!$C$32, 9.9537, 9.9501) * CHOOSE( CONTROL!$C$15, $D$11, 100%, $F$11)</f>
        <v>9.9536999999999995</v>
      </c>
      <c r="E373" s="12">
        <f>CHOOSE( CONTROL!$C$32, 9.9386, 9.935) * CHOOSE( CONTROL!$C$15, $D$11, 100%, $F$11)</f>
        <v>9.9385999999999992</v>
      </c>
      <c r="F373" s="4">
        <f>CHOOSE( CONTROL!$C$32, 10.6505, 10.6469) * CHOOSE(CONTROL!$C$15, $D$11, 100%, $F$11)</f>
        <v>10.650499999999999</v>
      </c>
      <c r="G373" s="8">
        <f>CHOOSE( CONTROL!$C$32, 9.7981, 9.7945) * CHOOSE( CONTROL!$C$15, $D$11, 100%, $F$11)</f>
        <v>9.7980999999999998</v>
      </c>
      <c r="H373" s="4">
        <f>CHOOSE( CONTROL!$C$32, 10.7725, 10.7689) * CHOOSE(CONTROL!$C$15, $D$11, 100%, $F$11)</f>
        <v>10.772500000000001</v>
      </c>
      <c r="I373" s="8">
        <f>CHOOSE( CONTROL!$C$32, 9.7529, 9.7493) * CHOOSE(CONTROL!$C$15, $D$11, 100%, $F$11)</f>
        <v>9.7529000000000003</v>
      </c>
      <c r="J373" s="4">
        <f>CHOOSE( CONTROL!$C$32, 9.6044, 9.6009) * CHOOSE(CONTROL!$C$15, $D$11, 100%, $F$11)</f>
        <v>9.6044</v>
      </c>
      <c r="K373" s="4"/>
      <c r="L373" s="9">
        <v>29.7257</v>
      </c>
      <c r="M373" s="9">
        <v>11.6745</v>
      </c>
      <c r="N373" s="9">
        <v>4.7850000000000001</v>
      </c>
      <c r="O373" s="9">
        <v>0.36199999999999999</v>
      </c>
      <c r="P373" s="9">
        <v>1.1791</v>
      </c>
      <c r="Q373" s="9">
        <v>19.8018</v>
      </c>
      <c r="R373" s="9"/>
      <c r="S373" s="11"/>
    </row>
    <row r="374" spans="1:19" ht="15.75">
      <c r="A374" s="13">
        <v>52901</v>
      </c>
      <c r="B374" s="8">
        <f>10.3416 * CHOOSE(CONTROL!$C$15, $D$11, 100%, $F$11)</f>
        <v>10.3416</v>
      </c>
      <c r="C374" s="8">
        <f>10.347 * CHOOSE(CONTROL!$C$15, $D$11, 100%, $F$11)</f>
        <v>10.347</v>
      </c>
      <c r="D374" s="8">
        <f>10.3905 * CHOOSE( CONTROL!$C$15, $D$11, 100%, $F$11)</f>
        <v>10.390499999999999</v>
      </c>
      <c r="E374" s="12">
        <f>10.3756 * CHOOSE( CONTROL!$C$15, $D$11, 100%, $F$11)</f>
        <v>10.3756</v>
      </c>
      <c r="F374" s="4">
        <f>11.0864 * CHOOSE(CONTROL!$C$15, $D$11, 100%, $F$11)</f>
        <v>11.086399999999999</v>
      </c>
      <c r="G374" s="8">
        <f>10.2283 * CHOOSE( CONTROL!$C$15, $D$11, 100%, $F$11)</f>
        <v>10.228300000000001</v>
      </c>
      <c r="H374" s="4">
        <f>11.2032 * CHOOSE(CONTROL!$C$15, $D$11, 100%, $F$11)</f>
        <v>11.203200000000001</v>
      </c>
      <c r="I374" s="8">
        <f>10.1768 * CHOOSE(CONTROL!$C$15, $D$11, 100%, $F$11)</f>
        <v>10.1768</v>
      </c>
      <c r="J374" s="4">
        <f>10.0274 * CHOOSE(CONTROL!$C$15, $D$11, 100%, $F$11)</f>
        <v>10.0274</v>
      </c>
      <c r="K374" s="4"/>
      <c r="L374" s="9">
        <v>31.095300000000002</v>
      </c>
      <c r="M374" s="9">
        <v>12.063700000000001</v>
      </c>
      <c r="N374" s="9">
        <v>4.9444999999999997</v>
      </c>
      <c r="O374" s="9">
        <v>0.37409999999999999</v>
      </c>
      <c r="P374" s="9">
        <v>1.2183999999999999</v>
      </c>
      <c r="Q374" s="9">
        <v>20.4619</v>
      </c>
      <c r="R374" s="9"/>
      <c r="S374" s="11"/>
    </row>
    <row r="375" spans="1:19" ht="15.75">
      <c r="A375" s="13">
        <v>52931</v>
      </c>
      <c r="B375" s="8">
        <f>11.1524 * CHOOSE(CONTROL!$C$15, $D$11, 100%, $F$11)</f>
        <v>11.1524</v>
      </c>
      <c r="C375" s="8">
        <f>11.1575 * CHOOSE(CONTROL!$C$15, $D$11, 100%, $F$11)</f>
        <v>11.157500000000001</v>
      </c>
      <c r="D375" s="8">
        <f>11.1411 * CHOOSE( CONTROL!$C$15, $D$11, 100%, $F$11)</f>
        <v>11.1411</v>
      </c>
      <c r="E375" s="12">
        <f>11.1466 * CHOOSE( CONTROL!$C$15, $D$11, 100%, $F$11)</f>
        <v>11.146599999999999</v>
      </c>
      <c r="F375" s="4">
        <f>11.8177 * CHOOSE(CONTROL!$C$15, $D$11, 100%, $F$11)</f>
        <v>11.8177</v>
      </c>
      <c r="G375" s="8">
        <f>11.0305 * CHOOSE( CONTROL!$C$15, $D$11, 100%, $F$11)</f>
        <v>11.0305</v>
      </c>
      <c r="H375" s="4">
        <f>11.9259 * CHOOSE(CONTROL!$C$15, $D$11, 100%, $F$11)</f>
        <v>11.9259</v>
      </c>
      <c r="I375" s="8">
        <f>10.9646 * CHOOSE(CONTROL!$C$15, $D$11, 100%, $F$11)</f>
        <v>10.964600000000001</v>
      </c>
      <c r="J375" s="4">
        <f>10.8147 * CHOOSE(CONTROL!$C$15, $D$11, 100%, $F$11)</f>
        <v>10.8147</v>
      </c>
      <c r="K375" s="4"/>
      <c r="L375" s="9">
        <v>28.360600000000002</v>
      </c>
      <c r="M375" s="9">
        <v>11.6745</v>
      </c>
      <c r="N375" s="9">
        <v>4.7850000000000001</v>
      </c>
      <c r="O375" s="9">
        <v>0.36199999999999999</v>
      </c>
      <c r="P375" s="9">
        <v>1.2509999999999999</v>
      </c>
      <c r="Q375" s="9">
        <v>19.8018</v>
      </c>
      <c r="R375" s="9"/>
      <c r="S375" s="11"/>
    </row>
    <row r="376" spans="1:19" ht="15.75">
      <c r="A376" s="13">
        <v>52962</v>
      </c>
      <c r="B376" s="8">
        <f>11.1321 * CHOOSE(CONTROL!$C$15, $D$11, 100%, $F$11)</f>
        <v>11.132099999999999</v>
      </c>
      <c r="C376" s="8">
        <f>11.1372 * CHOOSE(CONTROL!$C$15, $D$11, 100%, $F$11)</f>
        <v>11.1372</v>
      </c>
      <c r="D376" s="8">
        <f>11.1226 * CHOOSE( CONTROL!$C$15, $D$11, 100%, $F$11)</f>
        <v>11.1226</v>
      </c>
      <c r="E376" s="12">
        <f>11.1274 * CHOOSE( CONTROL!$C$15, $D$11, 100%, $F$11)</f>
        <v>11.1274</v>
      </c>
      <c r="F376" s="4">
        <f>11.7974 * CHOOSE(CONTROL!$C$15, $D$11, 100%, $F$11)</f>
        <v>11.7974</v>
      </c>
      <c r="G376" s="8">
        <f>11.0118 * CHOOSE( CONTROL!$C$15, $D$11, 100%, $F$11)</f>
        <v>11.011799999999999</v>
      </c>
      <c r="H376" s="4">
        <f>11.9059 * CHOOSE(CONTROL!$C$15, $D$11, 100%, $F$11)</f>
        <v>11.905900000000001</v>
      </c>
      <c r="I376" s="8">
        <f>10.9503 * CHOOSE(CONTROL!$C$15, $D$11, 100%, $F$11)</f>
        <v>10.9503</v>
      </c>
      <c r="J376" s="4">
        <f>10.795 * CHOOSE(CONTROL!$C$15, $D$11, 100%, $F$11)</f>
        <v>10.795</v>
      </c>
      <c r="K376" s="4"/>
      <c r="L376" s="9">
        <v>29.306000000000001</v>
      </c>
      <c r="M376" s="9">
        <v>12.063700000000001</v>
      </c>
      <c r="N376" s="9">
        <v>4.9444999999999997</v>
      </c>
      <c r="O376" s="9">
        <v>0.37409999999999999</v>
      </c>
      <c r="P376" s="9">
        <v>1.2927</v>
      </c>
      <c r="Q376" s="9">
        <v>20.4619</v>
      </c>
      <c r="R376" s="9"/>
      <c r="S376" s="11"/>
    </row>
    <row r="377" spans="1:19" ht="15.75">
      <c r="A377" s="13">
        <v>52993</v>
      </c>
      <c r="B377" s="8">
        <f>11.4602 * CHOOSE(CONTROL!$C$15, $D$11, 100%, $F$11)</f>
        <v>11.4602</v>
      </c>
      <c r="C377" s="8">
        <f>11.4653 * CHOOSE(CONTROL!$C$15, $D$11, 100%, $F$11)</f>
        <v>11.465299999999999</v>
      </c>
      <c r="D377" s="8">
        <f>11.4364 * CHOOSE( CONTROL!$C$15, $D$11, 100%, $F$11)</f>
        <v>11.436400000000001</v>
      </c>
      <c r="E377" s="12">
        <f>11.4464 * CHOOSE( CONTROL!$C$15, $D$11, 100%, $F$11)</f>
        <v>11.446400000000001</v>
      </c>
      <c r="F377" s="4">
        <f>12.1255 * CHOOSE(CONTROL!$C$15, $D$11, 100%, $F$11)</f>
        <v>12.125500000000001</v>
      </c>
      <c r="G377" s="8">
        <f>11.3257 * CHOOSE( CONTROL!$C$15, $D$11, 100%, $F$11)</f>
        <v>11.325699999999999</v>
      </c>
      <c r="H377" s="4">
        <f>12.2302 * CHOOSE(CONTROL!$C$15, $D$11, 100%, $F$11)</f>
        <v>12.2302</v>
      </c>
      <c r="I377" s="8">
        <f>11.2635 * CHOOSE(CONTROL!$C$15, $D$11, 100%, $F$11)</f>
        <v>11.263500000000001</v>
      </c>
      <c r="J377" s="4">
        <f>11.1134 * CHOOSE(CONTROL!$C$15, $D$11, 100%, $F$11)</f>
        <v>11.1134</v>
      </c>
      <c r="K377" s="4"/>
      <c r="L377" s="9">
        <v>29.306000000000001</v>
      </c>
      <c r="M377" s="9">
        <v>12.063700000000001</v>
      </c>
      <c r="N377" s="9">
        <v>4.9444999999999997</v>
      </c>
      <c r="O377" s="9">
        <v>0.37409999999999999</v>
      </c>
      <c r="P377" s="9">
        <v>1.2927</v>
      </c>
      <c r="Q377" s="9">
        <v>20.396799999999999</v>
      </c>
      <c r="R377" s="9"/>
      <c r="S377" s="11"/>
    </row>
    <row r="378" spans="1:19" ht="15.75">
      <c r="A378" s="13">
        <v>53021</v>
      </c>
      <c r="B378" s="8">
        <f>10.7199 * CHOOSE(CONTROL!$C$15, $D$11, 100%, $F$11)</f>
        <v>10.719900000000001</v>
      </c>
      <c r="C378" s="8">
        <f>10.725 * CHOOSE(CONTROL!$C$15, $D$11, 100%, $F$11)</f>
        <v>10.725</v>
      </c>
      <c r="D378" s="8">
        <f>10.6961 * CHOOSE( CONTROL!$C$15, $D$11, 100%, $F$11)</f>
        <v>10.696099999999999</v>
      </c>
      <c r="E378" s="12">
        <f>10.7061 * CHOOSE( CONTROL!$C$15, $D$11, 100%, $F$11)</f>
        <v>10.706099999999999</v>
      </c>
      <c r="F378" s="4">
        <f>11.3852 * CHOOSE(CONTROL!$C$15, $D$11, 100%, $F$11)</f>
        <v>11.385199999999999</v>
      </c>
      <c r="G378" s="8">
        <f>10.5941 * CHOOSE( CONTROL!$C$15, $D$11, 100%, $F$11)</f>
        <v>10.594099999999999</v>
      </c>
      <c r="H378" s="4">
        <f>11.4985 * CHOOSE(CONTROL!$C$15, $D$11, 100%, $F$11)</f>
        <v>11.4985</v>
      </c>
      <c r="I378" s="8">
        <f>10.5446 * CHOOSE(CONTROL!$C$15, $D$11, 100%, $F$11)</f>
        <v>10.544600000000001</v>
      </c>
      <c r="J378" s="4">
        <f>10.395 * CHOOSE(CONTROL!$C$15, $D$11, 100%, $F$11)</f>
        <v>10.395</v>
      </c>
      <c r="K378" s="4"/>
      <c r="L378" s="9">
        <v>26.469899999999999</v>
      </c>
      <c r="M378" s="9">
        <v>10.8962</v>
      </c>
      <c r="N378" s="9">
        <v>4.4660000000000002</v>
      </c>
      <c r="O378" s="9">
        <v>0.33789999999999998</v>
      </c>
      <c r="P378" s="9">
        <v>1.1676</v>
      </c>
      <c r="Q378" s="9">
        <v>18.422899999999998</v>
      </c>
      <c r="R378" s="9"/>
      <c r="S378" s="11"/>
    </row>
    <row r="379" spans="1:19" ht="15.75">
      <c r="A379" s="13">
        <v>53052</v>
      </c>
      <c r="B379" s="8">
        <f>10.4919 * CHOOSE(CONTROL!$C$15, $D$11, 100%, $F$11)</f>
        <v>10.491899999999999</v>
      </c>
      <c r="C379" s="8">
        <f>10.497 * CHOOSE(CONTROL!$C$15, $D$11, 100%, $F$11)</f>
        <v>10.497</v>
      </c>
      <c r="D379" s="8">
        <f>10.4677 * CHOOSE( CONTROL!$C$15, $D$11, 100%, $F$11)</f>
        <v>10.467700000000001</v>
      </c>
      <c r="E379" s="12">
        <f>10.4779 * CHOOSE( CONTROL!$C$15, $D$11, 100%, $F$11)</f>
        <v>10.4779</v>
      </c>
      <c r="F379" s="4">
        <f>11.1572 * CHOOSE(CONTROL!$C$15, $D$11, 100%, $F$11)</f>
        <v>11.1572</v>
      </c>
      <c r="G379" s="8">
        <f>10.3685 * CHOOSE( CONTROL!$C$15, $D$11, 100%, $F$11)</f>
        <v>10.368499999999999</v>
      </c>
      <c r="H379" s="4">
        <f>11.2732 * CHOOSE(CONTROL!$C$15, $D$11, 100%, $F$11)</f>
        <v>11.273199999999999</v>
      </c>
      <c r="I379" s="8">
        <f>10.322 * CHOOSE(CONTROL!$C$15, $D$11, 100%, $F$11)</f>
        <v>10.321999999999999</v>
      </c>
      <c r="J379" s="4">
        <f>10.1737 * CHOOSE(CONTROL!$C$15, $D$11, 100%, $F$11)</f>
        <v>10.1737</v>
      </c>
      <c r="K379" s="4"/>
      <c r="L379" s="9">
        <v>29.306000000000001</v>
      </c>
      <c r="M379" s="9">
        <v>12.063700000000001</v>
      </c>
      <c r="N379" s="9">
        <v>4.9444999999999997</v>
      </c>
      <c r="O379" s="9">
        <v>0.37409999999999999</v>
      </c>
      <c r="P379" s="9">
        <v>1.2927</v>
      </c>
      <c r="Q379" s="9">
        <v>20.396799999999999</v>
      </c>
      <c r="R379" s="9"/>
      <c r="S379" s="11"/>
    </row>
    <row r="380" spans="1:19" ht="15.75">
      <c r="A380" s="13">
        <v>53082</v>
      </c>
      <c r="B380" s="8">
        <f>10.652 * CHOOSE(CONTROL!$C$15, $D$11, 100%, $F$11)</f>
        <v>10.651999999999999</v>
      </c>
      <c r="C380" s="8">
        <f>10.6565 * CHOOSE(CONTROL!$C$15, $D$11, 100%, $F$11)</f>
        <v>10.656499999999999</v>
      </c>
      <c r="D380" s="8">
        <f>10.6999 * CHOOSE( CONTROL!$C$15, $D$11, 100%, $F$11)</f>
        <v>10.6999</v>
      </c>
      <c r="E380" s="12">
        <f>10.6851 * CHOOSE( CONTROL!$C$15, $D$11, 100%, $F$11)</f>
        <v>10.6851</v>
      </c>
      <c r="F380" s="4">
        <f>11.3964 * CHOOSE(CONTROL!$C$15, $D$11, 100%, $F$11)</f>
        <v>11.3964</v>
      </c>
      <c r="G380" s="8">
        <f>10.5337 * CHOOSE( CONTROL!$C$15, $D$11, 100%, $F$11)</f>
        <v>10.5337</v>
      </c>
      <c r="H380" s="4">
        <f>11.5096 * CHOOSE(CONTROL!$C$15, $D$11, 100%, $F$11)</f>
        <v>11.509600000000001</v>
      </c>
      <c r="I380" s="8">
        <f>10.4749 * CHOOSE(CONTROL!$C$15, $D$11, 100%, $F$11)</f>
        <v>10.4749</v>
      </c>
      <c r="J380" s="4">
        <f>10.3283 * CHOOSE(CONTROL!$C$15, $D$11, 100%, $F$11)</f>
        <v>10.3283</v>
      </c>
      <c r="K380" s="4"/>
      <c r="L380" s="9">
        <v>30.092199999999998</v>
      </c>
      <c r="M380" s="9">
        <v>11.6745</v>
      </c>
      <c r="N380" s="9">
        <v>4.7850000000000001</v>
      </c>
      <c r="O380" s="9">
        <v>0.36199999999999999</v>
      </c>
      <c r="P380" s="9">
        <v>1.1791</v>
      </c>
      <c r="Q380" s="9">
        <v>19.738800000000001</v>
      </c>
      <c r="R380" s="9"/>
      <c r="S380" s="11"/>
    </row>
    <row r="381" spans="1:19" ht="15.75">
      <c r="A381" s="13">
        <v>53113</v>
      </c>
      <c r="B381" s="8">
        <f>CHOOSE( CONTROL!$C$32, 10.9406, 10.937) * CHOOSE(CONTROL!$C$15, $D$11, 100%, $F$11)</f>
        <v>10.9406</v>
      </c>
      <c r="C381" s="8">
        <f>CHOOSE( CONTROL!$C$32, 10.9486, 10.9449) * CHOOSE(CONTROL!$C$15, $D$11, 100%, $F$11)</f>
        <v>10.948600000000001</v>
      </c>
      <c r="D381" s="8">
        <f>CHOOSE( CONTROL!$C$32, 10.9863, 10.9827) * CHOOSE( CONTROL!$C$15, $D$11, 100%, $F$11)</f>
        <v>10.9863</v>
      </c>
      <c r="E381" s="12">
        <f>CHOOSE( CONTROL!$C$32, 10.9714, 10.9678) * CHOOSE( CONTROL!$C$15, $D$11, 100%, $F$11)</f>
        <v>10.971399999999999</v>
      </c>
      <c r="F381" s="4">
        <f>CHOOSE( CONTROL!$C$32, 11.6836, 11.68) * CHOOSE(CONTROL!$C$15, $D$11, 100%, $F$11)</f>
        <v>11.6836</v>
      </c>
      <c r="G381" s="8">
        <f>CHOOSE( CONTROL!$C$32, 10.8184, 10.8148) * CHOOSE( CONTROL!$C$15, $D$11, 100%, $F$11)</f>
        <v>10.8184</v>
      </c>
      <c r="H381" s="4">
        <f>CHOOSE( CONTROL!$C$32, 11.7934, 11.7898) * CHOOSE(CONTROL!$C$15, $D$11, 100%, $F$11)</f>
        <v>11.7934</v>
      </c>
      <c r="I381" s="8">
        <f>CHOOSE( CONTROL!$C$32, 10.7539, 10.7504) * CHOOSE(CONTROL!$C$15, $D$11, 100%, $F$11)</f>
        <v>10.7539</v>
      </c>
      <c r="J381" s="4">
        <f>CHOOSE( CONTROL!$C$32, 10.607, 10.6035) * CHOOSE(CONTROL!$C$15, $D$11, 100%, $F$11)</f>
        <v>10.606999999999999</v>
      </c>
      <c r="K381" s="4"/>
      <c r="L381" s="9">
        <v>30.7165</v>
      </c>
      <c r="M381" s="9">
        <v>12.063700000000001</v>
      </c>
      <c r="N381" s="9">
        <v>4.9444999999999997</v>
      </c>
      <c r="O381" s="9">
        <v>0.37409999999999999</v>
      </c>
      <c r="P381" s="9">
        <v>1.2183999999999999</v>
      </c>
      <c r="Q381" s="9">
        <v>20.396799999999999</v>
      </c>
      <c r="R381" s="9"/>
      <c r="S381" s="11"/>
    </row>
    <row r="382" spans="1:19" ht="15.75">
      <c r="A382" s="13">
        <v>53143</v>
      </c>
      <c r="B382" s="8">
        <f>CHOOSE( CONTROL!$C$32, 10.7649, 10.7613) * CHOOSE(CONTROL!$C$15, $D$11, 100%, $F$11)</f>
        <v>10.764900000000001</v>
      </c>
      <c r="C382" s="8">
        <f>CHOOSE( CONTROL!$C$32, 10.7729, 10.7693) * CHOOSE(CONTROL!$C$15, $D$11, 100%, $F$11)</f>
        <v>10.7729</v>
      </c>
      <c r="D382" s="8">
        <f>CHOOSE( CONTROL!$C$32, 10.8109, 10.8072) * CHOOSE( CONTROL!$C$15, $D$11, 100%, $F$11)</f>
        <v>10.8109</v>
      </c>
      <c r="E382" s="12">
        <f>CHOOSE( CONTROL!$C$32, 10.7959, 10.7922) * CHOOSE( CONTROL!$C$15, $D$11, 100%, $F$11)</f>
        <v>10.7959</v>
      </c>
      <c r="F382" s="4">
        <f>CHOOSE( CONTROL!$C$32, 11.5079, 11.5043) * CHOOSE(CONTROL!$C$15, $D$11, 100%, $F$11)</f>
        <v>11.507899999999999</v>
      </c>
      <c r="G382" s="8">
        <f>CHOOSE( CONTROL!$C$32, 10.6451, 10.6415) * CHOOSE( CONTROL!$C$15, $D$11, 100%, $F$11)</f>
        <v>10.645099999999999</v>
      </c>
      <c r="H382" s="4">
        <f>CHOOSE( CONTROL!$C$32, 11.6198, 11.6162) * CHOOSE(CONTROL!$C$15, $D$11, 100%, $F$11)</f>
        <v>11.6198</v>
      </c>
      <c r="I382" s="8">
        <f>CHOOSE( CONTROL!$C$32, 10.5844, 10.5808) * CHOOSE(CONTROL!$C$15, $D$11, 100%, $F$11)</f>
        <v>10.5844</v>
      </c>
      <c r="J382" s="4">
        <f>CHOOSE( CONTROL!$C$32, 10.4366, 10.433) * CHOOSE(CONTROL!$C$15, $D$11, 100%, $F$11)</f>
        <v>10.4366</v>
      </c>
      <c r="K382" s="4"/>
      <c r="L382" s="9">
        <v>29.7257</v>
      </c>
      <c r="M382" s="9">
        <v>11.6745</v>
      </c>
      <c r="N382" s="9">
        <v>4.7850000000000001</v>
      </c>
      <c r="O382" s="9">
        <v>0.36199999999999999</v>
      </c>
      <c r="P382" s="9">
        <v>1.1791</v>
      </c>
      <c r="Q382" s="9">
        <v>19.738800000000001</v>
      </c>
      <c r="R382" s="9"/>
      <c r="S382" s="11"/>
    </row>
    <row r="383" spans="1:19" ht="15.75">
      <c r="A383" s="13">
        <v>53174</v>
      </c>
      <c r="B383" s="8">
        <f>CHOOSE( CONTROL!$C$32, 11.2275, 11.2239) * CHOOSE(CONTROL!$C$15, $D$11, 100%, $F$11)</f>
        <v>11.227499999999999</v>
      </c>
      <c r="C383" s="8">
        <f>CHOOSE( CONTROL!$C$32, 11.2355, 11.2319) * CHOOSE(CONTROL!$C$15, $D$11, 100%, $F$11)</f>
        <v>11.2355</v>
      </c>
      <c r="D383" s="8">
        <f>CHOOSE( CONTROL!$C$32, 11.2737, 11.2701) * CHOOSE( CONTROL!$C$15, $D$11, 100%, $F$11)</f>
        <v>11.2737</v>
      </c>
      <c r="E383" s="12">
        <f>CHOOSE( CONTROL!$C$32, 11.2586, 11.255) * CHOOSE( CONTROL!$C$15, $D$11, 100%, $F$11)</f>
        <v>11.258599999999999</v>
      </c>
      <c r="F383" s="4">
        <f>CHOOSE( CONTROL!$C$32, 11.9705, 11.9669) * CHOOSE(CONTROL!$C$15, $D$11, 100%, $F$11)</f>
        <v>11.970499999999999</v>
      </c>
      <c r="G383" s="8">
        <f>CHOOSE( CONTROL!$C$32, 11.1026, 11.099) * CHOOSE( CONTROL!$C$15, $D$11, 100%, $F$11)</f>
        <v>11.102600000000001</v>
      </c>
      <c r="H383" s="4">
        <f>CHOOSE( CONTROL!$C$32, 12.077, 12.0734) * CHOOSE(CONTROL!$C$15, $D$11, 100%, $F$11)</f>
        <v>12.077</v>
      </c>
      <c r="I383" s="8">
        <f>CHOOSE( CONTROL!$C$32, 11.0347, 11.0311) * CHOOSE(CONTROL!$C$15, $D$11, 100%, $F$11)</f>
        <v>11.034700000000001</v>
      </c>
      <c r="J383" s="4">
        <f>CHOOSE( CONTROL!$C$32, 10.8855, 10.882) * CHOOSE(CONTROL!$C$15, $D$11, 100%, $F$11)</f>
        <v>10.8855</v>
      </c>
      <c r="K383" s="4"/>
      <c r="L383" s="9">
        <v>30.7165</v>
      </c>
      <c r="M383" s="9">
        <v>12.063700000000001</v>
      </c>
      <c r="N383" s="9">
        <v>4.9444999999999997</v>
      </c>
      <c r="O383" s="9">
        <v>0.37409999999999999</v>
      </c>
      <c r="P383" s="9">
        <v>1.2183999999999999</v>
      </c>
      <c r="Q383" s="9">
        <v>20.396799999999999</v>
      </c>
      <c r="R383" s="9"/>
      <c r="S383" s="11"/>
    </row>
    <row r="384" spans="1:19" ht="15.75">
      <c r="A384" s="13">
        <v>53205</v>
      </c>
      <c r="B384" s="8">
        <f>CHOOSE( CONTROL!$C$32, 10.362, 10.3583) * CHOOSE(CONTROL!$C$15, $D$11, 100%, $F$11)</f>
        <v>10.362</v>
      </c>
      <c r="C384" s="8">
        <f>CHOOSE( CONTROL!$C$32, 10.37, 10.3663) * CHOOSE(CONTROL!$C$15, $D$11, 100%, $F$11)</f>
        <v>10.37</v>
      </c>
      <c r="D384" s="8">
        <f>CHOOSE( CONTROL!$C$32, 10.4082, 10.4046) * CHOOSE( CONTROL!$C$15, $D$11, 100%, $F$11)</f>
        <v>10.408200000000001</v>
      </c>
      <c r="E384" s="12">
        <f>CHOOSE( CONTROL!$C$32, 10.3931, 10.3895) * CHOOSE( CONTROL!$C$15, $D$11, 100%, $F$11)</f>
        <v>10.3931</v>
      </c>
      <c r="F384" s="4">
        <f>CHOOSE( CONTROL!$C$32, 11.105, 11.1013) * CHOOSE(CONTROL!$C$15, $D$11, 100%, $F$11)</f>
        <v>11.105</v>
      </c>
      <c r="G384" s="8">
        <f>CHOOSE( CONTROL!$C$32, 10.2473, 10.2437) * CHOOSE( CONTROL!$C$15, $D$11, 100%, $F$11)</f>
        <v>10.247299999999999</v>
      </c>
      <c r="H384" s="4">
        <f>CHOOSE( CONTROL!$C$32, 11.2216, 11.218) * CHOOSE(CONTROL!$C$15, $D$11, 100%, $F$11)</f>
        <v>11.2216</v>
      </c>
      <c r="I384" s="8">
        <f>CHOOSE( CONTROL!$C$32, 10.1945, 10.191) * CHOOSE(CONTROL!$C$15, $D$11, 100%, $F$11)</f>
        <v>10.1945</v>
      </c>
      <c r="J384" s="4">
        <f>CHOOSE( CONTROL!$C$32, 10.0455, 10.0419) * CHOOSE(CONTROL!$C$15, $D$11, 100%, $F$11)</f>
        <v>10.045500000000001</v>
      </c>
      <c r="K384" s="4"/>
      <c r="L384" s="9">
        <v>30.7165</v>
      </c>
      <c r="M384" s="9">
        <v>12.063700000000001</v>
      </c>
      <c r="N384" s="9">
        <v>4.9444999999999997</v>
      </c>
      <c r="O384" s="9">
        <v>0.37409999999999999</v>
      </c>
      <c r="P384" s="9">
        <v>1.2183999999999999</v>
      </c>
      <c r="Q384" s="9">
        <v>20.396799999999999</v>
      </c>
      <c r="R384" s="9"/>
      <c r="S384" s="11"/>
    </row>
    <row r="385" spans="1:19" ht="15.75">
      <c r="A385" s="13">
        <v>53235</v>
      </c>
      <c r="B385" s="8">
        <f>CHOOSE( CONTROL!$C$32, 10.1452, 10.1416) * CHOOSE(CONTROL!$C$15, $D$11, 100%, $F$11)</f>
        <v>10.145200000000001</v>
      </c>
      <c r="C385" s="8">
        <f>CHOOSE( CONTROL!$C$32, 10.1532, 10.1496) * CHOOSE(CONTROL!$C$15, $D$11, 100%, $F$11)</f>
        <v>10.1532</v>
      </c>
      <c r="D385" s="8">
        <f>CHOOSE( CONTROL!$C$32, 10.1914, 10.1878) * CHOOSE( CONTROL!$C$15, $D$11, 100%, $F$11)</f>
        <v>10.1914</v>
      </c>
      <c r="E385" s="12">
        <f>CHOOSE( CONTROL!$C$32, 10.1763, 10.1727) * CHOOSE( CONTROL!$C$15, $D$11, 100%, $F$11)</f>
        <v>10.176299999999999</v>
      </c>
      <c r="F385" s="4">
        <f>CHOOSE( CONTROL!$C$32, 10.8882, 10.8846) * CHOOSE(CONTROL!$C$15, $D$11, 100%, $F$11)</f>
        <v>10.888199999999999</v>
      </c>
      <c r="G385" s="8">
        <f>CHOOSE( CONTROL!$C$32, 10.033, 10.0294) * CHOOSE( CONTROL!$C$15, $D$11, 100%, $F$11)</f>
        <v>10.032999999999999</v>
      </c>
      <c r="H385" s="4">
        <f>CHOOSE( CONTROL!$C$32, 11.0074, 11.0038) * CHOOSE(CONTROL!$C$15, $D$11, 100%, $F$11)</f>
        <v>11.007400000000001</v>
      </c>
      <c r="I385" s="8">
        <f>CHOOSE( CONTROL!$C$32, 9.9837, 9.9801) * CHOOSE(CONTROL!$C$15, $D$11, 100%, $F$11)</f>
        <v>9.9837000000000007</v>
      </c>
      <c r="J385" s="4">
        <f>CHOOSE( CONTROL!$C$32, 9.8351, 9.8316) * CHOOSE(CONTROL!$C$15, $D$11, 100%, $F$11)</f>
        <v>9.8351000000000006</v>
      </c>
      <c r="K385" s="4"/>
      <c r="L385" s="9">
        <v>29.7257</v>
      </c>
      <c r="M385" s="9">
        <v>11.6745</v>
      </c>
      <c r="N385" s="9">
        <v>4.7850000000000001</v>
      </c>
      <c r="O385" s="9">
        <v>0.36199999999999999</v>
      </c>
      <c r="P385" s="9">
        <v>1.1791</v>
      </c>
      <c r="Q385" s="9">
        <v>19.738800000000001</v>
      </c>
      <c r="R385" s="9"/>
      <c r="S385" s="11"/>
    </row>
    <row r="386" spans="1:19" ht="15.75">
      <c r="A386" s="13">
        <v>53266</v>
      </c>
      <c r="B386" s="8">
        <f>10.5899 * CHOOSE(CONTROL!$C$15, $D$11, 100%, $F$11)</f>
        <v>10.5899</v>
      </c>
      <c r="C386" s="8">
        <f>10.5952 * CHOOSE(CONTROL!$C$15, $D$11, 100%, $F$11)</f>
        <v>10.5952</v>
      </c>
      <c r="D386" s="8">
        <f>10.6388 * CHOOSE( CONTROL!$C$15, $D$11, 100%, $F$11)</f>
        <v>10.6388</v>
      </c>
      <c r="E386" s="12">
        <f>10.6238 * CHOOSE( CONTROL!$C$15, $D$11, 100%, $F$11)</f>
        <v>10.623799999999999</v>
      </c>
      <c r="F386" s="4">
        <f>11.3346 * CHOOSE(CONTROL!$C$15, $D$11, 100%, $F$11)</f>
        <v>11.3346</v>
      </c>
      <c r="G386" s="8">
        <f>10.4736 * CHOOSE( CONTROL!$C$15, $D$11, 100%, $F$11)</f>
        <v>10.473599999999999</v>
      </c>
      <c r="H386" s="4">
        <f>11.4485 * CHOOSE(CONTROL!$C$15, $D$11, 100%, $F$11)</f>
        <v>11.448499999999999</v>
      </c>
      <c r="I386" s="8">
        <f>10.4179 * CHOOSE(CONTROL!$C$15, $D$11, 100%, $F$11)</f>
        <v>10.417899999999999</v>
      </c>
      <c r="J386" s="4">
        <f>10.2684 * CHOOSE(CONTROL!$C$15, $D$11, 100%, $F$11)</f>
        <v>10.2684</v>
      </c>
      <c r="K386" s="4"/>
      <c r="L386" s="9">
        <v>31.095300000000002</v>
      </c>
      <c r="M386" s="9">
        <v>12.063700000000001</v>
      </c>
      <c r="N386" s="9">
        <v>4.9444999999999997</v>
      </c>
      <c r="O386" s="9">
        <v>0.37409999999999999</v>
      </c>
      <c r="P386" s="9">
        <v>1.2183999999999999</v>
      </c>
      <c r="Q386" s="9">
        <v>20.396799999999999</v>
      </c>
      <c r="R386" s="9"/>
      <c r="S386" s="11"/>
    </row>
    <row r="387" spans="1:19" ht="15.75">
      <c r="A387" s="13">
        <v>53296</v>
      </c>
      <c r="B387" s="8">
        <f>11.4202 * CHOOSE(CONTROL!$C$15, $D$11, 100%, $F$11)</f>
        <v>11.420199999999999</v>
      </c>
      <c r="C387" s="8">
        <f>11.4252 * CHOOSE(CONTROL!$C$15, $D$11, 100%, $F$11)</f>
        <v>11.4252</v>
      </c>
      <c r="D387" s="8">
        <f>11.4089 * CHOOSE( CONTROL!$C$15, $D$11, 100%, $F$11)</f>
        <v>11.408899999999999</v>
      </c>
      <c r="E387" s="12">
        <f>11.4143 * CHOOSE( CONTROL!$C$15, $D$11, 100%, $F$11)</f>
        <v>11.414300000000001</v>
      </c>
      <c r="F387" s="4">
        <f>12.0854 * CHOOSE(CONTROL!$C$15, $D$11, 100%, $F$11)</f>
        <v>12.0854</v>
      </c>
      <c r="G387" s="8">
        <f>11.2952 * CHOOSE( CONTROL!$C$15, $D$11, 100%, $F$11)</f>
        <v>11.295199999999999</v>
      </c>
      <c r="H387" s="4">
        <f>12.1906 * CHOOSE(CONTROL!$C$15, $D$11, 100%, $F$11)</f>
        <v>12.1906</v>
      </c>
      <c r="I387" s="8">
        <f>11.2245 * CHOOSE(CONTROL!$C$15, $D$11, 100%, $F$11)</f>
        <v>11.224500000000001</v>
      </c>
      <c r="J387" s="4">
        <f>11.0745 * CHOOSE(CONTROL!$C$15, $D$11, 100%, $F$11)</f>
        <v>11.0745</v>
      </c>
      <c r="K387" s="4"/>
      <c r="L387" s="9">
        <v>28.360600000000002</v>
      </c>
      <c r="M387" s="9">
        <v>11.6745</v>
      </c>
      <c r="N387" s="9">
        <v>4.7850000000000001</v>
      </c>
      <c r="O387" s="9">
        <v>0.36199999999999999</v>
      </c>
      <c r="P387" s="9">
        <v>1.2509999999999999</v>
      </c>
      <c r="Q387" s="9">
        <v>19.738800000000001</v>
      </c>
      <c r="R387" s="9"/>
      <c r="S387" s="11"/>
    </row>
    <row r="388" spans="1:19" ht="15.75">
      <c r="A388" s="13">
        <v>53327</v>
      </c>
      <c r="B388" s="8">
        <f>11.3994 * CHOOSE(CONTROL!$C$15, $D$11, 100%, $F$11)</f>
        <v>11.3994</v>
      </c>
      <c r="C388" s="8">
        <f>11.4045 * CHOOSE(CONTROL!$C$15, $D$11, 100%, $F$11)</f>
        <v>11.404500000000001</v>
      </c>
      <c r="D388" s="8">
        <f>11.3899 * CHOOSE( CONTROL!$C$15, $D$11, 100%, $F$11)</f>
        <v>11.389900000000001</v>
      </c>
      <c r="E388" s="12">
        <f>11.3947 * CHOOSE( CONTROL!$C$15, $D$11, 100%, $F$11)</f>
        <v>11.3947</v>
      </c>
      <c r="F388" s="4">
        <f>12.0647 * CHOOSE(CONTROL!$C$15, $D$11, 100%, $F$11)</f>
        <v>12.0647</v>
      </c>
      <c r="G388" s="8">
        <f>11.2759 * CHOOSE( CONTROL!$C$15, $D$11, 100%, $F$11)</f>
        <v>11.2759</v>
      </c>
      <c r="H388" s="4">
        <f>12.17 * CHOOSE(CONTROL!$C$15, $D$11, 100%, $F$11)</f>
        <v>12.17</v>
      </c>
      <c r="I388" s="8">
        <f>11.2098 * CHOOSE(CONTROL!$C$15, $D$11, 100%, $F$11)</f>
        <v>11.2098</v>
      </c>
      <c r="J388" s="4">
        <f>11.0544 * CHOOSE(CONTROL!$C$15, $D$11, 100%, $F$11)</f>
        <v>11.054399999999999</v>
      </c>
      <c r="K388" s="4"/>
      <c r="L388" s="9">
        <v>29.306000000000001</v>
      </c>
      <c r="M388" s="9">
        <v>12.063700000000001</v>
      </c>
      <c r="N388" s="9">
        <v>4.9444999999999997</v>
      </c>
      <c r="O388" s="9">
        <v>0.37409999999999999</v>
      </c>
      <c r="P388" s="9">
        <v>1.2927</v>
      </c>
      <c r="Q388" s="9">
        <v>20.396799999999999</v>
      </c>
      <c r="R388" s="9"/>
      <c r="S388" s="11"/>
    </row>
    <row r="389" spans="1:19" ht="15.75">
      <c r="A389" s="13">
        <v>53358</v>
      </c>
      <c r="B389" s="8">
        <f>11.7354 * CHOOSE(CONTROL!$C$15, $D$11, 100%, $F$11)</f>
        <v>11.7354</v>
      </c>
      <c r="C389" s="8">
        <f>11.7405 * CHOOSE(CONTROL!$C$15, $D$11, 100%, $F$11)</f>
        <v>11.740500000000001</v>
      </c>
      <c r="D389" s="8">
        <f>11.7116 * CHOOSE( CONTROL!$C$15, $D$11, 100%, $F$11)</f>
        <v>11.711600000000001</v>
      </c>
      <c r="E389" s="12">
        <f>11.7216 * CHOOSE( CONTROL!$C$15, $D$11, 100%, $F$11)</f>
        <v>11.7216</v>
      </c>
      <c r="F389" s="4">
        <f>12.4007 * CHOOSE(CONTROL!$C$15, $D$11, 100%, $F$11)</f>
        <v>12.400700000000001</v>
      </c>
      <c r="G389" s="8">
        <f>11.5977 * CHOOSE( CONTROL!$C$15, $D$11, 100%, $F$11)</f>
        <v>11.5977</v>
      </c>
      <c r="H389" s="4">
        <f>12.5021 * CHOOSE(CONTROL!$C$15, $D$11, 100%, $F$11)</f>
        <v>12.5021</v>
      </c>
      <c r="I389" s="8">
        <f>11.5306 * CHOOSE(CONTROL!$C$15, $D$11, 100%, $F$11)</f>
        <v>11.5306</v>
      </c>
      <c r="J389" s="4">
        <f>11.3804 * CHOOSE(CONTROL!$C$15, $D$11, 100%, $F$11)</f>
        <v>11.3804</v>
      </c>
      <c r="K389" s="4"/>
      <c r="L389" s="9">
        <v>29.306000000000001</v>
      </c>
      <c r="M389" s="9">
        <v>12.063700000000001</v>
      </c>
      <c r="N389" s="9">
        <v>4.9444999999999997</v>
      </c>
      <c r="O389" s="9">
        <v>0.37409999999999999</v>
      </c>
      <c r="P389" s="9">
        <v>1.2927</v>
      </c>
      <c r="Q389" s="9">
        <v>20.331700000000001</v>
      </c>
      <c r="R389" s="9"/>
      <c r="S389" s="11"/>
    </row>
    <row r="390" spans="1:19" ht="15.75">
      <c r="A390" s="13">
        <v>53386</v>
      </c>
      <c r="B390" s="8">
        <f>10.9773 * CHOOSE(CONTROL!$C$15, $D$11, 100%, $F$11)</f>
        <v>10.9773</v>
      </c>
      <c r="C390" s="8">
        <f>10.9824 * CHOOSE(CONTROL!$C$15, $D$11, 100%, $F$11)</f>
        <v>10.9824</v>
      </c>
      <c r="D390" s="8">
        <f>10.9535 * CHOOSE( CONTROL!$C$15, $D$11, 100%, $F$11)</f>
        <v>10.9535</v>
      </c>
      <c r="E390" s="12">
        <f>10.9635 * CHOOSE( CONTROL!$C$15, $D$11, 100%, $F$11)</f>
        <v>10.9635</v>
      </c>
      <c r="F390" s="4">
        <f>11.6426 * CHOOSE(CONTROL!$C$15, $D$11, 100%, $F$11)</f>
        <v>11.6426</v>
      </c>
      <c r="G390" s="8">
        <f>10.8484 * CHOOSE( CONTROL!$C$15, $D$11, 100%, $F$11)</f>
        <v>10.8484</v>
      </c>
      <c r="H390" s="4">
        <f>11.7529 * CHOOSE(CONTROL!$C$15, $D$11, 100%, $F$11)</f>
        <v>11.7529</v>
      </c>
      <c r="I390" s="8">
        <f>10.7945 * CHOOSE(CONTROL!$C$15, $D$11, 100%, $F$11)</f>
        <v>10.794499999999999</v>
      </c>
      <c r="J390" s="4">
        <f>10.6447 * CHOOSE(CONTROL!$C$15, $D$11, 100%, $F$11)</f>
        <v>10.6447</v>
      </c>
      <c r="K390" s="4"/>
      <c r="L390" s="9">
        <v>26.469899999999999</v>
      </c>
      <c r="M390" s="9">
        <v>10.8962</v>
      </c>
      <c r="N390" s="9">
        <v>4.4660000000000002</v>
      </c>
      <c r="O390" s="9">
        <v>0.33789999999999998</v>
      </c>
      <c r="P390" s="9">
        <v>1.1676</v>
      </c>
      <c r="Q390" s="9">
        <v>18.364100000000001</v>
      </c>
      <c r="R390" s="9"/>
      <c r="S390" s="11"/>
    </row>
    <row r="391" spans="1:19" ht="15.75">
      <c r="A391" s="13">
        <v>53417</v>
      </c>
      <c r="B391" s="8">
        <f>10.7438 * CHOOSE(CONTROL!$C$15, $D$11, 100%, $F$11)</f>
        <v>10.7438</v>
      </c>
      <c r="C391" s="8">
        <f>10.7489 * CHOOSE(CONTROL!$C$15, $D$11, 100%, $F$11)</f>
        <v>10.748900000000001</v>
      </c>
      <c r="D391" s="8">
        <f>10.7196 * CHOOSE( CONTROL!$C$15, $D$11, 100%, $F$11)</f>
        <v>10.7196</v>
      </c>
      <c r="E391" s="12">
        <f>10.7298 * CHOOSE( CONTROL!$C$15, $D$11, 100%, $F$11)</f>
        <v>10.729799999999999</v>
      </c>
      <c r="F391" s="4">
        <f>11.4091 * CHOOSE(CONTROL!$C$15, $D$11, 100%, $F$11)</f>
        <v>11.4091</v>
      </c>
      <c r="G391" s="8">
        <f>10.6174 * CHOOSE( CONTROL!$C$15, $D$11, 100%, $F$11)</f>
        <v>10.6174</v>
      </c>
      <c r="H391" s="4">
        <f>11.5221 * CHOOSE(CONTROL!$C$15, $D$11, 100%, $F$11)</f>
        <v>11.5221</v>
      </c>
      <c r="I391" s="8">
        <f>10.5665 * CHOOSE(CONTROL!$C$15, $D$11, 100%, $F$11)</f>
        <v>10.5665</v>
      </c>
      <c r="J391" s="4">
        <f>10.4181 * CHOOSE(CONTROL!$C$15, $D$11, 100%, $F$11)</f>
        <v>10.418100000000001</v>
      </c>
      <c r="K391" s="4"/>
      <c r="L391" s="9">
        <v>29.306000000000001</v>
      </c>
      <c r="M391" s="9">
        <v>12.063700000000001</v>
      </c>
      <c r="N391" s="9">
        <v>4.9444999999999997</v>
      </c>
      <c r="O391" s="9">
        <v>0.37409999999999999</v>
      </c>
      <c r="P391" s="9">
        <v>1.2927</v>
      </c>
      <c r="Q391" s="9">
        <v>20.331700000000001</v>
      </c>
      <c r="R391" s="9"/>
      <c r="S391" s="11"/>
    </row>
    <row r="392" spans="1:19" ht="15.75">
      <c r="A392" s="13">
        <v>53447</v>
      </c>
      <c r="B392" s="8">
        <f>10.9077 * CHOOSE(CONTROL!$C$15, $D$11, 100%, $F$11)</f>
        <v>10.9077</v>
      </c>
      <c r="C392" s="8">
        <f>10.9122 * CHOOSE(CONTROL!$C$15, $D$11, 100%, $F$11)</f>
        <v>10.9122</v>
      </c>
      <c r="D392" s="8">
        <f>10.9556 * CHOOSE( CONTROL!$C$15, $D$11, 100%, $F$11)</f>
        <v>10.9556</v>
      </c>
      <c r="E392" s="12">
        <f>10.9408 * CHOOSE( CONTROL!$C$15, $D$11, 100%, $F$11)</f>
        <v>10.940799999999999</v>
      </c>
      <c r="F392" s="4">
        <f>11.6521 * CHOOSE(CONTROL!$C$15, $D$11, 100%, $F$11)</f>
        <v>11.652100000000001</v>
      </c>
      <c r="G392" s="8">
        <f>10.7864 * CHOOSE( CONTROL!$C$15, $D$11, 100%, $F$11)</f>
        <v>10.7864</v>
      </c>
      <c r="H392" s="4">
        <f>11.7623 * CHOOSE(CONTROL!$C$15, $D$11, 100%, $F$11)</f>
        <v>11.7623</v>
      </c>
      <c r="I392" s="8">
        <f>10.7232 * CHOOSE(CONTROL!$C$15, $D$11, 100%, $F$11)</f>
        <v>10.7232</v>
      </c>
      <c r="J392" s="4">
        <f>10.5765 * CHOOSE(CONTROL!$C$15, $D$11, 100%, $F$11)</f>
        <v>10.576499999999999</v>
      </c>
      <c r="K392" s="4"/>
      <c r="L392" s="9">
        <v>30.092199999999998</v>
      </c>
      <c r="M392" s="9">
        <v>11.6745</v>
      </c>
      <c r="N392" s="9">
        <v>4.7850000000000001</v>
      </c>
      <c r="O392" s="9">
        <v>0.36199999999999999</v>
      </c>
      <c r="P392" s="9">
        <v>1.1791</v>
      </c>
      <c r="Q392" s="9">
        <v>19.675799999999999</v>
      </c>
      <c r="R392" s="9"/>
      <c r="S392" s="11"/>
    </row>
    <row r="393" spans="1:19" ht="15.75">
      <c r="A393" s="13">
        <v>53478</v>
      </c>
      <c r="B393" s="8">
        <f>CHOOSE( CONTROL!$C$32, 11.2031, 11.1995) * CHOOSE(CONTROL!$C$15, $D$11, 100%, $F$11)</f>
        <v>11.203099999999999</v>
      </c>
      <c r="C393" s="8">
        <f>CHOOSE( CONTROL!$C$32, 11.2111, 11.2075) * CHOOSE(CONTROL!$C$15, $D$11, 100%, $F$11)</f>
        <v>11.2111</v>
      </c>
      <c r="D393" s="8">
        <f>CHOOSE( CONTROL!$C$32, 11.2488, 11.2452) * CHOOSE( CONTROL!$C$15, $D$11, 100%, $F$11)</f>
        <v>11.248799999999999</v>
      </c>
      <c r="E393" s="12">
        <f>CHOOSE( CONTROL!$C$32, 11.2339, 11.2303) * CHOOSE( CONTROL!$C$15, $D$11, 100%, $F$11)</f>
        <v>11.2339</v>
      </c>
      <c r="F393" s="4">
        <f>CHOOSE( CONTROL!$C$32, 11.9461, 11.9425) * CHOOSE(CONTROL!$C$15, $D$11, 100%, $F$11)</f>
        <v>11.946099999999999</v>
      </c>
      <c r="G393" s="8">
        <f>CHOOSE( CONTROL!$C$32, 11.0778, 11.0742) * CHOOSE( CONTROL!$C$15, $D$11, 100%, $F$11)</f>
        <v>11.0778</v>
      </c>
      <c r="H393" s="4">
        <f>CHOOSE( CONTROL!$C$32, 12.0529, 12.0493) * CHOOSE(CONTROL!$C$15, $D$11, 100%, $F$11)</f>
        <v>12.052899999999999</v>
      </c>
      <c r="I393" s="8">
        <f>CHOOSE( CONTROL!$C$32, 11.0088, 11.0053) * CHOOSE(CONTROL!$C$15, $D$11, 100%, $F$11)</f>
        <v>11.008800000000001</v>
      </c>
      <c r="J393" s="4">
        <f>CHOOSE( CONTROL!$C$32, 10.8618, 10.8583) * CHOOSE(CONTROL!$C$15, $D$11, 100%, $F$11)</f>
        <v>10.861800000000001</v>
      </c>
      <c r="K393" s="4"/>
      <c r="L393" s="9">
        <v>30.7165</v>
      </c>
      <c r="M393" s="9">
        <v>12.063700000000001</v>
      </c>
      <c r="N393" s="9">
        <v>4.9444999999999997</v>
      </c>
      <c r="O393" s="9">
        <v>0.37409999999999999</v>
      </c>
      <c r="P393" s="9">
        <v>1.2183999999999999</v>
      </c>
      <c r="Q393" s="9">
        <v>20.331700000000001</v>
      </c>
      <c r="R393" s="9"/>
      <c r="S393" s="11"/>
    </row>
    <row r="394" spans="1:19" ht="15.75">
      <c r="A394" s="13">
        <v>53508</v>
      </c>
      <c r="B394" s="8">
        <f>CHOOSE( CONTROL!$C$32, 11.0232, 11.0196) * CHOOSE(CONTROL!$C$15, $D$11, 100%, $F$11)</f>
        <v>11.023199999999999</v>
      </c>
      <c r="C394" s="8">
        <f>CHOOSE( CONTROL!$C$32, 11.0312, 11.0276) * CHOOSE(CONTROL!$C$15, $D$11, 100%, $F$11)</f>
        <v>11.0312</v>
      </c>
      <c r="D394" s="8">
        <f>CHOOSE( CONTROL!$C$32, 11.0692, 11.0655) * CHOOSE( CONTROL!$C$15, $D$11, 100%, $F$11)</f>
        <v>11.0692</v>
      </c>
      <c r="E394" s="12">
        <f>CHOOSE( CONTROL!$C$32, 11.0542, 11.0505) * CHOOSE( CONTROL!$C$15, $D$11, 100%, $F$11)</f>
        <v>11.0542</v>
      </c>
      <c r="F394" s="4">
        <f>CHOOSE( CONTROL!$C$32, 11.7662, 11.7626) * CHOOSE(CONTROL!$C$15, $D$11, 100%, $F$11)</f>
        <v>11.7662</v>
      </c>
      <c r="G394" s="8">
        <f>CHOOSE( CONTROL!$C$32, 10.9004, 10.8968) * CHOOSE( CONTROL!$C$15, $D$11, 100%, $F$11)</f>
        <v>10.900399999999999</v>
      </c>
      <c r="H394" s="4">
        <f>CHOOSE( CONTROL!$C$32, 11.8751, 11.8715) * CHOOSE(CONTROL!$C$15, $D$11, 100%, $F$11)</f>
        <v>11.8751</v>
      </c>
      <c r="I394" s="8">
        <f>CHOOSE( CONTROL!$C$32, 10.8352, 10.8316) * CHOOSE(CONTROL!$C$15, $D$11, 100%, $F$11)</f>
        <v>10.8352</v>
      </c>
      <c r="J394" s="4">
        <f>CHOOSE( CONTROL!$C$32, 10.6872, 10.6837) * CHOOSE(CONTROL!$C$15, $D$11, 100%, $F$11)</f>
        <v>10.687200000000001</v>
      </c>
      <c r="K394" s="4"/>
      <c r="L394" s="9">
        <v>29.7257</v>
      </c>
      <c r="M394" s="9">
        <v>11.6745</v>
      </c>
      <c r="N394" s="9">
        <v>4.7850000000000001</v>
      </c>
      <c r="O394" s="9">
        <v>0.36199999999999999</v>
      </c>
      <c r="P394" s="9">
        <v>1.1791</v>
      </c>
      <c r="Q394" s="9">
        <v>19.675799999999999</v>
      </c>
      <c r="R394" s="9"/>
      <c r="S394" s="11"/>
    </row>
    <row r="395" spans="1:19" ht="15.75">
      <c r="A395" s="13">
        <v>53539</v>
      </c>
      <c r="B395" s="8">
        <f>CHOOSE( CONTROL!$C$32, 11.4969, 11.4933) * CHOOSE(CONTROL!$C$15, $D$11, 100%, $F$11)</f>
        <v>11.4969</v>
      </c>
      <c r="C395" s="8">
        <f>CHOOSE( CONTROL!$C$32, 11.5049, 11.5013) * CHOOSE(CONTROL!$C$15, $D$11, 100%, $F$11)</f>
        <v>11.504899999999999</v>
      </c>
      <c r="D395" s="8">
        <f>CHOOSE( CONTROL!$C$32, 11.5431, 11.5395) * CHOOSE( CONTROL!$C$15, $D$11, 100%, $F$11)</f>
        <v>11.543100000000001</v>
      </c>
      <c r="E395" s="12">
        <f>CHOOSE( CONTROL!$C$32, 11.528, 11.5244) * CHOOSE( CONTROL!$C$15, $D$11, 100%, $F$11)</f>
        <v>11.528</v>
      </c>
      <c r="F395" s="4">
        <f>CHOOSE( CONTROL!$C$32, 12.2399, 12.2363) * CHOOSE(CONTROL!$C$15, $D$11, 100%, $F$11)</f>
        <v>12.2399</v>
      </c>
      <c r="G395" s="8">
        <f>CHOOSE( CONTROL!$C$32, 11.3689, 11.3653) * CHOOSE( CONTROL!$C$15, $D$11, 100%, $F$11)</f>
        <v>11.3689</v>
      </c>
      <c r="H395" s="4">
        <f>CHOOSE( CONTROL!$C$32, 12.3432, 12.3396) * CHOOSE(CONTROL!$C$15, $D$11, 100%, $F$11)</f>
        <v>12.3432</v>
      </c>
      <c r="I395" s="8">
        <f>CHOOSE( CONTROL!$C$32, 11.2962, 11.2927) * CHOOSE(CONTROL!$C$15, $D$11, 100%, $F$11)</f>
        <v>11.296200000000001</v>
      </c>
      <c r="J395" s="4">
        <f>CHOOSE( CONTROL!$C$32, 11.147, 11.1434) * CHOOSE(CONTROL!$C$15, $D$11, 100%, $F$11)</f>
        <v>11.147</v>
      </c>
      <c r="K395" s="4"/>
      <c r="L395" s="9">
        <v>30.7165</v>
      </c>
      <c r="M395" s="9">
        <v>12.063700000000001</v>
      </c>
      <c r="N395" s="9">
        <v>4.9444999999999997</v>
      </c>
      <c r="O395" s="9">
        <v>0.37409999999999999</v>
      </c>
      <c r="P395" s="9">
        <v>1.2183999999999999</v>
      </c>
      <c r="Q395" s="9">
        <v>20.331700000000001</v>
      </c>
      <c r="R395" s="9"/>
      <c r="S395" s="11"/>
    </row>
    <row r="396" spans="1:19" ht="15.75">
      <c r="A396" s="13">
        <v>53570</v>
      </c>
      <c r="B396" s="8">
        <f>CHOOSE( CONTROL!$C$32, 10.6106, 10.607) * CHOOSE(CONTROL!$C$15, $D$11, 100%, $F$11)</f>
        <v>10.6106</v>
      </c>
      <c r="C396" s="8">
        <f>CHOOSE( CONTROL!$C$32, 10.6186, 10.6149) * CHOOSE(CONTROL!$C$15, $D$11, 100%, $F$11)</f>
        <v>10.618600000000001</v>
      </c>
      <c r="D396" s="8">
        <f>CHOOSE( CONTROL!$C$32, 10.6568, 10.6532) * CHOOSE( CONTROL!$C$15, $D$11, 100%, $F$11)</f>
        <v>10.6568</v>
      </c>
      <c r="E396" s="12">
        <f>CHOOSE( CONTROL!$C$32, 10.6417, 10.6381) * CHOOSE( CONTROL!$C$15, $D$11, 100%, $F$11)</f>
        <v>10.6417</v>
      </c>
      <c r="F396" s="4">
        <f>CHOOSE( CONTROL!$C$32, 11.3536, 11.35) * CHOOSE(CONTROL!$C$15, $D$11, 100%, $F$11)</f>
        <v>11.3536</v>
      </c>
      <c r="G396" s="8">
        <f>CHOOSE( CONTROL!$C$32, 10.493, 10.4894) * CHOOSE( CONTROL!$C$15, $D$11, 100%, $F$11)</f>
        <v>10.493</v>
      </c>
      <c r="H396" s="4">
        <f>CHOOSE( CONTROL!$C$32, 11.4673, 11.4637) * CHOOSE(CONTROL!$C$15, $D$11, 100%, $F$11)</f>
        <v>11.4673</v>
      </c>
      <c r="I396" s="8">
        <f>CHOOSE( CONTROL!$C$32, 10.4359, 10.4324) * CHOOSE(CONTROL!$C$15, $D$11, 100%, $F$11)</f>
        <v>10.4359</v>
      </c>
      <c r="J396" s="4">
        <f>CHOOSE( CONTROL!$C$32, 10.2868, 10.2832) * CHOOSE(CONTROL!$C$15, $D$11, 100%, $F$11)</f>
        <v>10.286799999999999</v>
      </c>
      <c r="K396" s="4"/>
      <c r="L396" s="9">
        <v>30.7165</v>
      </c>
      <c r="M396" s="9">
        <v>12.063700000000001</v>
      </c>
      <c r="N396" s="9">
        <v>4.9444999999999997</v>
      </c>
      <c r="O396" s="9">
        <v>0.37409999999999999</v>
      </c>
      <c r="P396" s="9">
        <v>1.2183999999999999</v>
      </c>
      <c r="Q396" s="9">
        <v>20.331700000000001</v>
      </c>
      <c r="R396" s="9"/>
      <c r="S396" s="11"/>
    </row>
    <row r="397" spans="1:19" ht="15.75">
      <c r="A397" s="13">
        <v>53600</v>
      </c>
      <c r="B397" s="8">
        <f>CHOOSE( CONTROL!$C$32, 10.3886, 10.385) * CHOOSE(CONTROL!$C$15, $D$11, 100%, $F$11)</f>
        <v>10.3886</v>
      </c>
      <c r="C397" s="8">
        <f>CHOOSE( CONTROL!$C$32, 10.3966, 10.393) * CHOOSE(CONTROL!$C$15, $D$11, 100%, $F$11)</f>
        <v>10.396599999999999</v>
      </c>
      <c r="D397" s="8">
        <f>CHOOSE( CONTROL!$C$32, 10.4348, 10.4312) * CHOOSE( CONTROL!$C$15, $D$11, 100%, $F$11)</f>
        <v>10.434799999999999</v>
      </c>
      <c r="E397" s="12">
        <f>CHOOSE( CONTROL!$C$32, 10.4197, 10.4161) * CHOOSE( CONTROL!$C$15, $D$11, 100%, $F$11)</f>
        <v>10.419700000000001</v>
      </c>
      <c r="F397" s="4">
        <f>CHOOSE( CONTROL!$C$32, 11.1317, 11.128) * CHOOSE(CONTROL!$C$15, $D$11, 100%, $F$11)</f>
        <v>11.1317</v>
      </c>
      <c r="G397" s="8">
        <f>CHOOSE( CONTROL!$C$32, 10.2735, 10.2699) * CHOOSE( CONTROL!$C$15, $D$11, 100%, $F$11)</f>
        <v>10.2735</v>
      </c>
      <c r="H397" s="4">
        <f>CHOOSE( CONTROL!$C$32, 11.2479, 11.2443) * CHOOSE(CONTROL!$C$15, $D$11, 100%, $F$11)</f>
        <v>11.2479</v>
      </c>
      <c r="I397" s="8">
        <f>CHOOSE( CONTROL!$C$32, 10.22, 10.2165) * CHOOSE(CONTROL!$C$15, $D$11, 100%, $F$11)</f>
        <v>10.220000000000001</v>
      </c>
      <c r="J397" s="4">
        <f>CHOOSE( CONTROL!$C$32, 10.0714, 10.0678) * CHOOSE(CONTROL!$C$15, $D$11, 100%, $F$11)</f>
        <v>10.071400000000001</v>
      </c>
      <c r="K397" s="4"/>
      <c r="L397" s="9">
        <v>29.7257</v>
      </c>
      <c r="M397" s="9">
        <v>11.6745</v>
      </c>
      <c r="N397" s="9">
        <v>4.7850000000000001</v>
      </c>
      <c r="O397" s="9">
        <v>0.36199999999999999</v>
      </c>
      <c r="P397" s="9">
        <v>1.1791</v>
      </c>
      <c r="Q397" s="9">
        <v>19.675799999999999</v>
      </c>
      <c r="R397" s="9"/>
      <c r="S397" s="11"/>
    </row>
    <row r="398" spans="1:19" ht="15.75">
      <c r="A398" s="13">
        <v>53631</v>
      </c>
      <c r="B398" s="8">
        <f>10.8441 * CHOOSE(CONTROL!$C$15, $D$11, 100%, $F$11)</f>
        <v>10.844099999999999</v>
      </c>
      <c r="C398" s="8">
        <f>10.8495 * CHOOSE(CONTROL!$C$15, $D$11, 100%, $F$11)</f>
        <v>10.849500000000001</v>
      </c>
      <c r="D398" s="8">
        <f>10.893 * CHOOSE( CONTROL!$C$15, $D$11, 100%, $F$11)</f>
        <v>10.893000000000001</v>
      </c>
      <c r="E398" s="12">
        <f>10.8781 * CHOOSE( CONTROL!$C$15, $D$11, 100%, $F$11)</f>
        <v>10.8781</v>
      </c>
      <c r="F398" s="4">
        <f>11.5889 * CHOOSE(CONTROL!$C$15, $D$11, 100%, $F$11)</f>
        <v>11.588900000000001</v>
      </c>
      <c r="G398" s="8">
        <f>10.7249 * CHOOSE( CONTROL!$C$15, $D$11, 100%, $F$11)</f>
        <v>10.7249</v>
      </c>
      <c r="H398" s="4">
        <f>11.6998 * CHOOSE(CONTROL!$C$15, $D$11, 100%, $F$11)</f>
        <v>11.6998</v>
      </c>
      <c r="I398" s="8">
        <f>10.6647 * CHOOSE(CONTROL!$C$15, $D$11, 100%, $F$11)</f>
        <v>10.6647</v>
      </c>
      <c r="J398" s="4">
        <f>10.5151 * CHOOSE(CONTROL!$C$15, $D$11, 100%, $F$11)</f>
        <v>10.5151</v>
      </c>
      <c r="K398" s="4"/>
      <c r="L398" s="9">
        <v>31.095300000000002</v>
      </c>
      <c r="M398" s="9">
        <v>12.063700000000001</v>
      </c>
      <c r="N398" s="9">
        <v>4.9444999999999997</v>
      </c>
      <c r="O398" s="9">
        <v>0.37409999999999999</v>
      </c>
      <c r="P398" s="9">
        <v>1.2183999999999999</v>
      </c>
      <c r="Q398" s="9">
        <v>20.331700000000001</v>
      </c>
      <c r="R398" s="9"/>
      <c r="S398" s="11"/>
    </row>
    <row r="399" spans="1:19" ht="15.75">
      <c r="A399" s="13">
        <v>53661</v>
      </c>
      <c r="B399" s="8">
        <f>11.6943 * CHOOSE(CONTROL!$C$15, $D$11, 100%, $F$11)</f>
        <v>11.6943</v>
      </c>
      <c r="C399" s="8">
        <f>11.6994 * CHOOSE(CONTROL!$C$15, $D$11, 100%, $F$11)</f>
        <v>11.699400000000001</v>
      </c>
      <c r="D399" s="8">
        <f>11.6831 * CHOOSE( CONTROL!$C$15, $D$11, 100%, $F$11)</f>
        <v>11.6831</v>
      </c>
      <c r="E399" s="12">
        <f>11.6885 * CHOOSE( CONTROL!$C$15, $D$11, 100%, $F$11)</f>
        <v>11.688499999999999</v>
      </c>
      <c r="F399" s="4">
        <f>12.3596 * CHOOSE(CONTROL!$C$15, $D$11, 100%, $F$11)</f>
        <v>12.3596</v>
      </c>
      <c r="G399" s="8">
        <f>11.5661 * CHOOSE( CONTROL!$C$15, $D$11, 100%, $F$11)</f>
        <v>11.5661</v>
      </c>
      <c r="H399" s="4">
        <f>12.4615 * CHOOSE(CONTROL!$C$15, $D$11, 100%, $F$11)</f>
        <v>12.461499999999999</v>
      </c>
      <c r="I399" s="8">
        <f>11.4908 * CHOOSE(CONTROL!$C$15, $D$11, 100%, $F$11)</f>
        <v>11.4908</v>
      </c>
      <c r="J399" s="4">
        <f>11.3406 * CHOOSE(CONTROL!$C$15, $D$11, 100%, $F$11)</f>
        <v>11.3406</v>
      </c>
      <c r="K399" s="4"/>
      <c r="L399" s="9">
        <v>28.360600000000002</v>
      </c>
      <c r="M399" s="9">
        <v>11.6745</v>
      </c>
      <c r="N399" s="9">
        <v>4.7850000000000001</v>
      </c>
      <c r="O399" s="9">
        <v>0.36199999999999999</v>
      </c>
      <c r="P399" s="9">
        <v>1.2509999999999999</v>
      </c>
      <c r="Q399" s="9">
        <v>19.675799999999999</v>
      </c>
      <c r="R399" s="9"/>
      <c r="S399" s="11"/>
    </row>
    <row r="400" spans="1:19" ht="15.75">
      <c r="A400" s="13">
        <v>53692</v>
      </c>
      <c r="B400" s="8">
        <f>11.6731 * CHOOSE(CONTROL!$C$15, $D$11, 100%, $F$11)</f>
        <v>11.6731</v>
      </c>
      <c r="C400" s="8">
        <f>11.6782 * CHOOSE(CONTROL!$C$15, $D$11, 100%, $F$11)</f>
        <v>11.6782</v>
      </c>
      <c r="D400" s="8">
        <f>11.6635 * CHOOSE( CONTROL!$C$15, $D$11, 100%, $F$11)</f>
        <v>11.663500000000001</v>
      </c>
      <c r="E400" s="12">
        <f>11.6683 * CHOOSE( CONTROL!$C$15, $D$11, 100%, $F$11)</f>
        <v>11.6683</v>
      </c>
      <c r="F400" s="4">
        <f>12.3384 * CHOOSE(CONTROL!$C$15, $D$11, 100%, $F$11)</f>
        <v>12.3384</v>
      </c>
      <c r="G400" s="8">
        <f>11.5464 * CHOOSE( CONTROL!$C$15, $D$11, 100%, $F$11)</f>
        <v>11.5464</v>
      </c>
      <c r="H400" s="4">
        <f>12.4405 * CHOOSE(CONTROL!$C$15, $D$11, 100%, $F$11)</f>
        <v>12.4405</v>
      </c>
      <c r="I400" s="8">
        <f>11.4755 * CHOOSE(CONTROL!$C$15, $D$11, 100%, $F$11)</f>
        <v>11.4755</v>
      </c>
      <c r="J400" s="4">
        <f>11.32 * CHOOSE(CONTROL!$C$15, $D$11, 100%, $F$11)</f>
        <v>11.32</v>
      </c>
      <c r="K400" s="4"/>
      <c r="L400" s="9">
        <v>29.306000000000001</v>
      </c>
      <c r="M400" s="9">
        <v>12.063700000000001</v>
      </c>
      <c r="N400" s="9">
        <v>4.9444999999999997</v>
      </c>
      <c r="O400" s="9">
        <v>0.37409999999999999</v>
      </c>
      <c r="P400" s="9">
        <v>1.2927</v>
      </c>
      <c r="Q400" s="9">
        <v>20.331700000000001</v>
      </c>
      <c r="R400" s="9"/>
      <c r="S400" s="11"/>
    </row>
    <row r="401" spans="1:19" ht="15.75">
      <c r="A401" s="13">
        <v>53723</v>
      </c>
      <c r="B401" s="8">
        <f>12.0171 * CHOOSE(CONTROL!$C$15, $D$11, 100%, $F$11)</f>
        <v>12.017099999999999</v>
      </c>
      <c r="C401" s="8">
        <f>12.0222 * CHOOSE(CONTROL!$C$15, $D$11, 100%, $F$11)</f>
        <v>12.0222</v>
      </c>
      <c r="D401" s="8">
        <f>11.9933 * CHOOSE( CONTROL!$C$15, $D$11, 100%, $F$11)</f>
        <v>11.9933</v>
      </c>
      <c r="E401" s="12">
        <f>12.0033 * CHOOSE( CONTROL!$C$15, $D$11, 100%, $F$11)</f>
        <v>12.003299999999999</v>
      </c>
      <c r="F401" s="4">
        <f>12.6824 * CHOOSE(CONTROL!$C$15, $D$11, 100%, $F$11)</f>
        <v>12.682399999999999</v>
      </c>
      <c r="G401" s="8">
        <f>11.8761 * CHOOSE( CONTROL!$C$15, $D$11, 100%, $F$11)</f>
        <v>11.876099999999999</v>
      </c>
      <c r="H401" s="4">
        <f>12.7805 * CHOOSE(CONTROL!$C$15, $D$11, 100%, $F$11)</f>
        <v>12.7805</v>
      </c>
      <c r="I401" s="8">
        <f>11.8042 * CHOOSE(CONTROL!$C$15, $D$11, 100%, $F$11)</f>
        <v>11.8042</v>
      </c>
      <c r="J401" s="4">
        <f>11.6539 * CHOOSE(CONTROL!$C$15, $D$11, 100%, $F$11)</f>
        <v>11.6539</v>
      </c>
      <c r="K401" s="4"/>
      <c r="L401" s="9">
        <v>29.306000000000001</v>
      </c>
      <c r="M401" s="9">
        <v>12.063700000000001</v>
      </c>
      <c r="N401" s="9">
        <v>4.9444999999999997</v>
      </c>
      <c r="O401" s="9">
        <v>0.37409999999999999</v>
      </c>
      <c r="P401" s="9">
        <v>1.2927</v>
      </c>
      <c r="Q401" s="9">
        <v>20.2666</v>
      </c>
      <c r="R401" s="9"/>
      <c r="S401" s="11"/>
    </row>
    <row r="402" spans="1:19" ht="15.75">
      <c r="A402" s="13">
        <v>53751</v>
      </c>
      <c r="B402" s="8">
        <f>11.2408 * CHOOSE(CONTROL!$C$15, $D$11, 100%, $F$11)</f>
        <v>11.2408</v>
      </c>
      <c r="C402" s="8">
        <f>11.2459 * CHOOSE(CONTROL!$C$15, $D$11, 100%, $F$11)</f>
        <v>11.245900000000001</v>
      </c>
      <c r="D402" s="8">
        <f>11.217 * CHOOSE( CONTROL!$C$15, $D$11, 100%, $F$11)</f>
        <v>11.217000000000001</v>
      </c>
      <c r="E402" s="12">
        <f>11.227 * CHOOSE( CONTROL!$C$15, $D$11, 100%, $F$11)</f>
        <v>11.227</v>
      </c>
      <c r="F402" s="4">
        <f>11.9061 * CHOOSE(CONTROL!$C$15, $D$11, 100%, $F$11)</f>
        <v>11.9061</v>
      </c>
      <c r="G402" s="8">
        <f>11.1089 * CHOOSE( CONTROL!$C$15, $D$11, 100%, $F$11)</f>
        <v>11.1089</v>
      </c>
      <c r="H402" s="4">
        <f>12.0133 * CHOOSE(CONTROL!$C$15, $D$11, 100%, $F$11)</f>
        <v>12.013299999999999</v>
      </c>
      <c r="I402" s="8">
        <f>11.0504 * CHOOSE(CONTROL!$C$15, $D$11, 100%, $F$11)</f>
        <v>11.0504</v>
      </c>
      <c r="J402" s="4">
        <f>10.9005 * CHOOSE(CONTROL!$C$15, $D$11, 100%, $F$11)</f>
        <v>10.900499999999999</v>
      </c>
      <c r="K402" s="4"/>
      <c r="L402" s="9">
        <v>26.469899999999999</v>
      </c>
      <c r="M402" s="9">
        <v>10.8962</v>
      </c>
      <c r="N402" s="9">
        <v>4.4660000000000002</v>
      </c>
      <c r="O402" s="9">
        <v>0.33789999999999998</v>
      </c>
      <c r="P402" s="9">
        <v>1.1676</v>
      </c>
      <c r="Q402" s="9">
        <v>18.305299999999999</v>
      </c>
      <c r="R402" s="9"/>
      <c r="S402" s="11"/>
    </row>
    <row r="403" spans="1:19" ht="15.75">
      <c r="A403" s="13">
        <v>53782</v>
      </c>
      <c r="B403" s="8">
        <f>11.0017 * CHOOSE(CONTROL!$C$15, $D$11, 100%, $F$11)</f>
        <v>11.0017</v>
      </c>
      <c r="C403" s="8">
        <f>11.0068 * CHOOSE(CONTROL!$C$15, $D$11, 100%, $F$11)</f>
        <v>11.0068</v>
      </c>
      <c r="D403" s="8">
        <f>10.9775 * CHOOSE( CONTROL!$C$15, $D$11, 100%, $F$11)</f>
        <v>10.977499999999999</v>
      </c>
      <c r="E403" s="12">
        <f>10.9877 * CHOOSE( CONTROL!$C$15, $D$11, 100%, $F$11)</f>
        <v>10.9877</v>
      </c>
      <c r="F403" s="4">
        <f>11.667 * CHOOSE(CONTROL!$C$15, $D$11, 100%, $F$11)</f>
        <v>11.667</v>
      </c>
      <c r="G403" s="8">
        <f>10.8723 * CHOOSE( CONTROL!$C$15, $D$11, 100%, $F$11)</f>
        <v>10.872299999999999</v>
      </c>
      <c r="H403" s="4">
        <f>11.777 * CHOOSE(CONTROL!$C$15, $D$11, 100%, $F$11)</f>
        <v>11.776999999999999</v>
      </c>
      <c r="I403" s="8">
        <f>10.817 * CHOOSE(CONTROL!$C$15, $D$11, 100%, $F$11)</f>
        <v>10.817</v>
      </c>
      <c r="J403" s="4">
        <f>10.6684 * CHOOSE(CONTROL!$C$15, $D$11, 100%, $F$11)</f>
        <v>10.6684</v>
      </c>
      <c r="K403" s="4"/>
      <c r="L403" s="9">
        <v>29.306000000000001</v>
      </c>
      <c r="M403" s="9">
        <v>12.063700000000001</v>
      </c>
      <c r="N403" s="9">
        <v>4.9444999999999997</v>
      </c>
      <c r="O403" s="9">
        <v>0.37409999999999999</v>
      </c>
      <c r="P403" s="9">
        <v>1.2927</v>
      </c>
      <c r="Q403" s="9">
        <v>20.2666</v>
      </c>
      <c r="R403" s="9"/>
      <c r="S403" s="11"/>
    </row>
    <row r="404" spans="1:19" ht="15.75">
      <c r="A404" s="13">
        <v>53812</v>
      </c>
      <c r="B404" s="8">
        <f>11.1696 * CHOOSE(CONTROL!$C$15, $D$11, 100%, $F$11)</f>
        <v>11.169600000000001</v>
      </c>
      <c r="C404" s="8">
        <f>11.1741 * CHOOSE(CONTROL!$C$15, $D$11, 100%, $F$11)</f>
        <v>11.174099999999999</v>
      </c>
      <c r="D404" s="8">
        <f>11.2175 * CHOOSE( CONTROL!$C$15, $D$11, 100%, $F$11)</f>
        <v>11.217499999999999</v>
      </c>
      <c r="E404" s="12">
        <f>11.2027 * CHOOSE( CONTROL!$C$15, $D$11, 100%, $F$11)</f>
        <v>11.2027</v>
      </c>
      <c r="F404" s="4">
        <f>11.914 * CHOOSE(CONTROL!$C$15, $D$11, 100%, $F$11)</f>
        <v>11.914</v>
      </c>
      <c r="G404" s="8">
        <f>11.0452 * CHOOSE( CONTROL!$C$15, $D$11, 100%, $F$11)</f>
        <v>11.045199999999999</v>
      </c>
      <c r="H404" s="4">
        <f>12.0211 * CHOOSE(CONTROL!$C$15, $D$11, 100%, $F$11)</f>
        <v>12.021100000000001</v>
      </c>
      <c r="I404" s="8">
        <f>10.9774 * CHOOSE(CONTROL!$C$15, $D$11, 100%, $F$11)</f>
        <v>10.977399999999999</v>
      </c>
      <c r="J404" s="4">
        <f>10.8306 * CHOOSE(CONTROL!$C$15, $D$11, 100%, $F$11)</f>
        <v>10.8306</v>
      </c>
      <c r="K404" s="4"/>
      <c r="L404" s="9">
        <v>30.092199999999998</v>
      </c>
      <c r="M404" s="9">
        <v>11.6745</v>
      </c>
      <c r="N404" s="9">
        <v>4.7850000000000001</v>
      </c>
      <c r="O404" s="9">
        <v>0.36199999999999999</v>
      </c>
      <c r="P404" s="9">
        <v>1.1791</v>
      </c>
      <c r="Q404" s="9">
        <v>19.6128</v>
      </c>
      <c r="R404" s="9"/>
      <c r="S404" s="11"/>
    </row>
    <row r="405" spans="1:19" ht="15.75">
      <c r="A405" s="13">
        <v>53843</v>
      </c>
      <c r="B405" s="8">
        <f>CHOOSE( CONTROL!$C$32, 11.4719, 11.4683) * CHOOSE(CONTROL!$C$15, $D$11, 100%, $F$11)</f>
        <v>11.4719</v>
      </c>
      <c r="C405" s="8">
        <f>CHOOSE( CONTROL!$C$32, 11.4799, 11.4763) * CHOOSE(CONTROL!$C$15, $D$11, 100%, $F$11)</f>
        <v>11.479900000000001</v>
      </c>
      <c r="D405" s="8">
        <f>CHOOSE( CONTROL!$C$32, 11.5177, 11.514) * CHOOSE( CONTROL!$C$15, $D$11, 100%, $F$11)</f>
        <v>11.5177</v>
      </c>
      <c r="E405" s="12">
        <f>CHOOSE( CONTROL!$C$32, 11.5028, 11.4991) * CHOOSE( CONTROL!$C$15, $D$11, 100%, $F$11)</f>
        <v>11.502800000000001</v>
      </c>
      <c r="F405" s="4">
        <f>CHOOSE( CONTROL!$C$32, 12.215, 12.2113) * CHOOSE(CONTROL!$C$15, $D$11, 100%, $F$11)</f>
        <v>12.215</v>
      </c>
      <c r="G405" s="8">
        <f>CHOOSE( CONTROL!$C$32, 11.3435, 11.3399) * CHOOSE( CONTROL!$C$15, $D$11, 100%, $F$11)</f>
        <v>11.343500000000001</v>
      </c>
      <c r="H405" s="4">
        <f>CHOOSE( CONTROL!$C$32, 12.3186, 12.315) * CHOOSE(CONTROL!$C$15, $D$11, 100%, $F$11)</f>
        <v>12.3186</v>
      </c>
      <c r="I405" s="8">
        <f>CHOOSE( CONTROL!$C$32, 11.2698, 11.2663) * CHOOSE(CONTROL!$C$15, $D$11, 100%, $F$11)</f>
        <v>11.2698</v>
      </c>
      <c r="J405" s="4">
        <f>CHOOSE( CONTROL!$C$32, 11.1227, 11.1192) * CHOOSE(CONTROL!$C$15, $D$11, 100%, $F$11)</f>
        <v>11.1227</v>
      </c>
      <c r="K405" s="4"/>
      <c r="L405" s="9">
        <v>30.7165</v>
      </c>
      <c r="M405" s="9">
        <v>12.063700000000001</v>
      </c>
      <c r="N405" s="9">
        <v>4.9444999999999997</v>
      </c>
      <c r="O405" s="9">
        <v>0.37409999999999999</v>
      </c>
      <c r="P405" s="9">
        <v>1.2183999999999999</v>
      </c>
      <c r="Q405" s="9">
        <v>20.2666</v>
      </c>
      <c r="R405" s="9"/>
      <c r="S405" s="11"/>
    </row>
    <row r="406" spans="1:19" ht="15.75">
      <c r="A406" s="13">
        <v>53873</v>
      </c>
      <c r="B406" s="8">
        <f>CHOOSE( CONTROL!$C$32, 11.2877, 11.2841) * CHOOSE(CONTROL!$C$15, $D$11, 100%, $F$11)</f>
        <v>11.287699999999999</v>
      </c>
      <c r="C406" s="8">
        <f>CHOOSE( CONTROL!$C$32, 11.2957, 11.2921) * CHOOSE(CONTROL!$C$15, $D$11, 100%, $F$11)</f>
        <v>11.2957</v>
      </c>
      <c r="D406" s="8">
        <f>CHOOSE( CONTROL!$C$32, 11.3337, 11.33) * CHOOSE( CONTROL!$C$15, $D$11, 100%, $F$11)</f>
        <v>11.3337</v>
      </c>
      <c r="E406" s="12">
        <f>CHOOSE( CONTROL!$C$32, 11.3187, 11.315) * CHOOSE( CONTROL!$C$15, $D$11, 100%, $F$11)</f>
        <v>11.3187</v>
      </c>
      <c r="F406" s="4">
        <f>CHOOSE( CONTROL!$C$32, 12.0308, 12.0271) * CHOOSE(CONTROL!$C$15, $D$11, 100%, $F$11)</f>
        <v>12.030799999999999</v>
      </c>
      <c r="G406" s="8">
        <f>CHOOSE( CONTROL!$C$32, 11.1618, 11.1582) * CHOOSE( CONTROL!$C$15, $D$11, 100%, $F$11)</f>
        <v>11.161799999999999</v>
      </c>
      <c r="H406" s="4">
        <f>CHOOSE( CONTROL!$C$32, 12.1365, 12.1329) * CHOOSE(CONTROL!$C$15, $D$11, 100%, $F$11)</f>
        <v>12.1365</v>
      </c>
      <c r="I406" s="8">
        <f>CHOOSE( CONTROL!$C$32, 11.092, 11.0885) * CHOOSE(CONTROL!$C$15, $D$11, 100%, $F$11)</f>
        <v>11.092000000000001</v>
      </c>
      <c r="J406" s="4">
        <f>CHOOSE( CONTROL!$C$32, 10.9439, 10.9404) * CHOOSE(CONTROL!$C$15, $D$11, 100%, $F$11)</f>
        <v>10.943899999999999</v>
      </c>
      <c r="K406" s="4"/>
      <c r="L406" s="9">
        <v>29.7257</v>
      </c>
      <c r="M406" s="9">
        <v>11.6745</v>
      </c>
      <c r="N406" s="9">
        <v>4.7850000000000001</v>
      </c>
      <c r="O406" s="9">
        <v>0.36199999999999999</v>
      </c>
      <c r="P406" s="9">
        <v>1.1791</v>
      </c>
      <c r="Q406" s="9">
        <v>19.6128</v>
      </c>
      <c r="R406" s="9"/>
      <c r="S406" s="11"/>
    </row>
    <row r="407" spans="1:19" ht="15.75">
      <c r="A407" s="13">
        <v>53904</v>
      </c>
      <c r="B407" s="8">
        <f>CHOOSE( CONTROL!$C$32, 11.7728, 11.7692) * CHOOSE(CONTROL!$C$15, $D$11, 100%, $F$11)</f>
        <v>11.7728</v>
      </c>
      <c r="C407" s="8">
        <f>CHOOSE( CONTROL!$C$32, 11.7808, 11.7772) * CHOOSE(CONTROL!$C$15, $D$11, 100%, $F$11)</f>
        <v>11.780799999999999</v>
      </c>
      <c r="D407" s="8">
        <f>CHOOSE( CONTROL!$C$32, 11.819, 11.8154) * CHOOSE( CONTROL!$C$15, $D$11, 100%, $F$11)</f>
        <v>11.819000000000001</v>
      </c>
      <c r="E407" s="12">
        <f>CHOOSE( CONTROL!$C$32, 11.8039, 11.8003) * CHOOSE( CONTROL!$C$15, $D$11, 100%, $F$11)</f>
        <v>11.803900000000001</v>
      </c>
      <c r="F407" s="4">
        <f>CHOOSE( CONTROL!$C$32, 12.5158, 12.5122) * CHOOSE(CONTROL!$C$15, $D$11, 100%, $F$11)</f>
        <v>12.5158</v>
      </c>
      <c r="G407" s="8">
        <f>CHOOSE( CONTROL!$C$32, 11.6415, 11.6379) * CHOOSE( CONTROL!$C$15, $D$11, 100%, $F$11)</f>
        <v>11.641500000000001</v>
      </c>
      <c r="H407" s="4">
        <f>CHOOSE( CONTROL!$C$32, 12.6159, 12.6123) * CHOOSE(CONTROL!$C$15, $D$11, 100%, $F$11)</f>
        <v>12.6159</v>
      </c>
      <c r="I407" s="8">
        <f>CHOOSE( CONTROL!$C$32, 11.5641, 11.5606) * CHOOSE(CONTROL!$C$15, $D$11, 100%, $F$11)</f>
        <v>11.5641</v>
      </c>
      <c r="J407" s="4">
        <f>CHOOSE( CONTROL!$C$32, 11.4147, 11.4112) * CHOOSE(CONTROL!$C$15, $D$11, 100%, $F$11)</f>
        <v>11.4147</v>
      </c>
      <c r="K407" s="4"/>
      <c r="L407" s="9">
        <v>30.7165</v>
      </c>
      <c r="M407" s="9">
        <v>12.063700000000001</v>
      </c>
      <c r="N407" s="9">
        <v>4.9444999999999997</v>
      </c>
      <c r="O407" s="9">
        <v>0.37409999999999999</v>
      </c>
      <c r="P407" s="9">
        <v>1.2183999999999999</v>
      </c>
      <c r="Q407" s="9">
        <v>20.2666</v>
      </c>
      <c r="R407" s="9"/>
      <c r="S407" s="11"/>
    </row>
    <row r="408" spans="1:19" ht="15.75">
      <c r="A408" s="13">
        <v>53935</v>
      </c>
      <c r="B408" s="8">
        <f>CHOOSE( CONTROL!$C$32, 10.8652, 10.8615) * CHOOSE(CONTROL!$C$15, $D$11, 100%, $F$11)</f>
        <v>10.8652</v>
      </c>
      <c r="C408" s="8">
        <f>CHOOSE( CONTROL!$C$32, 10.8732, 10.8695) * CHOOSE(CONTROL!$C$15, $D$11, 100%, $F$11)</f>
        <v>10.873200000000001</v>
      </c>
      <c r="D408" s="8">
        <f>CHOOSE( CONTROL!$C$32, 10.9114, 10.9078) * CHOOSE( CONTROL!$C$15, $D$11, 100%, $F$11)</f>
        <v>10.9114</v>
      </c>
      <c r="E408" s="12">
        <f>CHOOSE( CONTROL!$C$32, 10.8963, 10.8927) * CHOOSE( CONTROL!$C$15, $D$11, 100%, $F$11)</f>
        <v>10.8963</v>
      </c>
      <c r="F408" s="4">
        <f>CHOOSE( CONTROL!$C$32, 11.6082, 11.6046) * CHOOSE(CONTROL!$C$15, $D$11, 100%, $F$11)</f>
        <v>11.6082</v>
      </c>
      <c r="G408" s="8">
        <f>CHOOSE( CONTROL!$C$32, 10.7446, 10.741) * CHOOSE( CONTROL!$C$15, $D$11, 100%, $F$11)</f>
        <v>10.7446</v>
      </c>
      <c r="H408" s="4">
        <f>CHOOSE( CONTROL!$C$32, 11.7189, 11.7153) * CHOOSE(CONTROL!$C$15, $D$11, 100%, $F$11)</f>
        <v>11.7189</v>
      </c>
      <c r="I408" s="8">
        <f>CHOOSE( CONTROL!$C$32, 10.6831, 10.6796) * CHOOSE(CONTROL!$C$15, $D$11, 100%, $F$11)</f>
        <v>10.6831</v>
      </c>
      <c r="J408" s="4">
        <f>CHOOSE( CONTROL!$C$32, 10.5338, 10.5303) * CHOOSE(CONTROL!$C$15, $D$11, 100%, $F$11)</f>
        <v>10.533799999999999</v>
      </c>
      <c r="K408" s="4"/>
      <c r="L408" s="9">
        <v>30.7165</v>
      </c>
      <c r="M408" s="9">
        <v>12.063700000000001</v>
      </c>
      <c r="N408" s="9">
        <v>4.9444999999999997</v>
      </c>
      <c r="O408" s="9">
        <v>0.37409999999999999</v>
      </c>
      <c r="P408" s="9">
        <v>1.2183999999999999</v>
      </c>
      <c r="Q408" s="9">
        <v>20.2666</v>
      </c>
      <c r="R408" s="9"/>
      <c r="S408" s="11"/>
    </row>
    <row r="409" spans="1:19" ht="15.75">
      <c r="A409" s="13">
        <v>53965</v>
      </c>
      <c r="B409" s="8">
        <f>CHOOSE( CONTROL!$C$32, 10.6379, 10.6343) * CHOOSE(CONTROL!$C$15, $D$11, 100%, $F$11)</f>
        <v>10.6379</v>
      </c>
      <c r="C409" s="8">
        <f>CHOOSE( CONTROL!$C$32, 10.6459, 10.6422) * CHOOSE(CONTROL!$C$15, $D$11, 100%, $F$11)</f>
        <v>10.645899999999999</v>
      </c>
      <c r="D409" s="8">
        <f>CHOOSE( CONTROL!$C$32, 10.6841, 10.6804) * CHOOSE( CONTROL!$C$15, $D$11, 100%, $F$11)</f>
        <v>10.684100000000001</v>
      </c>
      <c r="E409" s="12">
        <f>CHOOSE( CONTROL!$C$32, 10.669, 10.6654) * CHOOSE( CONTROL!$C$15, $D$11, 100%, $F$11)</f>
        <v>10.669</v>
      </c>
      <c r="F409" s="4">
        <f>CHOOSE( CONTROL!$C$32, 11.3809, 11.3773) * CHOOSE(CONTROL!$C$15, $D$11, 100%, $F$11)</f>
        <v>11.3809</v>
      </c>
      <c r="G409" s="8">
        <f>CHOOSE( CONTROL!$C$32, 10.5199, 10.5163) * CHOOSE( CONTROL!$C$15, $D$11, 100%, $F$11)</f>
        <v>10.5199</v>
      </c>
      <c r="H409" s="4">
        <f>CHOOSE( CONTROL!$C$32, 11.4943, 11.4907) * CHOOSE(CONTROL!$C$15, $D$11, 100%, $F$11)</f>
        <v>11.494300000000001</v>
      </c>
      <c r="I409" s="8">
        <f>CHOOSE( CONTROL!$C$32, 10.4621, 10.4585) * CHOOSE(CONTROL!$C$15, $D$11, 100%, $F$11)</f>
        <v>10.4621</v>
      </c>
      <c r="J409" s="4">
        <f>CHOOSE( CONTROL!$C$32, 10.3133, 10.3097) * CHOOSE(CONTROL!$C$15, $D$11, 100%, $F$11)</f>
        <v>10.3133</v>
      </c>
      <c r="K409" s="4"/>
      <c r="L409" s="9">
        <v>29.7257</v>
      </c>
      <c r="M409" s="9">
        <v>11.6745</v>
      </c>
      <c r="N409" s="9">
        <v>4.7850000000000001</v>
      </c>
      <c r="O409" s="9">
        <v>0.36199999999999999</v>
      </c>
      <c r="P409" s="9">
        <v>1.1791</v>
      </c>
      <c r="Q409" s="9">
        <v>19.6128</v>
      </c>
      <c r="R409" s="9"/>
      <c r="S409" s="11"/>
    </row>
    <row r="410" spans="1:19" ht="15.75">
      <c r="A410" s="13">
        <v>53996</v>
      </c>
      <c r="B410" s="8">
        <f>11.1045 * CHOOSE(CONTROL!$C$15, $D$11, 100%, $F$11)</f>
        <v>11.1045</v>
      </c>
      <c r="C410" s="8">
        <f>11.1098 * CHOOSE(CONTROL!$C$15, $D$11, 100%, $F$11)</f>
        <v>11.1098</v>
      </c>
      <c r="D410" s="8">
        <f>11.1533 * CHOOSE( CONTROL!$C$15, $D$11, 100%, $F$11)</f>
        <v>11.1533</v>
      </c>
      <c r="E410" s="12">
        <f>11.1384 * CHOOSE( CONTROL!$C$15, $D$11, 100%, $F$11)</f>
        <v>11.138400000000001</v>
      </c>
      <c r="F410" s="4">
        <f>11.8492 * CHOOSE(CONTROL!$C$15, $D$11, 100%, $F$11)</f>
        <v>11.8492</v>
      </c>
      <c r="G410" s="8">
        <f>10.9822 * CHOOSE( CONTROL!$C$15, $D$11, 100%, $F$11)</f>
        <v>10.982200000000001</v>
      </c>
      <c r="H410" s="4">
        <f>11.9571 * CHOOSE(CONTROL!$C$15, $D$11, 100%, $F$11)</f>
        <v>11.957100000000001</v>
      </c>
      <c r="I410" s="8">
        <f>10.9175 * CHOOSE(CONTROL!$C$15, $D$11, 100%, $F$11)</f>
        <v>10.9175</v>
      </c>
      <c r="J410" s="4">
        <f>10.7677 * CHOOSE(CONTROL!$C$15, $D$11, 100%, $F$11)</f>
        <v>10.7677</v>
      </c>
      <c r="K410" s="4"/>
      <c r="L410" s="9">
        <v>31.095300000000002</v>
      </c>
      <c r="M410" s="9">
        <v>12.063700000000001</v>
      </c>
      <c r="N410" s="9">
        <v>4.9444999999999997</v>
      </c>
      <c r="O410" s="9">
        <v>0.37409999999999999</v>
      </c>
      <c r="P410" s="9">
        <v>1.2183999999999999</v>
      </c>
      <c r="Q410" s="9">
        <v>20.2666</v>
      </c>
      <c r="R410" s="9"/>
      <c r="S410" s="11"/>
    </row>
    <row r="411" spans="1:19" ht="15.75">
      <c r="A411" s="13">
        <v>54026</v>
      </c>
      <c r="B411" s="8">
        <f>11.9751 * CHOOSE(CONTROL!$C$15, $D$11, 100%, $F$11)</f>
        <v>11.975099999999999</v>
      </c>
      <c r="C411" s="8">
        <f>11.9802 * CHOOSE(CONTROL!$C$15, $D$11, 100%, $F$11)</f>
        <v>11.9802</v>
      </c>
      <c r="D411" s="8">
        <f>11.9638 * CHOOSE( CONTROL!$C$15, $D$11, 100%, $F$11)</f>
        <v>11.963800000000001</v>
      </c>
      <c r="E411" s="12">
        <f>11.9693 * CHOOSE( CONTROL!$C$15, $D$11, 100%, $F$11)</f>
        <v>11.9693</v>
      </c>
      <c r="F411" s="4">
        <f>12.6404 * CHOOSE(CONTROL!$C$15, $D$11, 100%, $F$11)</f>
        <v>12.6404</v>
      </c>
      <c r="G411" s="8">
        <f>11.8436 * CHOOSE( CONTROL!$C$15, $D$11, 100%, $F$11)</f>
        <v>11.8436</v>
      </c>
      <c r="H411" s="4">
        <f>12.739 * CHOOSE(CONTROL!$C$15, $D$11, 100%, $F$11)</f>
        <v>12.739000000000001</v>
      </c>
      <c r="I411" s="8">
        <f>11.7634 * CHOOSE(CONTROL!$C$15, $D$11, 100%, $F$11)</f>
        <v>11.763400000000001</v>
      </c>
      <c r="J411" s="4">
        <f>11.6131 * CHOOSE(CONTROL!$C$15, $D$11, 100%, $F$11)</f>
        <v>11.613099999999999</v>
      </c>
      <c r="K411" s="4"/>
      <c r="L411" s="9">
        <v>28.360600000000002</v>
      </c>
      <c r="M411" s="9">
        <v>11.6745</v>
      </c>
      <c r="N411" s="9">
        <v>4.7850000000000001</v>
      </c>
      <c r="O411" s="9">
        <v>0.36199999999999999</v>
      </c>
      <c r="P411" s="9">
        <v>1.2509999999999999</v>
      </c>
      <c r="Q411" s="9">
        <v>19.6128</v>
      </c>
      <c r="R411" s="9"/>
      <c r="S411" s="11"/>
    </row>
    <row r="412" spans="1:19" ht="15.75">
      <c r="A412" s="13">
        <v>54057</v>
      </c>
      <c r="B412" s="8">
        <f>11.9533 * CHOOSE(CONTROL!$C$15, $D$11, 100%, $F$11)</f>
        <v>11.9533</v>
      </c>
      <c r="C412" s="8">
        <f>11.9584 * CHOOSE(CONTROL!$C$15, $D$11, 100%, $F$11)</f>
        <v>11.958399999999999</v>
      </c>
      <c r="D412" s="8">
        <f>11.9438 * CHOOSE( CONTROL!$C$15, $D$11, 100%, $F$11)</f>
        <v>11.9438</v>
      </c>
      <c r="E412" s="12">
        <f>11.9486 * CHOOSE( CONTROL!$C$15, $D$11, 100%, $F$11)</f>
        <v>11.948600000000001</v>
      </c>
      <c r="F412" s="4">
        <f>12.6186 * CHOOSE(CONTROL!$C$15, $D$11, 100%, $F$11)</f>
        <v>12.618600000000001</v>
      </c>
      <c r="G412" s="8">
        <f>11.8233 * CHOOSE( CONTROL!$C$15, $D$11, 100%, $F$11)</f>
        <v>11.8233</v>
      </c>
      <c r="H412" s="4">
        <f>12.7175 * CHOOSE(CONTROL!$C$15, $D$11, 100%, $F$11)</f>
        <v>12.717499999999999</v>
      </c>
      <c r="I412" s="8">
        <f>11.7476 * CHOOSE(CONTROL!$C$15, $D$11, 100%, $F$11)</f>
        <v>11.7476</v>
      </c>
      <c r="J412" s="4">
        <f>11.592 * CHOOSE(CONTROL!$C$15, $D$11, 100%, $F$11)</f>
        <v>11.592000000000001</v>
      </c>
      <c r="K412" s="4"/>
      <c r="L412" s="9">
        <v>29.306000000000001</v>
      </c>
      <c r="M412" s="9">
        <v>12.063700000000001</v>
      </c>
      <c r="N412" s="9">
        <v>4.9444999999999997</v>
      </c>
      <c r="O412" s="9">
        <v>0.37409999999999999</v>
      </c>
      <c r="P412" s="9">
        <v>1.2927</v>
      </c>
      <c r="Q412" s="9">
        <v>20.2666</v>
      </c>
      <c r="R412" s="9"/>
      <c r="S412" s="11"/>
    </row>
    <row r="413" spans="1:19" ht="15.75">
      <c r="A413" s="13">
        <v>54088</v>
      </c>
      <c r="B413" s="8">
        <f>12.3057 * CHOOSE(CONTROL!$C$15, $D$11, 100%, $F$11)</f>
        <v>12.3057</v>
      </c>
      <c r="C413" s="8">
        <f>12.3107 * CHOOSE(CONTROL!$C$15, $D$11, 100%, $F$11)</f>
        <v>12.310700000000001</v>
      </c>
      <c r="D413" s="8">
        <f>12.2819 * CHOOSE( CONTROL!$C$15, $D$11, 100%, $F$11)</f>
        <v>12.2819</v>
      </c>
      <c r="E413" s="12">
        <f>12.2919 * CHOOSE( CONTROL!$C$15, $D$11, 100%, $F$11)</f>
        <v>12.2919</v>
      </c>
      <c r="F413" s="4">
        <f>12.9709 * CHOOSE(CONTROL!$C$15, $D$11, 100%, $F$11)</f>
        <v>12.9709</v>
      </c>
      <c r="G413" s="8">
        <f>12.1613 * CHOOSE( CONTROL!$C$15, $D$11, 100%, $F$11)</f>
        <v>12.161300000000001</v>
      </c>
      <c r="H413" s="4">
        <f>13.0657 * CHOOSE(CONTROL!$C$15, $D$11, 100%, $F$11)</f>
        <v>13.0657</v>
      </c>
      <c r="I413" s="8">
        <f>12.0844 * CHOOSE(CONTROL!$C$15, $D$11, 100%, $F$11)</f>
        <v>12.0844</v>
      </c>
      <c r="J413" s="4">
        <f>11.9339 * CHOOSE(CONTROL!$C$15, $D$11, 100%, $F$11)</f>
        <v>11.9339</v>
      </c>
      <c r="K413" s="4"/>
      <c r="L413" s="9">
        <v>29.306000000000001</v>
      </c>
      <c r="M413" s="9">
        <v>12.063700000000001</v>
      </c>
      <c r="N413" s="9">
        <v>4.9444999999999997</v>
      </c>
      <c r="O413" s="9">
        <v>0.37409999999999999</v>
      </c>
      <c r="P413" s="9">
        <v>1.2927</v>
      </c>
      <c r="Q413" s="9">
        <v>20.201499999999999</v>
      </c>
      <c r="R413" s="9"/>
      <c r="S413" s="11"/>
    </row>
    <row r="414" spans="1:19" ht="15.75">
      <c r="A414" s="13">
        <v>54116</v>
      </c>
      <c r="B414" s="8">
        <f>11.5107 * CHOOSE(CONTROL!$C$15, $D$11, 100%, $F$11)</f>
        <v>11.5107</v>
      </c>
      <c r="C414" s="8">
        <f>11.5158 * CHOOSE(CONTROL!$C$15, $D$11, 100%, $F$11)</f>
        <v>11.5158</v>
      </c>
      <c r="D414" s="8">
        <f>11.4869 * CHOOSE( CONTROL!$C$15, $D$11, 100%, $F$11)</f>
        <v>11.4869</v>
      </c>
      <c r="E414" s="12">
        <f>11.4969 * CHOOSE( CONTROL!$C$15, $D$11, 100%, $F$11)</f>
        <v>11.4969</v>
      </c>
      <c r="F414" s="4">
        <f>12.176 * CHOOSE(CONTROL!$C$15, $D$11, 100%, $F$11)</f>
        <v>12.176</v>
      </c>
      <c r="G414" s="8">
        <f>11.3756 * CHOOSE( CONTROL!$C$15, $D$11, 100%, $F$11)</f>
        <v>11.3756</v>
      </c>
      <c r="H414" s="4">
        <f>12.28 * CHOOSE(CONTROL!$C$15, $D$11, 100%, $F$11)</f>
        <v>12.28</v>
      </c>
      <c r="I414" s="8">
        <f>11.3124 * CHOOSE(CONTROL!$C$15, $D$11, 100%, $F$11)</f>
        <v>11.3124</v>
      </c>
      <c r="J414" s="4">
        <f>11.1624 * CHOOSE(CONTROL!$C$15, $D$11, 100%, $F$11)</f>
        <v>11.1624</v>
      </c>
      <c r="K414" s="4"/>
      <c r="L414" s="9">
        <v>27.415299999999998</v>
      </c>
      <c r="M414" s="9">
        <v>11.285299999999999</v>
      </c>
      <c r="N414" s="9">
        <v>4.6254999999999997</v>
      </c>
      <c r="O414" s="9">
        <v>0.34989999999999999</v>
      </c>
      <c r="P414" s="9">
        <v>1.2093</v>
      </c>
      <c r="Q414" s="9">
        <v>18.898099999999999</v>
      </c>
      <c r="R414" s="9"/>
      <c r="S414" s="11"/>
    </row>
    <row r="415" spans="1:19" ht="15.75">
      <c r="A415" s="13">
        <v>54148</v>
      </c>
      <c r="B415" s="8">
        <f>11.2659 * CHOOSE(CONTROL!$C$15, $D$11, 100%, $F$11)</f>
        <v>11.2659</v>
      </c>
      <c r="C415" s="8">
        <f>11.2709 * CHOOSE(CONTROL!$C$15, $D$11, 100%, $F$11)</f>
        <v>11.270899999999999</v>
      </c>
      <c r="D415" s="8">
        <f>11.2417 * CHOOSE( CONTROL!$C$15, $D$11, 100%, $F$11)</f>
        <v>11.2417</v>
      </c>
      <c r="E415" s="12">
        <f>11.2518 * CHOOSE( CONTROL!$C$15, $D$11, 100%, $F$11)</f>
        <v>11.251799999999999</v>
      </c>
      <c r="F415" s="4">
        <f>11.9311 * CHOOSE(CONTROL!$C$15, $D$11, 100%, $F$11)</f>
        <v>11.931100000000001</v>
      </c>
      <c r="G415" s="8">
        <f>11.1333 * CHOOSE( CONTROL!$C$15, $D$11, 100%, $F$11)</f>
        <v>11.1333</v>
      </c>
      <c r="H415" s="4">
        <f>12.0381 * CHOOSE(CONTROL!$C$15, $D$11, 100%, $F$11)</f>
        <v>12.0381</v>
      </c>
      <c r="I415" s="8">
        <f>11.0735 * CHOOSE(CONTROL!$C$15, $D$11, 100%, $F$11)</f>
        <v>11.073499999999999</v>
      </c>
      <c r="J415" s="4">
        <f>10.9248 * CHOOSE(CONTROL!$C$15, $D$11, 100%, $F$11)</f>
        <v>10.924799999999999</v>
      </c>
      <c r="K415" s="4"/>
      <c r="L415" s="9">
        <v>29.306000000000001</v>
      </c>
      <c r="M415" s="9">
        <v>12.063700000000001</v>
      </c>
      <c r="N415" s="9">
        <v>4.9444999999999997</v>
      </c>
      <c r="O415" s="9">
        <v>0.37409999999999999</v>
      </c>
      <c r="P415" s="9">
        <v>1.2927</v>
      </c>
      <c r="Q415" s="9">
        <v>20.201499999999999</v>
      </c>
      <c r="R415" s="9"/>
      <c r="S415" s="11"/>
    </row>
    <row r="416" spans="1:19" ht="15.75">
      <c r="A416" s="13">
        <v>54178</v>
      </c>
      <c r="B416" s="8">
        <f>11.4377 * CHOOSE(CONTROL!$C$15, $D$11, 100%, $F$11)</f>
        <v>11.4377</v>
      </c>
      <c r="C416" s="8">
        <f>11.4422 * CHOOSE(CONTROL!$C$15, $D$11, 100%, $F$11)</f>
        <v>11.4422</v>
      </c>
      <c r="D416" s="8">
        <f>11.4856 * CHOOSE( CONTROL!$C$15, $D$11, 100%, $F$11)</f>
        <v>11.4856</v>
      </c>
      <c r="E416" s="12">
        <f>11.4708 * CHOOSE( CONTROL!$C$15, $D$11, 100%, $F$11)</f>
        <v>11.470800000000001</v>
      </c>
      <c r="F416" s="4">
        <f>12.1821 * CHOOSE(CONTROL!$C$15, $D$11, 100%, $F$11)</f>
        <v>12.1821</v>
      </c>
      <c r="G416" s="8">
        <f>11.3102 * CHOOSE( CONTROL!$C$15, $D$11, 100%, $F$11)</f>
        <v>11.3102</v>
      </c>
      <c r="H416" s="4">
        <f>12.2861 * CHOOSE(CONTROL!$C$15, $D$11, 100%, $F$11)</f>
        <v>12.286099999999999</v>
      </c>
      <c r="I416" s="8">
        <f>11.2378 * CHOOSE(CONTROL!$C$15, $D$11, 100%, $F$11)</f>
        <v>11.2378</v>
      </c>
      <c r="J416" s="4">
        <f>11.0908 * CHOOSE(CONTROL!$C$15, $D$11, 100%, $F$11)</f>
        <v>11.0908</v>
      </c>
      <c r="K416" s="4"/>
      <c r="L416" s="9">
        <v>30.092199999999998</v>
      </c>
      <c r="M416" s="9">
        <v>11.6745</v>
      </c>
      <c r="N416" s="9">
        <v>4.7850000000000001</v>
      </c>
      <c r="O416" s="9">
        <v>0.36199999999999999</v>
      </c>
      <c r="P416" s="9">
        <v>1.1791</v>
      </c>
      <c r="Q416" s="9">
        <v>19.549800000000001</v>
      </c>
      <c r="R416" s="9"/>
      <c r="S416" s="11"/>
    </row>
    <row r="417" spans="1:19" ht="15.75">
      <c r="A417" s="13">
        <v>54209</v>
      </c>
      <c r="B417" s="8">
        <f>CHOOSE( CONTROL!$C$32, 11.7472, 11.7436) * CHOOSE(CONTROL!$C$15, $D$11, 100%, $F$11)</f>
        <v>11.747199999999999</v>
      </c>
      <c r="C417" s="8">
        <f>CHOOSE( CONTROL!$C$32, 11.7552, 11.7516) * CHOOSE(CONTROL!$C$15, $D$11, 100%, $F$11)</f>
        <v>11.7552</v>
      </c>
      <c r="D417" s="8">
        <f>CHOOSE( CONTROL!$C$32, 11.7929, 11.7893) * CHOOSE( CONTROL!$C$15, $D$11, 100%, $F$11)</f>
        <v>11.792899999999999</v>
      </c>
      <c r="E417" s="12">
        <f>CHOOSE( CONTROL!$C$32, 11.778, 11.7744) * CHOOSE( CONTROL!$C$15, $D$11, 100%, $F$11)</f>
        <v>11.778</v>
      </c>
      <c r="F417" s="4">
        <f>CHOOSE( CONTROL!$C$32, 12.4902, 12.4866) * CHOOSE(CONTROL!$C$15, $D$11, 100%, $F$11)</f>
        <v>12.4902</v>
      </c>
      <c r="G417" s="8">
        <f>CHOOSE( CONTROL!$C$32, 11.6156, 11.612) * CHOOSE( CONTROL!$C$15, $D$11, 100%, $F$11)</f>
        <v>11.615600000000001</v>
      </c>
      <c r="H417" s="4">
        <f>CHOOSE( CONTROL!$C$32, 12.5906, 12.587) * CHOOSE(CONTROL!$C$15, $D$11, 100%, $F$11)</f>
        <v>12.5906</v>
      </c>
      <c r="I417" s="8">
        <f>CHOOSE( CONTROL!$C$32, 11.5371, 11.5336) * CHOOSE(CONTROL!$C$15, $D$11, 100%, $F$11)</f>
        <v>11.537100000000001</v>
      </c>
      <c r="J417" s="4">
        <f>CHOOSE( CONTROL!$C$32, 11.3899, 11.3863) * CHOOSE(CONTROL!$C$15, $D$11, 100%, $F$11)</f>
        <v>11.389900000000001</v>
      </c>
      <c r="K417" s="4"/>
      <c r="L417" s="9">
        <v>30.7165</v>
      </c>
      <c r="M417" s="9">
        <v>12.063700000000001</v>
      </c>
      <c r="N417" s="9">
        <v>4.9444999999999997</v>
      </c>
      <c r="O417" s="9">
        <v>0.37409999999999999</v>
      </c>
      <c r="P417" s="9">
        <v>1.2183999999999999</v>
      </c>
      <c r="Q417" s="9">
        <v>20.201499999999999</v>
      </c>
      <c r="R417" s="9"/>
      <c r="S417" s="11"/>
    </row>
    <row r="418" spans="1:19" ht="15.75">
      <c r="A418" s="13">
        <v>54239</v>
      </c>
      <c r="B418" s="8">
        <f>CHOOSE( CONTROL!$C$32, 11.5586, 11.555) * CHOOSE(CONTROL!$C$15, $D$11, 100%, $F$11)</f>
        <v>11.5586</v>
      </c>
      <c r="C418" s="8">
        <f>CHOOSE( CONTROL!$C$32, 11.5666, 11.5629) * CHOOSE(CONTROL!$C$15, $D$11, 100%, $F$11)</f>
        <v>11.566599999999999</v>
      </c>
      <c r="D418" s="8">
        <f>CHOOSE( CONTROL!$C$32, 11.6045, 11.6009) * CHOOSE( CONTROL!$C$15, $D$11, 100%, $F$11)</f>
        <v>11.6045</v>
      </c>
      <c r="E418" s="12">
        <f>CHOOSE( CONTROL!$C$32, 11.5895, 11.5859) * CHOOSE( CONTROL!$C$15, $D$11, 100%, $F$11)</f>
        <v>11.589499999999999</v>
      </c>
      <c r="F418" s="4">
        <f>CHOOSE( CONTROL!$C$32, 12.3016, 12.298) * CHOOSE(CONTROL!$C$15, $D$11, 100%, $F$11)</f>
        <v>12.301600000000001</v>
      </c>
      <c r="G418" s="8">
        <f>CHOOSE( CONTROL!$C$32, 11.4295, 11.4259) * CHOOSE( CONTROL!$C$15, $D$11, 100%, $F$11)</f>
        <v>11.429500000000001</v>
      </c>
      <c r="H418" s="4">
        <f>CHOOSE( CONTROL!$C$32, 12.4042, 12.4006) * CHOOSE(CONTROL!$C$15, $D$11, 100%, $F$11)</f>
        <v>12.404199999999999</v>
      </c>
      <c r="I418" s="8">
        <f>CHOOSE( CONTROL!$C$32, 11.355, 11.3515) * CHOOSE(CONTROL!$C$15, $D$11, 100%, $F$11)</f>
        <v>11.355</v>
      </c>
      <c r="J418" s="4">
        <f>CHOOSE( CONTROL!$C$32, 11.2068, 11.2033) * CHOOSE(CONTROL!$C$15, $D$11, 100%, $F$11)</f>
        <v>11.206799999999999</v>
      </c>
      <c r="K418" s="4"/>
      <c r="L418" s="9">
        <v>29.7257</v>
      </c>
      <c r="M418" s="9">
        <v>11.6745</v>
      </c>
      <c r="N418" s="9">
        <v>4.7850000000000001</v>
      </c>
      <c r="O418" s="9">
        <v>0.36199999999999999</v>
      </c>
      <c r="P418" s="9">
        <v>1.1791</v>
      </c>
      <c r="Q418" s="9">
        <v>19.549800000000001</v>
      </c>
      <c r="R418" s="9"/>
      <c r="S418" s="11"/>
    </row>
    <row r="419" spans="1:19" ht="15.75">
      <c r="A419" s="13">
        <v>54270</v>
      </c>
      <c r="B419" s="8">
        <f>CHOOSE( CONTROL!$C$32, 12.0553, 12.0517) * CHOOSE(CONTROL!$C$15, $D$11, 100%, $F$11)</f>
        <v>12.055300000000001</v>
      </c>
      <c r="C419" s="8">
        <f>CHOOSE( CONTROL!$C$32, 12.0633, 12.0597) * CHOOSE(CONTROL!$C$15, $D$11, 100%, $F$11)</f>
        <v>12.0633</v>
      </c>
      <c r="D419" s="8">
        <f>CHOOSE( CONTROL!$C$32, 12.1015, 12.0979) * CHOOSE( CONTROL!$C$15, $D$11, 100%, $F$11)</f>
        <v>12.1015</v>
      </c>
      <c r="E419" s="12">
        <f>CHOOSE( CONTROL!$C$32, 12.0864, 12.0828) * CHOOSE( CONTROL!$C$15, $D$11, 100%, $F$11)</f>
        <v>12.086399999999999</v>
      </c>
      <c r="F419" s="4">
        <f>CHOOSE( CONTROL!$C$32, 12.7983, 12.7947) * CHOOSE(CONTROL!$C$15, $D$11, 100%, $F$11)</f>
        <v>12.798299999999999</v>
      </c>
      <c r="G419" s="8">
        <f>CHOOSE( CONTROL!$C$32, 11.9207, 11.9171) * CHOOSE( CONTROL!$C$15, $D$11, 100%, $F$11)</f>
        <v>11.9207</v>
      </c>
      <c r="H419" s="4">
        <f>CHOOSE( CONTROL!$C$32, 12.8951, 12.8915) * CHOOSE(CONTROL!$C$15, $D$11, 100%, $F$11)</f>
        <v>12.895099999999999</v>
      </c>
      <c r="I419" s="8">
        <f>CHOOSE( CONTROL!$C$32, 11.8385, 11.8349) * CHOOSE(CONTROL!$C$15, $D$11, 100%, $F$11)</f>
        <v>11.8385</v>
      </c>
      <c r="J419" s="4">
        <f>CHOOSE( CONTROL!$C$32, 11.6889, 11.6854) * CHOOSE(CONTROL!$C$15, $D$11, 100%, $F$11)</f>
        <v>11.6889</v>
      </c>
      <c r="K419" s="4"/>
      <c r="L419" s="9">
        <v>30.7165</v>
      </c>
      <c r="M419" s="9">
        <v>12.063700000000001</v>
      </c>
      <c r="N419" s="9">
        <v>4.9444999999999997</v>
      </c>
      <c r="O419" s="9">
        <v>0.37409999999999999</v>
      </c>
      <c r="P419" s="9">
        <v>1.2183999999999999</v>
      </c>
      <c r="Q419" s="9">
        <v>20.201499999999999</v>
      </c>
      <c r="R419" s="9"/>
      <c r="S419" s="11"/>
    </row>
    <row r="420" spans="1:19" ht="15.75">
      <c r="A420" s="13">
        <v>54301</v>
      </c>
      <c r="B420" s="8">
        <f>CHOOSE( CONTROL!$C$32, 11.1259, 11.1223) * CHOOSE(CONTROL!$C$15, $D$11, 100%, $F$11)</f>
        <v>11.1259</v>
      </c>
      <c r="C420" s="8">
        <f>CHOOSE( CONTROL!$C$32, 11.1339, 11.1302) * CHOOSE(CONTROL!$C$15, $D$11, 100%, $F$11)</f>
        <v>11.133900000000001</v>
      </c>
      <c r="D420" s="8">
        <f>CHOOSE( CONTROL!$C$32, 11.1721, 11.1685) * CHOOSE( CONTROL!$C$15, $D$11, 100%, $F$11)</f>
        <v>11.1721</v>
      </c>
      <c r="E420" s="12">
        <f>CHOOSE( CONTROL!$C$32, 11.157, 11.1534) * CHOOSE( CONTROL!$C$15, $D$11, 100%, $F$11)</f>
        <v>11.157</v>
      </c>
      <c r="F420" s="4">
        <f>CHOOSE( CONTROL!$C$32, 11.8689, 11.8653) * CHOOSE(CONTROL!$C$15, $D$11, 100%, $F$11)</f>
        <v>11.8689</v>
      </c>
      <c r="G420" s="8">
        <f>CHOOSE( CONTROL!$C$32, 11.0023, 10.9987) * CHOOSE( CONTROL!$C$15, $D$11, 100%, $F$11)</f>
        <v>11.0023</v>
      </c>
      <c r="H420" s="4">
        <f>CHOOSE( CONTROL!$C$32, 11.9766, 11.973) * CHOOSE(CONTROL!$C$15, $D$11, 100%, $F$11)</f>
        <v>11.976599999999999</v>
      </c>
      <c r="I420" s="8">
        <f>CHOOSE( CONTROL!$C$32, 10.9363, 10.9327) * CHOOSE(CONTROL!$C$15, $D$11, 100%, $F$11)</f>
        <v>10.936299999999999</v>
      </c>
      <c r="J420" s="4">
        <f>CHOOSE( CONTROL!$C$32, 10.7869, 10.7833) * CHOOSE(CONTROL!$C$15, $D$11, 100%, $F$11)</f>
        <v>10.786899999999999</v>
      </c>
      <c r="K420" s="4"/>
      <c r="L420" s="9">
        <v>30.7165</v>
      </c>
      <c r="M420" s="9">
        <v>12.063700000000001</v>
      </c>
      <c r="N420" s="9">
        <v>4.9444999999999997</v>
      </c>
      <c r="O420" s="9">
        <v>0.37409999999999999</v>
      </c>
      <c r="P420" s="9">
        <v>1.2183999999999999</v>
      </c>
      <c r="Q420" s="9">
        <v>20.201499999999999</v>
      </c>
      <c r="R420" s="9"/>
      <c r="S420" s="11"/>
    </row>
    <row r="421" spans="1:19" ht="15.75">
      <c r="A421" s="13">
        <v>54331</v>
      </c>
      <c r="B421" s="8">
        <f>CHOOSE( CONTROL!$C$32, 10.8932, 10.8895) * CHOOSE(CONTROL!$C$15, $D$11, 100%, $F$11)</f>
        <v>10.8932</v>
      </c>
      <c r="C421" s="8">
        <f>CHOOSE( CONTROL!$C$32, 10.9011, 10.8975) * CHOOSE(CONTROL!$C$15, $D$11, 100%, $F$11)</f>
        <v>10.9011</v>
      </c>
      <c r="D421" s="8">
        <f>CHOOSE( CONTROL!$C$32, 10.9393, 10.9357) * CHOOSE( CONTROL!$C$15, $D$11, 100%, $F$11)</f>
        <v>10.939299999999999</v>
      </c>
      <c r="E421" s="12">
        <f>CHOOSE( CONTROL!$C$32, 10.9243, 10.9206) * CHOOSE( CONTROL!$C$15, $D$11, 100%, $F$11)</f>
        <v>10.924300000000001</v>
      </c>
      <c r="F421" s="4">
        <f>CHOOSE( CONTROL!$C$32, 11.6362, 11.6325) * CHOOSE(CONTROL!$C$15, $D$11, 100%, $F$11)</f>
        <v>11.636200000000001</v>
      </c>
      <c r="G421" s="8">
        <f>CHOOSE( CONTROL!$C$32, 10.7721, 10.7685) * CHOOSE( CONTROL!$C$15, $D$11, 100%, $F$11)</f>
        <v>10.7721</v>
      </c>
      <c r="H421" s="4">
        <f>CHOOSE( CONTROL!$C$32, 11.7465, 11.7429) * CHOOSE(CONTROL!$C$15, $D$11, 100%, $F$11)</f>
        <v>11.746499999999999</v>
      </c>
      <c r="I421" s="8">
        <f>CHOOSE( CONTROL!$C$32, 10.7099, 10.7064) * CHOOSE(CONTROL!$C$15, $D$11, 100%, $F$11)</f>
        <v>10.709899999999999</v>
      </c>
      <c r="J421" s="4">
        <f>CHOOSE( CONTROL!$C$32, 10.561, 10.5574) * CHOOSE(CONTROL!$C$15, $D$11, 100%, $F$11)</f>
        <v>10.561</v>
      </c>
      <c r="K421" s="4"/>
      <c r="L421" s="9">
        <v>29.7257</v>
      </c>
      <c r="M421" s="9">
        <v>11.6745</v>
      </c>
      <c r="N421" s="9">
        <v>4.7850000000000001</v>
      </c>
      <c r="O421" s="9">
        <v>0.36199999999999999</v>
      </c>
      <c r="P421" s="9">
        <v>1.1791</v>
      </c>
      <c r="Q421" s="9">
        <v>19.549800000000001</v>
      </c>
      <c r="R421" s="9"/>
      <c r="S421" s="11"/>
    </row>
    <row r="422" spans="1:19" ht="15.75">
      <c r="A422" s="13">
        <v>54362</v>
      </c>
      <c r="B422" s="8">
        <f>11.371 * CHOOSE(CONTROL!$C$15, $D$11, 100%, $F$11)</f>
        <v>11.371</v>
      </c>
      <c r="C422" s="8">
        <f>11.3764 * CHOOSE(CONTROL!$C$15, $D$11, 100%, $F$11)</f>
        <v>11.3764</v>
      </c>
      <c r="D422" s="8">
        <f>11.4199 * CHOOSE( CONTROL!$C$15, $D$11, 100%, $F$11)</f>
        <v>11.4199</v>
      </c>
      <c r="E422" s="12">
        <f>11.405 * CHOOSE( CONTROL!$C$15, $D$11, 100%, $F$11)</f>
        <v>11.404999999999999</v>
      </c>
      <c r="F422" s="4">
        <f>12.1158 * CHOOSE(CONTROL!$C$15, $D$11, 100%, $F$11)</f>
        <v>12.1158</v>
      </c>
      <c r="G422" s="8">
        <f>11.2456 * CHOOSE( CONTROL!$C$15, $D$11, 100%, $F$11)</f>
        <v>11.2456</v>
      </c>
      <c r="H422" s="4">
        <f>12.2205 * CHOOSE(CONTROL!$C$15, $D$11, 100%, $F$11)</f>
        <v>12.220499999999999</v>
      </c>
      <c r="I422" s="8">
        <f>11.1763 * CHOOSE(CONTROL!$C$15, $D$11, 100%, $F$11)</f>
        <v>11.176299999999999</v>
      </c>
      <c r="J422" s="4">
        <f>11.0264 * CHOOSE(CONTROL!$C$15, $D$11, 100%, $F$11)</f>
        <v>11.026400000000001</v>
      </c>
      <c r="K422" s="4"/>
      <c r="L422" s="9">
        <v>31.095300000000002</v>
      </c>
      <c r="M422" s="9">
        <v>12.063700000000001</v>
      </c>
      <c r="N422" s="9">
        <v>4.9444999999999997</v>
      </c>
      <c r="O422" s="9">
        <v>0.37409999999999999</v>
      </c>
      <c r="P422" s="9">
        <v>1.2183999999999999</v>
      </c>
      <c r="Q422" s="9">
        <v>20.201499999999999</v>
      </c>
      <c r="R422" s="9"/>
      <c r="S422" s="11"/>
    </row>
    <row r="423" spans="1:19" ht="15.75">
      <c r="A423" s="13">
        <v>54392</v>
      </c>
      <c r="B423" s="8">
        <f>12.2626 * CHOOSE(CONTROL!$C$15, $D$11, 100%, $F$11)</f>
        <v>12.262600000000001</v>
      </c>
      <c r="C423" s="8">
        <f>12.2677 * CHOOSE(CONTROL!$C$15, $D$11, 100%, $F$11)</f>
        <v>12.2677</v>
      </c>
      <c r="D423" s="8">
        <f>12.2513 * CHOOSE( CONTROL!$C$15, $D$11, 100%, $F$11)</f>
        <v>12.251300000000001</v>
      </c>
      <c r="E423" s="12">
        <f>12.2568 * CHOOSE( CONTROL!$C$15, $D$11, 100%, $F$11)</f>
        <v>12.2568</v>
      </c>
      <c r="F423" s="4">
        <f>12.9279 * CHOOSE(CONTROL!$C$15, $D$11, 100%, $F$11)</f>
        <v>12.927899999999999</v>
      </c>
      <c r="G423" s="8">
        <f>12.1278 * CHOOSE( CONTROL!$C$15, $D$11, 100%, $F$11)</f>
        <v>12.127800000000001</v>
      </c>
      <c r="H423" s="4">
        <f>13.0232 * CHOOSE(CONTROL!$C$15, $D$11, 100%, $F$11)</f>
        <v>13.023199999999999</v>
      </c>
      <c r="I423" s="8">
        <f>12.0426 * CHOOSE(CONTROL!$C$15, $D$11, 100%, $F$11)</f>
        <v>12.0426</v>
      </c>
      <c r="J423" s="4">
        <f>11.8921 * CHOOSE(CONTROL!$C$15, $D$11, 100%, $F$11)</f>
        <v>11.892099999999999</v>
      </c>
      <c r="K423" s="4"/>
      <c r="L423" s="9">
        <v>28.360600000000002</v>
      </c>
      <c r="M423" s="9">
        <v>11.6745</v>
      </c>
      <c r="N423" s="9">
        <v>4.7850000000000001</v>
      </c>
      <c r="O423" s="9">
        <v>0.36199999999999999</v>
      </c>
      <c r="P423" s="9">
        <v>1.2509999999999999</v>
      </c>
      <c r="Q423" s="9">
        <v>19.549800000000001</v>
      </c>
      <c r="R423" s="9"/>
      <c r="S423" s="11"/>
    </row>
    <row r="424" spans="1:19" ht="15.75">
      <c r="A424" s="13">
        <v>54423</v>
      </c>
      <c r="B424" s="8">
        <f>12.2403 * CHOOSE(CONTROL!$C$15, $D$11, 100%, $F$11)</f>
        <v>12.2403</v>
      </c>
      <c r="C424" s="8">
        <f>12.2454 * CHOOSE(CONTROL!$C$15, $D$11, 100%, $F$11)</f>
        <v>12.2454</v>
      </c>
      <c r="D424" s="8">
        <f>12.2308 * CHOOSE( CONTROL!$C$15, $D$11, 100%, $F$11)</f>
        <v>12.2308</v>
      </c>
      <c r="E424" s="12">
        <f>12.2356 * CHOOSE( CONTROL!$C$15, $D$11, 100%, $F$11)</f>
        <v>12.2356</v>
      </c>
      <c r="F424" s="4">
        <f>12.9056 * CHOOSE(CONTROL!$C$15, $D$11, 100%, $F$11)</f>
        <v>12.9056</v>
      </c>
      <c r="G424" s="8">
        <f>12.107 * CHOOSE( CONTROL!$C$15, $D$11, 100%, $F$11)</f>
        <v>12.106999999999999</v>
      </c>
      <c r="H424" s="4">
        <f>13.0011 * CHOOSE(CONTROL!$C$15, $D$11, 100%, $F$11)</f>
        <v>13.001099999999999</v>
      </c>
      <c r="I424" s="8">
        <f>12.0263 * CHOOSE(CONTROL!$C$15, $D$11, 100%, $F$11)</f>
        <v>12.026300000000001</v>
      </c>
      <c r="J424" s="4">
        <f>11.8705 * CHOOSE(CONTROL!$C$15, $D$11, 100%, $F$11)</f>
        <v>11.8705</v>
      </c>
      <c r="K424" s="4"/>
      <c r="L424" s="9">
        <v>29.306000000000001</v>
      </c>
      <c r="M424" s="9">
        <v>12.063700000000001</v>
      </c>
      <c r="N424" s="9">
        <v>4.9444999999999997</v>
      </c>
      <c r="O424" s="9">
        <v>0.37409999999999999</v>
      </c>
      <c r="P424" s="9">
        <v>1.2927</v>
      </c>
      <c r="Q424" s="9">
        <v>20.201499999999999</v>
      </c>
      <c r="R424" s="9"/>
      <c r="S424" s="11"/>
    </row>
    <row r="425" spans="1:19" ht="15.75">
      <c r="A425" s="13">
        <v>54454</v>
      </c>
      <c r="B425" s="8">
        <f>12.6011 * CHOOSE(CONTROL!$C$15, $D$11, 100%, $F$11)</f>
        <v>12.601100000000001</v>
      </c>
      <c r="C425" s="8">
        <f>12.6062 * CHOOSE(CONTROL!$C$15, $D$11, 100%, $F$11)</f>
        <v>12.606199999999999</v>
      </c>
      <c r="D425" s="8">
        <f>12.5773 * CHOOSE( CONTROL!$C$15, $D$11, 100%, $F$11)</f>
        <v>12.577299999999999</v>
      </c>
      <c r="E425" s="12">
        <f>12.5873 * CHOOSE( CONTROL!$C$15, $D$11, 100%, $F$11)</f>
        <v>12.587300000000001</v>
      </c>
      <c r="F425" s="4">
        <f>13.2664 * CHOOSE(CONTROL!$C$15, $D$11, 100%, $F$11)</f>
        <v>13.266400000000001</v>
      </c>
      <c r="G425" s="8">
        <f>12.4533 * CHOOSE( CONTROL!$C$15, $D$11, 100%, $F$11)</f>
        <v>12.4533</v>
      </c>
      <c r="H425" s="4">
        <f>13.3577 * CHOOSE(CONTROL!$C$15, $D$11, 100%, $F$11)</f>
        <v>13.357699999999999</v>
      </c>
      <c r="I425" s="8">
        <f>12.3712 * CHOOSE(CONTROL!$C$15, $D$11, 100%, $F$11)</f>
        <v>12.3712</v>
      </c>
      <c r="J425" s="4">
        <f>12.2206 * CHOOSE(CONTROL!$C$15, $D$11, 100%, $F$11)</f>
        <v>12.220599999999999</v>
      </c>
      <c r="K425" s="4"/>
      <c r="L425" s="9">
        <v>29.306000000000001</v>
      </c>
      <c r="M425" s="9">
        <v>12.063700000000001</v>
      </c>
      <c r="N425" s="9">
        <v>4.9444999999999997</v>
      </c>
      <c r="O425" s="9">
        <v>0.37409999999999999</v>
      </c>
      <c r="P425" s="9">
        <v>1.2927</v>
      </c>
      <c r="Q425" s="9">
        <v>20.136399999999998</v>
      </c>
      <c r="R425" s="9"/>
      <c r="S425" s="11"/>
    </row>
    <row r="426" spans="1:19" ht="15.75">
      <c r="A426" s="13">
        <v>54482</v>
      </c>
      <c r="B426" s="8">
        <f>11.7871 * CHOOSE(CONTROL!$C$15, $D$11, 100%, $F$11)</f>
        <v>11.787100000000001</v>
      </c>
      <c r="C426" s="8">
        <f>11.7921 * CHOOSE(CONTROL!$C$15, $D$11, 100%, $F$11)</f>
        <v>11.7921</v>
      </c>
      <c r="D426" s="8">
        <f>11.7633 * CHOOSE( CONTROL!$C$15, $D$11, 100%, $F$11)</f>
        <v>11.763299999999999</v>
      </c>
      <c r="E426" s="12">
        <f>11.7733 * CHOOSE( CONTROL!$C$15, $D$11, 100%, $F$11)</f>
        <v>11.773300000000001</v>
      </c>
      <c r="F426" s="4">
        <f>12.4523 * CHOOSE(CONTROL!$C$15, $D$11, 100%, $F$11)</f>
        <v>12.452299999999999</v>
      </c>
      <c r="G426" s="8">
        <f>11.6487 * CHOOSE( CONTROL!$C$15, $D$11, 100%, $F$11)</f>
        <v>11.6487</v>
      </c>
      <c r="H426" s="4">
        <f>12.5532 * CHOOSE(CONTROL!$C$15, $D$11, 100%, $F$11)</f>
        <v>12.5532</v>
      </c>
      <c r="I426" s="8">
        <f>11.5808 * CHOOSE(CONTROL!$C$15, $D$11, 100%, $F$11)</f>
        <v>11.5808</v>
      </c>
      <c r="J426" s="4">
        <f>11.4306 * CHOOSE(CONTROL!$C$15, $D$11, 100%, $F$11)</f>
        <v>11.4306</v>
      </c>
      <c r="K426" s="4"/>
      <c r="L426" s="9">
        <v>26.469899999999999</v>
      </c>
      <c r="M426" s="9">
        <v>10.8962</v>
      </c>
      <c r="N426" s="9">
        <v>4.4660000000000002</v>
      </c>
      <c r="O426" s="9">
        <v>0.33789999999999998</v>
      </c>
      <c r="P426" s="9">
        <v>1.1676</v>
      </c>
      <c r="Q426" s="9">
        <v>18.1877</v>
      </c>
      <c r="R426" s="9"/>
      <c r="S426" s="11"/>
    </row>
    <row r="427" spans="1:19" ht="15.75">
      <c r="A427" s="13">
        <v>54513</v>
      </c>
      <c r="B427" s="8">
        <f>11.5363 * CHOOSE(CONTROL!$C$15, $D$11, 100%, $F$11)</f>
        <v>11.536300000000001</v>
      </c>
      <c r="C427" s="8">
        <f>11.5414 * CHOOSE(CONTROL!$C$15, $D$11, 100%, $F$11)</f>
        <v>11.541399999999999</v>
      </c>
      <c r="D427" s="8">
        <f>11.5121 * CHOOSE( CONTROL!$C$15, $D$11, 100%, $F$11)</f>
        <v>11.5121</v>
      </c>
      <c r="E427" s="12">
        <f>11.5223 * CHOOSE( CONTROL!$C$15, $D$11, 100%, $F$11)</f>
        <v>11.5223</v>
      </c>
      <c r="F427" s="4">
        <f>12.2016 * CHOOSE(CONTROL!$C$15, $D$11, 100%, $F$11)</f>
        <v>12.201599999999999</v>
      </c>
      <c r="G427" s="8">
        <f>11.4007 * CHOOSE( CONTROL!$C$15, $D$11, 100%, $F$11)</f>
        <v>11.400700000000001</v>
      </c>
      <c r="H427" s="4">
        <f>12.3054 * CHOOSE(CONTROL!$C$15, $D$11, 100%, $F$11)</f>
        <v>12.305400000000001</v>
      </c>
      <c r="I427" s="8">
        <f>11.3361 * CHOOSE(CONTROL!$C$15, $D$11, 100%, $F$11)</f>
        <v>11.3361</v>
      </c>
      <c r="J427" s="4">
        <f>11.1873 * CHOOSE(CONTROL!$C$15, $D$11, 100%, $F$11)</f>
        <v>11.1873</v>
      </c>
      <c r="K427" s="4"/>
      <c r="L427" s="9">
        <v>29.306000000000001</v>
      </c>
      <c r="M427" s="9">
        <v>12.063700000000001</v>
      </c>
      <c r="N427" s="9">
        <v>4.9444999999999997</v>
      </c>
      <c r="O427" s="9">
        <v>0.37409999999999999</v>
      </c>
      <c r="P427" s="9">
        <v>1.2927</v>
      </c>
      <c r="Q427" s="9">
        <v>20.136399999999998</v>
      </c>
      <c r="R427" s="9"/>
      <c r="S427" s="11"/>
    </row>
    <row r="428" spans="1:19" ht="15.75">
      <c r="A428" s="13">
        <v>54543</v>
      </c>
      <c r="B428" s="8">
        <f>11.7123 * CHOOSE(CONTROL!$C$15, $D$11, 100%, $F$11)</f>
        <v>11.712300000000001</v>
      </c>
      <c r="C428" s="8">
        <f>11.7168 * CHOOSE(CONTROL!$C$15, $D$11, 100%, $F$11)</f>
        <v>11.716799999999999</v>
      </c>
      <c r="D428" s="8">
        <f>11.7602 * CHOOSE( CONTROL!$C$15, $D$11, 100%, $F$11)</f>
        <v>11.760199999999999</v>
      </c>
      <c r="E428" s="12">
        <f>11.7454 * CHOOSE( CONTROL!$C$15, $D$11, 100%, $F$11)</f>
        <v>11.7454</v>
      </c>
      <c r="F428" s="4">
        <f>12.4567 * CHOOSE(CONTROL!$C$15, $D$11, 100%, $F$11)</f>
        <v>12.4567</v>
      </c>
      <c r="G428" s="8">
        <f>11.5816 * CHOOSE( CONTROL!$C$15, $D$11, 100%, $F$11)</f>
        <v>11.5816</v>
      </c>
      <c r="H428" s="4">
        <f>12.5574 * CHOOSE(CONTROL!$C$15, $D$11, 100%, $F$11)</f>
        <v>12.557399999999999</v>
      </c>
      <c r="I428" s="8">
        <f>11.5044 * CHOOSE(CONTROL!$C$15, $D$11, 100%, $F$11)</f>
        <v>11.5044</v>
      </c>
      <c r="J428" s="4">
        <f>11.3573 * CHOOSE(CONTROL!$C$15, $D$11, 100%, $F$11)</f>
        <v>11.3573</v>
      </c>
      <c r="K428" s="4"/>
      <c r="L428" s="9">
        <v>30.092199999999998</v>
      </c>
      <c r="M428" s="9">
        <v>11.6745</v>
      </c>
      <c r="N428" s="9">
        <v>4.7850000000000001</v>
      </c>
      <c r="O428" s="9">
        <v>0.36199999999999999</v>
      </c>
      <c r="P428" s="9">
        <v>1.1791</v>
      </c>
      <c r="Q428" s="9">
        <v>19.486799999999999</v>
      </c>
      <c r="R428" s="9"/>
      <c r="S428" s="11"/>
    </row>
    <row r="429" spans="1:19" ht="15.75">
      <c r="A429" s="13">
        <v>54574</v>
      </c>
      <c r="B429" s="8">
        <f>CHOOSE( CONTROL!$C$32, 12.0291, 12.0255) * CHOOSE(CONTROL!$C$15, $D$11, 100%, $F$11)</f>
        <v>12.0291</v>
      </c>
      <c r="C429" s="8">
        <f>CHOOSE( CONTROL!$C$32, 12.0371, 12.0335) * CHOOSE(CONTROL!$C$15, $D$11, 100%, $F$11)</f>
        <v>12.037100000000001</v>
      </c>
      <c r="D429" s="8">
        <f>CHOOSE( CONTROL!$C$32, 12.0748, 12.0712) * CHOOSE( CONTROL!$C$15, $D$11, 100%, $F$11)</f>
        <v>12.0748</v>
      </c>
      <c r="E429" s="12">
        <f>CHOOSE( CONTROL!$C$32, 12.0599, 12.0563) * CHOOSE( CONTROL!$C$15, $D$11, 100%, $F$11)</f>
        <v>12.059900000000001</v>
      </c>
      <c r="F429" s="4">
        <f>CHOOSE( CONTROL!$C$32, 12.7721, 12.7685) * CHOOSE(CONTROL!$C$15, $D$11, 100%, $F$11)</f>
        <v>12.7721</v>
      </c>
      <c r="G429" s="8">
        <f>CHOOSE( CONTROL!$C$32, 11.8942, 11.8906) * CHOOSE( CONTROL!$C$15, $D$11, 100%, $F$11)</f>
        <v>11.8942</v>
      </c>
      <c r="H429" s="4">
        <f>CHOOSE( CONTROL!$C$32, 12.8692, 12.8656) * CHOOSE(CONTROL!$C$15, $D$11, 100%, $F$11)</f>
        <v>12.869199999999999</v>
      </c>
      <c r="I429" s="8">
        <f>CHOOSE( CONTROL!$C$32, 11.8108, 11.8073) * CHOOSE(CONTROL!$C$15, $D$11, 100%, $F$11)</f>
        <v>11.8108</v>
      </c>
      <c r="J429" s="4">
        <f>CHOOSE( CONTROL!$C$32, 11.6635, 11.6599) * CHOOSE(CONTROL!$C$15, $D$11, 100%, $F$11)</f>
        <v>11.663500000000001</v>
      </c>
      <c r="K429" s="4"/>
      <c r="L429" s="9">
        <v>30.7165</v>
      </c>
      <c r="M429" s="9">
        <v>12.063700000000001</v>
      </c>
      <c r="N429" s="9">
        <v>4.9444999999999997</v>
      </c>
      <c r="O429" s="9">
        <v>0.37409999999999999</v>
      </c>
      <c r="P429" s="9">
        <v>1.2183999999999999</v>
      </c>
      <c r="Q429" s="9">
        <v>20.136399999999998</v>
      </c>
      <c r="R429" s="9"/>
      <c r="S429" s="11"/>
    </row>
    <row r="430" spans="1:19" ht="15.75">
      <c r="A430" s="13">
        <v>54604</v>
      </c>
      <c r="B430" s="8">
        <f>CHOOSE( CONTROL!$C$32, 11.836, 11.8323) * CHOOSE(CONTROL!$C$15, $D$11, 100%, $F$11)</f>
        <v>11.836</v>
      </c>
      <c r="C430" s="8">
        <f>CHOOSE( CONTROL!$C$32, 11.8439, 11.8403) * CHOOSE(CONTROL!$C$15, $D$11, 100%, $F$11)</f>
        <v>11.8439</v>
      </c>
      <c r="D430" s="8">
        <f>CHOOSE( CONTROL!$C$32, 11.8819, 11.8783) * CHOOSE( CONTROL!$C$15, $D$11, 100%, $F$11)</f>
        <v>11.8819</v>
      </c>
      <c r="E430" s="12">
        <f>CHOOSE( CONTROL!$C$32, 11.8669, 11.8633) * CHOOSE( CONTROL!$C$15, $D$11, 100%, $F$11)</f>
        <v>11.866899999999999</v>
      </c>
      <c r="F430" s="4">
        <f>CHOOSE( CONTROL!$C$32, 12.579, 12.5753) * CHOOSE(CONTROL!$C$15, $D$11, 100%, $F$11)</f>
        <v>12.579000000000001</v>
      </c>
      <c r="G430" s="8">
        <f>CHOOSE( CONTROL!$C$32, 11.7036, 11.7) * CHOOSE( CONTROL!$C$15, $D$11, 100%, $F$11)</f>
        <v>11.7036</v>
      </c>
      <c r="H430" s="4">
        <f>CHOOSE( CONTROL!$C$32, 12.6783, 12.6747) * CHOOSE(CONTROL!$C$15, $D$11, 100%, $F$11)</f>
        <v>12.6783</v>
      </c>
      <c r="I430" s="8">
        <f>CHOOSE( CONTROL!$C$32, 11.6243, 11.6208) * CHOOSE(CONTROL!$C$15, $D$11, 100%, $F$11)</f>
        <v>11.6243</v>
      </c>
      <c r="J430" s="4">
        <f>CHOOSE( CONTROL!$C$32, 11.476, 11.4725) * CHOOSE(CONTROL!$C$15, $D$11, 100%, $F$11)</f>
        <v>11.476000000000001</v>
      </c>
      <c r="K430" s="4"/>
      <c r="L430" s="9">
        <v>29.7257</v>
      </c>
      <c r="M430" s="9">
        <v>11.6745</v>
      </c>
      <c r="N430" s="9">
        <v>4.7850000000000001</v>
      </c>
      <c r="O430" s="9">
        <v>0.36199999999999999</v>
      </c>
      <c r="P430" s="9">
        <v>1.1791</v>
      </c>
      <c r="Q430" s="9">
        <v>19.486799999999999</v>
      </c>
      <c r="R430" s="9"/>
      <c r="S430" s="11"/>
    </row>
    <row r="431" spans="1:19" ht="15.75">
      <c r="A431" s="13">
        <v>54635</v>
      </c>
      <c r="B431" s="8">
        <f>CHOOSE( CONTROL!$C$32, 12.3446, 12.341) * CHOOSE(CONTROL!$C$15, $D$11, 100%, $F$11)</f>
        <v>12.3446</v>
      </c>
      <c r="C431" s="8">
        <f>CHOOSE( CONTROL!$C$32, 12.3526, 12.349) * CHOOSE(CONTROL!$C$15, $D$11, 100%, $F$11)</f>
        <v>12.352600000000001</v>
      </c>
      <c r="D431" s="8">
        <f>CHOOSE( CONTROL!$C$32, 12.3908, 12.3872) * CHOOSE( CONTROL!$C$15, $D$11, 100%, $F$11)</f>
        <v>12.3908</v>
      </c>
      <c r="E431" s="12">
        <f>CHOOSE( CONTROL!$C$32, 12.3757, 12.3721) * CHOOSE( CONTROL!$C$15, $D$11, 100%, $F$11)</f>
        <v>12.3757</v>
      </c>
      <c r="F431" s="4">
        <f>CHOOSE( CONTROL!$C$32, 13.0876, 13.084) * CHOOSE(CONTROL!$C$15, $D$11, 100%, $F$11)</f>
        <v>13.0876</v>
      </c>
      <c r="G431" s="8">
        <f>CHOOSE( CONTROL!$C$32, 12.2067, 12.2031) * CHOOSE( CONTROL!$C$15, $D$11, 100%, $F$11)</f>
        <v>12.2067</v>
      </c>
      <c r="H431" s="4">
        <f>CHOOSE( CONTROL!$C$32, 13.181, 13.1774) * CHOOSE(CONTROL!$C$15, $D$11, 100%, $F$11)</f>
        <v>13.180999999999999</v>
      </c>
      <c r="I431" s="8">
        <f>CHOOSE( CONTROL!$C$32, 12.1194, 12.1158) * CHOOSE(CONTROL!$C$15, $D$11, 100%, $F$11)</f>
        <v>12.119400000000001</v>
      </c>
      <c r="J431" s="4">
        <f>CHOOSE( CONTROL!$C$32, 11.9697, 11.9661) * CHOOSE(CONTROL!$C$15, $D$11, 100%, $F$11)</f>
        <v>11.9697</v>
      </c>
      <c r="K431" s="4"/>
      <c r="L431" s="9">
        <v>30.7165</v>
      </c>
      <c r="M431" s="9">
        <v>12.063700000000001</v>
      </c>
      <c r="N431" s="9">
        <v>4.9444999999999997</v>
      </c>
      <c r="O431" s="9">
        <v>0.37409999999999999</v>
      </c>
      <c r="P431" s="9">
        <v>1.2183999999999999</v>
      </c>
      <c r="Q431" s="9">
        <v>20.136399999999998</v>
      </c>
      <c r="R431" s="9"/>
      <c r="S431" s="11"/>
    </row>
    <row r="432" spans="1:19" ht="15.75">
      <c r="A432" s="13">
        <v>54666</v>
      </c>
      <c r="B432" s="8">
        <f>CHOOSE( CONTROL!$C$32, 11.3929, 11.3892) * CHOOSE(CONTROL!$C$15, $D$11, 100%, $F$11)</f>
        <v>11.392899999999999</v>
      </c>
      <c r="C432" s="8">
        <f>CHOOSE( CONTROL!$C$32, 11.4008, 11.3972) * CHOOSE(CONTROL!$C$15, $D$11, 100%, $F$11)</f>
        <v>11.4008</v>
      </c>
      <c r="D432" s="8">
        <f>CHOOSE( CONTROL!$C$32, 11.4391, 11.4355) * CHOOSE( CONTROL!$C$15, $D$11, 100%, $F$11)</f>
        <v>11.4391</v>
      </c>
      <c r="E432" s="12">
        <f>CHOOSE( CONTROL!$C$32, 11.424, 11.4204) * CHOOSE( CONTROL!$C$15, $D$11, 100%, $F$11)</f>
        <v>11.423999999999999</v>
      </c>
      <c r="F432" s="4">
        <f>CHOOSE( CONTROL!$C$32, 12.1359, 12.1322) * CHOOSE(CONTROL!$C$15, $D$11, 100%, $F$11)</f>
        <v>12.135899999999999</v>
      </c>
      <c r="G432" s="8">
        <f>CHOOSE( CONTROL!$C$32, 11.2661, 11.2625) * CHOOSE( CONTROL!$C$15, $D$11, 100%, $F$11)</f>
        <v>11.2661</v>
      </c>
      <c r="H432" s="4">
        <f>CHOOSE( CONTROL!$C$32, 12.2404, 12.2368) * CHOOSE(CONTROL!$C$15, $D$11, 100%, $F$11)</f>
        <v>12.240399999999999</v>
      </c>
      <c r="I432" s="8">
        <f>CHOOSE( CONTROL!$C$32, 11.1955, 11.192) * CHOOSE(CONTROL!$C$15, $D$11, 100%, $F$11)</f>
        <v>11.195499999999999</v>
      </c>
      <c r="J432" s="4">
        <f>CHOOSE( CONTROL!$C$32, 11.046, 11.0424) * CHOOSE(CONTROL!$C$15, $D$11, 100%, $F$11)</f>
        <v>11.045999999999999</v>
      </c>
      <c r="K432" s="4"/>
      <c r="L432" s="9">
        <v>30.7165</v>
      </c>
      <c r="M432" s="9">
        <v>12.063700000000001</v>
      </c>
      <c r="N432" s="9">
        <v>4.9444999999999997</v>
      </c>
      <c r="O432" s="9">
        <v>0.37409999999999999</v>
      </c>
      <c r="P432" s="9">
        <v>1.2183999999999999</v>
      </c>
      <c r="Q432" s="9">
        <v>20.136399999999998</v>
      </c>
      <c r="R432" s="9"/>
      <c r="S432" s="11"/>
    </row>
    <row r="433" spans="1:19" ht="15.75">
      <c r="A433" s="13">
        <v>54696</v>
      </c>
      <c r="B433" s="8">
        <f>CHOOSE( CONTROL!$C$32, 11.1545, 11.1509) * CHOOSE(CONTROL!$C$15, $D$11, 100%, $F$11)</f>
        <v>11.154500000000001</v>
      </c>
      <c r="C433" s="8">
        <f>CHOOSE( CONTROL!$C$32, 11.1625, 11.1589) * CHOOSE(CONTROL!$C$15, $D$11, 100%, $F$11)</f>
        <v>11.1625</v>
      </c>
      <c r="D433" s="8">
        <f>CHOOSE( CONTROL!$C$32, 11.2007, 11.197) * CHOOSE( CONTROL!$C$15, $D$11, 100%, $F$11)</f>
        <v>11.200699999999999</v>
      </c>
      <c r="E433" s="12">
        <f>CHOOSE( CONTROL!$C$32, 11.1856, 11.182) * CHOOSE( CONTROL!$C$15, $D$11, 100%, $F$11)</f>
        <v>11.185600000000001</v>
      </c>
      <c r="F433" s="4">
        <f>CHOOSE( CONTROL!$C$32, 11.8975, 11.8939) * CHOOSE(CONTROL!$C$15, $D$11, 100%, $F$11)</f>
        <v>11.897500000000001</v>
      </c>
      <c r="G433" s="8">
        <f>CHOOSE( CONTROL!$C$32, 11.0305, 11.0269) * CHOOSE( CONTROL!$C$15, $D$11, 100%, $F$11)</f>
        <v>11.0305</v>
      </c>
      <c r="H433" s="4">
        <f>CHOOSE( CONTROL!$C$32, 12.0049, 12.0013) * CHOOSE(CONTROL!$C$15, $D$11, 100%, $F$11)</f>
        <v>12.004899999999999</v>
      </c>
      <c r="I433" s="8">
        <f>CHOOSE( CONTROL!$C$32, 10.9637, 10.9602) * CHOOSE(CONTROL!$C$15, $D$11, 100%, $F$11)</f>
        <v>10.963699999999999</v>
      </c>
      <c r="J433" s="4">
        <f>CHOOSE( CONTROL!$C$32, 10.8147, 10.8111) * CHOOSE(CONTROL!$C$15, $D$11, 100%, $F$11)</f>
        <v>10.8147</v>
      </c>
      <c r="K433" s="4"/>
      <c r="L433" s="9">
        <v>29.7257</v>
      </c>
      <c r="M433" s="9">
        <v>11.6745</v>
      </c>
      <c r="N433" s="9">
        <v>4.7850000000000001</v>
      </c>
      <c r="O433" s="9">
        <v>0.36199999999999999</v>
      </c>
      <c r="P433" s="9">
        <v>1.1791</v>
      </c>
      <c r="Q433" s="9">
        <v>19.486799999999999</v>
      </c>
      <c r="R433" s="9"/>
      <c r="S433" s="11"/>
    </row>
    <row r="434" spans="1:19" ht="15.75">
      <c r="A434" s="13">
        <v>54727</v>
      </c>
      <c r="B434" s="8">
        <f>11.644 * CHOOSE(CONTROL!$C$15, $D$11, 100%, $F$11)</f>
        <v>11.644</v>
      </c>
      <c r="C434" s="8">
        <f>11.6494 * CHOOSE(CONTROL!$C$15, $D$11, 100%, $F$11)</f>
        <v>11.6494</v>
      </c>
      <c r="D434" s="8">
        <f>11.6929 * CHOOSE( CONTROL!$C$15, $D$11, 100%, $F$11)</f>
        <v>11.6929</v>
      </c>
      <c r="E434" s="12">
        <f>11.678 * CHOOSE( CONTROL!$C$15, $D$11, 100%, $F$11)</f>
        <v>11.678000000000001</v>
      </c>
      <c r="F434" s="4">
        <f>12.3888 * CHOOSE(CONTROL!$C$15, $D$11, 100%, $F$11)</f>
        <v>12.3888</v>
      </c>
      <c r="G434" s="8">
        <f>11.5154 * CHOOSE( CONTROL!$C$15, $D$11, 100%, $F$11)</f>
        <v>11.5154</v>
      </c>
      <c r="H434" s="4">
        <f>12.4903 * CHOOSE(CONTROL!$C$15, $D$11, 100%, $F$11)</f>
        <v>12.4903</v>
      </c>
      <c r="I434" s="8">
        <f>11.4414 * CHOOSE(CONTROL!$C$15, $D$11, 100%, $F$11)</f>
        <v>11.4414</v>
      </c>
      <c r="J434" s="4">
        <f>11.2914 * CHOOSE(CONTROL!$C$15, $D$11, 100%, $F$11)</f>
        <v>11.291399999999999</v>
      </c>
      <c r="K434" s="4"/>
      <c r="L434" s="9">
        <v>31.095300000000002</v>
      </c>
      <c r="M434" s="9">
        <v>12.063700000000001</v>
      </c>
      <c r="N434" s="9">
        <v>4.9444999999999997</v>
      </c>
      <c r="O434" s="9">
        <v>0.37409999999999999</v>
      </c>
      <c r="P434" s="9">
        <v>1.2183999999999999</v>
      </c>
      <c r="Q434" s="9">
        <v>20.136399999999998</v>
      </c>
      <c r="R434" s="9"/>
      <c r="S434" s="11"/>
    </row>
    <row r="435" spans="1:19" ht="15.75">
      <c r="A435" s="13">
        <v>54757</v>
      </c>
      <c r="B435" s="8">
        <f>12.557 * CHOOSE(CONTROL!$C$15, $D$11, 100%, $F$11)</f>
        <v>12.557</v>
      </c>
      <c r="C435" s="8">
        <f>12.5621 * CHOOSE(CONTROL!$C$15, $D$11, 100%, $F$11)</f>
        <v>12.562099999999999</v>
      </c>
      <c r="D435" s="8">
        <f>12.5458 * CHOOSE( CONTROL!$C$15, $D$11, 100%, $F$11)</f>
        <v>12.5458</v>
      </c>
      <c r="E435" s="12">
        <f>12.5512 * CHOOSE( CONTROL!$C$15, $D$11, 100%, $F$11)</f>
        <v>12.5512</v>
      </c>
      <c r="F435" s="4">
        <f>13.2223 * CHOOSE(CONTROL!$C$15, $D$11, 100%, $F$11)</f>
        <v>13.222300000000001</v>
      </c>
      <c r="G435" s="8">
        <f>12.4187 * CHOOSE( CONTROL!$C$15, $D$11, 100%, $F$11)</f>
        <v>12.418699999999999</v>
      </c>
      <c r="H435" s="4">
        <f>13.3141 * CHOOSE(CONTROL!$C$15, $D$11, 100%, $F$11)</f>
        <v>13.3141</v>
      </c>
      <c r="I435" s="8">
        <f>12.3284 * CHOOSE(CONTROL!$C$15, $D$11, 100%, $F$11)</f>
        <v>12.3284</v>
      </c>
      <c r="J435" s="4">
        <f>12.1779 * CHOOSE(CONTROL!$C$15, $D$11, 100%, $F$11)</f>
        <v>12.177899999999999</v>
      </c>
      <c r="K435" s="4"/>
      <c r="L435" s="9">
        <v>28.360600000000002</v>
      </c>
      <c r="M435" s="9">
        <v>11.6745</v>
      </c>
      <c r="N435" s="9">
        <v>4.7850000000000001</v>
      </c>
      <c r="O435" s="9">
        <v>0.36199999999999999</v>
      </c>
      <c r="P435" s="9">
        <v>1.2509999999999999</v>
      </c>
      <c r="Q435" s="9">
        <v>19.486799999999999</v>
      </c>
      <c r="R435" s="9"/>
      <c r="S435" s="11"/>
    </row>
    <row r="436" spans="1:19" ht="15.75">
      <c r="A436" s="13">
        <v>54788</v>
      </c>
      <c r="B436" s="8">
        <f>12.5342 * CHOOSE(CONTROL!$C$15, $D$11, 100%, $F$11)</f>
        <v>12.5342</v>
      </c>
      <c r="C436" s="8">
        <f>12.5393 * CHOOSE(CONTROL!$C$15, $D$11, 100%, $F$11)</f>
        <v>12.539300000000001</v>
      </c>
      <c r="D436" s="8">
        <f>12.5247 * CHOOSE( CONTROL!$C$15, $D$11, 100%, $F$11)</f>
        <v>12.524699999999999</v>
      </c>
      <c r="E436" s="12">
        <f>12.5295 * CHOOSE( CONTROL!$C$15, $D$11, 100%, $F$11)</f>
        <v>12.529500000000001</v>
      </c>
      <c r="F436" s="4">
        <f>13.1995 * CHOOSE(CONTROL!$C$15, $D$11, 100%, $F$11)</f>
        <v>13.1995</v>
      </c>
      <c r="G436" s="8">
        <f>12.3974 * CHOOSE( CONTROL!$C$15, $D$11, 100%, $F$11)</f>
        <v>12.397399999999999</v>
      </c>
      <c r="H436" s="4">
        <f>13.2916 * CHOOSE(CONTROL!$C$15, $D$11, 100%, $F$11)</f>
        <v>13.291600000000001</v>
      </c>
      <c r="I436" s="8">
        <f>12.3117 * CHOOSE(CONTROL!$C$15, $D$11, 100%, $F$11)</f>
        <v>12.3117</v>
      </c>
      <c r="J436" s="4">
        <f>12.1557 * CHOOSE(CONTROL!$C$15, $D$11, 100%, $F$11)</f>
        <v>12.1557</v>
      </c>
      <c r="K436" s="4"/>
      <c r="L436" s="9">
        <v>29.306000000000001</v>
      </c>
      <c r="M436" s="9">
        <v>12.063700000000001</v>
      </c>
      <c r="N436" s="9">
        <v>4.9444999999999997</v>
      </c>
      <c r="O436" s="9">
        <v>0.37409999999999999</v>
      </c>
      <c r="P436" s="9">
        <v>1.2927</v>
      </c>
      <c r="Q436" s="9">
        <v>20.136399999999998</v>
      </c>
      <c r="R436" s="9"/>
      <c r="S436" s="11"/>
    </row>
    <row r="437" spans="1:19" ht="15.75">
      <c r="A437" s="13">
        <v>54819</v>
      </c>
      <c r="B437" s="8">
        <f>12.9037 * CHOOSE(CONTROL!$C$15, $D$11, 100%, $F$11)</f>
        <v>12.903700000000001</v>
      </c>
      <c r="C437" s="8">
        <f>12.9088 * CHOOSE(CONTROL!$C$15, $D$11, 100%, $F$11)</f>
        <v>12.908799999999999</v>
      </c>
      <c r="D437" s="8">
        <f>12.8799 * CHOOSE( CONTROL!$C$15, $D$11, 100%, $F$11)</f>
        <v>12.879899999999999</v>
      </c>
      <c r="E437" s="12">
        <f>12.8899 * CHOOSE( CONTROL!$C$15, $D$11, 100%, $F$11)</f>
        <v>12.889900000000001</v>
      </c>
      <c r="F437" s="4">
        <f>13.569 * CHOOSE(CONTROL!$C$15, $D$11, 100%, $F$11)</f>
        <v>13.569000000000001</v>
      </c>
      <c r="G437" s="8">
        <f>12.7523 * CHOOSE( CONTROL!$C$15, $D$11, 100%, $F$11)</f>
        <v>12.7523</v>
      </c>
      <c r="H437" s="4">
        <f>13.6567 * CHOOSE(CONTROL!$C$15, $D$11, 100%, $F$11)</f>
        <v>13.656700000000001</v>
      </c>
      <c r="I437" s="8">
        <f>12.665 * CHOOSE(CONTROL!$C$15, $D$11, 100%, $F$11)</f>
        <v>12.664999999999999</v>
      </c>
      <c r="J437" s="4">
        <f>12.5143 * CHOOSE(CONTROL!$C$15, $D$11, 100%, $F$11)</f>
        <v>12.5143</v>
      </c>
      <c r="K437" s="4"/>
      <c r="L437" s="9">
        <v>29.306000000000001</v>
      </c>
      <c r="M437" s="9">
        <v>12.063700000000001</v>
      </c>
      <c r="N437" s="9">
        <v>4.9444999999999997</v>
      </c>
      <c r="O437" s="9">
        <v>0.37409999999999999</v>
      </c>
      <c r="P437" s="9">
        <v>1.2927</v>
      </c>
      <c r="Q437" s="9">
        <v>20.071300000000001</v>
      </c>
      <c r="R437" s="9"/>
      <c r="S437" s="11"/>
    </row>
    <row r="438" spans="1:19" ht="15.75">
      <c r="A438" s="13">
        <v>54847</v>
      </c>
      <c r="B438" s="8">
        <f>12.0701 * CHOOSE(CONTROL!$C$15, $D$11, 100%, $F$11)</f>
        <v>12.0701</v>
      </c>
      <c r="C438" s="8">
        <f>12.0751 * CHOOSE(CONTROL!$C$15, $D$11, 100%, $F$11)</f>
        <v>12.075100000000001</v>
      </c>
      <c r="D438" s="8">
        <f>12.0462 * CHOOSE( CONTROL!$C$15, $D$11, 100%, $F$11)</f>
        <v>12.046200000000001</v>
      </c>
      <c r="E438" s="12">
        <f>12.0562 * CHOOSE( CONTROL!$C$15, $D$11, 100%, $F$11)</f>
        <v>12.0562</v>
      </c>
      <c r="F438" s="4">
        <f>12.7353 * CHOOSE(CONTROL!$C$15, $D$11, 100%, $F$11)</f>
        <v>12.735300000000001</v>
      </c>
      <c r="G438" s="8">
        <f>11.9284 * CHOOSE( CONTROL!$C$15, $D$11, 100%, $F$11)</f>
        <v>11.9284</v>
      </c>
      <c r="H438" s="4">
        <f>12.8328 * CHOOSE(CONTROL!$C$15, $D$11, 100%, $F$11)</f>
        <v>12.832800000000001</v>
      </c>
      <c r="I438" s="8">
        <f>11.8556 * CHOOSE(CONTROL!$C$15, $D$11, 100%, $F$11)</f>
        <v>11.855600000000001</v>
      </c>
      <c r="J438" s="4">
        <f>11.7052 * CHOOSE(CONTROL!$C$15, $D$11, 100%, $F$11)</f>
        <v>11.7052</v>
      </c>
      <c r="K438" s="4"/>
      <c r="L438" s="9">
        <v>26.469899999999999</v>
      </c>
      <c r="M438" s="9">
        <v>10.8962</v>
      </c>
      <c r="N438" s="9">
        <v>4.4660000000000002</v>
      </c>
      <c r="O438" s="9">
        <v>0.33789999999999998</v>
      </c>
      <c r="P438" s="9">
        <v>1.1676</v>
      </c>
      <c r="Q438" s="9">
        <v>18.128900000000002</v>
      </c>
      <c r="R438" s="9"/>
      <c r="S438" s="11"/>
    </row>
    <row r="439" spans="1:19" ht="15.75">
      <c r="A439" s="13">
        <v>54878</v>
      </c>
      <c r="B439" s="8">
        <f>11.8133 * CHOOSE(CONTROL!$C$15, $D$11, 100%, $F$11)</f>
        <v>11.8133</v>
      </c>
      <c r="C439" s="8">
        <f>11.8184 * CHOOSE(CONTROL!$C$15, $D$11, 100%, $F$11)</f>
        <v>11.8184</v>
      </c>
      <c r="D439" s="8">
        <f>11.7891 * CHOOSE( CONTROL!$C$15, $D$11, 100%, $F$11)</f>
        <v>11.789099999999999</v>
      </c>
      <c r="E439" s="12">
        <f>11.7993 * CHOOSE( CONTROL!$C$15, $D$11, 100%, $F$11)</f>
        <v>11.799300000000001</v>
      </c>
      <c r="F439" s="4">
        <f>12.4786 * CHOOSE(CONTROL!$C$15, $D$11, 100%, $F$11)</f>
        <v>12.4786</v>
      </c>
      <c r="G439" s="8">
        <f>11.6744 * CHOOSE( CONTROL!$C$15, $D$11, 100%, $F$11)</f>
        <v>11.6744</v>
      </c>
      <c r="H439" s="4">
        <f>12.5791 * CHOOSE(CONTROL!$C$15, $D$11, 100%, $F$11)</f>
        <v>12.5791</v>
      </c>
      <c r="I439" s="8">
        <f>11.605 * CHOOSE(CONTROL!$C$15, $D$11, 100%, $F$11)</f>
        <v>11.605</v>
      </c>
      <c r="J439" s="4">
        <f>11.4561 * CHOOSE(CONTROL!$C$15, $D$11, 100%, $F$11)</f>
        <v>11.456099999999999</v>
      </c>
      <c r="K439" s="4"/>
      <c r="L439" s="9">
        <v>29.306000000000001</v>
      </c>
      <c r="M439" s="9">
        <v>12.063700000000001</v>
      </c>
      <c r="N439" s="9">
        <v>4.9444999999999997</v>
      </c>
      <c r="O439" s="9">
        <v>0.37409999999999999</v>
      </c>
      <c r="P439" s="9">
        <v>1.2927</v>
      </c>
      <c r="Q439" s="9">
        <v>20.071300000000001</v>
      </c>
      <c r="R439" s="9"/>
      <c r="S439" s="11"/>
    </row>
    <row r="440" spans="1:19" ht="15.75">
      <c r="A440" s="13">
        <v>54908</v>
      </c>
      <c r="B440" s="8">
        <f>11.9935 * CHOOSE(CONTROL!$C$15, $D$11, 100%, $F$11)</f>
        <v>11.993499999999999</v>
      </c>
      <c r="C440" s="8">
        <f>11.998 * CHOOSE(CONTROL!$C$15, $D$11, 100%, $F$11)</f>
        <v>11.997999999999999</v>
      </c>
      <c r="D440" s="8">
        <f>12.0414 * CHOOSE( CONTROL!$C$15, $D$11, 100%, $F$11)</f>
        <v>12.041399999999999</v>
      </c>
      <c r="E440" s="12">
        <f>12.0266 * CHOOSE( CONTROL!$C$15, $D$11, 100%, $F$11)</f>
        <v>12.0266</v>
      </c>
      <c r="F440" s="4">
        <f>12.7379 * CHOOSE(CONTROL!$C$15, $D$11, 100%, $F$11)</f>
        <v>12.7379</v>
      </c>
      <c r="G440" s="8">
        <f>11.8595 * CHOOSE( CONTROL!$C$15, $D$11, 100%, $F$11)</f>
        <v>11.859500000000001</v>
      </c>
      <c r="H440" s="4">
        <f>12.8353 * CHOOSE(CONTROL!$C$15, $D$11, 100%, $F$11)</f>
        <v>12.8353</v>
      </c>
      <c r="I440" s="8">
        <f>11.7774 * CHOOSE(CONTROL!$C$15, $D$11, 100%, $F$11)</f>
        <v>11.7774</v>
      </c>
      <c r="J440" s="4">
        <f>11.6302 * CHOOSE(CONTROL!$C$15, $D$11, 100%, $F$11)</f>
        <v>11.6302</v>
      </c>
      <c r="K440" s="4"/>
      <c r="L440" s="9">
        <v>30.092199999999998</v>
      </c>
      <c r="M440" s="9">
        <v>11.6745</v>
      </c>
      <c r="N440" s="9">
        <v>4.7850000000000001</v>
      </c>
      <c r="O440" s="9">
        <v>0.36199999999999999</v>
      </c>
      <c r="P440" s="9">
        <v>1.1791</v>
      </c>
      <c r="Q440" s="9">
        <v>19.4238</v>
      </c>
      <c r="R440" s="9"/>
      <c r="S440" s="11"/>
    </row>
    <row r="441" spans="1:19" ht="15.75">
      <c r="A441" s="13">
        <v>54939</v>
      </c>
      <c r="B441" s="8">
        <f>CHOOSE( CONTROL!$C$32, 12.3178, 12.3142) * CHOOSE(CONTROL!$C$15, $D$11, 100%, $F$11)</f>
        <v>12.3178</v>
      </c>
      <c r="C441" s="8">
        <f>CHOOSE( CONTROL!$C$32, 12.3258, 12.3221) * CHOOSE(CONTROL!$C$15, $D$11, 100%, $F$11)</f>
        <v>12.325799999999999</v>
      </c>
      <c r="D441" s="8">
        <f>CHOOSE( CONTROL!$C$32, 12.3635, 12.3599) * CHOOSE( CONTROL!$C$15, $D$11, 100%, $F$11)</f>
        <v>12.3635</v>
      </c>
      <c r="E441" s="12">
        <f>CHOOSE( CONTROL!$C$32, 12.3486, 12.345) * CHOOSE( CONTROL!$C$15, $D$11, 100%, $F$11)</f>
        <v>12.348599999999999</v>
      </c>
      <c r="F441" s="4">
        <f>CHOOSE( CONTROL!$C$32, 13.0608, 13.0572) * CHOOSE(CONTROL!$C$15, $D$11, 100%, $F$11)</f>
        <v>13.0608</v>
      </c>
      <c r="G441" s="8">
        <f>CHOOSE( CONTROL!$C$32, 12.1795, 12.1759) * CHOOSE( CONTROL!$C$15, $D$11, 100%, $F$11)</f>
        <v>12.179500000000001</v>
      </c>
      <c r="H441" s="4">
        <f>CHOOSE( CONTROL!$C$32, 13.1545, 13.1509) * CHOOSE(CONTROL!$C$15, $D$11, 100%, $F$11)</f>
        <v>13.154500000000001</v>
      </c>
      <c r="I441" s="8">
        <f>CHOOSE( CONTROL!$C$32, 12.0911, 12.0876) * CHOOSE(CONTROL!$C$15, $D$11, 100%, $F$11)</f>
        <v>12.091100000000001</v>
      </c>
      <c r="J441" s="4">
        <f>CHOOSE( CONTROL!$C$32, 11.9436, 11.9401) * CHOOSE(CONTROL!$C$15, $D$11, 100%, $F$11)</f>
        <v>11.9436</v>
      </c>
      <c r="K441" s="4"/>
      <c r="L441" s="9">
        <v>30.7165</v>
      </c>
      <c r="M441" s="9">
        <v>12.063700000000001</v>
      </c>
      <c r="N441" s="9">
        <v>4.9444999999999997</v>
      </c>
      <c r="O441" s="9">
        <v>0.37409999999999999</v>
      </c>
      <c r="P441" s="9">
        <v>1.2183999999999999</v>
      </c>
      <c r="Q441" s="9">
        <v>20.071300000000001</v>
      </c>
      <c r="R441" s="9"/>
      <c r="S441" s="11"/>
    </row>
    <row r="442" spans="1:19" ht="15.75">
      <c r="A442" s="13">
        <v>54969</v>
      </c>
      <c r="B442" s="8">
        <f>CHOOSE( CONTROL!$C$32, 12.12, 12.1164) * CHOOSE(CONTROL!$C$15, $D$11, 100%, $F$11)</f>
        <v>12.12</v>
      </c>
      <c r="C442" s="8">
        <f>CHOOSE( CONTROL!$C$32, 12.128, 12.1243) * CHOOSE(CONTROL!$C$15, $D$11, 100%, $F$11)</f>
        <v>12.128</v>
      </c>
      <c r="D442" s="8">
        <f>CHOOSE( CONTROL!$C$32, 12.1659, 12.1623) * CHOOSE( CONTROL!$C$15, $D$11, 100%, $F$11)</f>
        <v>12.165900000000001</v>
      </c>
      <c r="E442" s="12">
        <f>CHOOSE( CONTROL!$C$32, 12.1509, 12.1473) * CHOOSE( CONTROL!$C$15, $D$11, 100%, $F$11)</f>
        <v>12.1509</v>
      </c>
      <c r="F442" s="4">
        <f>CHOOSE( CONTROL!$C$32, 12.863, 12.8594) * CHOOSE(CONTROL!$C$15, $D$11, 100%, $F$11)</f>
        <v>12.863</v>
      </c>
      <c r="G442" s="8">
        <f>CHOOSE( CONTROL!$C$32, 11.9843, 11.9807) * CHOOSE( CONTROL!$C$15, $D$11, 100%, $F$11)</f>
        <v>11.984299999999999</v>
      </c>
      <c r="H442" s="4">
        <f>CHOOSE( CONTROL!$C$32, 12.959, 12.9554) * CHOOSE(CONTROL!$C$15, $D$11, 100%, $F$11)</f>
        <v>12.959</v>
      </c>
      <c r="I442" s="8">
        <f>CHOOSE( CONTROL!$C$32, 11.9001, 11.8966) * CHOOSE(CONTROL!$C$15, $D$11, 100%, $F$11)</f>
        <v>11.9001</v>
      </c>
      <c r="J442" s="4">
        <f>CHOOSE( CONTROL!$C$32, 11.7516, 11.7481) * CHOOSE(CONTROL!$C$15, $D$11, 100%, $F$11)</f>
        <v>11.7516</v>
      </c>
      <c r="K442" s="4"/>
      <c r="L442" s="9">
        <v>29.7257</v>
      </c>
      <c r="M442" s="9">
        <v>11.6745</v>
      </c>
      <c r="N442" s="9">
        <v>4.7850000000000001</v>
      </c>
      <c r="O442" s="9">
        <v>0.36199999999999999</v>
      </c>
      <c r="P442" s="9">
        <v>1.1791</v>
      </c>
      <c r="Q442" s="9">
        <v>19.4238</v>
      </c>
      <c r="R442" s="9"/>
      <c r="S442" s="11"/>
    </row>
    <row r="443" spans="1:19" ht="15.75">
      <c r="A443" s="13">
        <v>55000</v>
      </c>
      <c r="B443" s="8">
        <f>CHOOSE( CONTROL!$C$32, 12.6409, 12.6373) * CHOOSE(CONTROL!$C$15, $D$11, 100%, $F$11)</f>
        <v>12.6409</v>
      </c>
      <c r="C443" s="8">
        <f>CHOOSE( CONTROL!$C$32, 12.6489, 12.6452) * CHOOSE(CONTROL!$C$15, $D$11, 100%, $F$11)</f>
        <v>12.648899999999999</v>
      </c>
      <c r="D443" s="8">
        <f>CHOOSE( CONTROL!$C$32, 12.6871, 12.6834) * CHOOSE( CONTROL!$C$15, $D$11, 100%, $F$11)</f>
        <v>12.687099999999999</v>
      </c>
      <c r="E443" s="12">
        <f>CHOOSE( CONTROL!$C$32, 12.672, 12.6684) * CHOOSE( CONTROL!$C$15, $D$11, 100%, $F$11)</f>
        <v>12.672000000000001</v>
      </c>
      <c r="F443" s="4">
        <f>CHOOSE( CONTROL!$C$32, 13.3839, 13.3803) * CHOOSE(CONTROL!$C$15, $D$11, 100%, $F$11)</f>
        <v>13.383900000000001</v>
      </c>
      <c r="G443" s="8">
        <f>CHOOSE( CONTROL!$C$32, 12.4994, 12.4958) * CHOOSE( CONTROL!$C$15, $D$11, 100%, $F$11)</f>
        <v>12.4994</v>
      </c>
      <c r="H443" s="4">
        <f>CHOOSE( CONTROL!$C$32, 13.4738, 13.4702) * CHOOSE(CONTROL!$C$15, $D$11, 100%, $F$11)</f>
        <v>13.473800000000001</v>
      </c>
      <c r="I443" s="8">
        <f>CHOOSE( CONTROL!$C$32, 12.407, 12.4035) * CHOOSE(CONTROL!$C$15, $D$11, 100%, $F$11)</f>
        <v>12.407</v>
      </c>
      <c r="J443" s="4">
        <f>CHOOSE( CONTROL!$C$32, 12.2572, 12.2536) * CHOOSE(CONTROL!$C$15, $D$11, 100%, $F$11)</f>
        <v>12.257199999999999</v>
      </c>
      <c r="K443" s="4"/>
      <c r="L443" s="9">
        <v>30.7165</v>
      </c>
      <c r="M443" s="9">
        <v>12.063700000000001</v>
      </c>
      <c r="N443" s="9">
        <v>4.9444999999999997</v>
      </c>
      <c r="O443" s="9">
        <v>0.37409999999999999</v>
      </c>
      <c r="P443" s="9">
        <v>1.2183999999999999</v>
      </c>
      <c r="Q443" s="9">
        <v>20.071300000000001</v>
      </c>
      <c r="R443" s="9"/>
      <c r="S443" s="11"/>
    </row>
    <row r="444" spans="1:19" ht="15.75">
      <c r="A444" s="13">
        <v>55031</v>
      </c>
      <c r="B444" s="8">
        <f>CHOOSE( CONTROL!$C$32, 11.6663, 11.6626) * CHOOSE(CONTROL!$C$15, $D$11, 100%, $F$11)</f>
        <v>11.6663</v>
      </c>
      <c r="C444" s="8">
        <f>CHOOSE( CONTROL!$C$32, 11.6742, 11.6706) * CHOOSE(CONTROL!$C$15, $D$11, 100%, $F$11)</f>
        <v>11.674200000000001</v>
      </c>
      <c r="D444" s="8">
        <f>CHOOSE( CONTROL!$C$32, 11.7125, 11.7088) * CHOOSE( CONTROL!$C$15, $D$11, 100%, $F$11)</f>
        <v>11.7125</v>
      </c>
      <c r="E444" s="12">
        <f>CHOOSE( CONTROL!$C$32, 11.6974, 11.6937) * CHOOSE( CONTROL!$C$15, $D$11, 100%, $F$11)</f>
        <v>11.6974</v>
      </c>
      <c r="F444" s="4">
        <f>CHOOSE( CONTROL!$C$32, 12.4093, 12.4056) * CHOOSE(CONTROL!$C$15, $D$11, 100%, $F$11)</f>
        <v>12.4093</v>
      </c>
      <c r="G444" s="8">
        <f>CHOOSE( CONTROL!$C$32, 11.5363, 11.5327) * CHOOSE( CONTROL!$C$15, $D$11, 100%, $F$11)</f>
        <v>11.536300000000001</v>
      </c>
      <c r="H444" s="4">
        <f>CHOOSE( CONTROL!$C$32, 12.5106, 12.507) * CHOOSE(CONTROL!$C$15, $D$11, 100%, $F$11)</f>
        <v>12.5106</v>
      </c>
      <c r="I444" s="8">
        <f>CHOOSE( CONTROL!$C$32, 11.4609, 11.4574) * CHOOSE(CONTROL!$C$15, $D$11, 100%, $F$11)</f>
        <v>11.460900000000001</v>
      </c>
      <c r="J444" s="4">
        <f>CHOOSE( CONTROL!$C$32, 11.3113, 11.3077) * CHOOSE(CONTROL!$C$15, $D$11, 100%, $F$11)</f>
        <v>11.311299999999999</v>
      </c>
      <c r="K444" s="4"/>
      <c r="L444" s="9">
        <v>30.7165</v>
      </c>
      <c r="M444" s="9">
        <v>12.063700000000001</v>
      </c>
      <c r="N444" s="9">
        <v>4.9444999999999997</v>
      </c>
      <c r="O444" s="9">
        <v>0.37409999999999999</v>
      </c>
      <c r="P444" s="9">
        <v>1.2183999999999999</v>
      </c>
      <c r="Q444" s="9">
        <v>20.071300000000001</v>
      </c>
      <c r="R444" s="9"/>
      <c r="S444" s="11"/>
    </row>
    <row r="445" spans="1:19" ht="15.75">
      <c r="A445" s="13">
        <v>55061</v>
      </c>
      <c r="B445" s="8">
        <f>CHOOSE( CONTROL!$C$32, 11.4222, 11.4185) * CHOOSE(CONTROL!$C$15, $D$11, 100%, $F$11)</f>
        <v>11.4222</v>
      </c>
      <c r="C445" s="8">
        <f>CHOOSE( CONTROL!$C$32, 11.4302, 11.4265) * CHOOSE(CONTROL!$C$15, $D$11, 100%, $F$11)</f>
        <v>11.430199999999999</v>
      </c>
      <c r="D445" s="8">
        <f>CHOOSE( CONTROL!$C$32, 11.4683, 11.4647) * CHOOSE( CONTROL!$C$15, $D$11, 100%, $F$11)</f>
        <v>11.468299999999999</v>
      </c>
      <c r="E445" s="12">
        <f>CHOOSE( CONTROL!$C$32, 11.4533, 11.4496) * CHOOSE( CONTROL!$C$15, $D$11, 100%, $F$11)</f>
        <v>11.4533</v>
      </c>
      <c r="F445" s="4">
        <f>CHOOSE( CONTROL!$C$32, 12.1652, 12.1616) * CHOOSE(CONTROL!$C$15, $D$11, 100%, $F$11)</f>
        <v>12.1652</v>
      </c>
      <c r="G445" s="8">
        <f>CHOOSE( CONTROL!$C$32, 11.295, 11.2914) * CHOOSE( CONTROL!$C$15, $D$11, 100%, $F$11)</f>
        <v>11.295</v>
      </c>
      <c r="H445" s="4">
        <f>CHOOSE( CONTROL!$C$32, 12.2694, 12.2658) * CHOOSE(CONTROL!$C$15, $D$11, 100%, $F$11)</f>
        <v>12.269399999999999</v>
      </c>
      <c r="I445" s="8">
        <f>CHOOSE( CONTROL!$C$32, 11.2236, 11.2201) * CHOOSE(CONTROL!$C$15, $D$11, 100%, $F$11)</f>
        <v>11.223599999999999</v>
      </c>
      <c r="J445" s="4">
        <f>CHOOSE( CONTROL!$C$32, 11.0744, 11.0709) * CHOOSE(CONTROL!$C$15, $D$11, 100%, $F$11)</f>
        <v>11.074400000000001</v>
      </c>
      <c r="K445" s="4"/>
      <c r="L445" s="9">
        <v>29.7257</v>
      </c>
      <c r="M445" s="9">
        <v>11.6745</v>
      </c>
      <c r="N445" s="9">
        <v>4.7850000000000001</v>
      </c>
      <c r="O445" s="9">
        <v>0.36199999999999999</v>
      </c>
      <c r="P445" s="9">
        <v>1.1791</v>
      </c>
      <c r="Q445" s="9">
        <v>19.4238</v>
      </c>
      <c r="R445" s="9"/>
      <c r="S445" s="11"/>
    </row>
    <row r="446" spans="1:19" ht="15.75">
      <c r="A446" s="13">
        <v>55092</v>
      </c>
      <c r="B446" s="8">
        <f>11.9236 * CHOOSE(CONTROL!$C$15, $D$11, 100%, $F$11)</f>
        <v>11.9236</v>
      </c>
      <c r="C446" s="8">
        <f>11.9289 * CHOOSE(CONTROL!$C$15, $D$11, 100%, $F$11)</f>
        <v>11.928900000000001</v>
      </c>
      <c r="D446" s="8">
        <f>11.9724 * CHOOSE( CONTROL!$C$15, $D$11, 100%, $F$11)</f>
        <v>11.9724</v>
      </c>
      <c r="E446" s="12">
        <f>11.9575 * CHOOSE( CONTROL!$C$15, $D$11, 100%, $F$11)</f>
        <v>11.9575</v>
      </c>
      <c r="F446" s="4">
        <f>12.6683 * CHOOSE(CONTROL!$C$15, $D$11, 100%, $F$11)</f>
        <v>12.6683</v>
      </c>
      <c r="G446" s="8">
        <f>11.7917 * CHOOSE( CONTROL!$C$15, $D$11, 100%, $F$11)</f>
        <v>11.791700000000001</v>
      </c>
      <c r="H446" s="4">
        <f>12.7666 * CHOOSE(CONTROL!$C$15, $D$11, 100%, $F$11)</f>
        <v>12.7666</v>
      </c>
      <c r="I446" s="8">
        <f>11.7129 * CHOOSE(CONTROL!$C$15, $D$11, 100%, $F$11)</f>
        <v>11.712899999999999</v>
      </c>
      <c r="J446" s="4">
        <f>11.5627 * CHOOSE(CONTROL!$C$15, $D$11, 100%, $F$11)</f>
        <v>11.5627</v>
      </c>
      <c r="K446" s="4"/>
      <c r="L446" s="9">
        <v>31.095300000000002</v>
      </c>
      <c r="M446" s="9">
        <v>12.063700000000001</v>
      </c>
      <c r="N446" s="9">
        <v>4.9444999999999997</v>
      </c>
      <c r="O446" s="9">
        <v>0.37409999999999999</v>
      </c>
      <c r="P446" s="9">
        <v>1.2183999999999999</v>
      </c>
      <c r="Q446" s="9">
        <v>20.071300000000001</v>
      </c>
      <c r="R446" s="9"/>
      <c r="S446" s="11"/>
    </row>
    <row r="447" spans="1:19" ht="15.75">
      <c r="A447" s="13">
        <v>55122</v>
      </c>
      <c r="B447" s="8">
        <f>12.8585 * CHOOSE(CONTROL!$C$15, $D$11, 100%, $F$11)</f>
        <v>12.858499999999999</v>
      </c>
      <c r="C447" s="8">
        <f>12.8636 * CHOOSE(CONTROL!$C$15, $D$11, 100%, $F$11)</f>
        <v>12.8636</v>
      </c>
      <c r="D447" s="8">
        <f>12.8473 * CHOOSE( CONTROL!$C$15, $D$11, 100%, $F$11)</f>
        <v>12.847300000000001</v>
      </c>
      <c r="E447" s="12">
        <f>12.8527 * CHOOSE( CONTROL!$C$15, $D$11, 100%, $F$11)</f>
        <v>12.8527</v>
      </c>
      <c r="F447" s="4">
        <f>13.5238 * CHOOSE(CONTROL!$C$15, $D$11, 100%, $F$11)</f>
        <v>13.5238</v>
      </c>
      <c r="G447" s="8">
        <f>12.7167 * CHOOSE( CONTROL!$C$15, $D$11, 100%, $F$11)</f>
        <v>12.716699999999999</v>
      </c>
      <c r="H447" s="4">
        <f>13.6121 * CHOOSE(CONTROL!$C$15, $D$11, 100%, $F$11)</f>
        <v>13.6121</v>
      </c>
      <c r="I447" s="8">
        <f>12.6212 * CHOOSE(CONTROL!$C$15, $D$11, 100%, $F$11)</f>
        <v>12.6212</v>
      </c>
      <c r="J447" s="4">
        <f>12.4705 * CHOOSE(CONTROL!$C$15, $D$11, 100%, $F$11)</f>
        <v>12.470499999999999</v>
      </c>
      <c r="K447" s="4"/>
      <c r="L447" s="9">
        <v>28.360600000000002</v>
      </c>
      <c r="M447" s="9">
        <v>11.6745</v>
      </c>
      <c r="N447" s="9">
        <v>4.7850000000000001</v>
      </c>
      <c r="O447" s="9">
        <v>0.36199999999999999</v>
      </c>
      <c r="P447" s="9">
        <v>1.2509999999999999</v>
      </c>
      <c r="Q447" s="9">
        <v>19.4238</v>
      </c>
      <c r="R447" s="9"/>
      <c r="S447" s="11"/>
    </row>
    <row r="448" spans="1:19" ht="15.75">
      <c r="A448" s="13">
        <v>55153</v>
      </c>
      <c r="B448" s="8">
        <f>12.8352 * CHOOSE(CONTROL!$C$15, $D$11, 100%, $F$11)</f>
        <v>12.8352</v>
      </c>
      <c r="C448" s="8">
        <f>12.8403 * CHOOSE(CONTROL!$C$15, $D$11, 100%, $F$11)</f>
        <v>12.840299999999999</v>
      </c>
      <c r="D448" s="8">
        <f>12.8256 * CHOOSE( CONTROL!$C$15, $D$11, 100%, $F$11)</f>
        <v>12.8256</v>
      </c>
      <c r="E448" s="12">
        <f>12.8304 * CHOOSE( CONTROL!$C$15, $D$11, 100%, $F$11)</f>
        <v>12.830399999999999</v>
      </c>
      <c r="F448" s="4">
        <f>13.5005 * CHOOSE(CONTROL!$C$15, $D$11, 100%, $F$11)</f>
        <v>13.500500000000001</v>
      </c>
      <c r="G448" s="8">
        <f>12.6948 * CHOOSE( CONTROL!$C$15, $D$11, 100%, $F$11)</f>
        <v>12.694800000000001</v>
      </c>
      <c r="H448" s="4">
        <f>13.589 * CHOOSE(CONTROL!$C$15, $D$11, 100%, $F$11)</f>
        <v>13.589</v>
      </c>
      <c r="I448" s="8">
        <f>12.6039 * CHOOSE(CONTROL!$C$15, $D$11, 100%, $F$11)</f>
        <v>12.603899999999999</v>
      </c>
      <c r="J448" s="4">
        <f>12.4478 * CHOOSE(CONTROL!$C$15, $D$11, 100%, $F$11)</f>
        <v>12.447800000000001</v>
      </c>
      <c r="K448" s="4"/>
      <c r="L448" s="9">
        <v>29.306000000000001</v>
      </c>
      <c r="M448" s="9">
        <v>12.063700000000001</v>
      </c>
      <c r="N448" s="9">
        <v>4.9444999999999997</v>
      </c>
      <c r="O448" s="9">
        <v>0.37409999999999999</v>
      </c>
      <c r="P448" s="9">
        <v>1.2927</v>
      </c>
      <c r="Q448" s="9">
        <v>20.071300000000001</v>
      </c>
      <c r="R448" s="9"/>
      <c r="S448" s="11"/>
    </row>
    <row r="449" spans="1:19" ht="15.75">
      <c r="A449" s="13">
        <v>55184</v>
      </c>
      <c r="B449" s="8">
        <f>13.2135 * CHOOSE(CONTROL!$C$15, $D$11, 100%, $F$11)</f>
        <v>13.2135</v>
      </c>
      <c r="C449" s="8">
        <f>13.2186 * CHOOSE(CONTROL!$C$15, $D$11, 100%, $F$11)</f>
        <v>13.2186</v>
      </c>
      <c r="D449" s="8">
        <f>13.1897 * CHOOSE( CONTROL!$C$15, $D$11, 100%, $F$11)</f>
        <v>13.1897</v>
      </c>
      <c r="E449" s="12">
        <f>13.1997 * CHOOSE( CONTROL!$C$15, $D$11, 100%, $F$11)</f>
        <v>13.1997</v>
      </c>
      <c r="F449" s="4">
        <f>13.8788 * CHOOSE(CONTROL!$C$15, $D$11, 100%, $F$11)</f>
        <v>13.8788</v>
      </c>
      <c r="G449" s="8">
        <f>13.0585 * CHOOSE( CONTROL!$C$15, $D$11, 100%, $F$11)</f>
        <v>13.0585</v>
      </c>
      <c r="H449" s="4">
        <f>13.9629 * CHOOSE(CONTROL!$C$15, $D$11, 100%, $F$11)</f>
        <v>13.962899999999999</v>
      </c>
      <c r="I449" s="8">
        <f>12.9659 * CHOOSE(CONTROL!$C$15, $D$11, 100%, $F$11)</f>
        <v>12.9659</v>
      </c>
      <c r="J449" s="4">
        <f>12.815 * CHOOSE(CONTROL!$C$15, $D$11, 100%, $F$11)</f>
        <v>12.815</v>
      </c>
      <c r="K449" s="4"/>
      <c r="L449" s="9">
        <v>29.306000000000001</v>
      </c>
      <c r="M449" s="9">
        <v>12.063700000000001</v>
      </c>
      <c r="N449" s="9">
        <v>4.9444999999999997</v>
      </c>
      <c r="O449" s="9">
        <v>0.37409999999999999</v>
      </c>
      <c r="P449" s="9">
        <v>1.2927</v>
      </c>
      <c r="Q449" s="9">
        <v>20.007999999999999</v>
      </c>
      <c r="R449" s="9"/>
      <c r="S449" s="11"/>
    </row>
    <row r="450" spans="1:19" ht="15.75">
      <c r="A450" s="13">
        <v>55212</v>
      </c>
      <c r="B450" s="8">
        <f>12.3599 * CHOOSE(CONTROL!$C$15, $D$11, 100%, $F$11)</f>
        <v>12.3599</v>
      </c>
      <c r="C450" s="8">
        <f>12.3649 * CHOOSE(CONTROL!$C$15, $D$11, 100%, $F$11)</f>
        <v>12.3649</v>
      </c>
      <c r="D450" s="8">
        <f>12.336 * CHOOSE( CONTROL!$C$15, $D$11, 100%, $F$11)</f>
        <v>12.336</v>
      </c>
      <c r="E450" s="12">
        <f>12.346 * CHOOSE( CONTROL!$C$15, $D$11, 100%, $F$11)</f>
        <v>12.346</v>
      </c>
      <c r="F450" s="4">
        <f>13.0251 * CHOOSE(CONTROL!$C$15, $D$11, 100%, $F$11)</f>
        <v>13.0251</v>
      </c>
      <c r="G450" s="8">
        <f>12.2148 * CHOOSE( CONTROL!$C$15, $D$11, 100%, $F$11)</f>
        <v>12.2148</v>
      </c>
      <c r="H450" s="4">
        <f>13.1192 * CHOOSE(CONTROL!$C$15, $D$11, 100%, $F$11)</f>
        <v>13.119199999999999</v>
      </c>
      <c r="I450" s="8">
        <f>12.1369 * CHOOSE(CONTROL!$C$15, $D$11, 100%, $F$11)</f>
        <v>12.136900000000001</v>
      </c>
      <c r="J450" s="4">
        <f>11.9865 * CHOOSE(CONTROL!$C$15, $D$11, 100%, $F$11)</f>
        <v>11.986499999999999</v>
      </c>
      <c r="K450" s="4"/>
      <c r="L450" s="9">
        <v>26.469899999999999</v>
      </c>
      <c r="M450" s="9">
        <v>10.8962</v>
      </c>
      <c r="N450" s="9">
        <v>4.4660000000000002</v>
      </c>
      <c r="O450" s="9">
        <v>0.33789999999999998</v>
      </c>
      <c r="P450" s="9">
        <v>1.1676</v>
      </c>
      <c r="Q450" s="9">
        <v>18.0718</v>
      </c>
      <c r="R450" s="9"/>
      <c r="S450" s="11"/>
    </row>
    <row r="451" spans="1:19" ht="15.75">
      <c r="A451" s="13">
        <v>55243</v>
      </c>
      <c r="B451" s="8">
        <f>12.0969 * CHOOSE(CONTROL!$C$15, $D$11, 100%, $F$11)</f>
        <v>12.0969</v>
      </c>
      <c r="C451" s="8">
        <f>12.102 * CHOOSE(CONTROL!$C$15, $D$11, 100%, $F$11)</f>
        <v>12.102</v>
      </c>
      <c r="D451" s="8">
        <f>12.0727 * CHOOSE( CONTROL!$C$15, $D$11, 100%, $F$11)</f>
        <v>12.072699999999999</v>
      </c>
      <c r="E451" s="12">
        <f>12.0829 * CHOOSE( CONTROL!$C$15, $D$11, 100%, $F$11)</f>
        <v>12.0829</v>
      </c>
      <c r="F451" s="4">
        <f>12.7622 * CHOOSE(CONTROL!$C$15, $D$11, 100%, $F$11)</f>
        <v>12.7622</v>
      </c>
      <c r="G451" s="8">
        <f>11.9547 * CHOOSE( CONTROL!$C$15, $D$11, 100%, $F$11)</f>
        <v>11.954700000000001</v>
      </c>
      <c r="H451" s="4">
        <f>12.8594 * CHOOSE(CONTROL!$C$15, $D$11, 100%, $F$11)</f>
        <v>12.859400000000001</v>
      </c>
      <c r="I451" s="8">
        <f>11.8804 * CHOOSE(CONTROL!$C$15, $D$11, 100%, $F$11)</f>
        <v>11.8804</v>
      </c>
      <c r="J451" s="4">
        <f>11.7313 * CHOOSE(CONTROL!$C$15, $D$11, 100%, $F$11)</f>
        <v>11.731299999999999</v>
      </c>
      <c r="K451" s="4"/>
      <c r="L451" s="9">
        <v>29.306000000000001</v>
      </c>
      <c r="M451" s="9">
        <v>12.063700000000001</v>
      </c>
      <c r="N451" s="9">
        <v>4.9444999999999997</v>
      </c>
      <c r="O451" s="9">
        <v>0.37409999999999999</v>
      </c>
      <c r="P451" s="9">
        <v>1.2927</v>
      </c>
      <c r="Q451" s="9">
        <v>20.007999999999999</v>
      </c>
      <c r="R451" s="9"/>
      <c r="S451" s="11"/>
    </row>
    <row r="452" spans="1:19" ht="15.75">
      <c r="A452" s="13">
        <v>55273</v>
      </c>
      <c r="B452" s="8">
        <f>12.2814 * CHOOSE(CONTROL!$C$15, $D$11, 100%, $F$11)</f>
        <v>12.2814</v>
      </c>
      <c r="C452" s="8">
        <f>12.2859 * CHOOSE(CONTROL!$C$15, $D$11, 100%, $F$11)</f>
        <v>12.2859</v>
      </c>
      <c r="D452" s="8">
        <f>12.3293 * CHOOSE( CONTROL!$C$15, $D$11, 100%, $F$11)</f>
        <v>12.3293</v>
      </c>
      <c r="E452" s="12">
        <f>12.3145 * CHOOSE( CONTROL!$C$15, $D$11, 100%, $F$11)</f>
        <v>12.314500000000001</v>
      </c>
      <c r="F452" s="4">
        <f>13.0258 * CHOOSE(CONTROL!$C$15, $D$11, 100%, $F$11)</f>
        <v>13.0258</v>
      </c>
      <c r="G452" s="8">
        <f>12.1441 * CHOOSE( CONTROL!$C$15, $D$11, 100%, $F$11)</f>
        <v>12.1441</v>
      </c>
      <c r="H452" s="4">
        <f>13.1199 * CHOOSE(CONTROL!$C$15, $D$11, 100%, $F$11)</f>
        <v>13.119899999999999</v>
      </c>
      <c r="I452" s="8">
        <f>12.057 * CHOOSE(CONTROL!$C$15, $D$11, 100%, $F$11)</f>
        <v>12.057</v>
      </c>
      <c r="J452" s="4">
        <f>11.9096 * CHOOSE(CONTROL!$C$15, $D$11, 100%, $F$11)</f>
        <v>11.909599999999999</v>
      </c>
      <c r="K452" s="4"/>
      <c r="L452" s="9">
        <v>30.092199999999998</v>
      </c>
      <c r="M452" s="9">
        <v>11.6745</v>
      </c>
      <c r="N452" s="9">
        <v>4.7850000000000001</v>
      </c>
      <c r="O452" s="9">
        <v>0.36199999999999999</v>
      </c>
      <c r="P452" s="9">
        <v>1.1791</v>
      </c>
      <c r="Q452" s="9">
        <v>19.3626</v>
      </c>
      <c r="R452" s="9"/>
      <c r="S452" s="11"/>
    </row>
    <row r="453" spans="1:19" ht="15.75">
      <c r="A453" s="13">
        <v>55304</v>
      </c>
      <c r="B453" s="8">
        <f>CHOOSE( CONTROL!$C$32, 12.6134, 12.6098) * CHOOSE(CONTROL!$C$15, $D$11, 100%, $F$11)</f>
        <v>12.6134</v>
      </c>
      <c r="C453" s="8">
        <f>CHOOSE( CONTROL!$C$32, 12.6214, 12.6178) * CHOOSE(CONTROL!$C$15, $D$11, 100%, $F$11)</f>
        <v>12.6214</v>
      </c>
      <c r="D453" s="8">
        <f>CHOOSE( CONTROL!$C$32, 12.6591, 12.6555) * CHOOSE( CONTROL!$C$15, $D$11, 100%, $F$11)</f>
        <v>12.6591</v>
      </c>
      <c r="E453" s="12">
        <f>CHOOSE( CONTROL!$C$32, 12.6442, 12.6406) * CHOOSE( CONTROL!$C$15, $D$11, 100%, $F$11)</f>
        <v>12.6442</v>
      </c>
      <c r="F453" s="4">
        <f>CHOOSE( CONTROL!$C$32, 13.3564, 13.3528) * CHOOSE(CONTROL!$C$15, $D$11, 100%, $F$11)</f>
        <v>13.356400000000001</v>
      </c>
      <c r="G453" s="8">
        <f>CHOOSE( CONTROL!$C$32, 12.4716, 12.468) * CHOOSE( CONTROL!$C$15, $D$11, 100%, $F$11)</f>
        <v>12.4716</v>
      </c>
      <c r="H453" s="4">
        <f>CHOOSE( CONTROL!$C$32, 13.4467, 13.4431) * CHOOSE(CONTROL!$C$15, $D$11, 100%, $F$11)</f>
        <v>13.4467</v>
      </c>
      <c r="I453" s="8">
        <f>CHOOSE( CONTROL!$C$32, 12.3782, 12.3746) * CHOOSE(CONTROL!$C$15, $D$11, 100%, $F$11)</f>
        <v>12.3782</v>
      </c>
      <c r="J453" s="4">
        <f>CHOOSE( CONTROL!$C$32, 12.2305, 12.227) * CHOOSE(CONTROL!$C$15, $D$11, 100%, $F$11)</f>
        <v>12.230499999999999</v>
      </c>
      <c r="K453" s="4"/>
      <c r="L453" s="9">
        <v>30.7165</v>
      </c>
      <c r="M453" s="9">
        <v>12.063700000000001</v>
      </c>
      <c r="N453" s="9">
        <v>4.9444999999999997</v>
      </c>
      <c r="O453" s="9">
        <v>0.37409999999999999</v>
      </c>
      <c r="P453" s="9">
        <v>1.2183999999999999</v>
      </c>
      <c r="Q453" s="9">
        <v>20.007999999999999</v>
      </c>
      <c r="R453" s="9"/>
      <c r="S453" s="11"/>
    </row>
    <row r="454" spans="1:19" ht="15.75">
      <c r="A454" s="13">
        <v>55334</v>
      </c>
      <c r="B454" s="8">
        <f>CHOOSE( CONTROL!$C$32, 12.4109, 12.4072) * CHOOSE(CONTROL!$C$15, $D$11, 100%, $F$11)</f>
        <v>12.4109</v>
      </c>
      <c r="C454" s="8">
        <f>CHOOSE( CONTROL!$C$32, 12.4188, 12.4152) * CHOOSE(CONTROL!$C$15, $D$11, 100%, $F$11)</f>
        <v>12.418799999999999</v>
      </c>
      <c r="D454" s="8">
        <f>CHOOSE( CONTROL!$C$32, 12.4568, 12.4532) * CHOOSE( CONTROL!$C$15, $D$11, 100%, $F$11)</f>
        <v>12.456799999999999</v>
      </c>
      <c r="E454" s="12">
        <f>CHOOSE( CONTROL!$C$32, 12.4418, 12.4382) * CHOOSE( CONTROL!$C$15, $D$11, 100%, $F$11)</f>
        <v>12.441800000000001</v>
      </c>
      <c r="F454" s="4">
        <f>CHOOSE( CONTROL!$C$32, 13.1539, 13.1502) * CHOOSE(CONTROL!$C$15, $D$11, 100%, $F$11)</f>
        <v>13.1539</v>
      </c>
      <c r="G454" s="8">
        <f>CHOOSE( CONTROL!$C$32, 12.2718, 12.2682) * CHOOSE( CONTROL!$C$15, $D$11, 100%, $F$11)</f>
        <v>12.271800000000001</v>
      </c>
      <c r="H454" s="4">
        <f>CHOOSE( CONTROL!$C$32, 13.2465, 13.2429) * CHOOSE(CONTROL!$C$15, $D$11, 100%, $F$11)</f>
        <v>13.246499999999999</v>
      </c>
      <c r="I454" s="8">
        <f>CHOOSE( CONTROL!$C$32, 12.1825, 12.179) * CHOOSE(CONTROL!$C$15, $D$11, 100%, $F$11)</f>
        <v>12.182499999999999</v>
      </c>
      <c r="J454" s="4">
        <f>CHOOSE( CONTROL!$C$32, 12.0339, 12.0304) * CHOOSE(CONTROL!$C$15, $D$11, 100%, $F$11)</f>
        <v>12.033899999999999</v>
      </c>
      <c r="K454" s="4"/>
      <c r="L454" s="9">
        <v>29.7257</v>
      </c>
      <c r="M454" s="9">
        <v>11.6745</v>
      </c>
      <c r="N454" s="9">
        <v>4.7850000000000001</v>
      </c>
      <c r="O454" s="9">
        <v>0.36199999999999999</v>
      </c>
      <c r="P454" s="9">
        <v>1.1791</v>
      </c>
      <c r="Q454" s="9">
        <v>19.3626</v>
      </c>
      <c r="R454" s="9"/>
      <c r="S454" s="11"/>
    </row>
    <row r="455" spans="1:19" ht="15.75">
      <c r="A455" s="13">
        <v>55365</v>
      </c>
      <c r="B455" s="8">
        <f>CHOOSE( CONTROL!$C$32, 12.9443, 12.9406) * CHOOSE(CONTROL!$C$15, $D$11, 100%, $F$11)</f>
        <v>12.9443</v>
      </c>
      <c r="C455" s="8">
        <f>CHOOSE( CONTROL!$C$32, 12.9522, 12.9486) * CHOOSE(CONTROL!$C$15, $D$11, 100%, $F$11)</f>
        <v>12.952199999999999</v>
      </c>
      <c r="D455" s="8">
        <f>CHOOSE( CONTROL!$C$32, 12.9904, 12.9868) * CHOOSE( CONTROL!$C$15, $D$11, 100%, $F$11)</f>
        <v>12.990399999999999</v>
      </c>
      <c r="E455" s="12">
        <f>CHOOSE( CONTROL!$C$32, 12.9754, 12.9717) * CHOOSE( CONTROL!$C$15, $D$11, 100%, $F$11)</f>
        <v>12.9754</v>
      </c>
      <c r="F455" s="4">
        <f>CHOOSE( CONTROL!$C$32, 13.6873, 13.6836) * CHOOSE(CONTROL!$C$15, $D$11, 100%, $F$11)</f>
        <v>13.6873</v>
      </c>
      <c r="G455" s="8">
        <f>CHOOSE( CONTROL!$C$32, 12.7993, 12.7957) * CHOOSE( CONTROL!$C$15, $D$11, 100%, $F$11)</f>
        <v>12.799300000000001</v>
      </c>
      <c r="H455" s="4">
        <f>CHOOSE( CONTROL!$C$32, 13.7736, 13.77) * CHOOSE(CONTROL!$C$15, $D$11, 100%, $F$11)</f>
        <v>13.7736</v>
      </c>
      <c r="I455" s="8">
        <f>CHOOSE( CONTROL!$C$32, 12.7016, 12.6981) * CHOOSE(CONTROL!$C$15, $D$11, 100%, $F$11)</f>
        <v>12.701599999999999</v>
      </c>
      <c r="J455" s="4">
        <f>CHOOSE( CONTROL!$C$32, 12.5516, 12.5481) * CHOOSE(CONTROL!$C$15, $D$11, 100%, $F$11)</f>
        <v>12.551600000000001</v>
      </c>
      <c r="K455" s="4"/>
      <c r="L455" s="9">
        <v>30.7165</v>
      </c>
      <c r="M455" s="9">
        <v>12.063700000000001</v>
      </c>
      <c r="N455" s="9">
        <v>4.9444999999999997</v>
      </c>
      <c r="O455" s="9">
        <v>0.37409999999999999</v>
      </c>
      <c r="P455" s="9">
        <v>1.2183999999999999</v>
      </c>
      <c r="Q455" s="9">
        <v>20.007999999999999</v>
      </c>
      <c r="R455" s="9"/>
      <c r="S455" s="11"/>
    </row>
    <row r="456" spans="1:19" ht="15.75">
      <c r="A456" s="13">
        <v>55396</v>
      </c>
      <c r="B456" s="8">
        <f>CHOOSE( CONTROL!$C$32, 11.9462, 11.9426) * CHOOSE(CONTROL!$C$15, $D$11, 100%, $F$11)</f>
        <v>11.946199999999999</v>
      </c>
      <c r="C456" s="8">
        <f>CHOOSE( CONTROL!$C$32, 11.9542, 11.9505) * CHOOSE(CONTROL!$C$15, $D$11, 100%, $F$11)</f>
        <v>11.9542</v>
      </c>
      <c r="D456" s="8">
        <f>CHOOSE( CONTROL!$C$32, 11.9924, 11.9888) * CHOOSE( CONTROL!$C$15, $D$11, 100%, $F$11)</f>
        <v>11.9924</v>
      </c>
      <c r="E456" s="12">
        <f>CHOOSE( CONTROL!$C$32, 11.9773, 11.9737) * CHOOSE( CONTROL!$C$15, $D$11, 100%, $F$11)</f>
        <v>11.9773</v>
      </c>
      <c r="F456" s="4">
        <f>CHOOSE( CONTROL!$C$32, 12.6892, 12.6856) * CHOOSE(CONTROL!$C$15, $D$11, 100%, $F$11)</f>
        <v>12.6892</v>
      </c>
      <c r="G456" s="8">
        <f>CHOOSE( CONTROL!$C$32, 11.813, 11.8094) * CHOOSE( CONTROL!$C$15, $D$11, 100%, $F$11)</f>
        <v>11.813000000000001</v>
      </c>
      <c r="H456" s="4">
        <f>CHOOSE( CONTROL!$C$32, 12.7873, 12.7837) * CHOOSE(CONTROL!$C$15, $D$11, 100%, $F$11)</f>
        <v>12.7873</v>
      </c>
      <c r="I456" s="8">
        <f>CHOOSE( CONTROL!$C$32, 11.7328, 11.7292) * CHOOSE(CONTROL!$C$15, $D$11, 100%, $F$11)</f>
        <v>11.732799999999999</v>
      </c>
      <c r="J456" s="4">
        <f>CHOOSE( CONTROL!$C$32, 11.583, 11.5794) * CHOOSE(CONTROL!$C$15, $D$11, 100%, $F$11)</f>
        <v>11.583</v>
      </c>
      <c r="K456" s="4"/>
      <c r="L456" s="9">
        <v>30.7165</v>
      </c>
      <c r="M456" s="9">
        <v>12.063700000000001</v>
      </c>
      <c r="N456" s="9">
        <v>4.9444999999999997</v>
      </c>
      <c r="O456" s="9">
        <v>0.37409999999999999</v>
      </c>
      <c r="P456" s="9">
        <v>1.2183999999999999</v>
      </c>
      <c r="Q456" s="9">
        <v>20.007999999999999</v>
      </c>
      <c r="R456" s="9"/>
      <c r="S456" s="11"/>
    </row>
    <row r="457" spans="1:19" ht="15.75">
      <c r="A457" s="13">
        <v>55426</v>
      </c>
      <c r="B457" s="8">
        <f>CHOOSE( CONTROL!$C$32, 11.6963, 11.6926) * CHOOSE(CONTROL!$C$15, $D$11, 100%, $F$11)</f>
        <v>11.696300000000001</v>
      </c>
      <c r="C457" s="8">
        <f>CHOOSE( CONTROL!$C$32, 11.7043, 11.7006) * CHOOSE(CONTROL!$C$15, $D$11, 100%, $F$11)</f>
        <v>11.7043</v>
      </c>
      <c r="D457" s="8">
        <f>CHOOSE( CONTROL!$C$32, 11.7424, 11.7388) * CHOOSE( CONTROL!$C$15, $D$11, 100%, $F$11)</f>
        <v>11.7424</v>
      </c>
      <c r="E457" s="12">
        <f>CHOOSE( CONTROL!$C$32, 11.7274, 11.7237) * CHOOSE( CONTROL!$C$15, $D$11, 100%, $F$11)</f>
        <v>11.727399999999999</v>
      </c>
      <c r="F457" s="4">
        <f>CHOOSE( CONTROL!$C$32, 12.4393, 12.4356) * CHOOSE(CONTROL!$C$15, $D$11, 100%, $F$11)</f>
        <v>12.439299999999999</v>
      </c>
      <c r="G457" s="8">
        <f>CHOOSE( CONTROL!$C$32, 11.5659, 11.5623) * CHOOSE( CONTROL!$C$15, $D$11, 100%, $F$11)</f>
        <v>11.565899999999999</v>
      </c>
      <c r="H457" s="4">
        <f>CHOOSE( CONTROL!$C$32, 12.5403, 12.5367) * CHOOSE(CONTROL!$C$15, $D$11, 100%, $F$11)</f>
        <v>12.5403</v>
      </c>
      <c r="I457" s="8">
        <f>CHOOSE( CONTROL!$C$32, 11.4897, 11.4862) * CHOOSE(CONTROL!$C$15, $D$11, 100%, $F$11)</f>
        <v>11.489699999999999</v>
      </c>
      <c r="J457" s="4">
        <f>CHOOSE( CONTROL!$C$32, 11.3404, 11.3369) * CHOOSE(CONTROL!$C$15, $D$11, 100%, $F$11)</f>
        <v>11.340400000000001</v>
      </c>
      <c r="K457" s="4"/>
      <c r="L457" s="9">
        <v>29.7257</v>
      </c>
      <c r="M457" s="9">
        <v>11.6745</v>
      </c>
      <c r="N457" s="9">
        <v>4.7850000000000001</v>
      </c>
      <c r="O457" s="9">
        <v>0.36199999999999999</v>
      </c>
      <c r="P457" s="9">
        <v>1.1791</v>
      </c>
      <c r="Q457" s="9">
        <v>19.3626</v>
      </c>
      <c r="R457" s="9"/>
      <c r="S457" s="11"/>
    </row>
    <row r="458" spans="1:19" ht="15.75">
      <c r="A458" s="13">
        <v>55457</v>
      </c>
      <c r="B458" s="8">
        <f>12.2098 * CHOOSE(CONTROL!$C$15, $D$11, 100%, $F$11)</f>
        <v>12.2098</v>
      </c>
      <c r="C458" s="8">
        <f>12.2152 * CHOOSE(CONTROL!$C$15, $D$11, 100%, $F$11)</f>
        <v>12.215199999999999</v>
      </c>
      <c r="D458" s="8">
        <f>12.2587 * CHOOSE( CONTROL!$C$15, $D$11, 100%, $F$11)</f>
        <v>12.258699999999999</v>
      </c>
      <c r="E458" s="12">
        <f>12.2438 * CHOOSE( CONTROL!$C$15, $D$11, 100%, $F$11)</f>
        <v>12.2438</v>
      </c>
      <c r="F458" s="4">
        <f>12.9546 * CHOOSE(CONTROL!$C$15, $D$11, 100%, $F$11)</f>
        <v>12.954599999999999</v>
      </c>
      <c r="G458" s="8">
        <f>12.0746 * CHOOSE( CONTROL!$C$15, $D$11, 100%, $F$11)</f>
        <v>12.0746</v>
      </c>
      <c r="H458" s="4">
        <f>13.0495 * CHOOSE(CONTROL!$C$15, $D$11, 100%, $F$11)</f>
        <v>13.0495</v>
      </c>
      <c r="I458" s="8">
        <f>11.9908 * CHOOSE(CONTROL!$C$15, $D$11, 100%, $F$11)</f>
        <v>11.9908</v>
      </c>
      <c r="J458" s="4">
        <f>11.8405 * CHOOSE(CONTROL!$C$15, $D$11, 100%, $F$11)</f>
        <v>11.8405</v>
      </c>
      <c r="K458" s="4"/>
      <c r="L458" s="9">
        <v>31.095300000000002</v>
      </c>
      <c r="M458" s="9">
        <v>12.063700000000001</v>
      </c>
      <c r="N458" s="9">
        <v>4.9444999999999997</v>
      </c>
      <c r="O458" s="9">
        <v>0.37409999999999999</v>
      </c>
      <c r="P458" s="9">
        <v>1.2183999999999999</v>
      </c>
      <c r="Q458" s="9">
        <v>20.007999999999999</v>
      </c>
      <c r="R458" s="9"/>
      <c r="S458" s="11"/>
    </row>
    <row r="459" spans="1:19" ht="15.75">
      <c r="A459" s="13">
        <v>55487</v>
      </c>
      <c r="B459" s="8">
        <f>13.1673 * CHOOSE(CONTROL!$C$15, $D$11, 100%, $F$11)</f>
        <v>13.167299999999999</v>
      </c>
      <c r="C459" s="8">
        <f>13.1724 * CHOOSE(CONTROL!$C$15, $D$11, 100%, $F$11)</f>
        <v>13.1724</v>
      </c>
      <c r="D459" s="8">
        <f>13.156 * CHOOSE( CONTROL!$C$15, $D$11, 100%, $F$11)</f>
        <v>13.156000000000001</v>
      </c>
      <c r="E459" s="12">
        <f>13.1615 * CHOOSE( CONTROL!$C$15, $D$11, 100%, $F$11)</f>
        <v>13.1615</v>
      </c>
      <c r="F459" s="4">
        <f>13.8326 * CHOOSE(CONTROL!$C$15, $D$11, 100%, $F$11)</f>
        <v>13.832599999999999</v>
      </c>
      <c r="G459" s="8">
        <f>13.0218 * CHOOSE( CONTROL!$C$15, $D$11, 100%, $F$11)</f>
        <v>13.021800000000001</v>
      </c>
      <c r="H459" s="4">
        <f>13.9172 * CHOOSE(CONTROL!$C$15, $D$11, 100%, $F$11)</f>
        <v>13.917199999999999</v>
      </c>
      <c r="I459" s="8">
        <f>12.921 * CHOOSE(CONTROL!$C$15, $D$11, 100%, $F$11)</f>
        <v>12.920999999999999</v>
      </c>
      <c r="J459" s="4">
        <f>12.7701 * CHOOSE(CONTROL!$C$15, $D$11, 100%, $F$11)</f>
        <v>12.770099999999999</v>
      </c>
      <c r="K459" s="4"/>
      <c r="L459" s="9">
        <v>28.360600000000002</v>
      </c>
      <c r="M459" s="9">
        <v>11.6745</v>
      </c>
      <c r="N459" s="9">
        <v>4.7850000000000001</v>
      </c>
      <c r="O459" s="9">
        <v>0.36199999999999999</v>
      </c>
      <c r="P459" s="9">
        <v>1.2509999999999999</v>
      </c>
      <c r="Q459" s="9">
        <v>19.3626</v>
      </c>
      <c r="R459" s="9"/>
      <c r="S459" s="11"/>
    </row>
    <row r="460" spans="1:19" ht="15.75">
      <c r="A460" s="13">
        <v>55518</v>
      </c>
      <c r="B460" s="8">
        <f>13.1434 * CHOOSE(CONTROL!$C$15, $D$11, 100%, $F$11)</f>
        <v>13.1434</v>
      </c>
      <c r="C460" s="8">
        <f>13.1484 * CHOOSE(CONTROL!$C$15, $D$11, 100%, $F$11)</f>
        <v>13.148400000000001</v>
      </c>
      <c r="D460" s="8">
        <f>13.1338 * CHOOSE( CONTROL!$C$15, $D$11, 100%, $F$11)</f>
        <v>13.133800000000001</v>
      </c>
      <c r="E460" s="12">
        <f>13.1386 * CHOOSE( CONTROL!$C$15, $D$11, 100%, $F$11)</f>
        <v>13.1386</v>
      </c>
      <c r="F460" s="4">
        <f>13.8086 * CHOOSE(CONTROL!$C$15, $D$11, 100%, $F$11)</f>
        <v>13.8086</v>
      </c>
      <c r="G460" s="8">
        <f>12.9994 * CHOOSE( CONTROL!$C$15, $D$11, 100%, $F$11)</f>
        <v>12.9994</v>
      </c>
      <c r="H460" s="4">
        <f>13.8936 * CHOOSE(CONTROL!$C$15, $D$11, 100%, $F$11)</f>
        <v>13.893599999999999</v>
      </c>
      <c r="I460" s="8">
        <f>12.9031 * CHOOSE(CONTROL!$C$15, $D$11, 100%, $F$11)</f>
        <v>12.9031</v>
      </c>
      <c r="J460" s="4">
        <f>12.7469 * CHOOSE(CONTROL!$C$15, $D$11, 100%, $F$11)</f>
        <v>12.7469</v>
      </c>
      <c r="K460" s="4"/>
      <c r="L460" s="9">
        <v>29.306000000000001</v>
      </c>
      <c r="M460" s="9">
        <v>12.063700000000001</v>
      </c>
      <c r="N460" s="9">
        <v>4.9444999999999997</v>
      </c>
      <c r="O460" s="9">
        <v>0.37409999999999999</v>
      </c>
      <c r="P460" s="9">
        <v>1.2927</v>
      </c>
      <c r="Q460" s="9">
        <v>20.007999999999999</v>
      </c>
      <c r="R460" s="9"/>
      <c r="S460" s="11"/>
    </row>
    <row r="461" spans="1:19" ht="15.75">
      <c r="A461" s="13">
        <v>55549</v>
      </c>
      <c r="B461" s="8">
        <f>13.5308 * CHOOSE(CONTROL!$C$15, $D$11, 100%, $F$11)</f>
        <v>13.530799999999999</v>
      </c>
      <c r="C461" s="8">
        <f>13.5359 * CHOOSE(CONTROL!$C$15, $D$11, 100%, $F$11)</f>
        <v>13.5359</v>
      </c>
      <c r="D461" s="8">
        <f>13.507 * CHOOSE( CONTROL!$C$15, $D$11, 100%, $F$11)</f>
        <v>13.507</v>
      </c>
      <c r="E461" s="12">
        <f>13.517 * CHOOSE( CONTROL!$C$15, $D$11, 100%, $F$11)</f>
        <v>13.516999999999999</v>
      </c>
      <c r="F461" s="4">
        <f>14.1961 * CHOOSE(CONTROL!$C$15, $D$11, 100%, $F$11)</f>
        <v>14.196099999999999</v>
      </c>
      <c r="G461" s="8">
        <f>13.372 * CHOOSE( CONTROL!$C$15, $D$11, 100%, $F$11)</f>
        <v>13.372</v>
      </c>
      <c r="H461" s="4">
        <f>14.2765 * CHOOSE(CONTROL!$C$15, $D$11, 100%, $F$11)</f>
        <v>14.2765</v>
      </c>
      <c r="I461" s="8">
        <f>13.2739 * CHOOSE(CONTROL!$C$15, $D$11, 100%, $F$11)</f>
        <v>13.273899999999999</v>
      </c>
      <c r="J461" s="4">
        <f>13.1229 * CHOOSE(CONTROL!$C$15, $D$11, 100%, $F$11)</f>
        <v>13.1229</v>
      </c>
      <c r="K461" s="4"/>
      <c r="L461" s="9">
        <v>29.306000000000001</v>
      </c>
      <c r="M461" s="9">
        <v>12.063700000000001</v>
      </c>
      <c r="N461" s="9">
        <v>4.9444999999999997</v>
      </c>
      <c r="O461" s="9">
        <v>0.37409999999999999</v>
      </c>
      <c r="P461" s="9">
        <v>1.2927</v>
      </c>
      <c r="Q461" s="9">
        <v>19.942900000000002</v>
      </c>
      <c r="R461" s="9"/>
      <c r="S461" s="11"/>
    </row>
    <row r="462" spans="1:19" ht="15.75">
      <c r="A462" s="13">
        <v>55577</v>
      </c>
      <c r="B462" s="8">
        <f>12.6566 * CHOOSE(CONTROL!$C$15, $D$11, 100%, $F$11)</f>
        <v>12.656599999999999</v>
      </c>
      <c r="C462" s="8">
        <f>12.6617 * CHOOSE(CONTROL!$C$15, $D$11, 100%, $F$11)</f>
        <v>12.6617</v>
      </c>
      <c r="D462" s="8">
        <f>12.6328 * CHOOSE( CONTROL!$C$15, $D$11, 100%, $F$11)</f>
        <v>12.6328</v>
      </c>
      <c r="E462" s="12">
        <f>12.6428 * CHOOSE( CONTROL!$C$15, $D$11, 100%, $F$11)</f>
        <v>12.642799999999999</v>
      </c>
      <c r="F462" s="4">
        <f>13.3219 * CHOOSE(CONTROL!$C$15, $D$11, 100%, $F$11)</f>
        <v>13.321899999999999</v>
      </c>
      <c r="G462" s="8">
        <f>12.5081 * CHOOSE( CONTROL!$C$15, $D$11, 100%, $F$11)</f>
        <v>12.508100000000001</v>
      </c>
      <c r="H462" s="4">
        <f>13.4125 * CHOOSE(CONTROL!$C$15, $D$11, 100%, $F$11)</f>
        <v>13.4125</v>
      </c>
      <c r="I462" s="8">
        <f>12.4251 * CHOOSE(CONTROL!$C$15, $D$11, 100%, $F$11)</f>
        <v>12.4251</v>
      </c>
      <c r="J462" s="4">
        <f>12.2745 * CHOOSE(CONTROL!$C$15, $D$11, 100%, $F$11)</f>
        <v>12.2745</v>
      </c>
      <c r="K462" s="4"/>
      <c r="L462" s="9">
        <v>27.415299999999998</v>
      </c>
      <c r="M462" s="9">
        <v>11.285299999999999</v>
      </c>
      <c r="N462" s="9">
        <v>4.6254999999999997</v>
      </c>
      <c r="O462" s="9">
        <v>0.34989999999999999</v>
      </c>
      <c r="P462" s="9">
        <v>1.2093</v>
      </c>
      <c r="Q462" s="9">
        <v>18.656300000000002</v>
      </c>
      <c r="R462" s="9"/>
      <c r="S462" s="11"/>
    </row>
    <row r="463" spans="1:19" ht="15.75">
      <c r="A463" s="13">
        <v>55609</v>
      </c>
      <c r="B463" s="8">
        <f>12.3874 * CHOOSE(CONTROL!$C$15, $D$11, 100%, $F$11)</f>
        <v>12.3874</v>
      </c>
      <c r="C463" s="8">
        <f>12.3925 * CHOOSE(CONTROL!$C$15, $D$11, 100%, $F$11)</f>
        <v>12.3925</v>
      </c>
      <c r="D463" s="8">
        <f>12.3632 * CHOOSE( CONTROL!$C$15, $D$11, 100%, $F$11)</f>
        <v>12.363200000000001</v>
      </c>
      <c r="E463" s="12">
        <f>12.3734 * CHOOSE( CONTROL!$C$15, $D$11, 100%, $F$11)</f>
        <v>12.3734</v>
      </c>
      <c r="F463" s="4">
        <f>13.0527 * CHOOSE(CONTROL!$C$15, $D$11, 100%, $F$11)</f>
        <v>13.0527</v>
      </c>
      <c r="G463" s="8">
        <f>12.2417 * CHOOSE( CONTROL!$C$15, $D$11, 100%, $F$11)</f>
        <v>12.2417</v>
      </c>
      <c r="H463" s="4">
        <f>13.1464 * CHOOSE(CONTROL!$C$15, $D$11, 100%, $F$11)</f>
        <v>13.1464</v>
      </c>
      <c r="I463" s="8">
        <f>12.1624 * CHOOSE(CONTROL!$C$15, $D$11, 100%, $F$11)</f>
        <v>12.1624</v>
      </c>
      <c r="J463" s="4">
        <f>12.0132 * CHOOSE(CONTROL!$C$15, $D$11, 100%, $F$11)</f>
        <v>12.013199999999999</v>
      </c>
      <c r="K463" s="4"/>
      <c r="L463" s="9">
        <v>29.306000000000001</v>
      </c>
      <c r="M463" s="9">
        <v>12.063700000000001</v>
      </c>
      <c r="N463" s="9">
        <v>4.9444999999999997</v>
      </c>
      <c r="O463" s="9">
        <v>0.37409999999999999</v>
      </c>
      <c r="P463" s="9">
        <v>1.2927</v>
      </c>
      <c r="Q463" s="9">
        <v>19.942900000000002</v>
      </c>
      <c r="R463" s="9"/>
      <c r="S463" s="11"/>
    </row>
    <row r="464" spans="1:19" ht="15.75">
      <c r="A464" s="13">
        <v>55639</v>
      </c>
      <c r="B464" s="8">
        <f>12.5763 * CHOOSE(CONTROL!$C$15, $D$11, 100%, $F$11)</f>
        <v>12.5763</v>
      </c>
      <c r="C464" s="8">
        <f>12.5808 * CHOOSE(CONTROL!$C$15, $D$11, 100%, $F$11)</f>
        <v>12.5808</v>
      </c>
      <c r="D464" s="8">
        <f>12.6242 * CHOOSE( CONTROL!$C$15, $D$11, 100%, $F$11)</f>
        <v>12.6242</v>
      </c>
      <c r="E464" s="12">
        <f>12.6094 * CHOOSE( CONTROL!$C$15, $D$11, 100%, $F$11)</f>
        <v>12.609400000000001</v>
      </c>
      <c r="F464" s="4">
        <f>13.3207 * CHOOSE(CONTROL!$C$15, $D$11, 100%, $F$11)</f>
        <v>13.3207</v>
      </c>
      <c r="G464" s="8">
        <f>12.4355 * CHOOSE( CONTROL!$C$15, $D$11, 100%, $F$11)</f>
        <v>12.435499999999999</v>
      </c>
      <c r="H464" s="4">
        <f>13.4113 * CHOOSE(CONTROL!$C$15, $D$11, 100%, $F$11)</f>
        <v>13.411300000000001</v>
      </c>
      <c r="I464" s="8">
        <f>12.3433 * CHOOSE(CONTROL!$C$15, $D$11, 100%, $F$11)</f>
        <v>12.343299999999999</v>
      </c>
      <c r="J464" s="4">
        <f>12.1958 * CHOOSE(CONTROL!$C$15, $D$11, 100%, $F$11)</f>
        <v>12.1958</v>
      </c>
      <c r="K464" s="4"/>
      <c r="L464" s="9">
        <v>30.092199999999998</v>
      </c>
      <c r="M464" s="9">
        <v>11.6745</v>
      </c>
      <c r="N464" s="9">
        <v>4.7850000000000001</v>
      </c>
      <c r="O464" s="9">
        <v>0.36199999999999999</v>
      </c>
      <c r="P464" s="9">
        <v>1.1791</v>
      </c>
      <c r="Q464" s="9">
        <v>19.299600000000002</v>
      </c>
      <c r="R464" s="9"/>
      <c r="S464" s="11"/>
    </row>
    <row r="465" spans="1:19" ht="15.75">
      <c r="A465" s="13">
        <v>55670</v>
      </c>
      <c r="B465" s="8">
        <f>CHOOSE( CONTROL!$C$32, 12.9161, 12.9125) * CHOOSE(CONTROL!$C$15, $D$11, 100%, $F$11)</f>
        <v>12.9161</v>
      </c>
      <c r="C465" s="8">
        <f>CHOOSE( CONTROL!$C$32, 12.9241, 12.9205) * CHOOSE(CONTROL!$C$15, $D$11, 100%, $F$11)</f>
        <v>12.924099999999999</v>
      </c>
      <c r="D465" s="8">
        <f>CHOOSE( CONTROL!$C$32, 12.9618, 12.9582) * CHOOSE( CONTROL!$C$15, $D$11, 100%, $F$11)</f>
        <v>12.9618</v>
      </c>
      <c r="E465" s="12">
        <f>CHOOSE( CONTROL!$C$32, 12.9469, 12.9433) * CHOOSE( CONTROL!$C$15, $D$11, 100%, $F$11)</f>
        <v>12.946899999999999</v>
      </c>
      <c r="F465" s="4">
        <f>CHOOSE( CONTROL!$C$32, 13.6591, 13.6555) * CHOOSE(CONTROL!$C$15, $D$11, 100%, $F$11)</f>
        <v>13.6591</v>
      </c>
      <c r="G465" s="8">
        <f>CHOOSE( CONTROL!$C$32, 12.7708, 12.7672) * CHOOSE( CONTROL!$C$15, $D$11, 100%, $F$11)</f>
        <v>12.770799999999999</v>
      </c>
      <c r="H465" s="4">
        <f>CHOOSE( CONTROL!$C$32, 13.7458, 13.7422) * CHOOSE(CONTROL!$C$15, $D$11, 100%, $F$11)</f>
        <v>13.745799999999999</v>
      </c>
      <c r="I465" s="8">
        <f>CHOOSE( CONTROL!$C$32, 12.6721, 12.6686) * CHOOSE(CONTROL!$C$15, $D$11, 100%, $F$11)</f>
        <v>12.6721</v>
      </c>
      <c r="J465" s="4">
        <f>CHOOSE( CONTROL!$C$32, 12.5243, 12.5208) * CHOOSE(CONTROL!$C$15, $D$11, 100%, $F$11)</f>
        <v>12.5243</v>
      </c>
      <c r="K465" s="4"/>
      <c r="L465" s="9">
        <v>30.7165</v>
      </c>
      <c r="M465" s="9">
        <v>12.063700000000001</v>
      </c>
      <c r="N465" s="9">
        <v>4.9444999999999997</v>
      </c>
      <c r="O465" s="9">
        <v>0.37409999999999999</v>
      </c>
      <c r="P465" s="9">
        <v>1.2183999999999999</v>
      </c>
      <c r="Q465" s="9">
        <v>19.942900000000002</v>
      </c>
      <c r="R465" s="9"/>
      <c r="S465" s="11"/>
    </row>
    <row r="466" spans="1:19" ht="15.75">
      <c r="A466" s="13">
        <v>55700</v>
      </c>
      <c r="B466" s="8">
        <f>CHOOSE( CONTROL!$C$32, 12.7087, 12.7051) * CHOOSE(CONTROL!$C$15, $D$11, 100%, $F$11)</f>
        <v>12.7087</v>
      </c>
      <c r="C466" s="8">
        <f>CHOOSE( CONTROL!$C$32, 12.7167, 12.713) * CHOOSE(CONTROL!$C$15, $D$11, 100%, $F$11)</f>
        <v>12.716699999999999</v>
      </c>
      <c r="D466" s="8">
        <f>CHOOSE( CONTROL!$C$32, 12.7546, 12.751) * CHOOSE( CONTROL!$C$15, $D$11, 100%, $F$11)</f>
        <v>12.7546</v>
      </c>
      <c r="E466" s="12">
        <f>CHOOSE( CONTROL!$C$32, 12.7396, 12.736) * CHOOSE( CONTROL!$C$15, $D$11, 100%, $F$11)</f>
        <v>12.739599999999999</v>
      </c>
      <c r="F466" s="4">
        <f>CHOOSE( CONTROL!$C$32, 13.4517, 13.4481) * CHOOSE(CONTROL!$C$15, $D$11, 100%, $F$11)</f>
        <v>13.451700000000001</v>
      </c>
      <c r="G466" s="8">
        <f>CHOOSE( CONTROL!$C$32, 12.5661, 12.5625) * CHOOSE( CONTROL!$C$15, $D$11, 100%, $F$11)</f>
        <v>12.5661</v>
      </c>
      <c r="H466" s="4">
        <f>CHOOSE( CONTROL!$C$32, 13.5408, 13.5372) * CHOOSE(CONTROL!$C$15, $D$11, 100%, $F$11)</f>
        <v>13.540800000000001</v>
      </c>
      <c r="I466" s="8">
        <f>CHOOSE( CONTROL!$C$32, 12.4717, 12.4682) * CHOOSE(CONTROL!$C$15, $D$11, 100%, $F$11)</f>
        <v>12.4717</v>
      </c>
      <c r="J466" s="4">
        <f>CHOOSE( CONTROL!$C$32, 12.323, 12.3194) * CHOOSE(CONTROL!$C$15, $D$11, 100%, $F$11)</f>
        <v>12.323</v>
      </c>
      <c r="K466" s="4"/>
      <c r="L466" s="9">
        <v>29.7257</v>
      </c>
      <c r="M466" s="9">
        <v>11.6745</v>
      </c>
      <c r="N466" s="9">
        <v>4.7850000000000001</v>
      </c>
      <c r="O466" s="9">
        <v>0.36199999999999999</v>
      </c>
      <c r="P466" s="9">
        <v>1.1791</v>
      </c>
      <c r="Q466" s="9">
        <v>19.299600000000002</v>
      </c>
      <c r="R466" s="9"/>
      <c r="S466" s="11"/>
    </row>
    <row r="467" spans="1:19" ht="15.75">
      <c r="A467" s="13">
        <v>55731</v>
      </c>
      <c r="B467" s="8">
        <f>CHOOSE( CONTROL!$C$32, 13.2549, 13.2513) * CHOOSE(CONTROL!$C$15, $D$11, 100%, $F$11)</f>
        <v>13.254899999999999</v>
      </c>
      <c r="C467" s="8">
        <f>CHOOSE( CONTROL!$C$32, 13.2629, 13.2593) * CHOOSE(CONTROL!$C$15, $D$11, 100%, $F$11)</f>
        <v>13.2629</v>
      </c>
      <c r="D467" s="8">
        <f>CHOOSE( CONTROL!$C$32, 13.3011, 13.2975) * CHOOSE( CONTROL!$C$15, $D$11, 100%, $F$11)</f>
        <v>13.3011</v>
      </c>
      <c r="E467" s="12">
        <f>CHOOSE( CONTROL!$C$32, 13.286, 13.2824) * CHOOSE( CONTROL!$C$15, $D$11, 100%, $F$11)</f>
        <v>13.286</v>
      </c>
      <c r="F467" s="4">
        <f>CHOOSE( CONTROL!$C$32, 13.9979, 13.9943) * CHOOSE(CONTROL!$C$15, $D$11, 100%, $F$11)</f>
        <v>13.9979</v>
      </c>
      <c r="G467" s="8">
        <f>CHOOSE( CONTROL!$C$32, 13.1063, 13.1027) * CHOOSE( CONTROL!$C$15, $D$11, 100%, $F$11)</f>
        <v>13.106299999999999</v>
      </c>
      <c r="H467" s="4">
        <f>CHOOSE( CONTROL!$C$32, 14.0807, 14.0771) * CHOOSE(CONTROL!$C$15, $D$11, 100%, $F$11)</f>
        <v>14.0807</v>
      </c>
      <c r="I467" s="8">
        <f>CHOOSE( CONTROL!$C$32, 13.0032, 12.9997) * CHOOSE(CONTROL!$C$15, $D$11, 100%, $F$11)</f>
        <v>13.0032</v>
      </c>
      <c r="J467" s="4">
        <f>CHOOSE( CONTROL!$C$32, 12.8531, 12.8496) * CHOOSE(CONTROL!$C$15, $D$11, 100%, $F$11)</f>
        <v>12.8531</v>
      </c>
      <c r="K467" s="4"/>
      <c r="L467" s="9">
        <v>30.7165</v>
      </c>
      <c r="M467" s="9">
        <v>12.063700000000001</v>
      </c>
      <c r="N467" s="9">
        <v>4.9444999999999997</v>
      </c>
      <c r="O467" s="9">
        <v>0.37409999999999999</v>
      </c>
      <c r="P467" s="9">
        <v>1.2183999999999999</v>
      </c>
      <c r="Q467" s="9">
        <v>19.942900000000002</v>
      </c>
      <c r="R467" s="9"/>
      <c r="S467" s="11"/>
    </row>
    <row r="468" spans="1:19" ht="15.75">
      <c r="A468" s="13">
        <v>55762</v>
      </c>
      <c r="B468" s="8">
        <f>CHOOSE( CONTROL!$C$32, 12.2329, 12.2292) * CHOOSE(CONTROL!$C$15, $D$11, 100%, $F$11)</f>
        <v>12.232900000000001</v>
      </c>
      <c r="C468" s="8">
        <f>CHOOSE( CONTROL!$C$32, 12.2409, 12.2372) * CHOOSE(CONTROL!$C$15, $D$11, 100%, $F$11)</f>
        <v>12.2409</v>
      </c>
      <c r="D468" s="8">
        <f>CHOOSE( CONTROL!$C$32, 12.2791, 12.2755) * CHOOSE( CONTROL!$C$15, $D$11, 100%, $F$11)</f>
        <v>12.2791</v>
      </c>
      <c r="E468" s="12">
        <f>CHOOSE( CONTROL!$C$32, 12.264, 12.2604) * CHOOSE( CONTROL!$C$15, $D$11, 100%, $F$11)</f>
        <v>12.263999999999999</v>
      </c>
      <c r="F468" s="4">
        <f>CHOOSE( CONTROL!$C$32, 12.9759, 12.9723) * CHOOSE(CONTROL!$C$15, $D$11, 100%, $F$11)</f>
        <v>12.975899999999999</v>
      </c>
      <c r="G468" s="8">
        <f>CHOOSE( CONTROL!$C$32, 12.0963, 12.0927) * CHOOSE( CONTROL!$C$15, $D$11, 100%, $F$11)</f>
        <v>12.096299999999999</v>
      </c>
      <c r="H468" s="4">
        <f>CHOOSE( CONTROL!$C$32, 13.0706, 13.067) * CHOOSE(CONTROL!$C$15, $D$11, 100%, $F$11)</f>
        <v>13.070600000000001</v>
      </c>
      <c r="I468" s="8">
        <f>CHOOSE( CONTROL!$C$32, 12.0111, 12.0076) * CHOOSE(CONTROL!$C$15, $D$11, 100%, $F$11)</f>
        <v>12.011100000000001</v>
      </c>
      <c r="J468" s="4">
        <f>CHOOSE( CONTROL!$C$32, 11.8612, 11.8577) * CHOOSE(CONTROL!$C$15, $D$11, 100%, $F$11)</f>
        <v>11.8612</v>
      </c>
      <c r="K468" s="4"/>
      <c r="L468" s="9">
        <v>30.7165</v>
      </c>
      <c r="M468" s="9">
        <v>12.063700000000001</v>
      </c>
      <c r="N468" s="9">
        <v>4.9444999999999997</v>
      </c>
      <c r="O468" s="9">
        <v>0.37409999999999999</v>
      </c>
      <c r="P468" s="9">
        <v>1.2183999999999999</v>
      </c>
      <c r="Q468" s="9">
        <v>19.942900000000002</v>
      </c>
      <c r="R468" s="9"/>
      <c r="S468" s="11"/>
    </row>
    <row r="469" spans="1:19" ht="15.75">
      <c r="A469" s="13">
        <v>55792</v>
      </c>
      <c r="B469" s="8">
        <f>CHOOSE( CONTROL!$C$32, 11.977, 11.9733) * CHOOSE(CONTROL!$C$15, $D$11, 100%, $F$11)</f>
        <v>11.977</v>
      </c>
      <c r="C469" s="8">
        <f>CHOOSE( CONTROL!$C$32, 11.9849, 11.9813) * CHOOSE(CONTROL!$C$15, $D$11, 100%, $F$11)</f>
        <v>11.9849</v>
      </c>
      <c r="D469" s="8">
        <f>CHOOSE( CONTROL!$C$32, 12.0231, 12.0195) * CHOOSE( CONTROL!$C$15, $D$11, 100%, $F$11)</f>
        <v>12.023099999999999</v>
      </c>
      <c r="E469" s="12">
        <f>CHOOSE( CONTROL!$C$32, 12.0081, 12.0044) * CHOOSE( CONTROL!$C$15, $D$11, 100%, $F$11)</f>
        <v>12.008100000000001</v>
      </c>
      <c r="F469" s="4">
        <f>CHOOSE( CONTROL!$C$32, 12.72, 12.7163) * CHOOSE(CONTROL!$C$15, $D$11, 100%, $F$11)</f>
        <v>12.72</v>
      </c>
      <c r="G469" s="8">
        <f>CHOOSE( CONTROL!$C$32, 11.8433, 11.8397) * CHOOSE( CONTROL!$C$15, $D$11, 100%, $F$11)</f>
        <v>11.843299999999999</v>
      </c>
      <c r="H469" s="4">
        <f>CHOOSE( CONTROL!$C$32, 12.8176, 12.814) * CHOOSE(CONTROL!$C$15, $D$11, 100%, $F$11)</f>
        <v>12.817600000000001</v>
      </c>
      <c r="I469" s="8">
        <f>CHOOSE( CONTROL!$C$32, 11.7623, 11.7587) * CHOOSE(CONTROL!$C$15, $D$11, 100%, $F$11)</f>
        <v>11.7623</v>
      </c>
      <c r="J469" s="4">
        <f>CHOOSE( CONTROL!$C$32, 11.6128, 11.6093) * CHOOSE(CONTROL!$C$15, $D$11, 100%, $F$11)</f>
        <v>11.6128</v>
      </c>
      <c r="K469" s="4"/>
      <c r="L469" s="9">
        <v>29.7257</v>
      </c>
      <c r="M469" s="9">
        <v>11.6745</v>
      </c>
      <c r="N469" s="9">
        <v>4.7850000000000001</v>
      </c>
      <c r="O469" s="9">
        <v>0.36199999999999999</v>
      </c>
      <c r="P469" s="9">
        <v>1.1791</v>
      </c>
      <c r="Q469" s="9">
        <v>19.299600000000002</v>
      </c>
      <c r="R469" s="9"/>
      <c r="S469" s="11"/>
    </row>
    <row r="470" spans="1:19" ht="15.75">
      <c r="A470" s="13">
        <v>55823</v>
      </c>
      <c r="B470" s="8">
        <f>12.503 * CHOOSE(CONTROL!$C$15, $D$11, 100%, $F$11)</f>
        <v>12.503</v>
      </c>
      <c r="C470" s="8">
        <f>12.5083 * CHOOSE(CONTROL!$C$15, $D$11, 100%, $F$11)</f>
        <v>12.5083</v>
      </c>
      <c r="D470" s="8">
        <f>12.5518 * CHOOSE( CONTROL!$C$15, $D$11, 100%, $F$11)</f>
        <v>12.5518</v>
      </c>
      <c r="E470" s="12">
        <f>12.5369 * CHOOSE( CONTROL!$C$15, $D$11, 100%, $F$11)</f>
        <v>12.536899999999999</v>
      </c>
      <c r="F470" s="4">
        <f>13.2477 * CHOOSE(CONTROL!$C$15, $D$11, 100%, $F$11)</f>
        <v>13.2477</v>
      </c>
      <c r="G470" s="8">
        <f>12.3643 * CHOOSE( CONTROL!$C$15, $D$11, 100%, $F$11)</f>
        <v>12.3643</v>
      </c>
      <c r="H470" s="4">
        <f>13.3392 * CHOOSE(CONTROL!$C$15, $D$11, 100%, $F$11)</f>
        <v>13.3392</v>
      </c>
      <c r="I470" s="8">
        <f>12.2755 * CHOOSE(CONTROL!$C$15, $D$11, 100%, $F$11)</f>
        <v>12.275499999999999</v>
      </c>
      <c r="J470" s="4">
        <f>12.125 * CHOOSE(CONTROL!$C$15, $D$11, 100%, $F$11)</f>
        <v>12.125</v>
      </c>
      <c r="K470" s="4"/>
      <c r="L470" s="9">
        <v>31.095300000000002</v>
      </c>
      <c r="M470" s="9">
        <v>12.063700000000001</v>
      </c>
      <c r="N470" s="9">
        <v>4.9444999999999997</v>
      </c>
      <c r="O470" s="9">
        <v>0.37409999999999999</v>
      </c>
      <c r="P470" s="9">
        <v>1.2183999999999999</v>
      </c>
      <c r="Q470" s="9">
        <v>19.942900000000002</v>
      </c>
      <c r="R470" s="9"/>
      <c r="S470" s="11"/>
    </row>
    <row r="471" spans="1:19" ht="15.75">
      <c r="A471" s="13">
        <v>55853</v>
      </c>
      <c r="B471" s="8">
        <f>13.4834 * CHOOSE(CONTROL!$C$15, $D$11, 100%, $F$11)</f>
        <v>13.4834</v>
      </c>
      <c r="C471" s="8">
        <f>13.4885 * CHOOSE(CONTROL!$C$15, $D$11, 100%, $F$11)</f>
        <v>13.4885</v>
      </c>
      <c r="D471" s="8">
        <f>13.4722 * CHOOSE( CONTROL!$C$15, $D$11, 100%, $F$11)</f>
        <v>13.472200000000001</v>
      </c>
      <c r="E471" s="12">
        <f>13.4776 * CHOOSE( CONTROL!$C$15, $D$11, 100%, $F$11)</f>
        <v>13.477600000000001</v>
      </c>
      <c r="F471" s="4">
        <f>14.1487 * CHOOSE(CONTROL!$C$15, $D$11, 100%, $F$11)</f>
        <v>14.1487</v>
      </c>
      <c r="G471" s="8">
        <f>13.3343 * CHOOSE( CONTROL!$C$15, $D$11, 100%, $F$11)</f>
        <v>13.334300000000001</v>
      </c>
      <c r="H471" s="4">
        <f>14.2297 * CHOOSE(CONTROL!$C$15, $D$11, 100%, $F$11)</f>
        <v>14.229699999999999</v>
      </c>
      <c r="I471" s="8">
        <f>13.228 * CHOOSE(CONTROL!$C$15, $D$11, 100%, $F$11)</f>
        <v>13.228</v>
      </c>
      <c r="J471" s="4">
        <f>13.0769 * CHOOSE(CONTROL!$C$15, $D$11, 100%, $F$11)</f>
        <v>13.0769</v>
      </c>
      <c r="K471" s="4"/>
      <c r="L471" s="9">
        <v>28.360600000000002</v>
      </c>
      <c r="M471" s="9">
        <v>11.6745</v>
      </c>
      <c r="N471" s="9">
        <v>4.7850000000000001</v>
      </c>
      <c r="O471" s="9">
        <v>0.36199999999999999</v>
      </c>
      <c r="P471" s="9">
        <v>1.2509999999999999</v>
      </c>
      <c r="Q471" s="9">
        <v>19.299600000000002</v>
      </c>
      <c r="R471" s="9"/>
      <c r="S471" s="11"/>
    </row>
    <row r="472" spans="1:19" ht="15.75">
      <c r="A472" s="13">
        <v>55884</v>
      </c>
      <c r="B472" s="8">
        <f>13.4589 * CHOOSE(CONTROL!$C$15, $D$11, 100%, $F$11)</f>
        <v>13.4589</v>
      </c>
      <c r="C472" s="8">
        <f>13.464 * CHOOSE(CONTROL!$C$15, $D$11, 100%, $F$11)</f>
        <v>13.464</v>
      </c>
      <c r="D472" s="8">
        <f>13.4494 * CHOOSE( CONTROL!$C$15, $D$11, 100%, $F$11)</f>
        <v>13.449400000000001</v>
      </c>
      <c r="E472" s="12">
        <f>13.4542 * CHOOSE( CONTROL!$C$15, $D$11, 100%, $F$11)</f>
        <v>13.4542</v>
      </c>
      <c r="F472" s="4">
        <f>14.1242 * CHOOSE(CONTROL!$C$15, $D$11, 100%, $F$11)</f>
        <v>14.1242</v>
      </c>
      <c r="G472" s="8">
        <f>13.3113 * CHOOSE( CONTROL!$C$15, $D$11, 100%, $F$11)</f>
        <v>13.311299999999999</v>
      </c>
      <c r="H472" s="4">
        <f>14.2055 * CHOOSE(CONTROL!$C$15, $D$11, 100%, $F$11)</f>
        <v>14.205500000000001</v>
      </c>
      <c r="I472" s="8">
        <f>13.2096 * CHOOSE(CONTROL!$C$15, $D$11, 100%, $F$11)</f>
        <v>13.2096</v>
      </c>
      <c r="J472" s="4">
        <f>13.0531 * CHOOSE(CONTROL!$C$15, $D$11, 100%, $F$11)</f>
        <v>13.053100000000001</v>
      </c>
      <c r="K472" s="4"/>
      <c r="L472" s="9">
        <v>29.306000000000001</v>
      </c>
      <c r="M472" s="9">
        <v>12.063700000000001</v>
      </c>
      <c r="N472" s="9">
        <v>4.9444999999999997</v>
      </c>
      <c r="O472" s="9">
        <v>0.37409999999999999</v>
      </c>
      <c r="P472" s="9">
        <v>1.2927</v>
      </c>
      <c r="Q472" s="9">
        <v>19.942900000000002</v>
      </c>
      <c r="R472" s="9"/>
      <c r="S472" s="11"/>
    </row>
    <row r="473" spans="1:19" ht="15.75">
      <c r="A473" s="13">
        <v>55915</v>
      </c>
      <c r="B473" s="8">
        <f>13.8557 * CHOOSE(CONTROL!$C$15, $D$11, 100%, $F$11)</f>
        <v>13.855700000000001</v>
      </c>
      <c r="C473" s="8">
        <f>13.8607 * CHOOSE(CONTROL!$C$15, $D$11, 100%, $F$11)</f>
        <v>13.8607</v>
      </c>
      <c r="D473" s="8">
        <f>13.8319 * CHOOSE( CONTROL!$C$15, $D$11, 100%, $F$11)</f>
        <v>13.831899999999999</v>
      </c>
      <c r="E473" s="12">
        <f>13.8419 * CHOOSE( CONTROL!$C$15, $D$11, 100%, $F$11)</f>
        <v>13.841900000000001</v>
      </c>
      <c r="F473" s="4">
        <f>14.521 * CHOOSE(CONTROL!$C$15, $D$11, 100%, $F$11)</f>
        <v>14.521000000000001</v>
      </c>
      <c r="G473" s="8">
        <f>13.6931 * CHOOSE( CONTROL!$C$15, $D$11, 100%, $F$11)</f>
        <v>13.693099999999999</v>
      </c>
      <c r="H473" s="4">
        <f>14.5975 * CHOOSE(CONTROL!$C$15, $D$11, 100%, $F$11)</f>
        <v>14.5975</v>
      </c>
      <c r="I473" s="8">
        <f>13.5894 * CHOOSE(CONTROL!$C$15, $D$11, 100%, $F$11)</f>
        <v>13.589399999999999</v>
      </c>
      <c r="J473" s="4">
        <f>13.4382 * CHOOSE(CONTROL!$C$15, $D$11, 100%, $F$11)</f>
        <v>13.4382</v>
      </c>
      <c r="K473" s="4"/>
      <c r="L473" s="9">
        <v>29.306000000000001</v>
      </c>
      <c r="M473" s="9">
        <v>12.063700000000001</v>
      </c>
      <c r="N473" s="9">
        <v>4.9444999999999997</v>
      </c>
      <c r="O473" s="9">
        <v>0.37409999999999999</v>
      </c>
      <c r="P473" s="9">
        <v>1.2927</v>
      </c>
      <c r="Q473" s="9">
        <v>19.877800000000001</v>
      </c>
      <c r="R473" s="9"/>
      <c r="S473" s="11"/>
    </row>
    <row r="474" spans="1:19" ht="15.75">
      <c r="A474" s="13">
        <v>55943</v>
      </c>
      <c r="B474" s="8">
        <f>12.9605 * CHOOSE(CONTROL!$C$15, $D$11, 100%, $F$11)</f>
        <v>12.9605</v>
      </c>
      <c r="C474" s="8">
        <f>12.9656 * CHOOSE(CONTROL!$C$15, $D$11, 100%, $F$11)</f>
        <v>12.9656</v>
      </c>
      <c r="D474" s="8">
        <f>12.9367 * CHOOSE( CONTROL!$C$15, $D$11, 100%, $F$11)</f>
        <v>12.9367</v>
      </c>
      <c r="E474" s="12">
        <f>12.9467 * CHOOSE( CONTROL!$C$15, $D$11, 100%, $F$11)</f>
        <v>12.9467</v>
      </c>
      <c r="F474" s="4">
        <f>13.6258 * CHOOSE(CONTROL!$C$15, $D$11, 100%, $F$11)</f>
        <v>13.6258</v>
      </c>
      <c r="G474" s="8">
        <f>12.8084 * CHOOSE( CONTROL!$C$15, $D$11, 100%, $F$11)</f>
        <v>12.808400000000001</v>
      </c>
      <c r="H474" s="4">
        <f>13.7129 * CHOOSE(CONTROL!$C$15, $D$11, 100%, $F$11)</f>
        <v>13.712899999999999</v>
      </c>
      <c r="I474" s="8">
        <f>12.7202 * CHOOSE(CONTROL!$C$15, $D$11, 100%, $F$11)</f>
        <v>12.7202</v>
      </c>
      <c r="J474" s="4">
        <f>12.5694 * CHOOSE(CONTROL!$C$15, $D$11, 100%, $F$11)</f>
        <v>12.5694</v>
      </c>
      <c r="K474" s="4"/>
      <c r="L474" s="9">
        <v>26.469899999999999</v>
      </c>
      <c r="M474" s="9">
        <v>10.8962</v>
      </c>
      <c r="N474" s="9">
        <v>4.4660000000000002</v>
      </c>
      <c r="O474" s="9">
        <v>0.33789999999999998</v>
      </c>
      <c r="P474" s="9">
        <v>1.1676</v>
      </c>
      <c r="Q474" s="9">
        <v>17.9542</v>
      </c>
      <c r="R474" s="9"/>
      <c r="S474" s="11"/>
    </row>
    <row r="475" spans="1:19" ht="15.75">
      <c r="A475" s="13">
        <v>55974</v>
      </c>
      <c r="B475" s="8">
        <f>12.6848 * CHOOSE(CONTROL!$C$15, $D$11, 100%, $F$11)</f>
        <v>12.684799999999999</v>
      </c>
      <c r="C475" s="8">
        <f>12.6899 * CHOOSE(CONTROL!$C$15, $D$11, 100%, $F$11)</f>
        <v>12.6899</v>
      </c>
      <c r="D475" s="8">
        <f>12.6606 * CHOOSE( CONTROL!$C$15, $D$11, 100%, $F$11)</f>
        <v>12.660600000000001</v>
      </c>
      <c r="E475" s="12">
        <f>12.6708 * CHOOSE( CONTROL!$C$15, $D$11, 100%, $F$11)</f>
        <v>12.6708</v>
      </c>
      <c r="F475" s="4">
        <f>13.3501 * CHOOSE(CONTROL!$C$15, $D$11, 100%, $F$11)</f>
        <v>13.350099999999999</v>
      </c>
      <c r="G475" s="8">
        <f>12.5357 * CHOOSE( CONTROL!$C$15, $D$11, 100%, $F$11)</f>
        <v>12.5357</v>
      </c>
      <c r="H475" s="4">
        <f>13.4404 * CHOOSE(CONTROL!$C$15, $D$11, 100%, $F$11)</f>
        <v>13.4404</v>
      </c>
      <c r="I475" s="8">
        <f>12.4512 * CHOOSE(CONTROL!$C$15, $D$11, 100%, $F$11)</f>
        <v>12.4512</v>
      </c>
      <c r="J475" s="4">
        <f>12.3018 * CHOOSE(CONTROL!$C$15, $D$11, 100%, $F$11)</f>
        <v>12.3018</v>
      </c>
      <c r="K475" s="4"/>
      <c r="L475" s="9">
        <v>29.306000000000001</v>
      </c>
      <c r="M475" s="9">
        <v>12.063700000000001</v>
      </c>
      <c r="N475" s="9">
        <v>4.9444999999999997</v>
      </c>
      <c r="O475" s="9">
        <v>0.37409999999999999</v>
      </c>
      <c r="P475" s="9">
        <v>1.2927</v>
      </c>
      <c r="Q475" s="9">
        <v>19.877800000000001</v>
      </c>
      <c r="R475" s="9"/>
      <c r="S475" s="11"/>
    </row>
    <row r="476" spans="1:19" ht="15.75">
      <c r="A476" s="13">
        <v>56004</v>
      </c>
      <c r="B476" s="8">
        <f>12.8782 * CHOOSE(CONTROL!$C$15, $D$11, 100%, $F$11)</f>
        <v>12.8782</v>
      </c>
      <c r="C476" s="8">
        <f>12.8827 * CHOOSE(CONTROL!$C$15, $D$11, 100%, $F$11)</f>
        <v>12.8827</v>
      </c>
      <c r="D476" s="8">
        <f>12.9261 * CHOOSE( CONTROL!$C$15, $D$11, 100%, $F$11)</f>
        <v>12.9261</v>
      </c>
      <c r="E476" s="12">
        <f>12.9113 * CHOOSE( CONTROL!$C$15, $D$11, 100%, $F$11)</f>
        <v>12.911300000000001</v>
      </c>
      <c r="F476" s="4">
        <f>13.6226 * CHOOSE(CONTROL!$C$15, $D$11, 100%, $F$11)</f>
        <v>13.6226</v>
      </c>
      <c r="G476" s="8">
        <f>12.7339 * CHOOSE( CONTROL!$C$15, $D$11, 100%, $F$11)</f>
        <v>12.7339</v>
      </c>
      <c r="H476" s="4">
        <f>13.7097 * CHOOSE(CONTROL!$C$15, $D$11, 100%, $F$11)</f>
        <v>13.7097</v>
      </c>
      <c r="I476" s="8">
        <f>12.6365 * CHOOSE(CONTROL!$C$15, $D$11, 100%, $F$11)</f>
        <v>12.6365</v>
      </c>
      <c r="J476" s="4">
        <f>12.4888 * CHOOSE(CONTROL!$C$15, $D$11, 100%, $F$11)</f>
        <v>12.488799999999999</v>
      </c>
      <c r="K476" s="4"/>
      <c r="L476" s="9">
        <v>30.092199999999998</v>
      </c>
      <c r="M476" s="9">
        <v>11.6745</v>
      </c>
      <c r="N476" s="9">
        <v>4.7850000000000001</v>
      </c>
      <c r="O476" s="9">
        <v>0.36199999999999999</v>
      </c>
      <c r="P476" s="9">
        <v>1.1791</v>
      </c>
      <c r="Q476" s="9">
        <v>19.236599999999999</v>
      </c>
      <c r="R476" s="9"/>
      <c r="S476" s="11"/>
    </row>
    <row r="477" spans="1:19" ht="15.75">
      <c r="A477" s="13">
        <v>56035</v>
      </c>
      <c r="B477" s="8">
        <f>CHOOSE( CONTROL!$C$32, 13.2261, 13.2225) * CHOOSE(CONTROL!$C$15, $D$11, 100%, $F$11)</f>
        <v>13.226100000000001</v>
      </c>
      <c r="C477" s="8">
        <f>CHOOSE( CONTROL!$C$32, 13.2341, 13.2305) * CHOOSE(CONTROL!$C$15, $D$11, 100%, $F$11)</f>
        <v>13.2341</v>
      </c>
      <c r="D477" s="8">
        <f>CHOOSE( CONTROL!$C$32, 13.2718, 13.2682) * CHOOSE( CONTROL!$C$15, $D$11, 100%, $F$11)</f>
        <v>13.271800000000001</v>
      </c>
      <c r="E477" s="12">
        <f>CHOOSE( CONTROL!$C$32, 13.2569, 13.2533) * CHOOSE( CONTROL!$C$15, $D$11, 100%, $F$11)</f>
        <v>13.2569</v>
      </c>
      <c r="F477" s="4">
        <f>CHOOSE( CONTROL!$C$32, 13.9691, 13.9655) * CHOOSE(CONTROL!$C$15, $D$11, 100%, $F$11)</f>
        <v>13.969099999999999</v>
      </c>
      <c r="G477" s="8">
        <f>CHOOSE( CONTROL!$C$32, 13.0771, 13.0735) * CHOOSE( CONTROL!$C$15, $D$11, 100%, $F$11)</f>
        <v>13.0771</v>
      </c>
      <c r="H477" s="4">
        <f>CHOOSE( CONTROL!$C$32, 14.0522, 14.0486) * CHOOSE(CONTROL!$C$15, $D$11, 100%, $F$11)</f>
        <v>14.052199999999999</v>
      </c>
      <c r="I477" s="8">
        <f>CHOOSE( CONTROL!$C$32, 12.9731, 12.9696) * CHOOSE(CONTROL!$C$15, $D$11, 100%, $F$11)</f>
        <v>12.973100000000001</v>
      </c>
      <c r="J477" s="4">
        <f>CHOOSE( CONTROL!$C$32, 12.8251, 12.8216) * CHOOSE(CONTROL!$C$15, $D$11, 100%, $F$11)</f>
        <v>12.825100000000001</v>
      </c>
      <c r="K477" s="4"/>
      <c r="L477" s="9">
        <v>30.7165</v>
      </c>
      <c r="M477" s="9">
        <v>12.063700000000001</v>
      </c>
      <c r="N477" s="9">
        <v>4.9444999999999997</v>
      </c>
      <c r="O477" s="9">
        <v>0.37409999999999999</v>
      </c>
      <c r="P477" s="9">
        <v>1.2183999999999999</v>
      </c>
      <c r="Q477" s="9">
        <v>19.877800000000001</v>
      </c>
      <c r="R477" s="9"/>
      <c r="S477" s="11"/>
    </row>
    <row r="478" spans="1:19" ht="15.75">
      <c r="A478" s="13">
        <v>56065</v>
      </c>
      <c r="B478" s="8">
        <f>CHOOSE( CONTROL!$C$32, 13.0137, 13.0101) * CHOOSE(CONTROL!$C$15, $D$11, 100%, $F$11)</f>
        <v>13.0137</v>
      </c>
      <c r="C478" s="8">
        <f>CHOOSE( CONTROL!$C$32, 13.0217, 13.018) * CHOOSE(CONTROL!$C$15, $D$11, 100%, $F$11)</f>
        <v>13.021699999999999</v>
      </c>
      <c r="D478" s="8">
        <f>CHOOSE( CONTROL!$C$32, 13.0596, 13.056) * CHOOSE( CONTROL!$C$15, $D$11, 100%, $F$11)</f>
        <v>13.0596</v>
      </c>
      <c r="E478" s="12">
        <f>CHOOSE( CONTROL!$C$32, 13.0446, 13.041) * CHOOSE( CONTROL!$C$15, $D$11, 100%, $F$11)</f>
        <v>13.044600000000001</v>
      </c>
      <c r="F478" s="4">
        <f>CHOOSE( CONTROL!$C$32, 13.7567, 13.7531) * CHOOSE(CONTROL!$C$15, $D$11, 100%, $F$11)</f>
        <v>13.7567</v>
      </c>
      <c r="G478" s="8">
        <f>CHOOSE( CONTROL!$C$32, 12.8675, 12.8639) * CHOOSE( CONTROL!$C$15, $D$11, 100%, $F$11)</f>
        <v>12.8675</v>
      </c>
      <c r="H478" s="4">
        <f>CHOOSE( CONTROL!$C$32, 13.8423, 13.8387) * CHOOSE(CONTROL!$C$15, $D$11, 100%, $F$11)</f>
        <v>13.8423</v>
      </c>
      <c r="I478" s="8">
        <f>CHOOSE( CONTROL!$C$32, 12.7679, 12.7644) * CHOOSE(CONTROL!$C$15, $D$11, 100%, $F$11)</f>
        <v>12.767899999999999</v>
      </c>
      <c r="J478" s="4">
        <f>CHOOSE( CONTROL!$C$32, 12.619, 12.6155) * CHOOSE(CONTROL!$C$15, $D$11, 100%, $F$11)</f>
        <v>12.619</v>
      </c>
      <c r="K478" s="4"/>
      <c r="L478" s="9">
        <v>29.7257</v>
      </c>
      <c r="M478" s="9">
        <v>11.6745</v>
      </c>
      <c r="N478" s="9">
        <v>4.7850000000000001</v>
      </c>
      <c r="O478" s="9">
        <v>0.36199999999999999</v>
      </c>
      <c r="P478" s="9">
        <v>1.1791</v>
      </c>
      <c r="Q478" s="9">
        <v>19.236599999999999</v>
      </c>
      <c r="R478" s="9"/>
      <c r="S478" s="11"/>
    </row>
    <row r="479" spans="1:19" ht="15.75">
      <c r="A479" s="13">
        <v>56096</v>
      </c>
      <c r="B479" s="8">
        <f>CHOOSE( CONTROL!$C$32, 13.5731, 13.5694) * CHOOSE(CONTROL!$C$15, $D$11, 100%, $F$11)</f>
        <v>13.5731</v>
      </c>
      <c r="C479" s="8">
        <f>CHOOSE( CONTROL!$C$32, 13.581, 13.5774) * CHOOSE(CONTROL!$C$15, $D$11, 100%, $F$11)</f>
        <v>13.581</v>
      </c>
      <c r="D479" s="8">
        <f>CHOOSE( CONTROL!$C$32, 13.6192, 13.6156) * CHOOSE( CONTROL!$C$15, $D$11, 100%, $F$11)</f>
        <v>13.619199999999999</v>
      </c>
      <c r="E479" s="12">
        <f>CHOOSE( CONTROL!$C$32, 13.6042, 13.6005) * CHOOSE( CONTROL!$C$15, $D$11, 100%, $F$11)</f>
        <v>13.604200000000001</v>
      </c>
      <c r="F479" s="4">
        <f>CHOOSE( CONTROL!$C$32, 14.3161, 14.3124) * CHOOSE(CONTROL!$C$15, $D$11, 100%, $F$11)</f>
        <v>14.3161</v>
      </c>
      <c r="G479" s="8">
        <f>CHOOSE( CONTROL!$C$32, 13.4207, 13.4171) * CHOOSE( CONTROL!$C$15, $D$11, 100%, $F$11)</f>
        <v>13.4207</v>
      </c>
      <c r="H479" s="4">
        <f>CHOOSE( CONTROL!$C$32, 14.3951, 14.3915) * CHOOSE(CONTROL!$C$15, $D$11, 100%, $F$11)</f>
        <v>14.395099999999999</v>
      </c>
      <c r="I479" s="8">
        <f>CHOOSE( CONTROL!$C$32, 13.3121, 13.3086) * CHOOSE(CONTROL!$C$15, $D$11, 100%, $F$11)</f>
        <v>13.312099999999999</v>
      </c>
      <c r="J479" s="4">
        <f>CHOOSE( CONTROL!$C$32, 13.1618, 13.1583) * CHOOSE(CONTROL!$C$15, $D$11, 100%, $F$11)</f>
        <v>13.161799999999999</v>
      </c>
      <c r="K479" s="4"/>
      <c r="L479" s="9">
        <v>30.7165</v>
      </c>
      <c r="M479" s="9">
        <v>12.063700000000001</v>
      </c>
      <c r="N479" s="9">
        <v>4.9444999999999997</v>
      </c>
      <c r="O479" s="9">
        <v>0.37409999999999999</v>
      </c>
      <c r="P479" s="9">
        <v>1.2183999999999999</v>
      </c>
      <c r="Q479" s="9">
        <v>19.877800000000001</v>
      </c>
      <c r="R479" s="9"/>
      <c r="S479" s="11"/>
    </row>
    <row r="480" spans="1:19" ht="15.75">
      <c r="A480" s="13">
        <v>56127</v>
      </c>
      <c r="B480" s="8">
        <f>CHOOSE( CONTROL!$C$32, 12.5265, 12.5228) * CHOOSE(CONTROL!$C$15, $D$11, 100%, $F$11)</f>
        <v>12.5265</v>
      </c>
      <c r="C480" s="8">
        <f>CHOOSE( CONTROL!$C$32, 12.5344, 12.5308) * CHOOSE(CONTROL!$C$15, $D$11, 100%, $F$11)</f>
        <v>12.5344</v>
      </c>
      <c r="D480" s="8">
        <f>CHOOSE( CONTROL!$C$32, 12.5727, 12.5691) * CHOOSE( CONTROL!$C$15, $D$11, 100%, $F$11)</f>
        <v>12.572699999999999</v>
      </c>
      <c r="E480" s="12">
        <f>CHOOSE( CONTROL!$C$32, 12.5576, 12.554) * CHOOSE( CONTROL!$C$15, $D$11, 100%, $F$11)</f>
        <v>12.557600000000001</v>
      </c>
      <c r="F480" s="4">
        <f>CHOOSE( CONTROL!$C$32, 13.2695, 13.2658) * CHOOSE(CONTROL!$C$15, $D$11, 100%, $F$11)</f>
        <v>13.269500000000001</v>
      </c>
      <c r="G480" s="8">
        <f>CHOOSE( CONTROL!$C$32, 12.3864, 12.3828) * CHOOSE( CONTROL!$C$15, $D$11, 100%, $F$11)</f>
        <v>12.3864</v>
      </c>
      <c r="H480" s="4">
        <f>CHOOSE( CONTROL!$C$32, 13.3607, 13.3571) * CHOOSE(CONTROL!$C$15, $D$11, 100%, $F$11)</f>
        <v>13.3607</v>
      </c>
      <c r="I480" s="8">
        <f>CHOOSE( CONTROL!$C$32, 12.2962, 12.2927) * CHOOSE(CONTROL!$C$15, $D$11, 100%, $F$11)</f>
        <v>12.296200000000001</v>
      </c>
      <c r="J480" s="4">
        <f>CHOOSE( CONTROL!$C$32, 12.1461, 12.1426) * CHOOSE(CONTROL!$C$15, $D$11, 100%, $F$11)</f>
        <v>12.146100000000001</v>
      </c>
      <c r="K480" s="4"/>
      <c r="L480" s="9">
        <v>30.7165</v>
      </c>
      <c r="M480" s="9">
        <v>12.063700000000001</v>
      </c>
      <c r="N480" s="9">
        <v>4.9444999999999997</v>
      </c>
      <c r="O480" s="9">
        <v>0.37409999999999999</v>
      </c>
      <c r="P480" s="9">
        <v>1.2183999999999999</v>
      </c>
      <c r="Q480" s="9">
        <v>19.877800000000001</v>
      </c>
      <c r="R480" s="9"/>
      <c r="S480" s="11"/>
    </row>
    <row r="481" spans="1:19" ht="15.75">
      <c r="A481" s="13">
        <v>56157</v>
      </c>
      <c r="B481" s="8">
        <f>CHOOSE( CONTROL!$C$32, 12.2644, 12.2607) * CHOOSE(CONTROL!$C$15, $D$11, 100%, $F$11)</f>
        <v>12.2644</v>
      </c>
      <c r="C481" s="8">
        <f>CHOOSE( CONTROL!$C$32, 12.2724, 12.2687) * CHOOSE(CONTROL!$C$15, $D$11, 100%, $F$11)</f>
        <v>12.272399999999999</v>
      </c>
      <c r="D481" s="8">
        <f>CHOOSE( CONTROL!$C$32, 12.3105, 12.3069) * CHOOSE( CONTROL!$C$15, $D$11, 100%, $F$11)</f>
        <v>12.310499999999999</v>
      </c>
      <c r="E481" s="12">
        <f>CHOOSE( CONTROL!$C$32, 12.2955, 12.2918) * CHOOSE( CONTROL!$C$15, $D$11, 100%, $F$11)</f>
        <v>12.295500000000001</v>
      </c>
      <c r="F481" s="4">
        <f>CHOOSE( CONTROL!$C$32, 13.0074, 13.0037) * CHOOSE(CONTROL!$C$15, $D$11, 100%, $F$11)</f>
        <v>13.007400000000001</v>
      </c>
      <c r="G481" s="8">
        <f>CHOOSE( CONTROL!$C$32, 12.1273, 12.1237) * CHOOSE( CONTROL!$C$15, $D$11, 100%, $F$11)</f>
        <v>12.1273</v>
      </c>
      <c r="H481" s="4">
        <f>CHOOSE( CONTROL!$C$32, 13.1017, 13.0981) * CHOOSE(CONTROL!$C$15, $D$11, 100%, $F$11)</f>
        <v>13.101699999999999</v>
      </c>
      <c r="I481" s="8">
        <f>CHOOSE( CONTROL!$C$32, 12.0413, 12.0378) * CHOOSE(CONTROL!$C$15, $D$11, 100%, $F$11)</f>
        <v>12.0413</v>
      </c>
      <c r="J481" s="4">
        <f>CHOOSE( CONTROL!$C$32, 11.8918, 11.8882) * CHOOSE(CONTROL!$C$15, $D$11, 100%, $F$11)</f>
        <v>11.8918</v>
      </c>
      <c r="K481" s="4"/>
      <c r="L481" s="9">
        <v>29.7257</v>
      </c>
      <c r="M481" s="9">
        <v>11.6745</v>
      </c>
      <c r="N481" s="9">
        <v>4.7850000000000001</v>
      </c>
      <c r="O481" s="9">
        <v>0.36199999999999999</v>
      </c>
      <c r="P481" s="9">
        <v>1.1791</v>
      </c>
      <c r="Q481" s="9">
        <v>19.236599999999999</v>
      </c>
      <c r="R481" s="9"/>
      <c r="S481" s="11"/>
    </row>
    <row r="482" spans="1:19" ht="15.75">
      <c r="A482" s="13">
        <v>56188</v>
      </c>
      <c r="B482" s="8">
        <f>12.8032 * CHOOSE(CONTROL!$C$15, $D$11, 100%, $F$11)</f>
        <v>12.8032</v>
      </c>
      <c r="C482" s="8">
        <f>12.8085 * CHOOSE(CONTROL!$C$15, $D$11, 100%, $F$11)</f>
        <v>12.8085</v>
      </c>
      <c r="D482" s="8">
        <f>12.852 * CHOOSE( CONTROL!$C$15, $D$11, 100%, $F$11)</f>
        <v>12.852</v>
      </c>
      <c r="E482" s="12">
        <f>12.8371 * CHOOSE( CONTROL!$C$15, $D$11, 100%, $F$11)</f>
        <v>12.8371</v>
      </c>
      <c r="F482" s="4">
        <f>13.5479 * CHOOSE(CONTROL!$C$15, $D$11, 100%, $F$11)</f>
        <v>13.5479</v>
      </c>
      <c r="G482" s="8">
        <f>12.661 * CHOOSE( CONTROL!$C$15, $D$11, 100%, $F$11)</f>
        <v>12.661</v>
      </c>
      <c r="H482" s="4">
        <f>13.6359 * CHOOSE(CONTROL!$C$15, $D$11, 100%, $F$11)</f>
        <v>13.635899999999999</v>
      </c>
      <c r="I482" s="8">
        <f>12.5669 * CHOOSE(CONTROL!$C$15, $D$11, 100%, $F$11)</f>
        <v>12.5669</v>
      </c>
      <c r="J482" s="4">
        <f>12.4163 * CHOOSE(CONTROL!$C$15, $D$11, 100%, $F$11)</f>
        <v>12.4163</v>
      </c>
      <c r="K482" s="4"/>
      <c r="L482" s="9">
        <v>31.095300000000002</v>
      </c>
      <c r="M482" s="9">
        <v>12.063700000000001</v>
      </c>
      <c r="N482" s="9">
        <v>4.9444999999999997</v>
      </c>
      <c r="O482" s="9">
        <v>0.37409999999999999</v>
      </c>
      <c r="P482" s="9">
        <v>1.2183999999999999</v>
      </c>
      <c r="Q482" s="9">
        <v>19.877800000000001</v>
      </c>
      <c r="R482" s="9"/>
      <c r="S482" s="11"/>
    </row>
    <row r="483" spans="1:19" ht="15.75">
      <c r="A483" s="13">
        <v>56218</v>
      </c>
      <c r="B483" s="8">
        <f>13.8072 * CHOOSE(CONTROL!$C$15, $D$11, 100%, $F$11)</f>
        <v>13.8072</v>
      </c>
      <c r="C483" s="8">
        <f>13.8123 * CHOOSE(CONTROL!$C$15, $D$11, 100%, $F$11)</f>
        <v>13.8123</v>
      </c>
      <c r="D483" s="8">
        <f>13.7959 * CHOOSE( CONTROL!$C$15, $D$11, 100%, $F$11)</f>
        <v>13.7959</v>
      </c>
      <c r="E483" s="12">
        <f>13.8014 * CHOOSE( CONTROL!$C$15, $D$11, 100%, $F$11)</f>
        <v>13.801399999999999</v>
      </c>
      <c r="F483" s="4">
        <f>14.4725 * CHOOSE(CONTROL!$C$15, $D$11, 100%, $F$11)</f>
        <v>14.4725</v>
      </c>
      <c r="G483" s="8">
        <f>13.6542 * CHOOSE( CONTROL!$C$15, $D$11, 100%, $F$11)</f>
        <v>13.654199999999999</v>
      </c>
      <c r="H483" s="4">
        <f>14.5496 * CHOOSE(CONTROL!$C$15, $D$11, 100%, $F$11)</f>
        <v>14.5496</v>
      </c>
      <c r="I483" s="8">
        <f>13.5423 * CHOOSE(CONTROL!$C$15, $D$11, 100%, $F$11)</f>
        <v>13.542299999999999</v>
      </c>
      <c r="J483" s="4">
        <f>13.3911 * CHOOSE(CONTROL!$C$15, $D$11, 100%, $F$11)</f>
        <v>13.3911</v>
      </c>
      <c r="K483" s="4"/>
      <c r="L483" s="9">
        <v>28.360600000000002</v>
      </c>
      <c r="M483" s="9">
        <v>11.6745</v>
      </c>
      <c r="N483" s="9">
        <v>4.7850000000000001</v>
      </c>
      <c r="O483" s="9">
        <v>0.36199999999999999</v>
      </c>
      <c r="P483" s="9">
        <v>1.2509999999999999</v>
      </c>
      <c r="Q483" s="9">
        <v>19.236599999999999</v>
      </c>
      <c r="R483" s="9"/>
      <c r="S483" s="11"/>
    </row>
    <row r="484" spans="1:19" ht="15.75">
      <c r="A484" s="13">
        <v>56249</v>
      </c>
      <c r="B484" s="8">
        <f>13.7821 * CHOOSE(CONTROL!$C$15, $D$11, 100%, $F$11)</f>
        <v>13.7821</v>
      </c>
      <c r="C484" s="8">
        <f>13.7872 * CHOOSE(CONTROL!$C$15, $D$11, 100%, $F$11)</f>
        <v>13.7872</v>
      </c>
      <c r="D484" s="8">
        <f>13.7726 * CHOOSE( CONTROL!$C$15, $D$11, 100%, $F$11)</f>
        <v>13.772600000000001</v>
      </c>
      <c r="E484" s="12">
        <f>13.7774 * CHOOSE( CONTROL!$C$15, $D$11, 100%, $F$11)</f>
        <v>13.7774</v>
      </c>
      <c r="F484" s="4">
        <f>14.4474 * CHOOSE(CONTROL!$C$15, $D$11, 100%, $F$11)</f>
        <v>14.4474</v>
      </c>
      <c r="G484" s="8">
        <f>13.6307 * CHOOSE( CONTROL!$C$15, $D$11, 100%, $F$11)</f>
        <v>13.630699999999999</v>
      </c>
      <c r="H484" s="4">
        <f>14.5248 * CHOOSE(CONTROL!$C$15, $D$11, 100%, $F$11)</f>
        <v>14.524800000000001</v>
      </c>
      <c r="I484" s="8">
        <f>13.5233 * CHOOSE(CONTROL!$C$15, $D$11, 100%, $F$11)</f>
        <v>13.523300000000001</v>
      </c>
      <c r="J484" s="4">
        <f>13.3668 * CHOOSE(CONTROL!$C$15, $D$11, 100%, $F$11)</f>
        <v>13.3668</v>
      </c>
      <c r="K484" s="4"/>
      <c r="L484" s="9">
        <v>29.306000000000001</v>
      </c>
      <c r="M484" s="9">
        <v>12.063700000000001</v>
      </c>
      <c r="N484" s="9">
        <v>4.9444999999999997</v>
      </c>
      <c r="O484" s="9">
        <v>0.37409999999999999</v>
      </c>
      <c r="P484" s="9">
        <v>1.2927</v>
      </c>
      <c r="Q484" s="9">
        <v>19.877800000000001</v>
      </c>
      <c r="R484" s="9"/>
      <c r="S484" s="11"/>
    </row>
    <row r="485" spans="1:19" ht="15.75">
      <c r="A485" s="13">
        <v>56280</v>
      </c>
      <c r="B485" s="8">
        <f>14.1884 * CHOOSE(CONTROL!$C$15, $D$11, 100%, $F$11)</f>
        <v>14.1884</v>
      </c>
      <c r="C485" s="8">
        <f>14.1934 * CHOOSE(CONTROL!$C$15, $D$11, 100%, $F$11)</f>
        <v>14.1934</v>
      </c>
      <c r="D485" s="8">
        <f>14.1646 * CHOOSE( CONTROL!$C$15, $D$11, 100%, $F$11)</f>
        <v>14.1646</v>
      </c>
      <c r="E485" s="12">
        <f>14.1746 * CHOOSE( CONTROL!$C$15, $D$11, 100%, $F$11)</f>
        <v>14.1746</v>
      </c>
      <c r="F485" s="4">
        <f>14.8537 * CHOOSE(CONTROL!$C$15, $D$11, 100%, $F$11)</f>
        <v>14.8537</v>
      </c>
      <c r="G485" s="8">
        <f>14.0219 * CHOOSE( CONTROL!$C$15, $D$11, 100%, $F$11)</f>
        <v>14.0219</v>
      </c>
      <c r="H485" s="4">
        <f>14.9263 * CHOOSE(CONTROL!$C$15, $D$11, 100%, $F$11)</f>
        <v>14.926299999999999</v>
      </c>
      <c r="I485" s="8">
        <f>13.9124 * CHOOSE(CONTROL!$C$15, $D$11, 100%, $F$11)</f>
        <v>13.9124</v>
      </c>
      <c r="J485" s="4">
        <f>13.7611 * CHOOSE(CONTROL!$C$15, $D$11, 100%, $F$11)</f>
        <v>13.761100000000001</v>
      </c>
      <c r="K485" s="4"/>
      <c r="L485" s="9">
        <v>29.306000000000001</v>
      </c>
      <c r="M485" s="9">
        <v>12.063700000000001</v>
      </c>
      <c r="N485" s="9">
        <v>4.9444999999999997</v>
      </c>
      <c r="O485" s="9">
        <v>0.37409999999999999</v>
      </c>
      <c r="P485" s="9">
        <v>1.2927</v>
      </c>
      <c r="Q485" s="9">
        <v>19.814599999999999</v>
      </c>
      <c r="R485" s="9"/>
      <c r="S485" s="11"/>
    </row>
    <row r="486" spans="1:19" ht="15.75">
      <c r="A486" s="13">
        <v>56308</v>
      </c>
      <c r="B486" s="8">
        <f>13.2717 * CHOOSE(CONTROL!$C$15, $D$11, 100%, $F$11)</f>
        <v>13.271699999999999</v>
      </c>
      <c r="C486" s="8">
        <f>13.2768 * CHOOSE(CONTROL!$C$15, $D$11, 100%, $F$11)</f>
        <v>13.2768</v>
      </c>
      <c r="D486" s="8">
        <f>13.2479 * CHOOSE( CONTROL!$C$15, $D$11, 100%, $F$11)</f>
        <v>13.2479</v>
      </c>
      <c r="E486" s="12">
        <f>13.2579 * CHOOSE( CONTROL!$C$15, $D$11, 100%, $F$11)</f>
        <v>13.257899999999999</v>
      </c>
      <c r="F486" s="4">
        <f>13.937 * CHOOSE(CONTROL!$C$15, $D$11, 100%, $F$11)</f>
        <v>13.936999999999999</v>
      </c>
      <c r="G486" s="8">
        <f>13.116 * CHOOSE( CONTROL!$C$15, $D$11, 100%, $F$11)</f>
        <v>13.116</v>
      </c>
      <c r="H486" s="4">
        <f>14.0204 * CHOOSE(CONTROL!$C$15, $D$11, 100%, $F$11)</f>
        <v>14.0204</v>
      </c>
      <c r="I486" s="8">
        <f>13.0223 * CHOOSE(CONTROL!$C$15, $D$11, 100%, $F$11)</f>
        <v>13.0223</v>
      </c>
      <c r="J486" s="4">
        <f>12.8714 * CHOOSE(CONTROL!$C$15, $D$11, 100%, $F$11)</f>
        <v>12.8714</v>
      </c>
      <c r="K486" s="4"/>
      <c r="L486" s="9">
        <v>26.469899999999999</v>
      </c>
      <c r="M486" s="9">
        <v>10.8962</v>
      </c>
      <c r="N486" s="9">
        <v>4.4660000000000002</v>
      </c>
      <c r="O486" s="9">
        <v>0.33789999999999998</v>
      </c>
      <c r="P486" s="9">
        <v>1.1676</v>
      </c>
      <c r="Q486" s="9">
        <v>17.896999999999998</v>
      </c>
      <c r="R486" s="9"/>
      <c r="S486" s="11"/>
    </row>
    <row r="487" spans="1:19" ht="15.75">
      <c r="A487" s="13">
        <v>56339</v>
      </c>
      <c r="B487" s="8">
        <f>12.9894 * CHOOSE(CONTROL!$C$15, $D$11, 100%, $F$11)</f>
        <v>12.9894</v>
      </c>
      <c r="C487" s="8">
        <f>12.9944 * CHOOSE(CONTROL!$C$15, $D$11, 100%, $F$11)</f>
        <v>12.994400000000001</v>
      </c>
      <c r="D487" s="8">
        <f>12.9652 * CHOOSE( CONTROL!$C$15, $D$11, 100%, $F$11)</f>
        <v>12.965199999999999</v>
      </c>
      <c r="E487" s="12">
        <f>12.9753 * CHOOSE( CONTROL!$C$15, $D$11, 100%, $F$11)</f>
        <v>12.975300000000001</v>
      </c>
      <c r="F487" s="4">
        <f>13.6546 * CHOOSE(CONTROL!$C$15, $D$11, 100%, $F$11)</f>
        <v>13.6546</v>
      </c>
      <c r="G487" s="8">
        <f>12.8367 * CHOOSE( CONTROL!$C$15, $D$11, 100%, $F$11)</f>
        <v>12.8367</v>
      </c>
      <c r="H487" s="4">
        <f>13.7414 * CHOOSE(CONTROL!$C$15, $D$11, 100%, $F$11)</f>
        <v>13.741400000000001</v>
      </c>
      <c r="I487" s="8">
        <f>12.747 * CHOOSE(CONTROL!$C$15, $D$11, 100%, $F$11)</f>
        <v>12.747</v>
      </c>
      <c r="J487" s="4">
        <f>12.5974 * CHOOSE(CONTROL!$C$15, $D$11, 100%, $F$11)</f>
        <v>12.5974</v>
      </c>
      <c r="K487" s="4"/>
      <c r="L487" s="9">
        <v>29.306000000000001</v>
      </c>
      <c r="M487" s="9">
        <v>12.063700000000001</v>
      </c>
      <c r="N487" s="9">
        <v>4.9444999999999997</v>
      </c>
      <c r="O487" s="9">
        <v>0.37409999999999999</v>
      </c>
      <c r="P487" s="9">
        <v>1.2927</v>
      </c>
      <c r="Q487" s="9">
        <v>19.814599999999999</v>
      </c>
      <c r="R487" s="9"/>
      <c r="S487" s="11"/>
    </row>
    <row r="488" spans="1:19" ht="15.75">
      <c r="A488" s="13">
        <v>56369</v>
      </c>
      <c r="B488" s="8">
        <f>13.1874 * CHOOSE(CONTROL!$C$15, $D$11, 100%, $F$11)</f>
        <v>13.1874</v>
      </c>
      <c r="C488" s="8">
        <f>13.1919 * CHOOSE(CONTROL!$C$15, $D$11, 100%, $F$11)</f>
        <v>13.1919</v>
      </c>
      <c r="D488" s="8">
        <f>13.2353 * CHOOSE( CONTROL!$C$15, $D$11, 100%, $F$11)</f>
        <v>13.235300000000001</v>
      </c>
      <c r="E488" s="12">
        <f>13.2205 * CHOOSE( CONTROL!$C$15, $D$11, 100%, $F$11)</f>
        <v>13.220499999999999</v>
      </c>
      <c r="F488" s="4">
        <f>13.9318 * CHOOSE(CONTROL!$C$15, $D$11, 100%, $F$11)</f>
        <v>13.931800000000001</v>
      </c>
      <c r="G488" s="8">
        <f>13.0394 * CHOOSE( CONTROL!$C$15, $D$11, 100%, $F$11)</f>
        <v>13.039400000000001</v>
      </c>
      <c r="H488" s="4">
        <f>14.0153 * CHOOSE(CONTROL!$C$15, $D$11, 100%, $F$11)</f>
        <v>14.0153</v>
      </c>
      <c r="I488" s="8">
        <f>12.9367 * CHOOSE(CONTROL!$C$15, $D$11, 100%, $F$11)</f>
        <v>12.9367</v>
      </c>
      <c r="J488" s="4">
        <f>12.7889 * CHOOSE(CONTROL!$C$15, $D$11, 100%, $F$11)</f>
        <v>12.7889</v>
      </c>
      <c r="K488" s="4"/>
      <c r="L488" s="9">
        <v>30.092199999999998</v>
      </c>
      <c r="M488" s="9">
        <v>11.6745</v>
      </c>
      <c r="N488" s="9">
        <v>4.7850000000000001</v>
      </c>
      <c r="O488" s="9">
        <v>0.36199999999999999</v>
      </c>
      <c r="P488" s="9">
        <v>1.1791</v>
      </c>
      <c r="Q488" s="9">
        <v>19.1754</v>
      </c>
      <c r="R488" s="9"/>
      <c r="S488" s="11"/>
    </row>
    <row r="489" spans="1:19" ht="15.75">
      <c r="A489" s="13">
        <v>56400</v>
      </c>
      <c r="B489" s="8">
        <f>CHOOSE( CONTROL!$C$32, 13.5436, 13.5399) * CHOOSE(CONTROL!$C$15, $D$11, 100%, $F$11)</f>
        <v>13.5436</v>
      </c>
      <c r="C489" s="8">
        <f>CHOOSE( CONTROL!$C$32, 13.5515, 13.5479) * CHOOSE(CONTROL!$C$15, $D$11, 100%, $F$11)</f>
        <v>13.551500000000001</v>
      </c>
      <c r="D489" s="8">
        <f>CHOOSE( CONTROL!$C$32, 13.5893, 13.5856) * CHOOSE( CONTROL!$C$15, $D$11, 100%, $F$11)</f>
        <v>13.5893</v>
      </c>
      <c r="E489" s="12">
        <f>CHOOSE( CONTROL!$C$32, 13.5744, 13.5707) * CHOOSE( CONTROL!$C$15, $D$11, 100%, $F$11)</f>
        <v>13.574400000000001</v>
      </c>
      <c r="F489" s="4">
        <f>CHOOSE( CONTROL!$C$32, 14.2866, 14.2829) * CHOOSE(CONTROL!$C$15, $D$11, 100%, $F$11)</f>
        <v>14.2866</v>
      </c>
      <c r="G489" s="8">
        <f>CHOOSE( CONTROL!$C$32, 13.3908, 13.3872) * CHOOSE( CONTROL!$C$15, $D$11, 100%, $F$11)</f>
        <v>13.3908</v>
      </c>
      <c r="H489" s="4">
        <f>CHOOSE( CONTROL!$C$32, 14.3659, 14.3623) * CHOOSE(CONTROL!$C$15, $D$11, 100%, $F$11)</f>
        <v>14.3659</v>
      </c>
      <c r="I489" s="8">
        <f>CHOOSE( CONTROL!$C$32, 13.2813, 13.2778) * CHOOSE(CONTROL!$C$15, $D$11, 100%, $F$11)</f>
        <v>13.2813</v>
      </c>
      <c r="J489" s="4">
        <f>CHOOSE( CONTROL!$C$32, 13.1332, 13.1297) * CHOOSE(CONTROL!$C$15, $D$11, 100%, $F$11)</f>
        <v>13.1332</v>
      </c>
      <c r="K489" s="4"/>
      <c r="L489" s="9">
        <v>30.7165</v>
      </c>
      <c r="M489" s="9">
        <v>12.063700000000001</v>
      </c>
      <c r="N489" s="9">
        <v>4.9444999999999997</v>
      </c>
      <c r="O489" s="9">
        <v>0.37409999999999999</v>
      </c>
      <c r="P489" s="9">
        <v>1.2183999999999999</v>
      </c>
      <c r="Q489" s="9">
        <v>19.814599999999999</v>
      </c>
      <c r="R489" s="9"/>
      <c r="S489" s="11"/>
    </row>
    <row r="490" spans="1:19" ht="15.75">
      <c r="A490" s="13">
        <v>56430</v>
      </c>
      <c r="B490" s="8">
        <f>CHOOSE( CONTROL!$C$32, 13.326, 13.3224) * CHOOSE(CONTROL!$C$15, $D$11, 100%, $F$11)</f>
        <v>13.326000000000001</v>
      </c>
      <c r="C490" s="8">
        <f>CHOOSE( CONTROL!$C$32, 13.334, 13.3304) * CHOOSE(CONTROL!$C$15, $D$11, 100%, $F$11)</f>
        <v>13.334</v>
      </c>
      <c r="D490" s="8">
        <f>CHOOSE( CONTROL!$C$32, 13.372, 13.3683) * CHOOSE( CONTROL!$C$15, $D$11, 100%, $F$11)</f>
        <v>13.372</v>
      </c>
      <c r="E490" s="12">
        <f>CHOOSE( CONTROL!$C$32, 13.357, 13.3533) * CHOOSE( CONTROL!$C$15, $D$11, 100%, $F$11)</f>
        <v>13.356999999999999</v>
      </c>
      <c r="F490" s="4">
        <f>CHOOSE( CONTROL!$C$32, 14.069, 14.0654) * CHOOSE(CONTROL!$C$15, $D$11, 100%, $F$11)</f>
        <v>14.069000000000001</v>
      </c>
      <c r="G490" s="8">
        <f>CHOOSE( CONTROL!$C$32, 13.1762, 13.1726) * CHOOSE( CONTROL!$C$15, $D$11, 100%, $F$11)</f>
        <v>13.1762</v>
      </c>
      <c r="H490" s="4">
        <f>CHOOSE( CONTROL!$C$32, 14.1509, 14.1473) * CHOOSE(CONTROL!$C$15, $D$11, 100%, $F$11)</f>
        <v>14.1509</v>
      </c>
      <c r="I490" s="8">
        <f>CHOOSE( CONTROL!$C$32, 13.0712, 13.0676) * CHOOSE(CONTROL!$C$15, $D$11, 100%, $F$11)</f>
        <v>13.071199999999999</v>
      </c>
      <c r="J490" s="4">
        <f>CHOOSE( CONTROL!$C$32, 12.9221, 12.9186) * CHOOSE(CONTROL!$C$15, $D$11, 100%, $F$11)</f>
        <v>12.9221</v>
      </c>
      <c r="K490" s="4"/>
      <c r="L490" s="9">
        <v>29.7257</v>
      </c>
      <c r="M490" s="9">
        <v>11.6745</v>
      </c>
      <c r="N490" s="9">
        <v>4.7850000000000001</v>
      </c>
      <c r="O490" s="9">
        <v>0.36199999999999999</v>
      </c>
      <c r="P490" s="9">
        <v>1.1791</v>
      </c>
      <c r="Q490" s="9">
        <v>19.1754</v>
      </c>
      <c r="R490" s="9"/>
      <c r="S490" s="11"/>
    </row>
    <row r="491" spans="1:19" ht="15.75">
      <c r="A491" s="13">
        <v>56461</v>
      </c>
      <c r="B491" s="8">
        <f>CHOOSE( CONTROL!$C$32, 13.8988, 13.8952) * CHOOSE(CONTROL!$C$15, $D$11, 100%, $F$11)</f>
        <v>13.8988</v>
      </c>
      <c r="C491" s="8">
        <f>CHOOSE( CONTROL!$C$32, 13.9068, 13.9032) * CHOOSE(CONTROL!$C$15, $D$11, 100%, $F$11)</f>
        <v>13.9068</v>
      </c>
      <c r="D491" s="8">
        <f>CHOOSE( CONTROL!$C$32, 13.945, 13.9414) * CHOOSE( CONTROL!$C$15, $D$11, 100%, $F$11)</f>
        <v>13.945</v>
      </c>
      <c r="E491" s="12">
        <f>CHOOSE( CONTROL!$C$32, 13.9299, 13.9263) * CHOOSE( CONTROL!$C$15, $D$11, 100%, $F$11)</f>
        <v>13.9299</v>
      </c>
      <c r="F491" s="4">
        <f>CHOOSE( CONTROL!$C$32, 14.6418, 14.6382) * CHOOSE(CONTROL!$C$15, $D$11, 100%, $F$11)</f>
        <v>14.6418</v>
      </c>
      <c r="G491" s="8">
        <f>CHOOSE( CONTROL!$C$32, 13.7426, 13.739) * CHOOSE( CONTROL!$C$15, $D$11, 100%, $F$11)</f>
        <v>13.742599999999999</v>
      </c>
      <c r="H491" s="4">
        <f>CHOOSE( CONTROL!$C$32, 14.717, 14.7134) * CHOOSE(CONTROL!$C$15, $D$11, 100%, $F$11)</f>
        <v>14.717000000000001</v>
      </c>
      <c r="I491" s="8">
        <f>CHOOSE( CONTROL!$C$32, 13.6285, 13.6249) * CHOOSE(CONTROL!$C$15, $D$11, 100%, $F$11)</f>
        <v>13.628500000000001</v>
      </c>
      <c r="J491" s="4">
        <f>CHOOSE( CONTROL!$C$32, 13.478, 13.4745) * CHOOSE(CONTROL!$C$15, $D$11, 100%, $F$11)</f>
        <v>13.478</v>
      </c>
      <c r="K491" s="4"/>
      <c r="L491" s="9">
        <v>30.7165</v>
      </c>
      <c r="M491" s="9">
        <v>12.063700000000001</v>
      </c>
      <c r="N491" s="9">
        <v>4.9444999999999997</v>
      </c>
      <c r="O491" s="9">
        <v>0.37409999999999999</v>
      </c>
      <c r="P491" s="9">
        <v>1.2183999999999999</v>
      </c>
      <c r="Q491" s="9">
        <v>19.814599999999999</v>
      </c>
      <c r="R491" s="9"/>
      <c r="S491" s="11"/>
    </row>
    <row r="492" spans="1:19" ht="15.75">
      <c r="A492" s="13">
        <v>56492</v>
      </c>
      <c r="B492" s="8">
        <f>CHOOSE( CONTROL!$C$32, 12.8271, 12.8234) * CHOOSE(CONTROL!$C$15, $D$11, 100%, $F$11)</f>
        <v>12.8271</v>
      </c>
      <c r="C492" s="8">
        <f>CHOOSE( CONTROL!$C$32, 12.8351, 12.8314) * CHOOSE(CONTROL!$C$15, $D$11, 100%, $F$11)</f>
        <v>12.835100000000001</v>
      </c>
      <c r="D492" s="8">
        <f>CHOOSE( CONTROL!$C$32, 12.8733, 12.8697) * CHOOSE( CONTROL!$C$15, $D$11, 100%, $F$11)</f>
        <v>12.8733</v>
      </c>
      <c r="E492" s="12">
        <f>CHOOSE( CONTROL!$C$32, 12.8582, 12.8546) * CHOOSE( CONTROL!$C$15, $D$11, 100%, $F$11)</f>
        <v>12.8582</v>
      </c>
      <c r="F492" s="4">
        <f>CHOOSE( CONTROL!$C$32, 13.5701, 13.5664) * CHOOSE(CONTROL!$C$15, $D$11, 100%, $F$11)</f>
        <v>13.5701</v>
      </c>
      <c r="G492" s="8">
        <f>CHOOSE( CONTROL!$C$32, 12.6835, 12.6799) * CHOOSE( CONTROL!$C$15, $D$11, 100%, $F$11)</f>
        <v>12.6835</v>
      </c>
      <c r="H492" s="4">
        <f>CHOOSE( CONTROL!$C$32, 13.6578, 13.6542) * CHOOSE(CONTROL!$C$15, $D$11, 100%, $F$11)</f>
        <v>13.6578</v>
      </c>
      <c r="I492" s="8">
        <f>CHOOSE( CONTROL!$C$32, 12.5881, 12.5846) * CHOOSE(CONTROL!$C$15, $D$11, 100%, $F$11)</f>
        <v>12.588100000000001</v>
      </c>
      <c r="J492" s="4">
        <f>CHOOSE( CONTROL!$C$32, 12.4379, 12.4343) * CHOOSE(CONTROL!$C$15, $D$11, 100%, $F$11)</f>
        <v>12.437900000000001</v>
      </c>
      <c r="K492" s="4"/>
      <c r="L492" s="9">
        <v>30.7165</v>
      </c>
      <c r="M492" s="9">
        <v>12.063700000000001</v>
      </c>
      <c r="N492" s="9">
        <v>4.9444999999999997</v>
      </c>
      <c r="O492" s="9">
        <v>0.37409999999999999</v>
      </c>
      <c r="P492" s="9">
        <v>1.2183999999999999</v>
      </c>
      <c r="Q492" s="9">
        <v>19.814599999999999</v>
      </c>
      <c r="R492" s="9"/>
      <c r="S492" s="11"/>
    </row>
    <row r="493" spans="1:19" ht="15.75">
      <c r="A493" s="13">
        <v>56522</v>
      </c>
      <c r="B493" s="8">
        <f>CHOOSE( CONTROL!$C$32, 12.5587, 12.5551) * CHOOSE(CONTROL!$C$15, $D$11, 100%, $F$11)</f>
        <v>12.5587</v>
      </c>
      <c r="C493" s="8">
        <f>CHOOSE( CONTROL!$C$32, 12.5667, 12.563) * CHOOSE(CONTROL!$C$15, $D$11, 100%, $F$11)</f>
        <v>12.566700000000001</v>
      </c>
      <c r="D493" s="8">
        <f>CHOOSE( CONTROL!$C$32, 12.6049, 12.6012) * CHOOSE( CONTROL!$C$15, $D$11, 100%, $F$11)</f>
        <v>12.604900000000001</v>
      </c>
      <c r="E493" s="12">
        <f>CHOOSE( CONTROL!$C$32, 12.5898, 12.5862) * CHOOSE( CONTROL!$C$15, $D$11, 100%, $F$11)</f>
        <v>12.5898</v>
      </c>
      <c r="F493" s="4">
        <f>CHOOSE( CONTROL!$C$32, 13.3017, 13.2981) * CHOOSE(CONTROL!$C$15, $D$11, 100%, $F$11)</f>
        <v>13.3017</v>
      </c>
      <c r="G493" s="8">
        <f>CHOOSE( CONTROL!$C$32, 12.4182, 12.4146) * CHOOSE( CONTROL!$C$15, $D$11, 100%, $F$11)</f>
        <v>12.418200000000001</v>
      </c>
      <c r="H493" s="4">
        <f>CHOOSE( CONTROL!$C$32, 13.3926, 13.389) * CHOOSE(CONTROL!$C$15, $D$11, 100%, $F$11)</f>
        <v>13.3926</v>
      </c>
      <c r="I493" s="8">
        <f>CHOOSE( CONTROL!$C$32, 12.3271, 12.3236) * CHOOSE(CONTROL!$C$15, $D$11, 100%, $F$11)</f>
        <v>12.3271</v>
      </c>
      <c r="J493" s="4">
        <f>CHOOSE( CONTROL!$C$32, 12.1774, 12.1739) * CHOOSE(CONTROL!$C$15, $D$11, 100%, $F$11)</f>
        <v>12.1774</v>
      </c>
      <c r="K493" s="4"/>
      <c r="L493" s="9">
        <v>29.7257</v>
      </c>
      <c r="M493" s="9">
        <v>11.6745</v>
      </c>
      <c r="N493" s="9">
        <v>4.7850000000000001</v>
      </c>
      <c r="O493" s="9">
        <v>0.36199999999999999</v>
      </c>
      <c r="P493" s="9">
        <v>1.1791</v>
      </c>
      <c r="Q493" s="9">
        <v>19.1754</v>
      </c>
      <c r="R493" s="9"/>
      <c r="S493" s="11"/>
    </row>
    <row r="494" spans="1:19" ht="15.75">
      <c r="A494" s="13">
        <v>56553</v>
      </c>
      <c r="B494" s="8">
        <f>13.1106 * CHOOSE(CONTROL!$C$15, $D$11, 100%, $F$11)</f>
        <v>13.1106</v>
      </c>
      <c r="C494" s="8">
        <f>13.1159 * CHOOSE(CONTROL!$C$15, $D$11, 100%, $F$11)</f>
        <v>13.1159</v>
      </c>
      <c r="D494" s="8">
        <f>13.1594 * CHOOSE( CONTROL!$C$15, $D$11, 100%, $F$11)</f>
        <v>13.1594</v>
      </c>
      <c r="E494" s="12">
        <f>13.1445 * CHOOSE( CONTROL!$C$15, $D$11, 100%, $F$11)</f>
        <v>13.144500000000001</v>
      </c>
      <c r="F494" s="4">
        <f>13.8553 * CHOOSE(CONTROL!$C$15, $D$11, 100%, $F$11)</f>
        <v>13.8553</v>
      </c>
      <c r="G494" s="8">
        <f>12.9648 * CHOOSE( CONTROL!$C$15, $D$11, 100%, $F$11)</f>
        <v>12.9648</v>
      </c>
      <c r="H494" s="4">
        <f>13.9397 * CHOOSE(CONTROL!$C$15, $D$11, 100%, $F$11)</f>
        <v>13.9397</v>
      </c>
      <c r="I494" s="8">
        <f>12.8654 * CHOOSE(CONTROL!$C$15, $D$11, 100%, $F$11)</f>
        <v>12.865399999999999</v>
      </c>
      <c r="J494" s="4">
        <f>12.7147 * CHOOSE(CONTROL!$C$15, $D$11, 100%, $F$11)</f>
        <v>12.714700000000001</v>
      </c>
      <c r="K494" s="4"/>
      <c r="L494" s="9">
        <v>31.095300000000002</v>
      </c>
      <c r="M494" s="9">
        <v>12.063700000000001</v>
      </c>
      <c r="N494" s="9">
        <v>4.9444999999999997</v>
      </c>
      <c r="O494" s="9">
        <v>0.37409999999999999</v>
      </c>
      <c r="P494" s="9">
        <v>1.2183999999999999</v>
      </c>
      <c r="Q494" s="9">
        <v>19.814599999999999</v>
      </c>
      <c r="R494" s="9"/>
      <c r="S494" s="11"/>
    </row>
    <row r="495" spans="1:19" ht="15.75">
      <c r="A495" s="13">
        <v>56583</v>
      </c>
      <c r="B495" s="8">
        <f>14.1387 * CHOOSE(CONTROL!$C$15, $D$11, 100%, $F$11)</f>
        <v>14.1387</v>
      </c>
      <c r="C495" s="8">
        <f>14.1438 * CHOOSE(CONTROL!$C$15, $D$11, 100%, $F$11)</f>
        <v>14.143800000000001</v>
      </c>
      <c r="D495" s="8">
        <f>14.1275 * CHOOSE( CONTROL!$C$15, $D$11, 100%, $F$11)</f>
        <v>14.1275</v>
      </c>
      <c r="E495" s="12">
        <f>14.1329 * CHOOSE( CONTROL!$C$15, $D$11, 100%, $F$11)</f>
        <v>14.132899999999999</v>
      </c>
      <c r="F495" s="4">
        <f>14.804 * CHOOSE(CONTROL!$C$15, $D$11, 100%, $F$11)</f>
        <v>14.804</v>
      </c>
      <c r="G495" s="8">
        <f>13.9819 * CHOOSE( CONTROL!$C$15, $D$11, 100%, $F$11)</f>
        <v>13.9819</v>
      </c>
      <c r="H495" s="4">
        <f>14.8773 * CHOOSE(CONTROL!$C$15, $D$11, 100%, $F$11)</f>
        <v>14.8773</v>
      </c>
      <c r="I495" s="8">
        <f>13.8642 * CHOOSE(CONTROL!$C$15, $D$11, 100%, $F$11)</f>
        <v>13.8642</v>
      </c>
      <c r="J495" s="4">
        <f>13.7129 * CHOOSE(CONTROL!$C$15, $D$11, 100%, $F$11)</f>
        <v>13.712899999999999</v>
      </c>
      <c r="K495" s="4"/>
      <c r="L495" s="9">
        <v>28.360600000000002</v>
      </c>
      <c r="M495" s="9">
        <v>11.6745</v>
      </c>
      <c r="N495" s="9">
        <v>4.7850000000000001</v>
      </c>
      <c r="O495" s="9">
        <v>0.36199999999999999</v>
      </c>
      <c r="P495" s="9">
        <v>1.2509999999999999</v>
      </c>
      <c r="Q495" s="9">
        <v>19.1754</v>
      </c>
      <c r="R495" s="9"/>
      <c r="S495" s="11"/>
    </row>
    <row r="496" spans="1:19" ht="15.75">
      <c r="A496" s="13">
        <v>56614</v>
      </c>
      <c r="B496" s="8">
        <f>14.113 * CHOOSE(CONTROL!$C$15, $D$11, 100%, $F$11)</f>
        <v>14.113</v>
      </c>
      <c r="C496" s="8">
        <f>14.1181 * CHOOSE(CONTROL!$C$15, $D$11, 100%, $F$11)</f>
        <v>14.1181</v>
      </c>
      <c r="D496" s="8">
        <f>14.1035 * CHOOSE( CONTROL!$C$15, $D$11, 100%, $F$11)</f>
        <v>14.1035</v>
      </c>
      <c r="E496" s="12">
        <f>14.1083 * CHOOSE( CONTROL!$C$15, $D$11, 100%, $F$11)</f>
        <v>14.1083</v>
      </c>
      <c r="F496" s="4">
        <f>14.7783 * CHOOSE(CONTROL!$C$15, $D$11, 100%, $F$11)</f>
        <v>14.7783</v>
      </c>
      <c r="G496" s="8">
        <f>13.9577 * CHOOSE( CONTROL!$C$15, $D$11, 100%, $F$11)</f>
        <v>13.957700000000001</v>
      </c>
      <c r="H496" s="4">
        <f>14.8519 * CHOOSE(CONTROL!$C$15, $D$11, 100%, $F$11)</f>
        <v>14.851900000000001</v>
      </c>
      <c r="I496" s="8">
        <f>13.8447 * CHOOSE(CONTROL!$C$15, $D$11, 100%, $F$11)</f>
        <v>13.8447</v>
      </c>
      <c r="J496" s="4">
        <f>13.688 * CHOOSE(CONTROL!$C$15, $D$11, 100%, $F$11)</f>
        <v>13.688000000000001</v>
      </c>
      <c r="K496" s="4"/>
      <c r="L496" s="9">
        <v>29.306000000000001</v>
      </c>
      <c r="M496" s="9">
        <v>12.063700000000001</v>
      </c>
      <c r="N496" s="9">
        <v>4.9444999999999997</v>
      </c>
      <c r="O496" s="9">
        <v>0.37409999999999999</v>
      </c>
      <c r="P496" s="9">
        <v>1.2927</v>
      </c>
      <c r="Q496" s="9">
        <v>19.814599999999999</v>
      </c>
      <c r="R496" s="9"/>
      <c r="S496" s="11"/>
    </row>
    <row r="497" spans="1:19" ht="15.75">
      <c r="A497" s="13">
        <v>56645</v>
      </c>
      <c r="B497" s="8">
        <f>14.5291 * CHOOSE(CONTROL!$C$15, $D$11, 100%, $F$11)</f>
        <v>14.5291</v>
      </c>
      <c r="C497" s="8">
        <f>14.5341 * CHOOSE(CONTROL!$C$15, $D$11, 100%, $F$11)</f>
        <v>14.5341</v>
      </c>
      <c r="D497" s="8">
        <f>14.5053 * CHOOSE( CONTROL!$C$15, $D$11, 100%, $F$11)</f>
        <v>14.5053</v>
      </c>
      <c r="E497" s="12">
        <f>14.5153 * CHOOSE( CONTROL!$C$15, $D$11, 100%, $F$11)</f>
        <v>14.5153</v>
      </c>
      <c r="F497" s="4">
        <f>15.1943 * CHOOSE(CONTROL!$C$15, $D$11, 100%, $F$11)</f>
        <v>15.1943</v>
      </c>
      <c r="G497" s="8">
        <f>14.3586 * CHOOSE( CONTROL!$C$15, $D$11, 100%, $F$11)</f>
        <v>14.358599999999999</v>
      </c>
      <c r="H497" s="4">
        <f>15.263 * CHOOSE(CONTROL!$C$15, $D$11, 100%, $F$11)</f>
        <v>15.263</v>
      </c>
      <c r="I497" s="8">
        <f>14.2432 * CHOOSE(CONTROL!$C$15, $D$11, 100%, $F$11)</f>
        <v>14.2432</v>
      </c>
      <c r="J497" s="4">
        <f>14.0917 * CHOOSE(CONTROL!$C$15, $D$11, 100%, $F$11)</f>
        <v>14.091699999999999</v>
      </c>
      <c r="K497" s="4"/>
      <c r="L497" s="9">
        <v>29.306000000000001</v>
      </c>
      <c r="M497" s="9">
        <v>12.063700000000001</v>
      </c>
      <c r="N497" s="9">
        <v>4.9444999999999997</v>
      </c>
      <c r="O497" s="9">
        <v>0.37409999999999999</v>
      </c>
      <c r="P497" s="9">
        <v>1.2927</v>
      </c>
      <c r="Q497" s="9">
        <v>19.751300000000001</v>
      </c>
      <c r="R497" s="9"/>
      <c r="S497" s="11"/>
    </row>
    <row r="498" spans="1:19" ht="15.75">
      <c r="A498" s="13">
        <v>56673</v>
      </c>
      <c r="B498" s="8">
        <f>13.5904 * CHOOSE(CONTROL!$C$15, $D$11, 100%, $F$11)</f>
        <v>13.590400000000001</v>
      </c>
      <c r="C498" s="8">
        <f>13.5954 * CHOOSE(CONTROL!$C$15, $D$11, 100%, $F$11)</f>
        <v>13.5954</v>
      </c>
      <c r="D498" s="8">
        <f>13.5666 * CHOOSE( CONTROL!$C$15, $D$11, 100%, $F$11)</f>
        <v>13.566599999999999</v>
      </c>
      <c r="E498" s="12">
        <f>13.5766 * CHOOSE( CONTROL!$C$15, $D$11, 100%, $F$11)</f>
        <v>13.576599999999999</v>
      </c>
      <c r="F498" s="4">
        <f>14.2556 * CHOOSE(CONTROL!$C$15, $D$11, 100%, $F$11)</f>
        <v>14.255599999999999</v>
      </c>
      <c r="G498" s="8">
        <f>13.4309 * CHOOSE( CONTROL!$C$15, $D$11, 100%, $F$11)</f>
        <v>13.430899999999999</v>
      </c>
      <c r="H498" s="4">
        <f>14.3353 * CHOOSE(CONTROL!$C$15, $D$11, 100%, $F$11)</f>
        <v>14.3353</v>
      </c>
      <c r="I498" s="8">
        <f>13.3318 * CHOOSE(CONTROL!$C$15, $D$11, 100%, $F$11)</f>
        <v>13.331799999999999</v>
      </c>
      <c r="J498" s="4">
        <f>13.1807 * CHOOSE(CONTROL!$C$15, $D$11, 100%, $F$11)</f>
        <v>13.1807</v>
      </c>
      <c r="K498" s="4"/>
      <c r="L498" s="9">
        <v>26.469899999999999</v>
      </c>
      <c r="M498" s="9">
        <v>10.8962</v>
      </c>
      <c r="N498" s="9">
        <v>4.4660000000000002</v>
      </c>
      <c r="O498" s="9">
        <v>0.33789999999999998</v>
      </c>
      <c r="P498" s="9">
        <v>1.1676</v>
      </c>
      <c r="Q498" s="9">
        <v>17.8399</v>
      </c>
      <c r="R498" s="9"/>
      <c r="S498" s="11"/>
    </row>
    <row r="499" spans="1:19" ht="15.75">
      <c r="A499" s="13">
        <v>56704</v>
      </c>
      <c r="B499" s="8">
        <f>13.3013 * CHOOSE(CONTROL!$C$15, $D$11, 100%, $F$11)</f>
        <v>13.301299999999999</v>
      </c>
      <c r="C499" s="8">
        <f>13.3063 * CHOOSE(CONTROL!$C$15, $D$11, 100%, $F$11)</f>
        <v>13.3063</v>
      </c>
      <c r="D499" s="8">
        <f>13.277 * CHOOSE( CONTROL!$C$15, $D$11, 100%, $F$11)</f>
        <v>13.276999999999999</v>
      </c>
      <c r="E499" s="12">
        <f>13.2872 * CHOOSE( CONTROL!$C$15, $D$11, 100%, $F$11)</f>
        <v>13.2872</v>
      </c>
      <c r="F499" s="4">
        <f>13.9665 * CHOOSE(CONTROL!$C$15, $D$11, 100%, $F$11)</f>
        <v>13.9665</v>
      </c>
      <c r="G499" s="8">
        <f>13.1449 * CHOOSE( CONTROL!$C$15, $D$11, 100%, $F$11)</f>
        <v>13.1449</v>
      </c>
      <c r="H499" s="4">
        <f>14.0496 * CHOOSE(CONTROL!$C$15, $D$11, 100%, $F$11)</f>
        <v>14.0496</v>
      </c>
      <c r="I499" s="8">
        <f>13.0498 * CHOOSE(CONTROL!$C$15, $D$11, 100%, $F$11)</f>
        <v>13.049799999999999</v>
      </c>
      <c r="J499" s="4">
        <f>12.9001 * CHOOSE(CONTROL!$C$15, $D$11, 100%, $F$11)</f>
        <v>12.9001</v>
      </c>
      <c r="K499" s="4"/>
      <c r="L499" s="9">
        <v>29.306000000000001</v>
      </c>
      <c r="M499" s="9">
        <v>12.063700000000001</v>
      </c>
      <c r="N499" s="9">
        <v>4.9444999999999997</v>
      </c>
      <c r="O499" s="9">
        <v>0.37409999999999999</v>
      </c>
      <c r="P499" s="9">
        <v>1.2927</v>
      </c>
      <c r="Q499" s="9">
        <v>19.751300000000001</v>
      </c>
      <c r="R499" s="9"/>
      <c r="S499" s="11"/>
    </row>
    <row r="500" spans="1:19" ht="15.75">
      <c r="A500" s="13">
        <v>56734</v>
      </c>
      <c r="B500" s="8">
        <f>13.504 * CHOOSE(CONTROL!$C$15, $D$11, 100%, $F$11)</f>
        <v>13.504</v>
      </c>
      <c r="C500" s="8">
        <f>13.5086 * CHOOSE(CONTROL!$C$15, $D$11, 100%, $F$11)</f>
        <v>13.508599999999999</v>
      </c>
      <c r="D500" s="8">
        <f>13.5519 * CHOOSE( CONTROL!$C$15, $D$11, 100%, $F$11)</f>
        <v>13.5519</v>
      </c>
      <c r="E500" s="12">
        <f>13.5371 * CHOOSE( CONTROL!$C$15, $D$11, 100%, $F$11)</f>
        <v>13.537100000000001</v>
      </c>
      <c r="F500" s="4">
        <f>14.2484 * CHOOSE(CONTROL!$C$15, $D$11, 100%, $F$11)</f>
        <v>14.2484</v>
      </c>
      <c r="G500" s="8">
        <f>13.3524 * CHOOSE( CONTROL!$C$15, $D$11, 100%, $F$11)</f>
        <v>13.352399999999999</v>
      </c>
      <c r="H500" s="4">
        <f>14.3282 * CHOOSE(CONTROL!$C$15, $D$11, 100%, $F$11)</f>
        <v>14.328200000000001</v>
      </c>
      <c r="I500" s="8">
        <f>13.2441 * CHOOSE(CONTROL!$C$15, $D$11, 100%, $F$11)</f>
        <v>13.2441</v>
      </c>
      <c r="J500" s="4">
        <f>13.0962 * CHOOSE(CONTROL!$C$15, $D$11, 100%, $F$11)</f>
        <v>13.0962</v>
      </c>
      <c r="K500" s="4"/>
      <c r="L500" s="9">
        <v>30.092199999999998</v>
      </c>
      <c r="M500" s="9">
        <v>11.6745</v>
      </c>
      <c r="N500" s="9">
        <v>4.7850000000000001</v>
      </c>
      <c r="O500" s="9">
        <v>0.36199999999999999</v>
      </c>
      <c r="P500" s="9">
        <v>1.1791</v>
      </c>
      <c r="Q500" s="9">
        <v>19.1142</v>
      </c>
      <c r="R500" s="9"/>
      <c r="S500" s="11"/>
    </row>
    <row r="501" spans="1:19" ht="15.75">
      <c r="A501" s="13">
        <v>56765</v>
      </c>
      <c r="B501" s="8">
        <f>CHOOSE( CONTROL!$C$32, 13.8686, 13.865) * CHOOSE(CONTROL!$C$15, $D$11, 100%, $F$11)</f>
        <v>13.868600000000001</v>
      </c>
      <c r="C501" s="8">
        <f>CHOOSE( CONTROL!$C$32, 13.8766, 13.8729) * CHOOSE(CONTROL!$C$15, $D$11, 100%, $F$11)</f>
        <v>13.8766</v>
      </c>
      <c r="D501" s="8">
        <f>CHOOSE( CONTROL!$C$32, 13.9143, 13.9107) * CHOOSE( CONTROL!$C$15, $D$11, 100%, $F$11)</f>
        <v>13.914300000000001</v>
      </c>
      <c r="E501" s="12">
        <f>CHOOSE( CONTROL!$C$32, 13.8994, 13.8958) * CHOOSE( CONTROL!$C$15, $D$11, 100%, $F$11)</f>
        <v>13.8994</v>
      </c>
      <c r="F501" s="4">
        <f>CHOOSE( CONTROL!$C$32, 14.6116, 14.608) * CHOOSE(CONTROL!$C$15, $D$11, 100%, $F$11)</f>
        <v>14.611599999999999</v>
      </c>
      <c r="G501" s="8">
        <f>CHOOSE( CONTROL!$C$32, 13.7121, 13.7085) * CHOOSE( CONTROL!$C$15, $D$11, 100%, $F$11)</f>
        <v>13.7121</v>
      </c>
      <c r="H501" s="4">
        <f>CHOOSE( CONTROL!$C$32, 14.6872, 14.6836) * CHOOSE(CONTROL!$C$15, $D$11, 100%, $F$11)</f>
        <v>14.687200000000001</v>
      </c>
      <c r="I501" s="8">
        <f>CHOOSE( CONTROL!$C$32, 13.597, 13.5934) * CHOOSE(CONTROL!$C$15, $D$11, 100%, $F$11)</f>
        <v>13.597</v>
      </c>
      <c r="J501" s="4">
        <f>CHOOSE( CONTROL!$C$32, 13.4487, 13.4451) * CHOOSE(CONTROL!$C$15, $D$11, 100%, $F$11)</f>
        <v>13.448700000000001</v>
      </c>
      <c r="K501" s="4"/>
      <c r="L501" s="9">
        <v>30.7165</v>
      </c>
      <c r="M501" s="9">
        <v>12.063700000000001</v>
      </c>
      <c r="N501" s="9">
        <v>4.9444999999999997</v>
      </c>
      <c r="O501" s="9">
        <v>0.37409999999999999</v>
      </c>
      <c r="P501" s="9">
        <v>1.2183999999999999</v>
      </c>
      <c r="Q501" s="9">
        <v>19.751300000000001</v>
      </c>
      <c r="R501" s="9"/>
      <c r="S501" s="11"/>
    </row>
    <row r="502" spans="1:19" ht="15.75">
      <c r="A502" s="13">
        <v>56795</v>
      </c>
      <c r="B502" s="8">
        <f>CHOOSE( CONTROL!$C$32, 13.6459, 13.6422) * CHOOSE(CONTROL!$C$15, $D$11, 100%, $F$11)</f>
        <v>13.645899999999999</v>
      </c>
      <c r="C502" s="8">
        <f>CHOOSE( CONTROL!$C$32, 13.6539, 13.6502) * CHOOSE(CONTROL!$C$15, $D$11, 100%, $F$11)</f>
        <v>13.6539</v>
      </c>
      <c r="D502" s="8">
        <f>CHOOSE( CONTROL!$C$32, 13.6918, 13.6882) * CHOOSE( CONTROL!$C$15, $D$11, 100%, $F$11)</f>
        <v>13.691800000000001</v>
      </c>
      <c r="E502" s="12">
        <f>CHOOSE( CONTROL!$C$32, 13.6768, 13.6732) * CHOOSE( CONTROL!$C$15, $D$11, 100%, $F$11)</f>
        <v>13.6768</v>
      </c>
      <c r="F502" s="4">
        <f>CHOOSE( CONTROL!$C$32, 14.3889, 14.3852) * CHOOSE(CONTROL!$C$15, $D$11, 100%, $F$11)</f>
        <v>14.3889</v>
      </c>
      <c r="G502" s="8">
        <f>CHOOSE( CONTROL!$C$32, 13.4923, 13.4887) * CHOOSE( CONTROL!$C$15, $D$11, 100%, $F$11)</f>
        <v>13.4923</v>
      </c>
      <c r="H502" s="4">
        <f>CHOOSE( CONTROL!$C$32, 14.467, 14.4634) * CHOOSE(CONTROL!$C$15, $D$11, 100%, $F$11)</f>
        <v>14.467000000000001</v>
      </c>
      <c r="I502" s="8">
        <f>CHOOSE( CONTROL!$C$32, 13.3817, 13.3782) * CHOOSE(CONTROL!$C$15, $D$11, 100%, $F$11)</f>
        <v>13.3817</v>
      </c>
      <c r="J502" s="4">
        <f>CHOOSE( CONTROL!$C$32, 13.2325, 13.229) * CHOOSE(CONTROL!$C$15, $D$11, 100%, $F$11)</f>
        <v>13.2325</v>
      </c>
      <c r="K502" s="4"/>
      <c r="L502" s="9">
        <v>29.7257</v>
      </c>
      <c r="M502" s="9">
        <v>11.6745</v>
      </c>
      <c r="N502" s="9">
        <v>4.7850000000000001</v>
      </c>
      <c r="O502" s="9">
        <v>0.36199999999999999</v>
      </c>
      <c r="P502" s="9">
        <v>1.1791</v>
      </c>
      <c r="Q502" s="9">
        <v>19.1142</v>
      </c>
      <c r="R502" s="9"/>
      <c r="S502" s="11"/>
    </row>
    <row r="503" spans="1:19" ht="15.75">
      <c r="A503" s="13">
        <v>56826</v>
      </c>
      <c r="B503" s="8">
        <f>CHOOSE( CONTROL!$C$32, 14.2324, 14.2288) * CHOOSE(CONTROL!$C$15, $D$11, 100%, $F$11)</f>
        <v>14.2324</v>
      </c>
      <c r="C503" s="8">
        <f>CHOOSE( CONTROL!$C$32, 14.2404, 14.2368) * CHOOSE(CONTROL!$C$15, $D$11, 100%, $F$11)</f>
        <v>14.240399999999999</v>
      </c>
      <c r="D503" s="8">
        <f>CHOOSE( CONTROL!$C$32, 14.2786, 14.275) * CHOOSE( CONTROL!$C$15, $D$11, 100%, $F$11)</f>
        <v>14.278600000000001</v>
      </c>
      <c r="E503" s="12">
        <f>CHOOSE( CONTROL!$C$32, 14.2635, 14.2599) * CHOOSE( CONTROL!$C$15, $D$11, 100%, $F$11)</f>
        <v>14.263500000000001</v>
      </c>
      <c r="F503" s="4">
        <f>CHOOSE( CONTROL!$C$32, 14.9754, 14.9718) * CHOOSE(CONTROL!$C$15, $D$11, 100%, $F$11)</f>
        <v>14.9754</v>
      </c>
      <c r="G503" s="8">
        <f>CHOOSE( CONTROL!$C$32, 14.0723, 14.0687) * CHOOSE( CONTROL!$C$15, $D$11, 100%, $F$11)</f>
        <v>14.0723</v>
      </c>
      <c r="H503" s="4">
        <f>CHOOSE( CONTROL!$C$32, 15.0467, 15.0431) * CHOOSE(CONTROL!$C$15, $D$11, 100%, $F$11)</f>
        <v>15.0467</v>
      </c>
      <c r="I503" s="8">
        <f>CHOOSE( CONTROL!$C$32, 13.9524, 13.9488) * CHOOSE(CONTROL!$C$15, $D$11, 100%, $F$11)</f>
        <v>13.952400000000001</v>
      </c>
      <c r="J503" s="4">
        <f>CHOOSE( CONTROL!$C$32, 13.8018, 13.7982) * CHOOSE(CONTROL!$C$15, $D$11, 100%, $F$11)</f>
        <v>13.8018</v>
      </c>
      <c r="K503" s="4"/>
      <c r="L503" s="9">
        <v>30.7165</v>
      </c>
      <c r="M503" s="9">
        <v>12.063700000000001</v>
      </c>
      <c r="N503" s="9">
        <v>4.9444999999999997</v>
      </c>
      <c r="O503" s="9">
        <v>0.37409999999999999</v>
      </c>
      <c r="P503" s="9">
        <v>1.2183999999999999</v>
      </c>
      <c r="Q503" s="9">
        <v>19.751300000000001</v>
      </c>
      <c r="R503" s="9"/>
      <c r="S503" s="11"/>
    </row>
    <row r="504" spans="1:19" ht="15.75">
      <c r="A504" s="13">
        <v>56857</v>
      </c>
      <c r="B504" s="8">
        <f>CHOOSE( CONTROL!$C$32, 13.1349, 13.1313) * CHOOSE(CONTROL!$C$15, $D$11, 100%, $F$11)</f>
        <v>13.1349</v>
      </c>
      <c r="C504" s="8">
        <f>CHOOSE( CONTROL!$C$32, 13.1429, 13.1393) * CHOOSE(CONTROL!$C$15, $D$11, 100%, $F$11)</f>
        <v>13.142899999999999</v>
      </c>
      <c r="D504" s="8">
        <f>CHOOSE( CONTROL!$C$32, 13.1812, 13.1775) * CHOOSE( CONTROL!$C$15, $D$11, 100%, $F$11)</f>
        <v>13.1812</v>
      </c>
      <c r="E504" s="12">
        <f>CHOOSE( CONTROL!$C$32, 13.1661, 13.1624) * CHOOSE( CONTROL!$C$15, $D$11, 100%, $F$11)</f>
        <v>13.1661</v>
      </c>
      <c r="F504" s="4">
        <f>CHOOSE( CONTROL!$C$32, 13.8779, 13.8743) * CHOOSE(CONTROL!$C$15, $D$11, 100%, $F$11)</f>
        <v>13.8779</v>
      </c>
      <c r="G504" s="8">
        <f>CHOOSE( CONTROL!$C$32, 12.9878, 12.9842) * CHOOSE( CONTROL!$C$15, $D$11, 100%, $F$11)</f>
        <v>12.9878</v>
      </c>
      <c r="H504" s="4">
        <f>CHOOSE( CONTROL!$C$32, 13.9621, 13.9585) * CHOOSE(CONTROL!$C$15, $D$11, 100%, $F$11)</f>
        <v>13.9621</v>
      </c>
      <c r="I504" s="8">
        <f>CHOOSE( CONTROL!$C$32, 12.887, 12.8835) * CHOOSE(CONTROL!$C$15, $D$11, 100%, $F$11)</f>
        <v>12.887</v>
      </c>
      <c r="J504" s="4">
        <f>CHOOSE( CONTROL!$C$32, 12.7366, 12.7331) * CHOOSE(CONTROL!$C$15, $D$11, 100%, $F$11)</f>
        <v>12.736599999999999</v>
      </c>
      <c r="K504" s="4"/>
      <c r="L504" s="9">
        <v>30.7165</v>
      </c>
      <c r="M504" s="9">
        <v>12.063700000000001</v>
      </c>
      <c r="N504" s="9">
        <v>4.9444999999999997</v>
      </c>
      <c r="O504" s="9">
        <v>0.37409999999999999</v>
      </c>
      <c r="P504" s="9">
        <v>1.2183999999999999</v>
      </c>
      <c r="Q504" s="9">
        <v>19.751300000000001</v>
      </c>
      <c r="R504" s="9"/>
      <c r="S504" s="11"/>
    </row>
    <row r="505" spans="1:19" ht="15.75">
      <c r="A505" s="13">
        <v>56887</v>
      </c>
      <c r="B505" s="8">
        <f>CHOOSE( CONTROL!$C$32, 12.8601, 12.8565) * CHOOSE(CONTROL!$C$15, $D$11, 100%, $F$11)</f>
        <v>12.860099999999999</v>
      </c>
      <c r="C505" s="8">
        <f>CHOOSE( CONTROL!$C$32, 12.8681, 12.8644) * CHOOSE(CONTROL!$C$15, $D$11, 100%, $F$11)</f>
        <v>12.8681</v>
      </c>
      <c r="D505" s="8">
        <f>CHOOSE( CONTROL!$C$32, 12.9063, 12.9026) * CHOOSE( CONTROL!$C$15, $D$11, 100%, $F$11)</f>
        <v>12.9063</v>
      </c>
      <c r="E505" s="12">
        <f>CHOOSE( CONTROL!$C$32, 12.8912, 12.8876) * CHOOSE( CONTROL!$C$15, $D$11, 100%, $F$11)</f>
        <v>12.8912</v>
      </c>
      <c r="F505" s="4">
        <f>CHOOSE( CONTROL!$C$32, 13.6031, 13.5995) * CHOOSE(CONTROL!$C$15, $D$11, 100%, $F$11)</f>
        <v>13.6031</v>
      </c>
      <c r="G505" s="8">
        <f>CHOOSE( CONTROL!$C$32, 12.7161, 12.7125) * CHOOSE( CONTROL!$C$15, $D$11, 100%, $F$11)</f>
        <v>12.716100000000001</v>
      </c>
      <c r="H505" s="4">
        <f>CHOOSE( CONTROL!$C$32, 13.6904, 13.6869) * CHOOSE(CONTROL!$C$15, $D$11, 100%, $F$11)</f>
        <v>13.6904</v>
      </c>
      <c r="I505" s="8">
        <f>CHOOSE( CONTROL!$C$32, 12.6198, 12.6162) * CHOOSE(CONTROL!$C$15, $D$11, 100%, $F$11)</f>
        <v>12.6198</v>
      </c>
      <c r="J505" s="4">
        <f>CHOOSE( CONTROL!$C$32, 12.4699, 12.4664) * CHOOSE(CONTROL!$C$15, $D$11, 100%, $F$11)</f>
        <v>12.469900000000001</v>
      </c>
      <c r="K505" s="4"/>
      <c r="L505" s="9">
        <v>29.7257</v>
      </c>
      <c r="M505" s="9">
        <v>11.6745</v>
      </c>
      <c r="N505" s="9">
        <v>4.7850000000000001</v>
      </c>
      <c r="O505" s="9">
        <v>0.36199999999999999</v>
      </c>
      <c r="P505" s="9">
        <v>1.1791</v>
      </c>
      <c r="Q505" s="9">
        <v>19.1142</v>
      </c>
      <c r="R505" s="9"/>
      <c r="S505" s="11"/>
    </row>
    <row r="506" spans="1:19" ht="15.75">
      <c r="A506" s="13">
        <v>56918</v>
      </c>
      <c r="B506" s="8">
        <f>13.4254 * CHOOSE(CONTROL!$C$15, $D$11, 100%, $F$11)</f>
        <v>13.4254</v>
      </c>
      <c r="C506" s="8">
        <f>13.4307 * CHOOSE(CONTROL!$C$15, $D$11, 100%, $F$11)</f>
        <v>13.4307</v>
      </c>
      <c r="D506" s="8">
        <f>13.4742 * CHOOSE( CONTROL!$C$15, $D$11, 100%, $F$11)</f>
        <v>13.4742</v>
      </c>
      <c r="E506" s="12">
        <f>13.4593 * CHOOSE( CONTROL!$C$15, $D$11, 100%, $F$11)</f>
        <v>13.459300000000001</v>
      </c>
      <c r="F506" s="4">
        <f>14.1701 * CHOOSE(CONTROL!$C$15, $D$11, 100%, $F$11)</f>
        <v>14.1701</v>
      </c>
      <c r="G506" s="8">
        <f>13.2759 * CHOOSE( CONTROL!$C$15, $D$11, 100%, $F$11)</f>
        <v>13.2759</v>
      </c>
      <c r="H506" s="4">
        <f>14.2508 * CHOOSE(CONTROL!$C$15, $D$11, 100%, $F$11)</f>
        <v>14.2508</v>
      </c>
      <c r="I506" s="8">
        <f>13.1711 * CHOOSE(CONTROL!$C$15, $D$11, 100%, $F$11)</f>
        <v>13.171099999999999</v>
      </c>
      <c r="J506" s="4">
        <f>13.0202 * CHOOSE(CONTROL!$C$15, $D$11, 100%, $F$11)</f>
        <v>13.020200000000001</v>
      </c>
      <c r="K506" s="4"/>
      <c r="L506" s="9">
        <v>31.095300000000002</v>
      </c>
      <c r="M506" s="9">
        <v>12.063700000000001</v>
      </c>
      <c r="N506" s="9">
        <v>4.9444999999999997</v>
      </c>
      <c r="O506" s="9">
        <v>0.37409999999999999</v>
      </c>
      <c r="P506" s="9">
        <v>1.2183999999999999</v>
      </c>
      <c r="Q506" s="9">
        <v>19.751300000000001</v>
      </c>
      <c r="R506" s="9"/>
      <c r="S506" s="11"/>
    </row>
    <row r="507" spans="1:19" ht="15.75">
      <c r="A507" s="13">
        <v>56948</v>
      </c>
      <c r="B507" s="8">
        <f>14.4782 * CHOOSE(CONTROL!$C$15, $D$11, 100%, $F$11)</f>
        <v>14.478199999999999</v>
      </c>
      <c r="C507" s="8">
        <f>14.4833 * CHOOSE(CONTROL!$C$15, $D$11, 100%, $F$11)</f>
        <v>14.4833</v>
      </c>
      <c r="D507" s="8">
        <f>14.467 * CHOOSE( CONTROL!$C$15, $D$11, 100%, $F$11)</f>
        <v>14.467000000000001</v>
      </c>
      <c r="E507" s="12">
        <f>14.4724 * CHOOSE( CONTROL!$C$15, $D$11, 100%, $F$11)</f>
        <v>14.4724</v>
      </c>
      <c r="F507" s="4">
        <f>15.1435 * CHOOSE(CONTROL!$C$15, $D$11, 100%, $F$11)</f>
        <v>15.1435</v>
      </c>
      <c r="G507" s="8">
        <f>14.3174 * CHOOSE( CONTROL!$C$15, $D$11, 100%, $F$11)</f>
        <v>14.317399999999999</v>
      </c>
      <c r="H507" s="4">
        <f>15.2128 * CHOOSE(CONTROL!$C$15, $D$11, 100%, $F$11)</f>
        <v>15.2128</v>
      </c>
      <c r="I507" s="8">
        <f>14.1939 * CHOOSE(CONTROL!$C$15, $D$11, 100%, $F$11)</f>
        <v>14.193899999999999</v>
      </c>
      <c r="J507" s="4">
        <f>14.0424 * CHOOSE(CONTROL!$C$15, $D$11, 100%, $F$11)</f>
        <v>14.042400000000001</v>
      </c>
      <c r="K507" s="4"/>
      <c r="L507" s="9">
        <v>28.360600000000002</v>
      </c>
      <c r="M507" s="9">
        <v>11.6745</v>
      </c>
      <c r="N507" s="9">
        <v>4.7850000000000001</v>
      </c>
      <c r="O507" s="9">
        <v>0.36199999999999999</v>
      </c>
      <c r="P507" s="9">
        <v>1.2509999999999999</v>
      </c>
      <c r="Q507" s="9">
        <v>19.1142</v>
      </c>
      <c r="R507" s="9"/>
      <c r="S507" s="11"/>
    </row>
    <row r="508" spans="1:19" ht="15.75">
      <c r="A508" s="13">
        <v>56979</v>
      </c>
      <c r="B508" s="8">
        <f>14.4519 * CHOOSE(CONTROL!$C$15, $D$11, 100%, $F$11)</f>
        <v>14.4519</v>
      </c>
      <c r="C508" s="8">
        <f>14.457 * CHOOSE(CONTROL!$C$15, $D$11, 100%, $F$11)</f>
        <v>14.457000000000001</v>
      </c>
      <c r="D508" s="8">
        <f>14.4424 * CHOOSE( CONTROL!$C$15, $D$11, 100%, $F$11)</f>
        <v>14.442399999999999</v>
      </c>
      <c r="E508" s="12">
        <f>14.4472 * CHOOSE( CONTROL!$C$15, $D$11, 100%, $F$11)</f>
        <v>14.4472</v>
      </c>
      <c r="F508" s="4">
        <f>15.1172 * CHOOSE(CONTROL!$C$15, $D$11, 100%, $F$11)</f>
        <v>15.1172</v>
      </c>
      <c r="G508" s="8">
        <f>14.2927 * CHOOSE( CONTROL!$C$15, $D$11, 100%, $F$11)</f>
        <v>14.2927</v>
      </c>
      <c r="H508" s="4">
        <f>15.1868 * CHOOSE(CONTROL!$C$15, $D$11, 100%, $F$11)</f>
        <v>15.1868</v>
      </c>
      <c r="I508" s="8">
        <f>14.1737 * CHOOSE(CONTROL!$C$15, $D$11, 100%, $F$11)</f>
        <v>14.1737</v>
      </c>
      <c r="J508" s="4">
        <f>14.0168 * CHOOSE(CONTROL!$C$15, $D$11, 100%, $F$11)</f>
        <v>14.0168</v>
      </c>
      <c r="K508" s="4"/>
      <c r="L508" s="9">
        <v>29.306000000000001</v>
      </c>
      <c r="M508" s="9">
        <v>12.063700000000001</v>
      </c>
      <c r="N508" s="9">
        <v>4.9444999999999997</v>
      </c>
      <c r="O508" s="9">
        <v>0.37409999999999999</v>
      </c>
      <c r="P508" s="9">
        <v>1.2927</v>
      </c>
      <c r="Q508" s="9">
        <v>19.751300000000001</v>
      </c>
      <c r="R508" s="9"/>
      <c r="S508" s="11"/>
    </row>
    <row r="509" spans="1:19" ht="15.75">
      <c r="A509" s="13">
        <v>57010</v>
      </c>
      <c r="B509" s="8">
        <f>14.8779 * CHOOSE(CONTROL!$C$15, $D$11, 100%, $F$11)</f>
        <v>14.8779</v>
      </c>
      <c r="C509" s="8">
        <f>14.883 * CHOOSE(CONTROL!$C$15, $D$11, 100%, $F$11)</f>
        <v>14.882999999999999</v>
      </c>
      <c r="D509" s="8">
        <f>14.8541 * CHOOSE( CONTROL!$C$15, $D$11, 100%, $F$11)</f>
        <v>14.854100000000001</v>
      </c>
      <c r="E509" s="12">
        <f>14.8641 * CHOOSE( CONTROL!$C$15, $D$11, 100%, $F$11)</f>
        <v>14.864100000000001</v>
      </c>
      <c r="F509" s="4">
        <f>15.5432 * CHOOSE(CONTROL!$C$15, $D$11, 100%, $F$11)</f>
        <v>15.543200000000001</v>
      </c>
      <c r="G509" s="8">
        <f>14.7034 * CHOOSE( CONTROL!$C$15, $D$11, 100%, $F$11)</f>
        <v>14.7034</v>
      </c>
      <c r="H509" s="4">
        <f>15.6078 * CHOOSE(CONTROL!$C$15, $D$11, 100%, $F$11)</f>
        <v>15.607799999999999</v>
      </c>
      <c r="I509" s="8">
        <f>14.582 * CHOOSE(CONTROL!$C$15, $D$11, 100%, $F$11)</f>
        <v>14.582000000000001</v>
      </c>
      <c r="J509" s="4">
        <f>14.4303 * CHOOSE(CONTROL!$C$15, $D$11, 100%, $F$11)</f>
        <v>14.430300000000001</v>
      </c>
      <c r="K509" s="4"/>
      <c r="L509" s="9">
        <v>29.306000000000001</v>
      </c>
      <c r="M509" s="9">
        <v>12.063700000000001</v>
      </c>
      <c r="N509" s="9">
        <v>4.9444999999999997</v>
      </c>
      <c r="O509" s="9">
        <v>0.37409999999999999</v>
      </c>
      <c r="P509" s="9">
        <v>1.2927</v>
      </c>
      <c r="Q509" s="9">
        <v>19.688099999999999</v>
      </c>
      <c r="R509" s="9"/>
      <c r="S509" s="11"/>
    </row>
    <row r="510" spans="1:19" ht="15.75">
      <c r="A510" s="13">
        <v>57038</v>
      </c>
      <c r="B510" s="8">
        <f>13.9167 * CHOOSE(CONTROL!$C$15, $D$11, 100%, $F$11)</f>
        <v>13.916700000000001</v>
      </c>
      <c r="C510" s="8">
        <f>13.9218 * CHOOSE(CONTROL!$C$15, $D$11, 100%, $F$11)</f>
        <v>13.921799999999999</v>
      </c>
      <c r="D510" s="8">
        <f>13.8929 * CHOOSE( CONTROL!$C$15, $D$11, 100%, $F$11)</f>
        <v>13.892899999999999</v>
      </c>
      <c r="E510" s="12">
        <f>13.9029 * CHOOSE( CONTROL!$C$15, $D$11, 100%, $F$11)</f>
        <v>13.902900000000001</v>
      </c>
      <c r="F510" s="4">
        <f>14.582 * CHOOSE(CONTROL!$C$15, $D$11, 100%, $F$11)</f>
        <v>14.582000000000001</v>
      </c>
      <c r="G510" s="8">
        <f>13.7534 * CHOOSE( CONTROL!$C$15, $D$11, 100%, $F$11)</f>
        <v>13.753399999999999</v>
      </c>
      <c r="H510" s="4">
        <f>14.6578 * CHOOSE(CONTROL!$C$15, $D$11, 100%, $F$11)</f>
        <v>14.6578</v>
      </c>
      <c r="I510" s="8">
        <f>13.6486 * CHOOSE(CONTROL!$C$15, $D$11, 100%, $F$11)</f>
        <v>13.6486</v>
      </c>
      <c r="J510" s="4">
        <f>13.4974 * CHOOSE(CONTROL!$C$15, $D$11, 100%, $F$11)</f>
        <v>13.497400000000001</v>
      </c>
      <c r="K510" s="4"/>
      <c r="L510" s="9">
        <v>27.415299999999998</v>
      </c>
      <c r="M510" s="9">
        <v>11.285299999999999</v>
      </c>
      <c r="N510" s="9">
        <v>4.6254999999999997</v>
      </c>
      <c r="O510" s="9">
        <v>0.34989999999999999</v>
      </c>
      <c r="P510" s="9">
        <v>1.2093</v>
      </c>
      <c r="Q510" s="9">
        <v>18.417899999999999</v>
      </c>
      <c r="R510" s="9"/>
      <c r="S510" s="11"/>
    </row>
    <row r="511" spans="1:19" ht="15.75">
      <c r="A511" s="13">
        <v>57070</v>
      </c>
      <c r="B511" s="8">
        <f>13.6206 * CHOOSE(CONTROL!$C$15, $D$11, 100%, $F$11)</f>
        <v>13.6206</v>
      </c>
      <c r="C511" s="8">
        <f>13.6257 * CHOOSE(CONTROL!$C$15, $D$11, 100%, $F$11)</f>
        <v>13.6257</v>
      </c>
      <c r="D511" s="8">
        <f>13.5964 * CHOOSE( CONTROL!$C$15, $D$11, 100%, $F$11)</f>
        <v>13.596399999999999</v>
      </c>
      <c r="E511" s="12">
        <f>13.6066 * CHOOSE( CONTROL!$C$15, $D$11, 100%, $F$11)</f>
        <v>13.6066</v>
      </c>
      <c r="F511" s="4">
        <f>14.2859 * CHOOSE(CONTROL!$C$15, $D$11, 100%, $F$11)</f>
        <v>14.2859</v>
      </c>
      <c r="G511" s="8">
        <f>13.4605 * CHOOSE( CONTROL!$C$15, $D$11, 100%, $F$11)</f>
        <v>13.4605</v>
      </c>
      <c r="H511" s="4">
        <f>14.3653 * CHOOSE(CONTROL!$C$15, $D$11, 100%, $F$11)</f>
        <v>14.3653</v>
      </c>
      <c r="I511" s="8">
        <f>13.3599 * CHOOSE(CONTROL!$C$15, $D$11, 100%, $F$11)</f>
        <v>13.3599</v>
      </c>
      <c r="J511" s="4">
        <f>13.2101 * CHOOSE(CONTROL!$C$15, $D$11, 100%, $F$11)</f>
        <v>13.210100000000001</v>
      </c>
      <c r="K511" s="4"/>
      <c r="L511" s="9">
        <v>29.306000000000001</v>
      </c>
      <c r="M511" s="9">
        <v>12.063700000000001</v>
      </c>
      <c r="N511" s="9">
        <v>4.9444999999999997</v>
      </c>
      <c r="O511" s="9">
        <v>0.37409999999999999</v>
      </c>
      <c r="P511" s="9">
        <v>1.2927</v>
      </c>
      <c r="Q511" s="9">
        <v>19.688099999999999</v>
      </c>
      <c r="R511" s="9"/>
      <c r="S511" s="11"/>
    </row>
    <row r="512" spans="1:19" ht="15.75">
      <c r="A512" s="13">
        <v>57100</v>
      </c>
      <c r="B512" s="8">
        <f>13.8283 * CHOOSE(CONTROL!$C$15, $D$11, 100%, $F$11)</f>
        <v>13.8283</v>
      </c>
      <c r="C512" s="8">
        <f>13.8328 * CHOOSE(CONTROL!$C$15, $D$11, 100%, $F$11)</f>
        <v>13.832800000000001</v>
      </c>
      <c r="D512" s="8">
        <f>13.8762 * CHOOSE( CONTROL!$C$15, $D$11, 100%, $F$11)</f>
        <v>13.876200000000001</v>
      </c>
      <c r="E512" s="12">
        <f>13.8614 * CHOOSE( CONTROL!$C$15, $D$11, 100%, $F$11)</f>
        <v>13.8614</v>
      </c>
      <c r="F512" s="4">
        <f>14.5726 * CHOOSE(CONTROL!$C$15, $D$11, 100%, $F$11)</f>
        <v>14.5726</v>
      </c>
      <c r="G512" s="8">
        <f>13.6728 * CHOOSE( CONTROL!$C$15, $D$11, 100%, $F$11)</f>
        <v>13.672800000000001</v>
      </c>
      <c r="H512" s="4">
        <f>14.6486 * CHOOSE(CONTROL!$C$15, $D$11, 100%, $F$11)</f>
        <v>14.6486</v>
      </c>
      <c r="I512" s="8">
        <f>13.559 * CHOOSE(CONTROL!$C$15, $D$11, 100%, $F$11)</f>
        <v>13.558999999999999</v>
      </c>
      <c r="J512" s="4">
        <f>13.4108 * CHOOSE(CONTROL!$C$15, $D$11, 100%, $F$11)</f>
        <v>13.4108</v>
      </c>
      <c r="K512" s="4"/>
      <c r="L512" s="9">
        <v>30.092199999999998</v>
      </c>
      <c r="M512" s="9">
        <v>11.6745</v>
      </c>
      <c r="N512" s="9">
        <v>4.7850000000000001</v>
      </c>
      <c r="O512" s="9">
        <v>0.36199999999999999</v>
      </c>
      <c r="P512" s="9">
        <v>1.1791</v>
      </c>
      <c r="Q512" s="9">
        <v>19.053000000000001</v>
      </c>
      <c r="R512" s="9"/>
      <c r="S512" s="11"/>
    </row>
    <row r="513" spans="1:19" ht="15.75">
      <c r="A513" s="13">
        <v>57131</v>
      </c>
      <c r="B513" s="8">
        <f>CHOOSE( CONTROL!$C$32, 14.2015, 14.1978) * CHOOSE(CONTROL!$C$15, $D$11, 100%, $F$11)</f>
        <v>14.201499999999999</v>
      </c>
      <c r="C513" s="8">
        <f>CHOOSE( CONTROL!$C$32, 14.2095, 14.2058) * CHOOSE(CONTROL!$C$15, $D$11, 100%, $F$11)</f>
        <v>14.2095</v>
      </c>
      <c r="D513" s="8">
        <f>CHOOSE( CONTROL!$C$32, 14.2472, 14.2436) * CHOOSE( CONTROL!$C$15, $D$11, 100%, $F$11)</f>
        <v>14.247199999999999</v>
      </c>
      <c r="E513" s="12">
        <f>CHOOSE( CONTROL!$C$32, 14.2323, 14.2287) * CHOOSE( CONTROL!$C$15, $D$11, 100%, $F$11)</f>
        <v>14.2323</v>
      </c>
      <c r="F513" s="4">
        <f>CHOOSE( CONTROL!$C$32, 14.9445, 14.9409) * CHOOSE(CONTROL!$C$15, $D$11, 100%, $F$11)</f>
        <v>14.9445</v>
      </c>
      <c r="G513" s="8">
        <f>CHOOSE( CONTROL!$C$32, 14.0411, 14.0375) * CHOOSE( CONTROL!$C$15, $D$11, 100%, $F$11)</f>
        <v>14.0411</v>
      </c>
      <c r="H513" s="4">
        <f>CHOOSE( CONTROL!$C$32, 15.0161, 15.0125) * CHOOSE(CONTROL!$C$15, $D$11, 100%, $F$11)</f>
        <v>15.0161</v>
      </c>
      <c r="I513" s="8">
        <f>CHOOSE( CONTROL!$C$32, 13.9202, 13.9166) * CHOOSE(CONTROL!$C$15, $D$11, 100%, $F$11)</f>
        <v>13.920199999999999</v>
      </c>
      <c r="J513" s="4">
        <f>CHOOSE( CONTROL!$C$32, 13.7717, 13.7682) * CHOOSE(CONTROL!$C$15, $D$11, 100%, $F$11)</f>
        <v>13.771699999999999</v>
      </c>
      <c r="K513" s="4"/>
      <c r="L513" s="9">
        <v>30.7165</v>
      </c>
      <c r="M513" s="9">
        <v>12.063700000000001</v>
      </c>
      <c r="N513" s="9">
        <v>4.9444999999999997</v>
      </c>
      <c r="O513" s="9">
        <v>0.37409999999999999</v>
      </c>
      <c r="P513" s="9">
        <v>1.2183999999999999</v>
      </c>
      <c r="Q513" s="9">
        <v>19.688099999999999</v>
      </c>
      <c r="R513" s="9"/>
      <c r="S513" s="11"/>
    </row>
    <row r="514" spans="1:19" ht="15.75">
      <c r="A514" s="13">
        <v>57161</v>
      </c>
      <c r="B514" s="8">
        <f>CHOOSE( CONTROL!$C$32, 13.9734, 13.9698) * CHOOSE(CONTROL!$C$15, $D$11, 100%, $F$11)</f>
        <v>13.9734</v>
      </c>
      <c r="C514" s="8">
        <f>CHOOSE( CONTROL!$C$32, 13.9814, 13.9777) * CHOOSE(CONTROL!$C$15, $D$11, 100%, $F$11)</f>
        <v>13.981400000000001</v>
      </c>
      <c r="D514" s="8">
        <f>CHOOSE( CONTROL!$C$32, 14.0193, 14.0157) * CHOOSE( CONTROL!$C$15, $D$11, 100%, $F$11)</f>
        <v>14.019299999999999</v>
      </c>
      <c r="E514" s="12">
        <f>CHOOSE( CONTROL!$C$32, 14.0043, 14.0007) * CHOOSE( CONTROL!$C$15, $D$11, 100%, $F$11)</f>
        <v>14.004300000000001</v>
      </c>
      <c r="F514" s="4">
        <f>CHOOSE( CONTROL!$C$32, 14.7164, 14.7128) * CHOOSE(CONTROL!$C$15, $D$11, 100%, $F$11)</f>
        <v>14.7164</v>
      </c>
      <c r="G514" s="8">
        <f>CHOOSE( CONTROL!$C$32, 13.816, 13.8124) * CHOOSE( CONTROL!$C$15, $D$11, 100%, $F$11)</f>
        <v>13.816000000000001</v>
      </c>
      <c r="H514" s="4">
        <f>CHOOSE( CONTROL!$C$32, 14.7907, 14.7871) * CHOOSE(CONTROL!$C$15, $D$11, 100%, $F$11)</f>
        <v>14.790699999999999</v>
      </c>
      <c r="I514" s="8">
        <f>CHOOSE( CONTROL!$C$32, 13.6997, 13.6962) * CHOOSE(CONTROL!$C$15, $D$11, 100%, $F$11)</f>
        <v>13.6997</v>
      </c>
      <c r="J514" s="4">
        <f>CHOOSE( CONTROL!$C$32, 13.5504, 13.5468) * CHOOSE(CONTROL!$C$15, $D$11, 100%, $F$11)</f>
        <v>13.5504</v>
      </c>
      <c r="K514" s="4"/>
      <c r="L514" s="9">
        <v>29.7257</v>
      </c>
      <c r="M514" s="9">
        <v>11.6745</v>
      </c>
      <c r="N514" s="9">
        <v>4.7850000000000001</v>
      </c>
      <c r="O514" s="9">
        <v>0.36199999999999999</v>
      </c>
      <c r="P514" s="9">
        <v>1.1791</v>
      </c>
      <c r="Q514" s="9">
        <v>19.053000000000001</v>
      </c>
      <c r="R514" s="9"/>
      <c r="S514" s="11"/>
    </row>
    <row r="515" spans="1:19" ht="15.75">
      <c r="A515" s="13">
        <v>57192</v>
      </c>
      <c r="B515" s="8">
        <f>CHOOSE( CONTROL!$C$32, 14.574, 14.5704) * CHOOSE(CONTROL!$C$15, $D$11, 100%, $F$11)</f>
        <v>14.574</v>
      </c>
      <c r="C515" s="8">
        <f>CHOOSE( CONTROL!$C$32, 14.582, 14.5784) * CHOOSE(CONTROL!$C$15, $D$11, 100%, $F$11)</f>
        <v>14.582000000000001</v>
      </c>
      <c r="D515" s="8">
        <f>CHOOSE( CONTROL!$C$32, 14.6202, 14.6166) * CHOOSE( CONTROL!$C$15, $D$11, 100%, $F$11)</f>
        <v>14.620200000000001</v>
      </c>
      <c r="E515" s="12">
        <f>CHOOSE( CONTROL!$C$32, 14.6051, 14.6015) * CHOOSE( CONTROL!$C$15, $D$11, 100%, $F$11)</f>
        <v>14.6051</v>
      </c>
      <c r="F515" s="4">
        <f>CHOOSE( CONTROL!$C$32, 15.317, 15.3134) * CHOOSE(CONTROL!$C$15, $D$11, 100%, $F$11)</f>
        <v>15.317</v>
      </c>
      <c r="G515" s="8">
        <f>CHOOSE( CONTROL!$C$32, 14.41, 14.4064) * CHOOSE( CONTROL!$C$15, $D$11, 100%, $F$11)</f>
        <v>14.41</v>
      </c>
      <c r="H515" s="4">
        <f>CHOOSE( CONTROL!$C$32, 15.3843, 15.3807) * CHOOSE(CONTROL!$C$15, $D$11, 100%, $F$11)</f>
        <v>15.3843</v>
      </c>
      <c r="I515" s="8">
        <f>CHOOSE( CONTROL!$C$32, 14.2841, 14.2805) * CHOOSE(CONTROL!$C$15, $D$11, 100%, $F$11)</f>
        <v>14.2841</v>
      </c>
      <c r="J515" s="4">
        <f>CHOOSE( CONTROL!$C$32, 14.1333, 14.1298) * CHOOSE(CONTROL!$C$15, $D$11, 100%, $F$11)</f>
        <v>14.1333</v>
      </c>
      <c r="K515" s="4"/>
      <c r="L515" s="9">
        <v>30.7165</v>
      </c>
      <c r="M515" s="9">
        <v>12.063700000000001</v>
      </c>
      <c r="N515" s="9">
        <v>4.9444999999999997</v>
      </c>
      <c r="O515" s="9">
        <v>0.37409999999999999</v>
      </c>
      <c r="P515" s="9">
        <v>1.2183999999999999</v>
      </c>
      <c r="Q515" s="9">
        <v>19.688099999999999</v>
      </c>
      <c r="R515" s="9"/>
      <c r="S515" s="11"/>
    </row>
    <row r="516" spans="1:19" ht="15.75">
      <c r="A516" s="13">
        <v>57223</v>
      </c>
      <c r="B516" s="8">
        <f>CHOOSE( CONTROL!$C$32, 13.4502, 13.4465) * CHOOSE(CONTROL!$C$15, $D$11, 100%, $F$11)</f>
        <v>13.450200000000001</v>
      </c>
      <c r="C516" s="8">
        <f>CHOOSE( CONTROL!$C$32, 13.4581, 13.4545) * CHOOSE(CONTROL!$C$15, $D$11, 100%, $F$11)</f>
        <v>13.4581</v>
      </c>
      <c r="D516" s="8">
        <f>CHOOSE( CONTROL!$C$32, 13.4964, 13.4928) * CHOOSE( CONTROL!$C$15, $D$11, 100%, $F$11)</f>
        <v>13.4964</v>
      </c>
      <c r="E516" s="12">
        <f>CHOOSE( CONTROL!$C$32, 13.4813, 13.4777) * CHOOSE( CONTROL!$C$15, $D$11, 100%, $F$11)</f>
        <v>13.481299999999999</v>
      </c>
      <c r="F516" s="4">
        <f>CHOOSE( CONTROL!$C$32, 14.1932, 14.1895) * CHOOSE(CONTROL!$C$15, $D$11, 100%, $F$11)</f>
        <v>14.193199999999999</v>
      </c>
      <c r="G516" s="8">
        <f>CHOOSE( CONTROL!$C$32, 13.2993, 13.2957) * CHOOSE( CONTROL!$C$15, $D$11, 100%, $F$11)</f>
        <v>13.299300000000001</v>
      </c>
      <c r="H516" s="4">
        <f>CHOOSE( CONTROL!$C$32, 14.2736, 14.27) * CHOOSE(CONTROL!$C$15, $D$11, 100%, $F$11)</f>
        <v>14.2736</v>
      </c>
      <c r="I516" s="8">
        <f>CHOOSE( CONTROL!$C$32, 13.1931, 13.1896) * CHOOSE(CONTROL!$C$15, $D$11, 100%, $F$11)</f>
        <v>13.193099999999999</v>
      </c>
      <c r="J516" s="4">
        <f>CHOOSE( CONTROL!$C$32, 13.0426, 13.039) * CHOOSE(CONTROL!$C$15, $D$11, 100%, $F$11)</f>
        <v>13.0426</v>
      </c>
      <c r="K516" s="4"/>
      <c r="L516" s="9">
        <v>30.7165</v>
      </c>
      <c r="M516" s="9">
        <v>12.063700000000001</v>
      </c>
      <c r="N516" s="9">
        <v>4.9444999999999997</v>
      </c>
      <c r="O516" s="9">
        <v>0.37409999999999999</v>
      </c>
      <c r="P516" s="9">
        <v>1.2183999999999999</v>
      </c>
      <c r="Q516" s="9">
        <v>19.688099999999999</v>
      </c>
      <c r="R516" s="9"/>
      <c r="S516" s="11"/>
    </row>
    <row r="517" spans="1:19" ht="15.75">
      <c r="A517" s="13">
        <v>57253</v>
      </c>
      <c r="B517" s="8">
        <f>CHOOSE( CONTROL!$C$32, 13.1687, 13.1651) * CHOOSE(CONTROL!$C$15, $D$11, 100%, $F$11)</f>
        <v>13.168699999999999</v>
      </c>
      <c r="C517" s="8">
        <f>CHOOSE( CONTROL!$C$32, 13.1767, 13.1731) * CHOOSE(CONTROL!$C$15, $D$11, 100%, $F$11)</f>
        <v>13.1767</v>
      </c>
      <c r="D517" s="8">
        <f>CHOOSE( CONTROL!$C$32, 13.2149, 13.2113) * CHOOSE( CONTROL!$C$15, $D$11, 100%, $F$11)</f>
        <v>13.2149</v>
      </c>
      <c r="E517" s="12">
        <f>CHOOSE( CONTROL!$C$32, 13.1998, 13.1962) * CHOOSE( CONTROL!$C$15, $D$11, 100%, $F$11)</f>
        <v>13.1998</v>
      </c>
      <c r="F517" s="4">
        <f>CHOOSE( CONTROL!$C$32, 13.9118, 13.9081) * CHOOSE(CONTROL!$C$15, $D$11, 100%, $F$11)</f>
        <v>13.911799999999999</v>
      </c>
      <c r="G517" s="8">
        <f>CHOOSE( CONTROL!$C$32, 13.0211, 13.0175) * CHOOSE( CONTROL!$C$15, $D$11, 100%, $F$11)</f>
        <v>13.021100000000001</v>
      </c>
      <c r="H517" s="4">
        <f>CHOOSE( CONTROL!$C$32, 13.9955, 13.9919) * CHOOSE(CONTROL!$C$15, $D$11, 100%, $F$11)</f>
        <v>13.9955</v>
      </c>
      <c r="I517" s="8">
        <f>CHOOSE( CONTROL!$C$32, 12.9195, 12.9159) * CHOOSE(CONTROL!$C$15, $D$11, 100%, $F$11)</f>
        <v>12.919499999999999</v>
      </c>
      <c r="J517" s="4">
        <f>CHOOSE( CONTROL!$C$32, 12.7694, 12.7659) * CHOOSE(CONTROL!$C$15, $D$11, 100%, $F$11)</f>
        <v>12.769399999999999</v>
      </c>
      <c r="K517" s="4"/>
      <c r="L517" s="9">
        <v>29.7257</v>
      </c>
      <c r="M517" s="9">
        <v>11.6745</v>
      </c>
      <c r="N517" s="9">
        <v>4.7850000000000001</v>
      </c>
      <c r="O517" s="9">
        <v>0.36199999999999999</v>
      </c>
      <c r="P517" s="9">
        <v>1.1791</v>
      </c>
      <c r="Q517" s="9">
        <v>19.053000000000001</v>
      </c>
      <c r="R517" s="9"/>
      <c r="S517" s="11"/>
    </row>
    <row r="518" spans="1:19" ht="15.75">
      <c r="A518" s="13">
        <v>57284</v>
      </c>
      <c r="B518" s="8">
        <f>13.7477 * CHOOSE(CONTROL!$C$15, $D$11, 100%, $F$11)</f>
        <v>13.7477</v>
      </c>
      <c r="C518" s="8">
        <f>13.7531 * CHOOSE(CONTROL!$C$15, $D$11, 100%, $F$11)</f>
        <v>13.7531</v>
      </c>
      <c r="D518" s="8">
        <f>13.7966 * CHOOSE( CONTROL!$C$15, $D$11, 100%, $F$11)</f>
        <v>13.7966</v>
      </c>
      <c r="E518" s="12">
        <f>13.7817 * CHOOSE( CONTROL!$C$15, $D$11, 100%, $F$11)</f>
        <v>13.781700000000001</v>
      </c>
      <c r="F518" s="4">
        <f>14.4925 * CHOOSE(CONTROL!$C$15, $D$11, 100%, $F$11)</f>
        <v>14.4925</v>
      </c>
      <c r="G518" s="8">
        <f>13.5945 * CHOOSE( CONTROL!$C$15, $D$11, 100%, $F$11)</f>
        <v>13.5945</v>
      </c>
      <c r="H518" s="4">
        <f>14.5694 * CHOOSE(CONTROL!$C$15, $D$11, 100%, $F$11)</f>
        <v>14.5694</v>
      </c>
      <c r="I518" s="8">
        <f>13.4841 * CHOOSE(CONTROL!$C$15, $D$11, 100%, $F$11)</f>
        <v>13.4841</v>
      </c>
      <c r="J518" s="4">
        <f>13.333 * CHOOSE(CONTROL!$C$15, $D$11, 100%, $F$11)</f>
        <v>13.333</v>
      </c>
      <c r="K518" s="4"/>
      <c r="L518" s="9">
        <v>31.095300000000002</v>
      </c>
      <c r="M518" s="9">
        <v>12.063700000000001</v>
      </c>
      <c r="N518" s="9">
        <v>4.9444999999999997</v>
      </c>
      <c r="O518" s="9">
        <v>0.37409999999999999</v>
      </c>
      <c r="P518" s="9">
        <v>1.2183999999999999</v>
      </c>
      <c r="Q518" s="9">
        <v>19.688099999999999</v>
      </c>
      <c r="R518" s="9"/>
      <c r="S518" s="11"/>
    </row>
    <row r="519" spans="1:19" ht="15.75">
      <c r="A519" s="13">
        <v>57314</v>
      </c>
      <c r="B519" s="8">
        <f>14.8259 * CHOOSE(CONTROL!$C$15, $D$11, 100%, $F$11)</f>
        <v>14.825900000000001</v>
      </c>
      <c r="C519" s="8">
        <f>14.831 * CHOOSE(CONTROL!$C$15, $D$11, 100%, $F$11)</f>
        <v>14.831</v>
      </c>
      <c r="D519" s="8">
        <f>14.8146 * CHOOSE( CONTROL!$C$15, $D$11, 100%, $F$11)</f>
        <v>14.8146</v>
      </c>
      <c r="E519" s="12">
        <f>14.8201 * CHOOSE( CONTROL!$C$15, $D$11, 100%, $F$11)</f>
        <v>14.8201</v>
      </c>
      <c r="F519" s="4">
        <f>15.4912 * CHOOSE(CONTROL!$C$15, $D$11, 100%, $F$11)</f>
        <v>15.491199999999999</v>
      </c>
      <c r="G519" s="8">
        <f>14.661 * CHOOSE( CONTROL!$C$15, $D$11, 100%, $F$11)</f>
        <v>14.661</v>
      </c>
      <c r="H519" s="4">
        <f>15.5564 * CHOOSE(CONTROL!$C$15, $D$11, 100%, $F$11)</f>
        <v>15.5564</v>
      </c>
      <c r="I519" s="8">
        <f>14.5315 * CHOOSE(CONTROL!$C$15, $D$11, 100%, $F$11)</f>
        <v>14.531499999999999</v>
      </c>
      <c r="J519" s="4">
        <f>14.3798 * CHOOSE(CONTROL!$C$15, $D$11, 100%, $F$11)</f>
        <v>14.379799999999999</v>
      </c>
      <c r="K519" s="4"/>
      <c r="L519" s="9">
        <v>28.360600000000002</v>
      </c>
      <c r="M519" s="9">
        <v>11.6745</v>
      </c>
      <c r="N519" s="9">
        <v>4.7850000000000001</v>
      </c>
      <c r="O519" s="9">
        <v>0.36199999999999999</v>
      </c>
      <c r="P519" s="9">
        <v>1.2509999999999999</v>
      </c>
      <c r="Q519" s="9">
        <v>19.053000000000001</v>
      </c>
      <c r="R519" s="9"/>
      <c r="S519" s="11"/>
    </row>
    <row r="520" spans="1:19" ht="15.75">
      <c r="A520" s="13">
        <v>57345</v>
      </c>
      <c r="B520" s="8">
        <f>14.799 * CHOOSE(CONTROL!$C$15, $D$11, 100%, $F$11)</f>
        <v>14.798999999999999</v>
      </c>
      <c r="C520" s="8">
        <f>14.804 * CHOOSE(CONTROL!$C$15, $D$11, 100%, $F$11)</f>
        <v>14.804</v>
      </c>
      <c r="D520" s="8">
        <f>14.7894 * CHOOSE( CONTROL!$C$15, $D$11, 100%, $F$11)</f>
        <v>14.789400000000001</v>
      </c>
      <c r="E520" s="12">
        <f>14.7942 * CHOOSE( CONTROL!$C$15, $D$11, 100%, $F$11)</f>
        <v>14.7942</v>
      </c>
      <c r="F520" s="4">
        <f>15.4642 * CHOOSE(CONTROL!$C$15, $D$11, 100%, $F$11)</f>
        <v>15.4642</v>
      </c>
      <c r="G520" s="8">
        <f>14.6356 * CHOOSE( CONTROL!$C$15, $D$11, 100%, $F$11)</f>
        <v>14.6356</v>
      </c>
      <c r="H520" s="4">
        <f>15.5298 * CHOOSE(CONTROL!$C$15, $D$11, 100%, $F$11)</f>
        <v>15.5298</v>
      </c>
      <c r="I520" s="8">
        <f>14.5107 * CHOOSE(CONTROL!$C$15, $D$11, 100%, $F$11)</f>
        <v>14.5107</v>
      </c>
      <c r="J520" s="4">
        <f>14.3536 * CHOOSE(CONTROL!$C$15, $D$11, 100%, $F$11)</f>
        <v>14.3536</v>
      </c>
      <c r="K520" s="4"/>
      <c r="L520" s="9">
        <v>29.306000000000001</v>
      </c>
      <c r="M520" s="9">
        <v>12.063700000000001</v>
      </c>
      <c r="N520" s="9">
        <v>4.9444999999999997</v>
      </c>
      <c r="O520" s="9">
        <v>0.37409999999999999</v>
      </c>
      <c r="P520" s="9">
        <v>1.2927</v>
      </c>
      <c r="Q520" s="9">
        <v>19.688099999999999</v>
      </c>
      <c r="R520" s="9"/>
      <c r="S520" s="11"/>
    </row>
    <row r="521" spans="1:19" ht="15.75">
      <c r="A521" s="13">
        <v>57376</v>
      </c>
      <c r="B521" s="8">
        <f>15.2352 * CHOOSE(CONTROL!$C$15, $D$11, 100%, $F$11)</f>
        <v>15.235200000000001</v>
      </c>
      <c r="C521" s="8">
        <f>15.2403 * CHOOSE(CONTROL!$C$15, $D$11, 100%, $F$11)</f>
        <v>15.2403</v>
      </c>
      <c r="D521" s="8">
        <f>15.2114 * CHOOSE( CONTROL!$C$15, $D$11, 100%, $F$11)</f>
        <v>15.211399999999999</v>
      </c>
      <c r="E521" s="12">
        <f>15.2214 * CHOOSE( CONTROL!$C$15, $D$11, 100%, $F$11)</f>
        <v>15.221399999999999</v>
      </c>
      <c r="F521" s="4">
        <f>15.9005 * CHOOSE(CONTROL!$C$15, $D$11, 100%, $F$11)</f>
        <v>15.900499999999999</v>
      </c>
      <c r="G521" s="8">
        <f>15.0565 * CHOOSE( CONTROL!$C$15, $D$11, 100%, $F$11)</f>
        <v>15.0565</v>
      </c>
      <c r="H521" s="4">
        <f>15.9609 * CHOOSE(CONTROL!$C$15, $D$11, 100%, $F$11)</f>
        <v>15.960900000000001</v>
      </c>
      <c r="I521" s="8">
        <f>14.9289 * CHOOSE(CONTROL!$C$15, $D$11, 100%, $F$11)</f>
        <v>14.928900000000001</v>
      </c>
      <c r="J521" s="4">
        <f>14.777 * CHOOSE(CONTROL!$C$15, $D$11, 100%, $F$11)</f>
        <v>14.776999999999999</v>
      </c>
      <c r="K521" s="4"/>
      <c r="L521" s="9">
        <v>29.306000000000001</v>
      </c>
      <c r="M521" s="9">
        <v>12.063700000000001</v>
      </c>
      <c r="N521" s="9">
        <v>4.9444999999999997</v>
      </c>
      <c r="O521" s="9">
        <v>0.37409999999999999</v>
      </c>
      <c r="P521" s="9">
        <v>1.2927</v>
      </c>
      <c r="Q521" s="9">
        <v>19.688099999999999</v>
      </c>
      <c r="R521" s="9"/>
      <c r="S521" s="11"/>
    </row>
    <row r="522" spans="1:19" ht="15.75">
      <c r="A522" s="13">
        <v>57404</v>
      </c>
      <c r="B522" s="8">
        <f>14.2509 * CHOOSE(CONTROL!$C$15, $D$11, 100%, $F$11)</f>
        <v>14.2509</v>
      </c>
      <c r="C522" s="8">
        <f>14.2559 * CHOOSE(CONTROL!$C$15, $D$11, 100%, $F$11)</f>
        <v>14.2559</v>
      </c>
      <c r="D522" s="8">
        <f>14.227 * CHOOSE( CONTROL!$C$15, $D$11, 100%, $F$11)</f>
        <v>14.227</v>
      </c>
      <c r="E522" s="12">
        <f>14.237 * CHOOSE( CONTROL!$C$15, $D$11, 100%, $F$11)</f>
        <v>14.237</v>
      </c>
      <c r="F522" s="4">
        <f>14.9161 * CHOOSE(CONTROL!$C$15, $D$11, 100%, $F$11)</f>
        <v>14.9161</v>
      </c>
      <c r="G522" s="8">
        <f>14.0837 * CHOOSE( CONTROL!$C$15, $D$11, 100%, $F$11)</f>
        <v>14.0837</v>
      </c>
      <c r="H522" s="4">
        <f>14.9881 * CHOOSE(CONTROL!$C$15, $D$11, 100%, $F$11)</f>
        <v>14.988099999999999</v>
      </c>
      <c r="I522" s="8">
        <f>13.9731 * CHOOSE(CONTROL!$C$15, $D$11, 100%, $F$11)</f>
        <v>13.973100000000001</v>
      </c>
      <c r="J522" s="4">
        <f>13.8217 * CHOOSE(CONTROL!$C$15, $D$11, 100%, $F$11)</f>
        <v>13.8217</v>
      </c>
      <c r="K522" s="4"/>
      <c r="L522" s="9">
        <v>26.469899999999999</v>
      </c>
      <c r="M522" s="9">
        <v>10.8962</v>
      </c>
      <c r="N522" s="9">
        <v>4.4660000000000002</v>
      </c>
      <c r="O522" s="9">
        <v>0.33789999999999998</v>
      </c>
      <c r="P522" s="9">
        <v>1.1676</v>
      </c>
      <c r="Q522" s="9">
        <v>17.782800000000002</v>
      </c>
      <c r="R522" s="9"/>
      <c r="S522" s="11"/>
    </row>
    <row r="523" spans="1:19" ht="15.75">
      <c r="A523" s="13">
        <v>57435</v>
      </c>
      <c r="B523" s="8">
        <f>13.9477 * CHOOSE(CONTROL!$C$15, $D$11, 100%, $F$11)</f>
        <v>13.947699999999999</v>
      </c>
      <c r="C523" s="8">
        <f>13.9528 * CHOOSE(CONTROL!$C$15, $D$11, 100%, $F$11)</f>
        <v>13.9528</v>
      </c>
      <c r="D523" s="8">
        <f>13.9235 * CHOOSE( CONTROL!$C$15, $D$11, 100%, $F$11)</f>
        <v>13.923500000000001</v>
      </c>
      <c r="E523" s="12">
        <f>13.9337 * CHOOSE( CONTROL!$C$15, $D$11, 100%, $F$11)</f>
        <v>13.9337</v>
      </c>
      <c r="F523" s="4">
        <f>14.613 * CHOOSE(CONTROL!$C$15, $D$11, 100%, $F$11)</f>
        <v>14.613</v>
      </c>
      <c r="G523" s="8">
        <f>13.7838 * CHOOSE( CONTROL!$C$15, $D$11, 100%, $F$11)</f>
        <v>13.783799999999999</v>
      </c>
      <c r="H523" s="4">
        <f>14.6885 * CHOOSE(CONTROL!$C$15, $D$11, 100%, $F$11)</f>
        <v>14.688499999999999</v>
      </c>
      <c r="I523" s="8">
        <f>13.6775 * CHOOSE(CONTROL!$C$15, $D$11, 100%, $F$11)</f>
        <v>13.6775</v>
      </c>
      <c r="J523" s="4">
        <f>13.5275 * CHOOSE(CONTROL!$C$15, $D$11, 100%, $F$11)</f>
        <v>13.5275</v>
      </c>
      <c r="K523" s="4"/>
      <c r="L523" s="9">
        <v>29.306000000000001</v>
      </c>
      <c r="M523" s="9">
        <v>12.063700000000001</v>
      </c>
      <c r="N523" s="9">
        <v>4.9444999999999997</v>
      </c>
      <c r="O523" s="9">
        <v>0.37409999999999999</v>
      </c>
      <c r="P523" s="9">
        <v>1.2927</v>
      </c>
      <c r="Q523" s="9">
        <v>19.688099999999999</v>
      </c>
      <c r="R523" s="9"/>
      <c r="S523" s="11"/>
    </row>
    <row r="524" spans="1:19" ht="15.75">
      <c r="A524" s="13">
        <v>57465</v>
      </c>
      <c r="B524" s="8">
        <f>14.1603 * CHOOSE(CONTROL!$C$15, $D$11, 100%, $F$11)</f>
        <v>14.160299999999999</v>
      </c>
      <c r="C524" s="8">
        <f>14.1648 * CHOOSE(CONTROL!$C$15, $D$11, 100%, $F$11)</f>
        <v>14.1648</v>
      </c>
      <c r="D524" s="8">
        <f>14.2082 * CHOOSE( CONTROL!$C$15, $D$11, 100%, $F$11)</f>
        <v>14.2082</v>
      </c>
      <c r="E524" s="12">
        <f>14.1934 * CHOOSE( CONTROL!$C$15, $D$11, 100%, $F$11)</f>
        <v>14.1934</v>
      </c>
      <c r="F524" s="4">
        <f>14.9047 * CHOOSE(CONTROL!$C$15, $D$11, 100%, $F$11)</f>
        <v>14.9047</v>
      </c>
      <c r="G524" s="8">
        <f>14.0009 * CHOOSE( CONTROL!$C$15, $D$11, 100%, $F$11)</f>
        <v>14.0009</v>
      </c>
      <c r="H524" s="4">
        <f>14.9768 * CHOOSE(CONTROL!$C$15, $D$11, 100%, $F$11)</f>
        <v>14.976800000000001</v>
      </c>
      <c r="I524" s="8">
        <f>13.8814 * CHOOSE(CONTROL!$C$15, $D$11, 100%, $F$11)</f>
        <v>13.881399999999999</v>
      </c>
      <c r="J524" s="4">
        <f>13.7331 * CHOOSE(CONTROL!$C$15, $D$11, 100%, $F$11)</f>
        <v>13.7331</v>
      </c>
      <c r="K524" s="4"/>
      <c r="L524" s="9">
        <v>30.092199999999998</v>
      </c>
      <c r="M524" s="9">
        <v>11.6745</v>
      </c>
      <c r="N524" s="9">
        <v>4.7850000000000001</v>
      </c>
      <c r="O524" s="9">
        <v>0.36199999999999999</v>
      </c>
      <c r="P524" s="9">
        <v>1.1791</v>
      </c>
      <c r="Q524" s="9">
        <v>19.053000000000001</v>
      </c>
      <c r="R524" s="9"/>
      <c r="S524" s="11"/>
    </row>
    <row r="525" spans="1:19" ht="15.75">
      <c r="A525" s="13">
        <v>57496</v>
      </c>
      <c r="B525" s="8">
        <f>CHOOSE( CONTROL!$C$32, 14.5424, 14.5387) * CHOOSE(CONTROL!$C$15, $D$11, 100%, $F$11)</f>
        <v>14.542400000000001</v>
      </c>
      <c r="C525" s="8">
        <f>CHOOSE( CONTROL!$C$32, 14.5503, 14.5467) * CHOOSE(CONTROL!$C$15, $D$11, 100%, $F$11)</f>
        <v>14.5503</v>
      </c>
      <c r="D525" s="8">
        <f>CHOOSE( CONTROL!$C$32, 14.5881, 14.5844) * CHOOSE( CONTROL!$C$15, $D$11, 100%, $F$11)</f>
        <v>14.588100000000001</v>
      </c>
      <c r="E525" s="12">
        <f>CHOOSE( CONTROL!$C$32, 14.5732, 14.5695) * CHOOSE( CONTROL!$C$15, $D$11, 100%, $F$11)</f>
        <v>14.5732</v>
      </c>
      <c r="F525" s="4">
        <f>CHOOSE( CONTROL!$C$32, 15.2854, 15.2817) * CHOOSE(CONTROL!$C$15, $D$11, 100%, $F$11)</f>
        <v>15.285399999999999</v>
      </c>
      <c r="G525" s="8">
        <f>CHOOSE( CONTROL!$C$32, 14.378, 14.3744) * CHOOSE( CONTROL!$C$15, $D$11, 100%, $F$11)</f>
        <v>14.378</v>
      </c>
      <c r="H525" s="4">
        <f>CHOOSE( CONTROL!$C$32, 15.353, 15.3494) * CHOOSE(CONTROL!$C$15, $D$11, 100%, $F$11)</f>
        <v>15.353</v>
      </c>
      <c r="I525" s="8">
        <f>CHOOSE( CONTROL!$C$32, 14.2511, 14.2476) * CHOOSE(CONTROL!$C$15, $D$11, 100%, $F$11)</f>
        <v>14.251099999999999</v>
      </c>
      <c r="J525" s="4">
        <f>CHOOSE( CONTROL!$C$32, 14.1025, 14.099) * CHOOSE(CONTROL!$C$15, $D$11, 100%, $F$11)</f>
        <v>14.102499999999999</v>
      </c>
      <c r="K525" s="4"/>
      <c r="L525" s="9">
        <v>30.7165</v>
      </c>
      <c r="M525" s="9">
        <v>12.063700000000001</v>
      </c>
      <c r="N525" s="9">
        <v>4.9444999999999997</v>
      </c>
      <c r="O525" s="9">
        <v>0.37409999999999999</v>
      </c>
      <c r="P525" s="9">
        <v>1.2183999999999999</v>
      </c>
      <c r="Q525" s="9">
        <v>19.688099999999999</v>
      </c>
      <c r="R525" s="9"/>
      <c r="S525" s="11"/>
    </row>
    <row r="526" spans="1:19" ht="15.75">
      <c r="A526" s="13">
        <v>57526</v>
      </c>
      <c r="B526" s="8">
        <f>CHOOSE( CONTROL!$C$32, 14.3088, 14.3051) * CHOOSE(CONTROL!$C$15, $D$11, 100%, $F$11)</f>
        <v>14.3088</v>
      </c>
      <c r="C526" s="8">
        <f>CHOOSE( CONTROL!$C$32, 14.3168, 14.3131) * CHOOSE(CONTROL!$C$15, $D$11, 100%, $F$11)</f>
        <v>14.316800000000001</v>
      </c>
      <c r="D526" s="8">
        <f>CHOOSE( CONTROL!$C$32, 14.3547, 14.3511) * CHOOSE( CONTROL!$C$15, $D$11, 100%, $F$11)</f>
        <v>14.354699999999999</v>
      </c>
      <c r="E526" s="12">
        <f>CHOOSE( CONTROL!$C$32, 14.3397, 14.3361) * CHOOSE( CONTROL!$C$15, $D$11, 100%, $F$11)</f>
        <v>14.339700000000001</v>
      </c>
      <c r="F526" s="4">
        <f>CHOOSE( CONTROL!$C$32, 15.0518, 15.0482) * CHOOSE(CONTROL!$C$15, $D$11, 100%, $F$11)</f>
        <v>15.0518</v>
      </c>
      <c r="G526" s="8">
        <f>CHOOSE( CONTROL!$C$32, 14.1474, 14.1438) * CHOOSE( CONTROL!$C$15, $D$11, 100%, $F$11)</f>
        <v>14.147399999999999</v>
      </c>
      <c r="H526" s="4">
        <f>CHOOSE( CONTROL!$C$32, 15.1222, 15.1186) * CHOOSE(CONTROL!$C$15, $D$11, 100%, $F$11)</f>
        <v>15.122199999999999</v>
      </c>
      <c r="I526" s="8">
        <f>CHOOSE( CONTROL!$C$32, 14.0254, 14.0219) * CHOOSE(CONTROL!$C$15, $D$11, 100%, $F$11)</f>
        <v>14.025399999999999</v>
      </c>
      <c r="J526" s="4">
        <f>CHOOSE( CONTROL!$C$32, 13.8759, 13.8723) * CHOOSE(CONTROL!$C$15, $D$11, 100%, $F$11)</f>
        <v>13.8759</v>
      </c>
      <c r="K526" s="4"/>
      <c r="L526" s="9">
        <v>29.7257</v>
      </c>
      <c r="M526" s="9">
        <v>11.6745</v>
      </c>
      <c r="N526" s="9">
        <v>4.7850000000000001</v>
      </c>
      <c r="O526" s="9">
        <v>0.36199999999999999</v>
      </c>
      <c r="P526" s="9">
        <v>1.1791</v>
      </c>
      <c r="Q526" s="9">
        <v>19.053000000000001</v>
      </c>
      <c r="R526" s="9"/>
      <c r="S526" s="11"/>
    </row>
    <row r="527" spans="1:19" ht="15.75">
      <c r="A527" s="13">
        <v>57557</v>
      </c>
      <c r="B527" s="8">
        <f>CHOOSE( CONTROL!$C$32, 14.9239, 14.9202) * CHOOSE(CONTROL!$C$15, $D$11, 100%, $F$11)</f>
        <v>14.9239</v>
      </c>
      <c r="C527" s="8">
        <f>CHOOSE( CONTROL!$C$32, 14.9318, 14.9282) * CHOOSE(CONTROL!$C$15, $D$11, 100%, $F$11)</f>
        <v>14.931800000000001</v>
      </c>
      <c r="D527" s="8">
        <f>CHOOSE( CONTROL!$C$32, 14.97, 14.9664) * CHOOSE( CONTROL!$C$15, $D$11, 100%, $F$11)</f>
        <v>14.97</v>
      </c>
      <c r="E527" s="12">
        <f>CHOOSE( CONTROL!$C$32, 14.955, 14.9513) * CHOOSE( CONTROL!$C$15, $D$11, 100%, $F$11)</f>
        <v>14.955</v>
      </c>
      <c r="F527" s="4">
        <f>CHOOSE( CONTROL!$C$32, 15.6669, 15.6632) * CHOOSE(CONTROL!$C$15, $D$11, 100%, $F$11)</f>
        <v>15.6669</v>
      </c>
      <c r="G527" s="8">
        <f>CHOOSE( CONTROL!$C$32, 14.7557, 14.7521) * CHOOSE( CONTROL!$C$15, $D$11, 100%, $F$11)</f>
        <v>14.755699999999999</v>
      </c>
      <c r="H527" s="4">
        <f>CHOOSE( CONTROL!$C$32, 15.73, 15.7264) * CHOOSE(CONTROL!$C$15, $D$11, 100%, $F$11)</f>
        <v>15.73</v>
      </c>
      <c r="I527" s="8">
        <f>CHOOSE( CONTROL!$C$32, 14.6237, 14.6202) * CHOOSE(CONTROL!$C$15, $D$11, 100%, $F$11)</f>
        <v>14.623699999999999</v>
      </c>
      <c r="J527" s="4">
        <f>CHOOSE( CONTROL!$C$32, 14.4728, 14.4693) * CHOOSE(CONTROL!$C$15, $D$11, 100%, $F$11)</f>
        <v>14.472799999999999</v>
      </c>
      <c r="K527" s="4"/>
      <c r="L527" s="9">
        <v>30.7165</v>
      </c>
      <c r="M527" s="9">
        <v>12.063700000000001</v>
      </c>
      <c r="N527" s="9">
        <v>4.9444999999999997</v>
      </c>
      <c r="O527" s="9">
        <v>0.37409999999999999</v>
      </c>
      <c r="P527" s="9">
        <v>1.2183999999999999</v>
      </c>
      <c r="Q527" s="9">
        <v>19.688099999999999</v>
      </c>
      <c r="R527" s="9"/>
      <c r="S527" s="11"/>
    </row>
    <row r="528" spans="1:19" ht="15.75">
      <c r="A528" s="13">
        <v>57588</v>
      </c>
      <c r="B528" s="8">
        <f>CHOOSE( CONTROL!$C$32, 13.773, 13.7694) * CHOOSE(CONTROL!$C$15, $D$11, 100%, $F$11)</f>
        <v>13.773</v>
      </c>
      <c r="C528" s="8">
        <f>CHOOSE( CONTROL!$C$32, 13.781, 13.7773) * CHOOSE(CONTROL!$C$15, $D$11, 100%, $F$11)</f>
        <v>13.781000000000001</v>
      </c>
      <c r="D528" s="8">
        <f>CHOOSE( CONTROL!$C$32, 13.8192, 13.8156) * CHOOSE( CONTROL!$C$15, $D$11, 100%, $F$11)</f>
        <v>13.8192</v>
      </c>
      <c r="E528" s="12">
        <f>CHOOSE( CONTROL!$C$32, 13.8041, 13.8005) * CHOOSE( CONTROL!$C$15, $D$11, 100%, $F$11)</f>
        <v>13.8041</v>
      </c>
      <c r="F528" s="4">
        <f>CHOOSE( CONTROL!$C$32, 14.516, 14.5124) * CHOOSE(CONTROL!$C$15, $D$11, 100%, $F$11)</f>
        <v>14.516</v>
      </c>
      <c r="G528" s="8">
        <f>CHOOSE( CONTROL!$C$32, 13.6184, 13.6148) * CHOOSE( CONTROL!$C$15, $D$11, 100%, $F$11)</f>
        <v>13.618399999999999</v>
      </c>
      <c r="H528" s="4">
        <f>CHOOSE( CONTROL!$C$32, 14.5926, 14.589) * CHOOSE(CONTROL!$C$15, $D$11, 100%, $F$11)</f>
        <v>14.592599999999999</v>
      </c>
      <c r="I528" s="8">
        <f>CHOOSE( CONTROL!$C$32, 13.5066, 13.503) * CHOOSE(CONTROL!$C$15, $D$11, 100%, $F$11)</f>
        <v>13.506600000000001</v>
      </c>
      <c r="J528" s="4">
        <f>CHOOSE( CONTROL!$C$32, 13.3559, 13.3523) * CHOOSE(CONTROL!$C$15, $D$11, 100%, $F$11)</f>
        <v>13.3559</v>
      </c>
      <c r="K528" s="4"/>
      <c r="L528" s="9">
        <v>30.7165</v>
      </c>
      <c r="M528" s="9">
        <v>12.063700000000001</v>
      </c>
      <c r="N528" s="9">
        <v>4.9444999999999997</v>
      </c>
      <c r="O528" s="9">
        <v>0.37409999999999999</v>
      </c>
      <c r="P528" s="9">
        <v>1.2183999999999999</v>
      </c>
      <c r="Q528" s="9">
        <v>19.688099999999999</v>
      </c>
      <c r="R528" s="9"/>
      <c r="S528" s="11"/>
    </row>
    <row r="529" spans="1:19" ht="15.75">
      <c r="A529" s="13">
        <v>57618</v>
      </c>
      <c r="B529" s="8">
        <f>CHOOSE( CONTROL!$C$32, 13.4848, 13.4812) * CHOOSE(CONTROL!$C$15, $D$11, 100%, $F$11)</f>
        <v>13.4848</v>
      </c>
      <c r="C529" s="8">
        <f>CHOOSE( CONTROL!$C$32, 13.4928, 13.4891) * CHOOSE(CONTROL!$C$15, $D$11, 100%, $F$11)</f>
        <v>13.492800000000001</v>
      </c>
      <c r="D529" s="8">
        <f>CHOOSE( CONTROL!$C$32, 13.531, 13.5273) * CHOOSE( CONTROL!$C$15, $D$11, 100%, $F$11)</f>
        <v>13.531000000000001</v>
      </c>
      <c r="E529" s="12">
        <f>CHOOSE( CONTROL!$C$32, 13.5159, 13.5123) * CHOOSE( CONTROL!$C$15, $D$11, 100%, $F$11)</f>
        <v>13.5159</v>
      </c>
      <c r="F529" s="4">
        <f>CHOOSE( CONTROL!$C$32, 14.2278, 14.2242) * CHOOSE(CONTROL!$C$15, $D$11, 100%, $F$11)</f>
        <v>14.2278</v>
      </c>
      <c r="G529" s="8">
        <f>CHOOSE( CONTROL!$C$32, 13.3334, 13.3298) * CHOOSE( CONTROL!$C$15, $D$11, 100%, $F$11)</f>
        <v>13.333399999999999</v>
      </c>
      <c r="H529" s="4">
        <f>CHOOSE( CONTROL!$C$32, 14.3078, 14.3042) * CHOOSE(CONTROL!$C$15, $D$11, 100%, $F$11)</f>
        <v>14.3078</v>
      </c>
      <c r="I529" s="8">
        <f>CHOOSE( CONTROL!$C$32, 13.2264, 13.2228) * CHOOSE(CONTROL!$C$15, $D$11, 100%, $F$11)</f>
        <v>13.2264</v>
      </c>
      <c r="J529" s="4">
        <f>CHOOSE( CONTROL!$C$32, 13.0762, 13.0726) * CHOOSE(CONTROL!$C$15, $D$11, 100%, $F$11)</f>
        <v>13.0762</v>
      </c>
      <c r="K529" s="4"/>
      <c r="L529" s="9">
        <v>29.7257</v>
      </c>
      <c r="M529" s="9">
        <v>11.6745</v>
      </c>
      <c r="N529" s="9">
        <v>4.7850000000000001</v>
      </c>
      <c r="O529" s="9">
        <v>0.36199999999999999</v>
      </c>
      <c r="P529" s="9">
        <v>1.1791</v>
      </c>
      <c r="Q529" s="9">
        <v>19.053000000000001</v>
      </c>
      <c r="R529" s="9"/>
      <c r="S529" s="11"/>
    </row>
    <row r="530" spans="1:19" ht="15.75">
      <c r="A530" s="13">
        <v>57649</v>
      </c>
      <c r="B530" s="8">
        <f>14.0778 * CHOOSE(CONTROL!$C$15, $D$11, 100%, $F$11)</f>
        <v>14.0778</v>
      </c>
      <c r="C530" s="8">
        <f>14.0831 * CHOOSE(CONTROL!$C$15, $D$11, 100%, $F$11)</f>
        <v>14.0831</v>
      </c>
      <c r="D530" s="8">
        <f>14.1267 * CHOOSE( CONTROL!$C$15, $D$11, 100%, $F$11)</f>
        <v>14.1267</v>
      </c>
      <c r="E530" s="12">
        <f>14.1117 * CHOOSE( CONTROL!$C$15, $D$11, 100%, $F$11)</f>
        <v>14.111700000000001</v>
      </c>
      <c r="F530" s="4">
        <f>14.8225 * CHOOSE(CONTROL!$C$15, $D$11, 100%, $F$11)</f>
        <v>14.8225</v>
      </c>
      <c r="G530" s="8">
        <f>13.9207 * CHOOSE( CONTROL!$C$15, $D$11, 100%, $F$11)</f>
        <v>13.9207</v>
      </c>
      <c r="H530" s="4">
        <f>14.8956 * CHOOSE(CONTROL!$C$15, $D$11, 100%, $F$11)</f>
        <v>14.8956</v>
      </c>
      <c r="I530" s="8">
        <f>13.8046 * CHOOSE(CONTROL!$C$15, $D$11, 100%, $F$11)</f>
        <v>13.804600000000001</v>
      </c>
      <c r="J530" s="4">
        <f>13.6534 * CHOOSE(CONTROL!$C$15, $D$11, 100%, $F$11)</f>
        <v>13.6534</v>
      </c>
      <c r="K530" s="4"/>
      <c r="L530" s="9">
        <v>31.095300000000002</v>
      </c>
      <c r="M530" s="9">
        <v>12.063700000000001</v>
      </c>
      <c r="N530" s="9">
        <v>4.9444999999999997</v>
      </c>
      <c r="O530" s="9">
        <v>0.37409999999999999</v>
      </c>
      <c r="P530" s="9">
        <v>1.2183999999999999</v>
      </c>
      <c r="Q530" s="9">
        <v>19.688099999999999</v>
      </c>
      <c r="R530" s="9"/>
      <c r="S530" s="11"/>
    </row>
    <row r="531" spans="1:19" ht="15.75">
      <c r="A531" s="13">
        <v>57679</v>
      </c>
      <c r="B531" s="8">
        <f>15.1819 * CHOOSE(CONTROL!$C$15, $D$11, 100%, $F$11)</f>
        <v>15.181900000000001</v>
      </c>
      <c r="C531" s="8">
        <f>15.187 * CHOOSE(CONTROL!$C$15, $D$11, 100%, $F$11)</f>
        <v>15.186999999999999</v>
      </c>
      <c r="D531" s="8">
        <f>15.1706 * CHOOSE( CONTROL!$C$15, $D$11, 100%, $F$11)</f>
        <v>15.1706</v>
      </c>
      <c r="E531" s="12">
        <f>15.1761 * CHOOSE( CONTROL!$C$15, $D$11, 100%, $F$11)</f>
        <v>15.1761</v>
      </c>
      <c r="F531" s="4">
        <f>15.8472 * CHOOSE(CONTROL!$C$15, $D$11, 100%, $F$11)</f>
        <v>15.847200000000001</v>
      </c>
      <c r="G531" s="8">
        <f>15.0129 * CHOOSE( CONTROL!$C$15, $D$11, 100%, $F$11)</f>
        <v>15.0129</v>
      </c>
      <c r="H531" s="4">
        <f>15.9083 * CHOOSE(CONTROL!$C$15, $D$11, 100%, $F$11)</f>
        <v>15.908300000000001</v>
      </c>
      <c r="I531" s="8">
        <f>14.8771 * CHOOSE(CONTROL!$C$15, $D$11, 100%, $F$11)</f>
        <v>14.8771</v>
      </c>
      <c r="J531" s="4">
        <f>14.7253 * CHOOSE(CONTROL!$C$15, $D$11, 100%, $F$11)</f>
        <v>14.725300000000001</v>
      </c>
      <c r="K531" s="4"/>
      <c r="L531" s="9">
        <v>28.360600000000002</v>
      </c>
      <c r="M531" s="9">
        <v>11.6745</v>
      </c>
      <c r="N531" s="9">
        <v>4.7850000000000001</v>
      </c>
      <c r="O531" s="9">
        <v>0.36199999999999999</v>
      </c>
      <c r="P531" s="9">
        <v>1.2509999999999999</v>
      </c>
      <c r="Q531" s="9">
        <v>19.053000000000001</v>
      </c>
      <c r="R531" s="9"/>
      <c r="S531" s="11"/>
    </row>
    <row r="532" spans="1:19" ht="15.75">
      <c r="A532" s="13">
        <v>57710</v>
      </c>
      <c r="B532" s="8">
        <f>15.1543 * CHOOSE(CONTROL!$C$15, $D$11, 100%, $F$11)</f>
        <v>15.154299999999999</v>
      </c>
      <c r="C532" s="8">
        <f>15.1594 * CHOOSE(CONTROL!$C$15, $D$11, 100%, $F$11)</f>
        <v>15.1594</v>
      </c>
      <c r="D532" s="8">
        <f>15.1448 * CHOOSE( CONTROL!$C$15, $D$11, 100%, $F$11)</f>
        <v>15.1448</v>
      </c>
      <c r="E532" s="12">
        <f>15.1496 * CHOOSE( CONTROL!$C$15, $D$11, 100%, $F$11)</f>
        <v>15.1496</v>
      </c>
      <c r="F532" s="4">
        <f>15.8196 * CHOOSE(CONTROL!$C$15, $D$11, 100%, $F$11)</f>
        <v>15.819599999999999</v>
      </c>
      <c r="G532" s="8">
        <f>14.9868 * CHOOSE( CONTROL!$C$15, $D$11, 100%, $F$11)</f>
        <v>14.986800000000001</v>
      </c>
      <c r="H532" s="4">
        <f>15.881 * CHOOSE(CONTROL!$C$15, $D$11, 100%, $F$11)</f>
        <v>15.881</v>
      </c>
      <c r="I532" s="8">
        <f>14.8557 * CHOOSE(CONTROL!$C$15, $D$11, 100%, $F$11)</f>
        <v>14.855700000000001</v>
      </c>
      <c r="J532" s="4">
        <f>14.6985 * CHOOSE(CONTROL!$C$15, $D$11, 100%, $F$11)</f>
        <v>14.698499999999999</v>
      </c>
      <c r="K532" s="4"/>
      <c r="L532" s="9">
        <v>29.306000000000001</v>
      </c>
      <c r="M532" s="9">
        <v>12.063700000000001</v>
      </c>
      <c r="N532" s="9">
        <v>4.9444999999999997</v>
      </c>
      <c r="O532" s="9">
        <v>0.37409999999999999</v>
      </c>
      <c r="P532" s="9">
        <v>1.2927</v>
      </c>
      <c r="Q532" s="9">
        <v>19.688099999999999</v>
      </c>
      <c r="R532" s="9"/>
      <c r="S532" s="11"/>
    </row>
    <row r="533" spans="1:19" ht="15.75">
      <c r="A533" s="13">
        <v>57741</v>
      </c>
      <c r="B533" s="8">
        <f>15.6011 * CHOOSE(CONTROL!$C$15, $D$11, 100%, $F$11)</f>
        <v>15.601100000000001</v>
      </c>
      <c r="C533" s="8">
        <f>15.6061 * CHOOSE(CONTROL!$C$15, $D$11, 100%, $F$11)</f>
        <v>15.6061</v>
      </c>
      <c r="D533" s="8">
        <f>15.5772 * CHOOSE( CONTROL!$C$15, $D$11, 100%, $F$11)</f>
        <v>15.577199999999999</v>
      </c>
      <c r="E533" s="12">
        <f>15.5872 * CHOOSE( CONTROL!$C$15, $D$11, 100%, $F$11)</f>
        <v>15.587199999999999</v>
      </c>
      <c r="F533" s="4">
        <f>16.2663 * CHOOSE(CONTROL!$C$15, $D$11, 100%, $F$11)</f>
        <v>16.266300000000001</v>
      </c>
      <c r="G533" s="8">
        <f>15.4181 * CHOOSE( CONTROL!$C$15, $D$11, 100%, $F$11)</f>
        <v>15.418100000000001</v>
      </c>
      <c r="H533" s="4">
        <f>16.3225 * CHOOSE(CONTROL!$C$15, $D$11, 100%, $F$11)</f>
        <v>16.322500000000002</v>
      </c>
      <c r="I533" s="8">
        <f>15.2841 * CHOOSE(CONTROL!$C$15, $D$11, 100%, $F$11)</f>
        <v>15.2841</v>
      </c>
      <c r="J533" s="4">
        <f>15.1321 * CHOOSE(CONTROL!$C$15, $D$11, 100%, $F$11)</f>
        <v>15.132099999999999</v>
      </c>
      <c r="K533" s="4"/>
      <c r="L533" s="9">
        <v>29.306000000000001</v>
      </c>
      <c r="M533" s="9">
        <v>12.063700000000001</v>
      </c>
      <c r="N533" s="9">
        <v>4.9444999999999997</v>
      </c>
      <c r="O533" s="9">
        <v>0.37409999999999999</v>
      </c>
      <c r="P533" s="9">
        <v>1.2927</v>
      </c>
      <c r="Q533" s="9">
        <v>19.688099999999999</v>
      </c>
      <c r="R533" s="9"/>
      <c r="S533" s="11"/>
    </row>
    <row r="534" spans="1:19" ht="15.75">
      <c r="A534" s="13">
        <v>57769</v>
      </c>
      <c r="B534" s="8">
        <f>14.5931 * CHOOSE(CONTROL!$C$15, $D$11, 100%, $F$11)</f>
        <v>14.5931</v>
      </c>
      <c r="C534" s="8">
        <f>14.5981 * CHOOSE(CONTROL!$C$15, $D$11, 100%, $F$11)</f>
        <v>14.598100000000001</v>
      </c>
      <c r="D534" s="8">
        <f>14.5692 * CHOOSE( CONTROL!$C$15, $D$11, 100%, $F$11)</f>
        <v>14.5692</v>
      </c>
      <c r="E534" s="12">
        <f>14.5792 * CHOOSE( CONTROL!$C$15, $D$11, 100%, $F$11)</f>
        <v>14.5792</v>
      </c>
      <c r="F534" s="4">
        <f>15.2583 * CHOOSE(CONTROL!$C$15, $D$11, 100%, $F$11)</f>
        <v>15.2583</v>
      </c>
      <c r="G534" s="8">
        <f>14.4219 * CHOOSE( CONTROL!$C$15, $D$11, 100%, $F$11)</f>
        <v>14.421900000000001</v>
      </c>
      <c r="H534" s="4">
        <f>15.3263 * CHOOSE(CONTROL!$C$15, $D$11, 100%, $F$11)</f>
        <v>15.3263</v>
      </c>
      <c r="I534" s="8">
        <f>14.3053 * CHOOSE(CONTROL!$C$15, $D$11, 100%, $F$11)</f>
        <v>14.305300000000001</v>
      </c>
      <c r="J534" s="4">
        <f>14.1538 * CHOOSE(CONTROL!$C$15, $D$11, 100%, $F$11)</f>
        <v>14.1538</v>
      </c>
      <c r="K534" s="4"/>
      <c r="L534" s="9">
        <v>26.469899999999999</v>
      </c>
      <c r="M534" s="9">
        <v>10.8962</v>
      </c>
      <c r="N534" s="9">
        <v>4.4660000000000002</v>
      </c>
      <c r="O534" s="9">
        <v>0.33789999999999998</v>
      </c>
      <c r="P534" s="9">
        <v>1.1676</v>
      </c>
      <c r="Q534" s="9">
        <v>17.782800000000002</v>
      </c>
      <c r="R534" s="9"/>
      <c r="S534" s="11"/>
    </row>
    <row r="535" spans="1:19" ht="15.75">
      <c r="A535" s="13">
        <v>57800</v>
      </c>
      <c r="B535" s="8">
        <f>14.2826 * CHOOSE(CONTROL!$C$15, $D$11, 100%, $F$11)</f>
        <v>14.2826</v>
      </c>
      <c r="C535" s="8">
        <f>14.2877 * CHOOSE(CONTROL!$C$15, $D$11, 100%, $F$11)</f>
        <v>14.287699999999999</v>
      </c>
      <c r="D535" s="8">
        <f>14.2584 * CHOOSE( CONTROL!$C$15, $D$11, 100%, $F$11)</f>
        <v>14.2584</v>
      </c>
      <c r="E535" s="12">
        <f>14.2686 * CHOOSE( CONTROL!$C$15, $D$11, 100%, $F$11)</f>
        <v>14.268599999999999</v>
      </c>
      <c r="F535" s="4">
        <f>14.9479 * CHOOSE(CONTROL!$C$15, $D$11, 100%, $F$11)</f>
        <v>14.947900000000001</v>
      </c>
      <c r="G535" s="8">
        <f>14.1147 * CHOOSE( CONTROL!$C$15, $D$11, 100%, $F$11)</f>
        <v>14.114699999999999</v>
      </c>
      <c r="H535" s="4">
        <f>15.0195 * CHOOSE(CONTROL!$C$15, $D$11, 100%, $F$11)</f>
        <v>15.019500000000001</v>
      </c>
      <c r="I535" s="8">
        <f>14.0027 * CHOOSE(CONTROL!$C$15, $D$11, 100%, $F$11)</f>
        <v>14.002700000000001</v>
      </c>
      <c r="J535" s="4">
        <f>13.8525 * CHOOSE(CONTROL!$C$15, $D$11, 100%, $F$11)</f>
        <v>13.852499999999999</v>
      </c>
      <c r="K535" s="4"/>
      <c r="L535" s="9">
        <v>29.306000000000001</v>
      </c>
      <c r="M535" s="9">
        <v>12.063700000000001</v>
      </c>
      <c r="N535" s="9">
        <v>4.9444999999999997</v>
      </c>
      <c r="O535" s="9">
        <v>0.37409999999999999</v>
      </c>
      <c r="P535" s="9">
        <v>1.2927</v>
      </c>
      <c r="Q535" s="9">
        <v>19.688099999999999</v>
      </c>
      <c r="R535" s="9"/>
      <c r="S535" s="11"/>
    </row>
    <row r="536" spans="1:19" ht="15.75">
      <c r="A536" s="13">
        <v>57830</v>
      </c>
      <c r="B536" s="8">
        <f>14.5003 * CHOOSE(CONTROL!$C$15, $D$11, 100%, $F$11)</f>
        <v>14.500299999999999</v>
      </c>
      <c r="C536" s="8">
        <f>14.5048 * CHOOSE(CONTROL!$C$15, $D$11, 100%, $F$11)</f>
        <v>14.504799999999999</v>
      </c>
      <c r="D536" s="8">
        <f>14.5482 * CHOOSE( CONTROL!$C$15, $D$11, 100%, $F$11)</f>
        <v>14.5482</v>
      </c>
      <c r="E536" s="12">
        <f>14.5334 * CHOOSE( CONTROL!$C$15, $D$11, 100%, $F$11)</f>
        <v>14.5334</v>
      </c>
      <c r="F536" s="4">
        <f>15.2447 * CHOOSE(CONTROL!$C$15, $D$11, 100%, $F$11)</f>
        <v>15.2447</v>
      </c>
      <c r="G536" s="8">
        <f>14.3369 * CHOOSE( CONTROL!$C$15, $D$11, 100%, $F$11)</f>
        <v>14.3369</v>
      </c>
      <c r="H536" s="4">
        <f>15.3128 * CHOOSE(CONTROL!$C$15, $D$11, 100%, $F$11)</f>
        <v>15.312799999999999</v>
      </c>
      <c r="I536" s="8">
        <f>14.2115 * CHOOSE(CONTROL!$C$15, $D$11, 100%, $F$11)</f>
        <v>14.211499999999999</v>
      </c>
      <c r="J536" s="4">
        <f>14.063 * CHOOSE(CONTROL!$C$15, $D$11, 100%, $F$11)</f>
        <v>14.063000000000001</v>
      </c>
      <c r="K536" s="4"/>
      <c r="L536" s="9">
        <v>30.092199999999998</v>
      </c>
      <c r="M536" s="9">
        <v>11.6745</v>
      </c>
      <c r="N536" s="9">
        <v>4.7850000000000001</v>
      </c>
      <c r="O536" s="9">
        <v>0.36199999999999999</v>
      </c>
      <c r="P536" s="9">
        <v>1.1791</v>
      </c>
      <c r="Q536" s="9">
        <v>19.053000000000001</v>
      </c>
      <c r="R536" s="9"/>
      <c r="S536" s="11"/>
    </row>
    <row r="537" spans="1:19" ht="15.75">
      <c r="A537" s="13">
        <v>57861</v>
      </c>
      <c r="B537" s="8">
        <f>CHOOSE( CONTROL!$C$32, 14.8914, 14.8878) * CHOOSE(CONTROL!$C$15, $D$11, 100%, $F$11)</f>
        <v>14.891400000000001</v>
      </c>
      <c r="C537" s="8">
        <f>CHOOSE( CONTROL!$C$32, 14.8994, 14.8958) * CHOOSE(CONTROL!$C$15, $D$11, 100%, $F$11)</f>
        <v>14.8994</v>
      </c>
      <c r="D537" s="8">
        <f>CHOOSE( CONTROL!$C$32, 14.9371, 14.9335) * CHOOSE( CONTROL!$C$15, $D$11, 100%, $F$11)</f>
        <v>14.937099999999999</v>
      </c>
      <c r="E537" s="12">
        <f>CHOOSE( CONTROL!$C$32, 14.9222, 14.9186) * CHOOSE( CONTROL!$C$15, $D$11, 100%, $F$11)</f>
        <v>14.9222</v>
      </c>
      <c r="F537" s="4">
        <f>CHOOSE( CONTROL!$C$32, 15.6344, 15.6308) * CHOOSE(CONTROL!$C$15, $D$11, 100%, $F$11)</f>
        <v>15.634399999999999</v>
      </c>
      <c r="G537" s="8">
        <f>CHOOSE( CONTROL!$C$32, 14.7229, 14.7193) * CHOOSE( CONTROL!$C$15, $D$11, 100%, $F$11)</f>
        <v>14.722899999999999</v>
      </c>
      <c r="H537" s="4">
        <f>CHOOSE( CONTROL!$C$32, 15.698, 15.6944) * CHOOSE(CONTROL!$C$15, $D$11, 100%, $F$11)</f>
        <v>15.698</v>
      </c>
      <c r="I537" s="8">
        <f>CHOOSE( CONTROL!$C$32, 14.5901, 14.5865) * CHOOSE(CONTROL!$C$15, $D$11, 100%, $F$11)</f>
        <v>14.5901</v>
      </c>
      <c r="J537" s="4">
        <f>CHOOSE( CONTROL!$C$32, 14.4413, 14.4378) * CHOOSE(CONTROL!$C$15, $D$11, 100%, $F$11)</f>
        <v>14.4413</v>
      </c>
      <c r="K537" s="4"/>
      <c r="L537" s="9">
        <v>30.7165</v>
      </c>
      <c r="M537" s="9">
        <v>12.063700000000001</v>
      </c>
      <c r="N537" s="9">
        <v>4.9444999999999997</v>
      </c>
      <c r="O537" s="9">
        <v>0.37409999999999999</v>
      </c>
      <c r="P537" s="9">
        <v>1.2183999999999999</v>
      </c>
      <c r="Q537" s="9">
        <v>19.688099999999999</v>
      </c>
      <c r="R537" s="9"/>
      <c r="S537" s="11"/>
    </row>
    <row r="538" spans="1:19" ht="15.75">
      <c r="A538" s="13">
        <v>57891</v>
      </c>
      <c r="B538" s="8">
        <f>CHOOSE( CONTROL!$C$32, 14.6522, 14.6486) * CHOOSE(CONTROL!$C$15, $D$11, 100%, $F$11)</f>
        <v>14.652200000000001</v>
      </c>
      <c r="C538" s="8">
        <f>CHOOSE( CONTROL!$C$32, 14.6602, 14.6566) * CHOOSE(CONTROL!$C$15, $D$11, 100%, $F$11)</f>
        <v>14.6602</v>
      </c>
      <c r="D538" s="8">
        <f>CHOOSE( CONTROL!$C$32, 14.6982, 14.6945) * CHOOSE( CONTROL!$C$15, $D$11, 100%, $F$11)</f>
        <v>14.6982</v>
      </c>
      <c r="E538" s="12">
        <f>CHOOSE( CONTROL!$C$32, 14.6832, 14.6795) * CHOOSE( CONTROL!$C$15, $D$11, 100%, $F$11)</f>
        <v>14.683199999999999</v>
      </c>
      <c r="F538" s="4">
        <f>CHOOSE( CONTROL!$C$32, 15.3952, 15.3916) * CHOOSE(CONTROL!$C$15, $D$11, 100%, $F$11)</f>
        <v>15.395200000000001</v>
      </c>
      <c r="G538" s="8">
        <f>CHOOSE( CONTROL!$C$32, 14.4869, 14.4833) * CHOOSE( CONTROL!$C$15, $D$11, 100%, $F$11)</f>
        <v>14.4869</v>
      </c>
      <c r="H538" s="4">
        <f>CHOOSE( CONTROL!$C$32, 15.4616, 15.458) * CHOOSE(CONTROL!$C$15, $D$11, 100%, $F$11)</f>
        <v>15.461600000000001</v>
      </c>
      <c r="I538" s="8">
        <f>CHOOSE( CONTROL!$C$32, 14.3589, 14.3553) * CHOOSE(CONTROL!$C$15, $D$11, 100%, $F$11)</f>
        <v>14.3589</v>
      </c>
      <c r="J538" s="4">
        <f>CHOOSE( CONTROL!$C$32, 14.2092, 14.2056) * CHOOSE(CONTROL!$C$15, $D$11, 100%, $F$11)</f>
        <v>14.209199999999999</v>
      </c>
      <c r="K538" s="4"/>
      <c r="L538" s="9">
        <v>29.7257</v>
      </c>
      <c r="M538" s="9">
        <v>11.6745</v>
      </c>
      <c r="N538" s="9">
        <v>4.7850000000000001</v>
      </c>
      <c r="O538" s="9">
        <v>0.36199999999999999</v>
      </c>
      <c r="P538" s="9">
        <v>1.1791</v>
      </c>
      <c r="Q538" s="9">
        <v>19.053000000000001</v>
      </c>
      <c r="R538" s="9"/>
      <c r="S538" s="11"/>
    </row>
    <row r="539" spans="1:19" ht="15.75">
      <c r="A539" s="13">
        <v>57922</v>
      </c>
      <c r="B539" s="8">
        <f>CHOOSE( CONTROL!$C$32, 15.2821, 15.2784) * CHOOSE(CONTROL!$C$15, $D$11, 100%, $F$11)</f>
        <v>15.2821</v>
      </c>
      <c r="C539" s="8">
        <f>CHOOSE( CONTROL!$C$32, 15.2901, 15.2864) * CHOOSE(CONTROL!$C$15, $D$11, 100%, $F$11)</f>
        <v>15.290100000000001</v>
      </c>
      <c r="D539" s="8">
        <f>CHOOSE( CONTROL!$C$32, 15.3283, 15.3246) * CHOOSE( CONTROL!$C$15, $D$11, 100%, $F$11)</f>
        <v>15.3283</v>
      </c>
      <c r="E539" s="12">
        <f>CHOOSE( CONTROL!$C$32, 15.3132, 15.3095) * CHOOSE( CONTROL!$C$15, $D$11, 100%, $F$11)</f>
        <v>15.3132</v>
      </c>
      <c r="F539" s="4">
        <f>CHOOSE( CONTROL!$C$32, 16.0251, 16.0215) * CHOOSE(CONTROL!$C$15, $D$11, 100%, $F$11)</f>
        <v>16.025099999999998</v>
      </c>
      <c r="G539" s="8">
        <f>CHOOSE( CONTROL!$C$32, 15.1097, 15.1061) * CHOOSE( CONTROL!$C$15, $D$11, 100%, $F$11)</f>
        <v>15.1097</v>
      </c>
      <c r="H539" s="4">
        <f>CHOOSE( CONTROL!$C$32, 16.0841, 16.0805) * CHOOSE(CONTROL!$C$15, $D$11, 100%, $F$11)</f>
        <v>16.084099999999999</v>
      </c>
      <c r="I539" s="8">
        <f>CHOOSE( CONTROL!$C$32, 14.9716, 14.968) * CHOOSE(CONTROL!$C$15, $D$11, 100%, $F$11)</f>
        <v>14.9716</v>
      </c>
      <c r="J539" s="4">
        <f>CHOOSE( CONTROL!$C$32, 14.8204, 14.8169) * CHOOSE(CONTROL!$C$15, $D$11, 100%, $F$11)</f>
        <v>14.820399999999999</v>
      </c>
      <c r="K539" s="4"/>
      <c r="L539" s="9">
        <v>30.7165</v>
      </c>
      <c r="M539" s="9">
        <v>12.063700000000001</v>
      </c>
      <c r="N539" s="9">
        <v>4.9444999999999997</v>
      </c>
      <c r="O539" s="9">
        <v>0.37409999999999999</v>
      </c>
      <c r="P539" s="9">
        <v>1.2183999999999999</v>
      </c>
      <c r="Q539" s="9">
        <v>19.688099999999999</v>
      </c>
      <c r="R539" s="9"/>
      <c r="S539" s="11"/>
    </row>
    <row r="540" spans="1:19" ht="15.75">
      <c r="A540" s="13">
        <v>57953</v>
      </c>
      <c r="B540" s="8">
        <f>CHOOSE( CONTROL!$C$32, 14.1036, 14.0999) * CHOOSE(CONTROL!$C$15, $D$11, 100%, $F$11)</f>
        <v>14.1036</v>
      </c>
      <c r="C540" s="8">
        <f>CHOOSE( CONTROL!$C$32, 14.1115, 14.1079) * CHOOSE(CONTROL!$C$15, $D$11, 100%, $F$11)</f>
        <v>14.111499999999999</v>
      </c>
      <c r="D540" s="8">
        <f>CHOOSE( CONTROL!$C$32, 14.1498, 14.1462) * CHOOSE( CONTROL!$C$15, $D$11, 100%, $F$11)</f>
        <v>14.149800000000001</v>
      </c>
      <c r="E540" s="12">
        <f>CHOOSE( CONTROL!$C$32, 14.1347, 14.1311) * CHOOSE( CONTROL!$C$15, $D$11, 100%, $F$11)</f>
        <v>14.1347</v>
      </c>
      <c r="F540" s="4">
        <f>CHOOSE( CONTROL!$C$32, 14.8466, 14.8429) * CHOOSE(CONTROL!$C$15, $D$11, 100%, $F$11)</f>
        <v>14.8466</v>
      </c>
      <c r="G540" s="8">
        <f>CHOOSE( CONTROL!$C$32, 13.9451, 13.9415) * CHOOSE( CONTROL!$C$15, $D$11, 100%, $F$11)</f>
        <v>13.9451</v>
      </c>
      <c r="H540" s="4">
        <f>CHOOSE( CONTROL!$C$32, 14.9194, 14.9158) * CHOOSE(CONTROL!$C$15, $D$11, 100%, $F$11)</f>
        <v>14.9194</v>
      </c>
      <c r="I540" s="8">
        <f>CHOOSE( CONTROL!$C$32, 13.8275, 13.824) * CHOOSE(CONTROL!$C$15, $D$11, 100%, $F$11)</f>
        <v>13.827500000000001</v>
      </c>
      <c r="J540" s="4">
        <f>CHOOSE( CONTROL!$C$32, 13.6767, 13.6732) * CHOOSE(CONTROL!$C$15, $D$11, 100%, $F$11)</f>
        <v>13.6767</v>
      </c>
      <c r="K540" s="4"/>
      <c r="L540" s="9">
        <v>30.7165</v>
      </c>
      <c r="M540" s="9">
        <v>12.063700000000001</v>
      </c>
      <c r="N540" s="9">
        <v>4.9444999999999997</v>
      </c>
      <c r="O540" s="9">
        <v>0.37409999999999999</v>
      </c>
      <c r="P540" s="9">
        <v>1.2183999999999999</v>
      </c>
      <c r="Q540" s="9">
        <v>19.688099999999999</v>
      </c>
      <c r="R540" s="9"/>
      <c r="S540" s="11"/>
    </row>
    <row r="541" spans="1:19" ht="15.75">
      <c r="A541" s="13">
        <v>57983</v>
      </c>
      <c r="B541" s="8">
        <f>CHOOSE( CONTROL!$C$32, 13.8085, 13.8048) * CHOOSE(CONTROL!$C$15, $D$11, 100%, $F$11)</f>
        <v>13.8085</v>
      </c>
      <c r="C541" s="8">
        <f>CHOOSE( CONTROL!$C$32, 13.8164, 13.8128) * CHOOSE(CONTROL!$C$15, $D$11, 100%, $F$11)</f>
        <v>13.8164</v>
      </c>
      <c r="D541" s="8">
        <f>CHOOSE( CONTROL!$C$32, 13.8546, 13.851) * CHOOSE( CONTROL!$C$15, $D$11, 100%, $F$11)</f>
        <v>13.8546</v>
      </c>
      <c r="E541" s="12">
        <f>CHOOSE( CONTROL!$C$32, 13.8396, 13.8359) * CHOOSE( CONTROL!$C$15, $D$11, 100%, $F$11)</f>
        <v>13.839600000000001</v>
      </c>
      <c r="F541" s="4">
        <f>CHOOSE( CONTROL!$C$32, 14.5515, 14.5478) * CHOOSE(CONTROL!$C$15, $D$11, 100%, $F$11)</f>
        <v>14.551500000000001</v>
      </c>
      <c r="G541" s="8">
        <f>CHOOSE( CONTROL!$C$32, 13.6533, 13.6497) * CHOOSE( CONTROL!$C$15, $D$11, 100%, $F$11)</f>
        <v>13.6533</v>
      </c>
      <c r="H541" s="4">
        <f>CHOOSE( CONTROL!$C$32, 14.6277, 14.6241) * CHOOSE(CONTROL!$C$15, $D$11, 100%, $F$11)</f>
        <v>14.627700000000001</v>
      </c>
      <c r="I541" s="8">
        <f>CHOOSE( CONTROL!$C$32, 13.5406, 13.5371) * CHOOSE(CONTROL!$C$15, $D$11, 100%, $F$11)</f>
        <v>13.5406</v>
      </c>
      <c r="J541" s="4">
        <f>CHOOSE( CONTROL!$C$32, 13.3903, 13.3867) * CHOOSE(CONTROL!$C$15, $D$11, 100%, $F$11)</f>
        <v>13.3903</v>
      </c>
      <c r="K541" s="4"/>
      <c r="L541" s="9">
        <v>29.7257</v>
      </c>
      <c r="M541" s="9">
        <v>11.6745</v>
      </c>
      <c r="N541" s="9">
        <v>4.7850000000000001</v>
      </c>
      <c r="O541" s="9">
        <v>0.36199999999999999</v>
      </c>
      <c r="P541" s="9">
        <v>1.1791</v>
      </c>
      <c r="Q541" s="9">
        <v>19.053000000000001</v>
      </c>
      <c r="R541" s="9"/>
      <c r="S541" s="11"/>
    </row>
    <row r="542" spans="1:19" ht="15.75">
      <c r="A542" s="13">
        <v>58014</v>
      </c>
      <c r="B542" s="8">
        <f>14.4158 * CHOOSE(CONTROL!$C$15, $D$11, 100%, $F$11)</f>
        <v>14.415800000000001</v>
      </c>
      <c r="C542" s="8">
        <f>14.4212 * CHOOSE(CONTROL!$C$15, $D$11, 100%, $F$11)</f>
        <v>14.421200000000001</v>
      </c>
      <c r="D542" s="8">
        <f>14.4647 * CHOOSE( CONTROL!$C$15, $D$11, 100%, $F$11)</f>
        <v>14.464700000000001</v>
      </c>
      <c r="E542" s="12">
        <f>14.4498 * CHOOSE( CONTROL!$C$15, $D$11, 100%, $F$11)</f>
        <v>14.4498</v>
      </c>
      <c r="F542" s="4">
        <f>15.1606 * CHOOSE(CONTROL!$C$15, $D$11, 100%, $F$11)</f>
        <v>15.160600000000001</v>
      </c>
      <c r="G542" s="8">
        <f>14.2548 * CHOOSE( CONTROL!$C$15, $D$11, 100%, $F$11)</f>
        <v>14.254799999999999</v>
      </c>
      <c r="H542" s="4">
        <f>15.2297 * CHOOSE(CONTROL!$C$15, $D$11, 100%, $F$11)</f>
        <v>15.229699999999999</v>
      </c>
      <c r="I542" s="8">
        <f>14.1328 * CHOOSE(CONTROL!$C$15, $D$11, 100%, $F$11)</f>
        <v>14.1328</v>
      </c>
      <c r="J542" s="4">
        <f>13.9814 * CHOOSE(CONTROL!$C$15, $D$11, 100%, $F$11)</f>
        <v>13.981400000000001</v>
      </c>
      <c r="K542" s="4"/>
      <c r="L542" s="9">
        <v>31.095300000000002</v>
      </c>
      <c r="M542" s="9">
        <v>12.063700000000001</v>
      </c>
      <c r="N542" s="9">
        <v>4.9444999999999997</v>
      </c>
      <c r="O542" s="9">
        <v>0.37409999999999999</v>
      </c>
      <c r="P542" s="9">
        <v>1.2183999999999999</v>
      </c>
      <c r="Q542" s="9">
        <v>19.688099999999999</v>
      </c>
      <c r="R542" s="9"/>
      <c r="S542" s="11"/>
    </row>
    <row r="543" spans="1:19" ht="15.75">
      <c r="A543" s="13">
        <v>58044</v>
      </c>
      <c r="B543" s="8">
        <f>15.5465 * CHOOSE(CONTROL!$C$15, $D$11, 100%, $F$11)</f>
        <v>15.5465</v>
      </c>
      <c r="C543" s="8">
        <f>15.5516 * CHOOSE(CONTROL!$C$15, $D$11, 100%, $F$11)</f>
        <v>15.551600000000001</v>
      </c>
      <c r="D543" s="8">
        <f>15.5352 * CHOOSE( CONTROL!$C$15, $D$11, 100%, $F$11)</f>
        <v>15.5352</v>
      </c>
      <c r="E543" s="12">
        <f>15.5407 * CHOOSE( CONTROL!$C$15, $D$11, 100%, $F$11)</f>
        <v>15.540699999999999</v>
      </c>
      <c r="F543" s="4">
        <f>16.2118 * CHOOSE(CONTROL!$C$15, $D$11, 100%, $F$11)</f>
        <v>16.2118</v>
      </c>
      <c r="G543" s="8">
        <f>15.3732 * CHOOSE( CONTROL!$C$15, $D$11, 100%, $F$11)</f>
        <v>15.373200000000001</v>
      </c>
      <c r="H543" s="4">
        <f>16.2685 * CHOOSE(CONTROL!$C$15, $D$11, 100%, $F$11)</f>
        <v>16.2685</v>
      </c>
      <c r="I543" s="8">
        <f>15.2311 * CHOOSE(CONTROL!$C$15, $D$11, 100%, $F$11)</f>
        <v>15.2311</v>
      </c>
      <c r="J543" s="4">
        <f>15.0791 * CHOOSE(CONTROL!$C$15, $D$11, 100%, $F$11)</f>
        <v>15.0791</v>
      </c>
      <c r="K543" s="4"/>
      <c r="L543" s="9">
        <v>28.360600000000002</v>
      </c>
      <c r="M543" s="9">
        <v>11.6745</v>
      </c>
      <c r="N543" s="9">
        <v>4.7850000000000001</v>
      </c>
      <c r="O543" s="9">
        <v>0.36199999999999999</v>
      </c>
      <c r="P543" s="9">
        <v>1.2509999999999999</v>
      </c>
      <c r="Q543" s="9">
        <v>19.053000000000001</v>
      </c>
      <c r="R543" s="9"/>
      <c r="S543" s="11"/>
    </row>
    <row r="544" spans="1:19" ht="15.75">
      <c r="A544" s="13">
        <v>58075</v>
      </c>
      <c r="B544" s="8">
        <f>15.5182 * CHOOSE(CONTROL!$C$15, $D$11, 100%, $F$11)</f>
        <v>15.5182</v>
      </c>
      <c r="C544" s="8">
        <f>15.5233 * CHOOSE(CONTROL!$C$15, $D$11, 100%, $F$11)</f>
        <v>15.523300000000001</v>
      </c>
      <c r="D544" s="8">
        <f>15.5087 * CHOOSE( CONTROL!$C$15, $D$11, 100%, $F$11)</f>
        <v>15.508699999999999</v>
      </c>
      <c r="E544" s="12">
        <f>15.5135 * CHOOSE( CONTROL!$C$15, $D$11, 100%, $F$11)</f>
        <v>15.513500000000001</v>
      </c>
      <c r="F544" s="4">
        <f>16.1835 * CHOOSE(CONTROL!$C$15, $D$11, 100%, $F$11)</f>
        <v>16.183499999999999</v>
      </c>
      <c r="G544" s="8">
        <f>15.3465 * CHOOSE( CONTROL!$C$15, $D$11, 100%, $F$11)</f>
        <v>15.346500000000001</v>
      </c>
      <c r="H544" s="4">
        <f>16.2406 * CHOOSE(CONTROL!$C$15, $D$11, 100%, $F$11)</f>
        <v>16.240600000000001</v>
      </c>
      <c r="I544" s="8">
        <f>15.2091 * CHOOSE(CONTROL!$C$15, $D$11, 100%, $F$11)</f>
        <v>15.209099999999999</v>
      </c>
      <c r="J544" s="4">
        <f>15.0517 * CHOOSE(CONTROL!$C$15, $D$11, 100%, $F$11)</f>
        <v>15.0517</v>
      </c>
      <c r="K544" s="4"/>
      <c r="L544" s="9">
        <v>29.306000000000001</v>
      </c>
      <c r="M544" s="9">
        <v>12.063700000000001</v>
      </c>
      <c r="N544" s="9">
        <v>4.9444999999999997</v>
      </c>
      <c r="O544" s="9">
        <v>0.37409999999999999</v>
      </c>
      <c r="P544" s="9">
        <v>1.2927</v>
      </c>
      <c r="Q544" s="9">
        <v>19.688099999999999</v>
      </c>
      <c r="R544" s="9"/>
      <c r="S544" s="11"/>
    </row>
    <row r="545" spans="1:19" ht="15.75">
      <c r="A545" s="13">
        <v>58106</v>
      </c>
      <c r="B545" s="8">
        <f>15.9757 * CHOOSE(CONTROL!$C$15, $D$11, 100%, $F$11)</f>
        <v>15.9757</v>
      </c>
      <c r="C545" s="8">
        <f>15.9808 * CHOOSE(CONTROL!$C$15, $D$11, 100%, $F$11)</f>
        <v>15.9808</v>
      </c>
      <c r="D545" s="8">
        <f>15.9519 * CHOOSE( CONTROL!$C$15, $D$11, 100%, $F$11)</f>
        <v>15.9519</v>
      </c>
      <c r="E545" s="12">
        <f>15.9619 * CHOOSE( CONTROL!$C$15, $D$11, 100%, $F$11)</f>
        <v>15.9619</v>
      </c>
      <c r="F545" s="4">
        <f>16.641 * CHOOSE(CONTROL!$C$15, $D$11, 100%, $F$11)</f>
        <v>16.640999999999998</v>
      </c>
      <c r="G545" s="8">
        <f>15.7883 * CHOOSE( CONTROL!$C$15, $D$11, 100%, $F$11)</f>
        <v>15.7883</v>
      </c>
      <c r="H545" s="4">
        <f>16.6927 * CHOOSE(CONTROL!$C$15, $D$11, 100%, $F$11)</f>
        <v>16.692699999999999</v>
      </c>
      <c r="I545" s="8">
        <f>15.6479 * CHOOSE(CONTROL!$C$15, $D$11, 100%, $F$11)</f>
        <v>15.6479</v>
      </c>
      <c r="J545" s="4">
        <f>15.4957 * CHOOSE(CONTROL!$C$15, $D$11, 100%, $F$11)</f>
        <v>15.495699999999999</v>
      </c>
      <c r="K545" s="4"/>
      <c r="L545" s="9">
        <v>29.306000000000001</v>
      </c>
      <c r="M545" s="9">
        <v>12.063700000000001</v>
      </c>
      <c r="N545" s="9">
        <v>4.9444999999999997</v>
      </c>
      <c r="O545" s="9">
        <v>0.37409999999999999</v>
      </c>
      <c r="P545" s="9">
        <v>1.2927</v>
      </c>
      <c r="Q545" s="9">
        <v>19.688099999999999</v>
      </c>
      <c r="R545" s="9"/>
      <c r="S545" s="11"/>
    </row>
    <row r="546" spans="1:19" ht="15.75">
      <c r="A546" s="13">
        <v>58134</v>
      </c>
      <c r="B546" s="8">
        <f>14.9435 * CHOOSE(CONTROL!$C$15, $D$11, 100%, $F$11)</f>
        <v>14.9435</v>
      </c>
      <c r="C546" s="8">
        <f>14.9485 * CHOOSE(CONTROL!$C$15, $D$11, 100%, $F$11)</f>
        <v>14.948499999999999</v>
      </c>
      <c r="D546" s="8">
        <f>14.9197 * CHOOSE( CONTROL!$C$15, $D$11, 100%, $F$11)</f>
        <v>14.919700000000001</v>
      </c>
      <c r="E546" s="12">
        <f>14.9297 * CHOOSE( CONTROL!$C$15, $D$11, 100%, $F$11)</f>
        <v>14.9297</v>
      </c>
      <c r="F546" s="4">
        <f>15.6088 * CHOOSE(CONTROL!$C$15, $D$11, 100%, $F$11)</f>
        <v>15.6088</v>
      </c>
      <c r="G546" s="8">
        <f>14.7682 * CHOOSE( CONTROL!$C$15, $D$11, 100%, $F$11)</f>
        <v>14.7682</v>
      </c>
      <c r="H546" s="4">
        <f>15.6726 * CHOOSE(CONTROL!$C$15, $D$11, 100%, $F$11)</f>
        <v>15.672599999999999</v>
      </c>
      <c r="I546" s="8">
        <f>14.6456 * CHOOSE(CONTROL!$C$15, $D$11, 100%, $F$11)</f>
        <v>14.6456</v>
      </c>
      <c r="J546" s="4">
        <f>14.4939 * CHOOSE(CONTROL!$C$15, $D$11, 100%, $F$11)</f>
        <v>14.4939</v>
      </c>
      <c r="K546" s="4"/>
      <c r="L546" s="9">
        <v>26.469899999999999</v>
      </c>
      <c r="M546" s="9">
        <v>10.8962</v>
      </c>
      <c r="N546" s="9">
        <v>4.4660000000000002</v>
      </c>
      <c r="O546" s="9">
        <v>0.33789999999999998</v>
      </c>
      <c r="P546" s="9">
        <v>1.1676</v>
      </c>
      <c r="Q546" s="9">
        <v>17.782800000000002</v>
      </c>
      <c r="R546" s="9"/>
      <c r="S546" s="11"/>
    </row>
    <row r="547" spans="1:19" ht="15.75">
      <c r="A547" s="13">
        <v>58165</v>
      </c>
      <c r="B547" s="8">
        <f>14.6256 * CHOOSE(CONTROL!$C$15, $D$11, 100%, $F$11)</f>
        <v>14.6256</v>
      </c>
      <c r="C547" s="8">
        <f>14.6306 * CHOOSE(CONTROL!$C$15, $D$11, 100%, $F$11)</f>
        <v>14.630599999999999</v>
      </c>
      <c r="D547" s="8">
        <f>14.6013 * CHOOSE( CONTROL!$C$15, $D$11, 100%, $F$11)</f>
        <v>14.6013</v>
      </c>
      <c r="E547" s="12">
        <f>14.6115 * CHOOSE( CONTROL!$C$15, $D$11, 100%, $F$11)</f>
        <v>14.611499999999999</v>
      </c>
      <c r="F547" s="4">
        <f>15.2908 * CHOOSE(CONTROL!$C$15, $D$11, 100%, $F$11)</f>
        <v>15.290800000000001</v>
      </c>
      <c r="G547" s="8">
        <f>14.4537 * CHOOSE( CONTROL!$C$15, $D$11, 100%, $F$11)</f>
        <v>14.4537</v>
      </c>
      <c r="H547" s="4">
        <f>15.3584 * CHOOSE(CONTROL!$C$15, $D$11, 100%, $F$11)</f>
        <v>15.3584</v>
      </c>
      <c r="I547" s="8">
        <f>14.3357 * CHOOSE(CONTROL!$C$15, $D$11, 100%, $F$11)</f>
        <v>14.335699999999999</v>
      </c>
      <c r="J547" s="4">
        <f>14.1853 * CHOOSE(CONTROL!$C$15, $D$11, 100%, $F$11)</f>
        <v>14.1853</v>
      </c>
      <c r="K547" s="4"/>
      <c r="L547" s="9">
        <v>29.306000000000001</v>
      </c>
      <c r="M547" s="9">
        <v>12.063700000000001</v>
      </c>
      <c r="N547" s="9">
        <v>4.9444999999999997</v>
      </c>
      <c r="O547" s="9">
        <v>0.37409999999999999</v>
      </c>
      <c r="P547" s="9">
        <v>1.2927</v>
      </c>
      <c r="Q547" s="9">
        <v>19.688099999999999</v>
      </c>
      <c r="R547" s="9"/>
      <c r="S547" s="11"/>
    </row>
    <row r="548" spans="1:19" ht="15.75">
      <c r="A548" s="13">
        <v>58195</v>
      </c>
      <c r="B548" s="8">
        <f>14.8485 * CHOOSE(CONTROL!$C$15, $D$11, 100%, $F$11)</f>
        <v>14.8485</v>
      </c>
      <c r="C548" s="8">
        <f>14.853 * CHOOSE(CONTROL!$C$15, $D$11, 100%, $F$11)</f>
        <v>14.853</v>
      </c>
      <c r="D548" s="8">
        <f>14.8964 * CHOOSE( CONTROL!$C$15, $D$11, 100%, $F$11)</f>
        <v>14.8964</v>
      </c>
      <c r="E548" s="12">
        <f>14.8816 * CHOOSE( CONTROL!$C$15, $D$11, 100%, $F$11)</f>
        <v>14.881600000000001</v>
      </c>
      <c r="F548" s="4">
        <f>15.5928 * CHOOSE(CONTROL!$C$15, $D$11, 100%, $F$11)</f>
        <v>15.5928</v>
      </c>
      <c r="G548" s="8">
        <f>14.681 * CHOOSE( CONTROL!$C$15, $D$11, 100%, $F$11)</f>
        <v>14.680999999999999</v>
      </c>
      <c r="H548" s="4">
        <f>15.6569 * CHOOSE(CONTROL!$C$15, $D$11, 100%, $F$11)</f>
        <v>15.6569</v>
      </c>
      <c r="I548" s="8">
        <f>14.5496 * CHOOSE(CONTROL!$C$15, $D$11, 100%, $F$11)</f>
        <v>14.5496</v>
      </c>
      <c r="J548" s="4">
        <f>14.4009 * CHOOSE(CONTROL!$C$15, $D$11, 100%, $F$11)</f>
        <v>14.4009</v>
      </c>
      <c r="K548" s="4"/>
      <c r="L548" s="9">
        <v>30.092199999999998</v>
      </c>
      <c r="M548" s="9">
        <v>11.6745</v>
      </c>
      <c r="N548" s="9">
        <v>4.7850000000000001</v>
      </c>
      <c r="O548" s="9">
        <v>0.36199999999999999</v>
      </c>
      <c r="P548" s="9">
        <v>1.1791</v>
      </c>
      <c r="Q548" s="9">
        <v>19.053000000000001</v>
      </c>
      <c r="R548" s="9"/>
      <c r="S548" s="11"/>
    </row>
    <row r="549" spans="1:19" ht="15.75">
      <c r="A549" s="13">
        <v>58226</v>
      </c>
      <c r="B549" s="8">
        <f>CHOOSE( CONTROL!$C$32, 15.2489, 15.2452) * CHOOSE(CONTROL!$C$15, $D$11, 100%, $F$11)</f>
        <v>15.248900000000001</v>
      </c>
      <c r="C549" s="8">
        <f>CHOOSE( CONTROL!$C$32, 15.2568, 15.2532) * CHOOSE(CONTROL!$C$15, $D$11, 100%, $F$11)</f>
        <v>15.2568</v>
      </c>
      <c r="D549" s="8">
        <f>CHOOSE( CONTROL!$C$32, 15.2946, 15.2909) * CHOOSE( CONTROL!$C$15, $D$11, 100%, $F$11)</f>
        <v>15.294600000000001</v>
      </c>
      <c r="E549" s="12">
        <f>CHOOSE( CONTROL!$C$32, 15.2797, 15.276) * CHOOSE( CONTROL!$C$15, $D$11, 100%, $F$11)</f>
        <v>15.2797</v>
      </c>
      <c r="F549" s="4">
        <f>CHOOSE( CONTROL!$C$32, 15.9919, 15.9882) * CHOOSE(CONTROL!$C$15, $D$11, 100%, $F$11)</f>
        <v>15.991899999999999</v>
      </c>
      <c r="G549" s="8">
        <f>CHOOSE( CONTROL!$C$32, 15.0762, 15.0726) * CHOOSE( CONTROL!$C$15, $D$11, 100%, $F$11)</f>
        <v>15.0762</v>
      </c>
      <c r="H549" s="4">
        <f>CHOOSE( CONTROL!$C$32, 16.0512, 16.0476) * CHOOSE(CONTROL!$C$15, $D$11, 100%, $F$11)</f>
        <v>16.051200000000001</v>
      </c>
      <c r="I549" s="8">
        <f>CHOOSE( CONTROL!$C$32, 14.9372, 14.9336) * CHOOSE(CONTROL!$C$15, $D$11, 100%, $F$11)</f>
        <v>14.937200000000001</v>
      </c>
      <c r="J549" s="4">
        <f>CHOOSE( CONTROL!$C$32, 14.7882, 14.7847) * CHOOSE(CONTROL!$C$15, $D$11, 100%, $F$11)</f>
        <v>14.7882</v>
      </c>
      <c r="K549" s="4"/>
      <c r="L549" s="9">
        <v>30.7165</v>
      </c>
      <c r="M549" s="9">
        <v>12.063700000000001</v>
      </c>
      <c r="N549" s="9">
        <v>4.9444999999999997</v>
      </c>
      <c r="O549" s="9">
        <v>0.37409999999999999</v>
      </c>
      <c r="P549" s="9">
        <v>1.2183999999999999</v>
      </c>
      <c r="Q549" s="9">
        <v>19.688099999999999</v>
      </c>
      <c r="R549" s="9"/>
      <c r="S549" s="11"/>
    </row>
    <row r="550" spans="1:19" ht="15.75">
      <c r="A550" s="13">
        <v>58256</v>
      </c>
      <c r="B550" s="8">
        <f>CHOOSE( CONTROL!$C$32, 15.0039, 15.0003) * CHOOSE(CONTROL!$C$15, $D$11, 100%, $F$11)</f>
        <v>15.0039</v>
      </c>
      <c r="C550" s="8">
        <f>CHOOSE( CONTROL!$C$32, 15.0119, 15.0083) * CHOOSE(CONTROL!$C$15, $D$11, 100%, $F$11)</f>
        <v>15.011900000000001</v>
      </c>
      <c r="D550" s="8">
        <f>CHOOSE( CONTROL!$C$32, 15.0499, 15.0462) * CHOOSE( CONTROL!$C$15, $D$11, 100%, $F$11)</f>
        <v>15.049899999999999</v>
      </c>
      <c r="E550" s="12">
        <f>CHOOSE( CONTROL!$C$32, 15.0349, 15.0312) * CHOOSE( CONTROL!$C$15, $D$11, 100%, $F$11)</f>
        <v>15.0349</v>
      </c>
      <c r="F550" s="4">
        <f>CHOOSE( CONTROL!$C$32, 15.7469, 15.7433) * CHOOSE(CONTROL!$C$15, $D$11, 100%, $F$11)</f>
        <v>15.7469</v>
      </c>
      <c r="G550" s="8">
        <f>CHOOSE( CONTROL!$C$32, 14.8345, 14.8309) * CHOOSE( CONTROL!$C$15, $D$11, 100%, $F$11)</f>
        <v>14.8345</v>
      </c>
      <c r="H550" s="4">
        <f>CHOOSE( CONTROL!$C$32, 15.8092, 15.8056) * CHOOSE(CONTROL!$C$15, $D$11, 100%, $F$11)</f>
        <v>15.809200000000001</v>
      </c>
      <c r="I550" s="8">
        <f>CHOOSE( CONTROL!$C$32, 14.7004, 14.6968) * CHOOSE(CONTROL!$C$15, $D$11, 100%, $F$11)</f>
        <v>14.7004</v>
      </c>
      <c r="J550" s="4">
        <f>CHOOSE( CONTROL!$C$32, 14.5505, 14.547) * CHOOSE(CONTROL!$C$15, $D$11, 100%, $F$11)</f>
        <v>14.5505</v>
      </c>
      <c r="K550" s="4"/>
      <c r="L550" s="9">
        <v>29.7257</v>
      </c>
      <c r="M550" s="9">
        <v>11.6745</v>
      </c>
      <c r="N550" s="9">
        <v>4.7850000000000001</v>
      </c>
      <c r="O550" s="9">
        <v>0.36199999999999999</v>
      </c>
      <c r="P550" s="9">
        <v>1.1791</v>
      </c>
      <c r="Q550" s="9">
        <v>19.053000000000001</v>
      </c>
      <c r="R550" s="9"/>
      <c r="S550" s="11"/>
    </row>
    <row r="551" spans="1:19" ht="15.75">
      <c r="A551" s="13">
        <v>58287</v>
      </c>
      <c r="B551" s="8">
        <f>CHOOSE( CONTROL!$C$32, 15.6489, 15.6453) * CHOOSE(CONTROL!$C$15, $D$11, 100%, $F$11)</f>
        <v>15.648899999999999</v>
      </c>
      <c r="C551" s="8">
        <f>CHOOSE( CONTROL!$C$32, 15.6569, 15.6533) * CHOOSE(CONTROL!$C$15, $D$11, 100%, $F$11)</f>
        <v>15.6569</v>
      </c>
      <c r="D551" s="8">
        <f>CHOOSE( CONTROL!$C$32, 15.6951, 15.6915) * CHOOSE( CONTROL!$C$15, $D$11, 100%, $F$11)</f>
        <v>15.6951</v>
      </c>
      <c r="E551" s="12">
        <f>CHOOSE( CONTROL!$C$32, 15.68, 15.6764) * CHOOSE( CONTROL!$C$15, $D$11, 100%, $F$11)</f>
        <v>15.68</v>
      </c>
      <c r="F551" s="4">
        <f>CHOOSE( CONTROL!$C$32, 16.3919, 16.3883) * CHOOSE(CONTROL!$C$15, $D$11, 100%, $F$11)</f>
        <v>16.3919</v>
      </c>
      <c r="G551" s="8">
        <f>CHOOSE( CONTROL!$C$32, 15.4722, 15.4686) * CHOOSE( CONTROL!$C$15, $D$11, 100%, $F$11)</f>
        <v>15.472200000000001</v>
      </c>
      <c r="H551" s="4">
        <f>CHOOSE( CONTROL!$C$32, 16.4466, 16.443) * CHOOSE(CONTROL!$C$15, $D$11, 100%, $F$11)</f>
        <v>16.4466</v>
      </c>
      <c r="I551" s="8">
        <f>CHOOSE( CONTROL!$C$32, 15.3278, 15.3242) * CHOOSE(CONTROL!$C$15, $D$11, 100%, $F$11)</f>
        <v>15.3278</v>
      </c>
      <c r="J551" s="4">
        <f>CHOOSE( CONTROL!$C$32, 15.1765, 15.1729) * CHOOSE(CONTROL!$C$15, $D$11, 100%, $F$11)</f>
        <v>15.176500000000001</v>
      </c>
      <c r="K551" s="4"/>
      <c r="L551" s="9">
        <v>30.7165</v>
      </c>
      <c r="M551" s="9">
        <v>12.063700000000001</v>
      </c>
      <c r="N551" s="9">
        <v>4.9444999999999997</v>
      </c>
      <c r="O551" s="9">
        <v>0.37409999999999999</v>
      </c>
      <c r="P551" s="9">
        <v>1.2183999999999999</v>
      </c>
      <c r="Q551" s="9">
        <v>19.688099999999999</v>
      </c>
      <c r="R551" s="9"/>
      <c r="S551" s="11"/>
    </row>
    <row r="552" spans="1:19" ht="15.75">
      <c r="A552" s="13">
        <v>58318</v>
      </c>
      <c r="B552" s="8">
        <f>CHOOSE( CONTROL!$C$32, 14.4421, 14.4384) * CHOOSE(CONTROL!$C$15, $D$11, 100%, $F$11)</f>
        <v>14.4421</v>
      </c>
      <c r="C552" s="8">
        <f>CHOOSE( CONTROL!$C$32, 14.4501, 14.4464) * CHOOSE(CONTROL!$C$15, $D$11, 100%, $F$11)</f>
        <v>14.450100000000001</v>
      </c>
      <c r="D552" s="8">
        <f>CHOOSE( CONTROL!$C$32, 14.4883, 14.4847) * CHOOSE( CONTROL!$C$15, $D$11, 100%, $F$11)</f>
        <v>14.488300000000001</v>
      </c>
      <c r="E552" s="12">
        <f>CHOOSE( CONTROL!$C$32, 14.4732, 14.4696) * CHOOSE( CONTROL!$C$15, $D$11, 100%, $F$11)</f>
        <v>14.4732</v>
      </c>
      <c r="F552" s="4">
        <f>CHOOSE( CONTROL!$C$32, 15.1851, 15.1814) * CHOOSE(CONTROL!$C$15, $D$11, 100%, $F$11)</f>
        <v>15.1851</v>
      </c>
      <c r="G552" s="8">
        <f>CHOOSE( CONTROL!$C$32, 14.2796, 14.276) * CHOOSE( CONTROL!$C$15, $D$11, 100%, $F$11)</f>
        <v>14.2796</v>
      </c>
      <c r="H552" s="4">
        <f>CHOOSE( CONTROL!$C$32, 15.2539, 15.2503) * CHOOSE(CONTROL!$C$15, $D$11, 100%, $F$11)</f>
        <v>15.2539</v>
      </c>
      <c r="I552" s="8">
        <f>CHOOSE( CONTROL!$C$32, 14.1562, 14.1527) * CHOOSE(CONTROL!$C$15, $D$11, 100%, $F$11)</f>
        <v>14.1562</v>
      </c>
      <c r="J552" s="4">
        <f>CHOOSE( CONTROL!$C$32, 14.0052, 14.0017) * CHOOSE(CONTROL!$C$15, $D$11, 100%, $F$11)</f>
        <v>14.0052</v>
      </c>
      <c r="K552" s="4"/>
      <c r="L552" s="9">
        <v>30.7165</v>
      </c>
      <c r="M552" s="9">
        <v>12.063700000000001</v>
      </c>
      <c r="N552" s="9">
        <v>4.9444999999999997</v>
      </c>
      <c r="O552" s="9">
        <v>0.37409999999999999</v>
      </c>
      <c r="P552" s="9">
        <v>1.2183999999999999</v>
      </c>
      <c r="Q552" s="9">
        <v>19.688099999999999</v>
      </c>
      <c r="R552" s="9"/>
      <c r="S552" s="11"/>
    </row>
    <row r="553" spans="1:19" ht="15.75">
      <c r="A553" s="13">
        <v>58348</v>
      </c>
      <c r="B553" s="8">
        <f>CHOOSE( CONTROL!$C$32, 14.1399, 14.1362) * CHOOSE(CONTROL!$C$15, $D$11, 100%, $F$11)</f>
        <v>14.139900000000001</v>
      </c>
      <c r="C553" s="8">
        <f>CHOOSE( CONTROL!$C$32, 14.1479, 14.1442) * CHOOSE(CONTROL!$C$15, $D$11, 100%, $F$11)</f>
        <v>14.1479</v>
      </c>
      <c r="D553" s="8">
        <f>CHOOSE( CONTROL!$C$32, 14.186, 14.1824) * CHOOSE( CONTROL!$C$15, $D$11, 100%, $F$11)</f>
        <v>14.186</v>
      </c>
      <c r="E553" s="12">
        <f>CHOOSE( CONTROL!$C$32, 14.171, 14.1673) * CHOOSE( CONTROL!$C$15, $D$11, 100%, $F$11)</f>
        <v>14.170999999999999</v>
      </c>
      <c r="F553" s="4">
        <f>CHOOSE( CONTROL!$C$32, 14.8829, 14.8792) * CHOOSE(CONTROL!$C$15, $D$11, 100%, $F$11)</f>
        <v>14.882899999999999</v>
      </c>
      <c r="G553" s="8">
        <f>CHOOSE( CONTROL!$C$32, 13.9808, 13.9772) * CHOOSE( CONTROL!$C$15, $D$11, 100%, $F$11)</f>
        <v>13.9808</v>
      </c>
      <c r="H553" s="4">
        <f>CHOOSE( CONTROL!$C$32, 14.9552, 14.9516) * CHOOSE(CONTROL!$C$15, $D$11, 100%, $F$11)</f>
        <v>14.9552</v>
      </c>
      <c r="I553" s="8">
        <f>CHOOSE( CONTROL!$C$32, 13.8624, 13.8589) * CHOOSE(CONTROL!$C$15, $D$11, 100%, $F$11)</f>
        <v>13.862399999999999</v>
      </c>
      <c r="J553" s="4">
        <f>CHOOSE( CONTROL!$C$32, 13.7119, 13.7084) * CHOOSE(CONTROL!$C$15, $D$11, 100%, $F$11)</f>
        <v>13.7119</v>
      </c>
      <c r="K553" s="4"/>
      <c r="L553" s="9">
        <v>29.7257</v>
      </c>
      <c r="M553" s="9">
        <v>11.6745</v>
      </c>
      <c r="N553" s="9">
        <v>4.7850000000000001</v>
      </c>
      <c r="O553" s="9">
        <v>0.36199999999999999</v>
      </c>
      <c r="P553" s="9">
        <v>1.1791</v>
      </c>
      <c r="Q553" s="9">
        <v>19.053000000000001</v>
      </c>
      <c r="R553" s="9"/>
      <c r="S553" s="11"/>
    </row>
    <row r="554" spans="1:19" ht="15.75">
      <c r="A554" s="13">
        <v>58379</v>
      </c>
      <c r="B554" s="8">
        <f>14.762 * CHOOSE(CONTROL!$C$15, $D$11, 100%, $F$11)</f>
        <v>14.762</v>
      </c>
      <c r="C554" s="8">
        <f>14.7673 * CHOOSE(CONTROL!$C$15, $D$11, 100%, $F$11)</f>
        <v>14.767300000000001</v>
      </c>
      <c r="D554" s="8">
        <f>14.8108 * CHOOSE( CONTROL!$C$15, $D$11, 100%, $F$11)</f>
        <v>14.8108</v>
      </c>
      <c r="E554" s="12">
        <f>14.7959 * CHOOSE( CONTROL!$C$15, $D$11, 100%, $F$11)</f>
        <v>14.7959</v>
      </c>
      <c r="F554" s="4">
        <f>15.5067 * CHOOSE(CONTROL!$C$15, $D$11, 100%, $F$11)</f>
        <v>15.5067</v>
      </c>
      <c r="G554" s="8">
        <f>14.5969 * CHOOSE( CONTROL!$C$15, $D$11, 100%, $F$11)</f>
        <v>14.5969</v>
      </c>
      <c r="H554" s="4">
        <f>15.5718 * CHOOSE(CONTROL!$C$15, $D$11, 100%, $F$11)</f>
        <v>15.5718</v>
      </c>
      <c r="I554" s="8">
        <f>14.4689 * CHOOSE(CONTROL!$C$15, $D$11, 100%, $F$11)</f>
        <v>14.4689</v>
      </c>
      <c r="J554" s="4">
        <f>14.3174 * CHOOSE(CONTROL!$C$15, $D$11, 100%, $F$11)</f>
        <v>14.317399999999999</v>
      </c>
      <c r="K554" s="4"/>
      <c r="L554" s="9">
        <v>31.095300000000002</v>
      </c>
      <c r="M554" s="9">
        <v>12.063700000000001</v>
      </c>
      <c r="N554" s="9">
        <v>4.9444999999999997</v>
      </c>
      <c r="O554" s="9">
        <v>0.37409999999999999</v>
      </c>
      <c r="P554" s="9">
        <v>1.2183999999999999</v>
      </c>
      <c r="Q554" s="9">
        <v>19.688099999999999</v>
      </c>
      <c r="R554" s="9"/>
      <c r="S554" s="11"/>
    </row>
    <row r="555" spans="1:19" ht="15.75">
      <c r="A555" s="13">
        <v>58409</v>
      </c>
      <c r="B555" s="8">
        <f>15.9198 * CHOOSE(CONTROL!$C$15, $D$11, 100%, $F$11)</f>
        <v>15.9198</v>
      </c>
      <c r="C555" s="8">
        <f>15.9249 * CHOOSE(CONTROL!$C$15, $D$11, 100%, $F$11)</f>
        <v>15.924899999999999</v>
      </c>
      <c r="D555" s="8">
        <f>15.9085 * CHOOSE( CONTROL!$C$15, $D$11, 100%, $F$11)</f>
        <v>15.9085</v>
      </c>
      <c r="E555" s="12">
        <f>15.914 * CHOOSE( CONTROL!$C$15, $D$11, 100%, $F$11)</f>
        <v>15.914</v>
      </c>
      <c r="F555" s="4">
        <f>16.5851 * CHOOSE(CONTROL!$C$15, $D$11, 100%, $F$11)</f>
        <v>16.585100000000001</v>
      </c>
      <c r="G555" s="8">
        <f>15.7421 * CHOOSE( CONTROL!$C$15, $D$11, 100%, $F$11)</f>
        <v>15.742100000000001</v>
      </c>
      <c r="H555" s="4">
        <f>16.6375 * CHOOSE(CONTROL!$C$15, $D$11, 100%, $F$11)</f>
        <v>16.637499999999999</v>
      </c>
      <c r="I555" s="8">
        <f>15.5936 * CHOOSE(CONTROL!$C$15, $D$11, 100%, $F$11)</f>
        <v>15.5936</v>
      </c>
      <c r="J555" s="4">
        <f>15.4414 * CHOOSE(CONTROL!$C$15, $D$11, 100%, $F$11)</f>
        <v>15.4414</v>
      </c>
      <c r="K555" s="4"/>
      <c r="L555" s="9">
        <v>28.360600000000002</v>
      </c>
      <c r="M555" s="9">
        <v>11.6745</v>
      </c>
      <c r="N555" s="9">
        <v>4.7850000000000001</v>
      </c>
      <c r="O555" s="9">
        <v>0.36199999999999999</v>
      </c>
      <c r="P555" s="9">
        <v>1.2509999999999999</v>
      </c>
      <c r="Q555" s="9">
        <v>19.053000000000001</v>
      </c>
      <c r="R555" s="9"/>
      <c r="S555" s="11"/>
    </row>
    <row r="556" spans="1:19" ht="15.75">
      <c r="A556" s="13">
        <v>58440</v>
      </c>
      <c r="B556" s="8">
        <f>15.8909 * CHOOSE(CONTROL!$C$15, $D$11, 100%, $F$11)</f>
        <v>15.8909</v>
      </c>
      <c r="C556" s="8">
        <f>15.8959 * CHOOSE(CONTROL!$C$15, $D$11, 100%, $F$11)</f>
        <v>15.895899999999999</v>
      </c>
      <c r="D556" s="8">
        <f>15.8813 * CHOOSE( CONTROL!$C$15, $D$11, 100%, $F$11)</f>
        <v>15.8813</v>
      </c>
      <c r="E556" s="12">
        <f>15.8861 * CHOOSE( CONTROL!$C$15, $D$11, 100%, $F$11)</f>
        <v>15.886100000000001</v>
      </c>
      <c r="F556" s="4">
        <f>16.5561 * CHOOSE(CONTROL!$C$15, $D$11, 100%, $F$11)</f>
        <v>16.556100000000001</v>
      </c>
      <c r="G556" s="8">
        <f>15.7148 * CHOOSE( CONTROL!$C$15, $D$11, 100%, $F$11)</f>
        <v>15.7148</v>
      </c>
      <c r="H556" s="4">
        <f>16.6089 * CHOOSE(CONTROL!$C$15, $D$11, 100%, $F$11)</f>
        <v>16.608899999999998</v>
      </c>
      <c r="I556" s="8">
        <f>15.5709 * CHOOSE(CONTROL!$C$15, $D$11, 100%, $F$11)</f>
        <v>15.5709</v>
      </c>
      <c r="J556" s="4">
        <f>15.4133 * CHOOSE(CONTROL!$C$15, $D$11, 100%, $F$11)</f>
        <v>15.4133</v>
      </c>
      <c r="K556" s="4"/>
      <c r="L556" s="9">
        <v>29.306000000000001</v>
      </c>
      <c r="M556" s="9">
        <v>12.063700000000001</v>
      </c>
      <c r="N556" s="9">
        <v>4.9444999999999997</v>
      </c>
      <c r="O556" s="9">
        <v>0.37409999999999999</v>
      </c>
      <c r="P556" s="9">
        <v>1.2927</v>
      </c>
      <c r="Q556" s="9">
        <v>19.688099999999999</v>
      </c>
      <c r="R556" s="9"/>
      <c r="S556" s="11"/>
    </row>
    <row r="557" spans="1:19" ht="15.75">
      <c r="A557" s="13">
        <v>58471</v>
      </c>
      <c r="B557" s="8">
        <f>16.3593 * CHOOSE(CONTROL!$C$15, $D$11, 100%, $F$11)</f>
        <v>16.359300000000001</v>
      </c>
      <c r="C557" s="8">
        <f>16.3644 * CHOOSE(CONTROL!$C$15, $D$11, 100%, $F$11)</f>
        <v>16.3644</v>
      </c>
      <c r="D557" s="8">
        <f>16.3355 * CHOOSE( CONTROL!$C$15, $D$11, 100%, $F$11)</f>
        <v>16.3355</v>
      </c>
      <c r="E557" s="12">
        <f>16.3455 * CHOOSE( CONTROL!$C$15, $D$11, 100%, $F$11)</f>
        <v>16.345500000000001</v>
      </c>
      <c r="F557" s="4">
        <f>17.0246 * CHOOSE(CONTROL!$C$15, $D$11, 100%, $F$11)</f>
        <v>17.0246</v>
      </c>
      <c r="G557" s="8">
        <f>16.1675 * CHOOSE( CONTROL!$C$15, $D$11, 100%, $F$11)</f>
        <v>16.1675</v>
      </c>
      <c r="H557" s="4">
        <f>17.0719 * CHOOSE(CONTROL!$C$15, $D$11, 100%, $F$11)</f>
        <v>17.071899999999999</v>
      </c>
      <c r="I557" s="8">
        <f>16.0204 * CHOOSE(CONTROL!$C$15, $D$11, 100%, $F$11)</f>
        <v>16.020399999999999</v>
      </c>
      <c r="J557" s="4">
        <f>15.868 * CHOOSE(CONTROL!$C$15, $D$11, 100%, $F$11)</f>
        <v>15.868</v>
      </c>
      <c r="K557" s="4"/>
      <c r="L557" s="9">
        <v>29.306000000000001</v>
      </c>
      <c r="M557" s="9">
        <v>12.063700000000001</v>
      </c>
      <c r="N557" s="9">
        <v>4.9444999999999997</v>
      </c>
      <c r="O557" s="9">
        <v>0.37409999999999999</v>
      </c>
      <c r="P557" s="9">
        <v>1.2927</v>
      </c>
      <c r="Q557" s="9">
        <v>19.688099999999999</v>
      </c>
      <c r="R557" s="9"/>
      <c r="S557" s="11"/>
    </row>
    <row r="558" spans="1:19" ht="15.75">
      <c r="A558" s="13">
        <v>58499</v>
      </c>
      <c r="B558" s="8">
        <f>15.3023 * CHOOSE(CONTROL!$C$15, $D$11, 100%, $F$11)</f>
        <v>15.302300000000001</v>
      </c>
      <c r="C558" s="8">
        <f>15.3074 * CHOOSE(CONTROL!$C$15, $D$11, 100%, $F$11)</f>
        <v>15.307399999999999</v>
      </c>
      <c r="D558" s="8">
        <f>15.2785 * CHOOSE( CONTROL!$C$15, $D$11, 100%, $F$11)</f>
        <v>15.278499999999999</v>
      </c>
      <c r="E558" s="12">
        <f>15.2885 * CHOOSE( CONTROL!$C$15, $D$11, 100%, $F$11)</f>
        <v>15.288500000000001</v>
      </c>
      <c r="F558" s="4">
        <f>15.9676 * CHOOSE(CONTROL!$C$15, $D$11, 100%, $F$11)</f>
        <v>15.967599999999999</v>
      </c>
      <c r="G558" s="8">
        <f>15.1228 * CHOOSE( CONTROL!$C$15, $D$11, 100%, $F$11)</f>
        <v>15.1228</v>
      </c>
      <c r="H558" s="4">
        <f>16.0272 * CHOOSE(CONTROL!$C$15, $D$11, 100%, $F$11)</f>
        <v>16.027200000000001</v>
      </c>
      <c r="I558" s="8">
        <f>14.994 * CHOOSE(CONTROL!$C$15, $D$11, 100%, $F$11)</f>
        <v>14.994</v>
      </c>
      <c r="J558" s="4">
        <f>14.8421 * CHOOSE(CONTROL!$C$15, $D$11, 100%, $F$11)</f>
        <v>14.8421</v>
      </c>
      <c r="K558" s="4"/>
      <c r="L558" s="9">
        <v>27.415299999999998</v>
      </c>
      <c r="M558" s="9">
        <v>11.285299999999999</v>
      </c>
      <c r="N558" s="9">
        <v>4.6254999999999997</v>
      </c>
      <c r="O558" s="9">
        <v>0.34989999999999999</v>
      </c>
      <c r="P558" s="9">
        <v>1.2093</v>
      </c>
      <c r="Q558" s="9">
        <v>18.417899999999999</v>
      </c>
      <c r="R558" s="9"/>
      <c r="S558" s="11"/>
    </row>
    <row r="559" spans="1:19" ht="15.75">
      <c r="A559" s="13">
        <v>58531</v>
      </c>
      <c r="B559" s="8">
        <f>14.9767 * CHOOSE(CONTROL!$C$15, $D$11, 100%, $F$11)</f>
        <v>14.976699999999999</v>
      </c>
      <c r="C559" s="8">
        <f>14.9818 * CHOOSE(CONTROL!$C$15, $D$11, 100%, $F$11)</f>
        <v>14.9818</v>
      </c>
      <c r="D559" s="8">
        <f>14.9525 * CHOOSE( CONTROL!$C$15, $D$11, 100%, $F$11)</f>
        <v>14.952500000000001</v>
      </c>
      <c r="E559" s="12">
        <f>14.9627 * CHOOSE( CONTROL!$C$15, $D$11, 100%, $F$11)</f>
        <v>14.9627</v>
      </c>
      <c r="F559" s="4">
        <f>15.642 * CHOOSE(CONTROL!$C$15, $D$11, 100%, $F$11)</f>
        <v>15.641999999999999</v>
      </c>
      <c r="G559" s="8">
        <f>14.8008 * CHOOSE( CONTROL!$C$15, $D$11, 100%, $F$11)</f>
        <v>14.800800000000001</v>
      </c>
      <c r="H559" s="4">
        <f>15.7055 * CHOOSE(CONTROL!$C$15, $D$11, 100%, $F$11)</f>
        <v>15.705500000000001</v>
      </c>
      <c r="I559" s="8">
        <f>14.6767 * CHOOSE(CONTROL!$C$15, $D$11, 100%, $F$11)</f>
        <v>14.6767</v>
      </c>
      <c r="J559" s="4">
        <f>14.5262 * CHOOSE(CONTROL!$C$15, $D$11, 100%, $F$11)</f>
        <v>14.526199999999999</v>
      </c>
      <c r="K559" s="4"/>
      <c r="L559" s="9">
        <v>29.306000000000001</v>
      </c>
      <c r="M559" s="9">
        <v>12.063700000000001</v>
      </c>
      <c r="N559" s="9">
        <v>4.9444999999999997</v>
      </c>
      <c r="O559" s="9">
        <v>0.37409999999999999</v>
      </c>
      <c r="P559" s="9">
        <v>1.2927</v>
      </c>
      <c r="Q559" s="9">
        <v>19.688099999999999</v>
      </c>
      <c r="R559" s="9"/>
      <c r="S559" s="11"/>
    </row>
    <row r="560" spans="1:19" ht="15.75">
      <c r="A560" s="13">
        <v>58561</v>
      </c>
      <c r="B560" s="8">
        <f>15.205 * CHOOSE(CONTROL!$C$15, $D$11, 100%, $F$11)</f>
        <v>15.205</v>
      </c>
      <c r="C560" s="8">
        <f>15.2095 * CHOOSE(CONTROL!$C$15, $D$11, 100%, $F$11)</f>
        <v>15.2095</v>
      </c>
      <c r="D560" s="8">
        <f>15.2529 * CHOOSE( CONTROL!$C$15, $D$11, 100%, $F$11)</f>
        <v>15.2529</v>
      </c>
      <c r="E560" s="12">
        <f>15.2381 * CHOOSE( CONTROL!$C$15, $D$11, 100%, $F$11)</f>
        <v>15.238099999999999</v>
      </c>
      <c r="F560" s="4">
        <f>15.9494 * CHOOSE(CONTROL!$C$15, $D$11, 100%, $F$11)</f>
        <v>15.949400000000001</v>
      </c>
      <c r="G560" s="8">
        <f>15.0334 * CHOOSE( CONTROL!$C$15, $D$11, 100%, $F$11)</f>
        <v>15.0334</v>
      </c>
      <c r="H560" s="4">
        <f>16.0092 * CHOOSE(CONTROL!$C$15, $D$11, 100%, $F$11)</f>
        <v>16.0092</v>
      </c>
      <c r="I560" s="8">
        <f>14.8958 * CHOOSE(CONTROL!$C$15, $D$11, 100%, $F$11)</f>
        <v>14.895799999999999</v>
      </c>
      <c r="J560" s="4">
        <f>14.747 * CHOOSE(CONTROL!$C$15, $D$11, 100%, $F$11)</f>
        <v>14.747</v>
      </c>
      <c r="K560" s="4"/>
      <c r="L560" s="9">
        <v>30.092199999999998</v>
      </c>
      <c r="M560" s="9">
        <v>11.6745</v>
      </c>
      <c r="N560" s="9">
        <v>4.7850000000000001</v>
      </c>
      <c r="O560" s="9">
        <v>0.36199999999999999</v>
      </c>
      <c r="P560" s="9">
        <v>1.1791</v>
      </c>
      <c r="Q560" s="9">
        <v>19.053000000000001</v>
      </c>
      <c r="R560" s="9"/>
      <c r="S560" s="11"/>
    </row>
    <row r="561" spans="1:19" ht="15.75">
      <c r="A561" s="13">
        <v>58592</v>
      </c>
      <c r="B561" s="8">
        <f>CHOOSE( CONTROL!$C$32, 15.6149, 15.6113) * CHOOSE(CONTROL!$C$15, $D$11, 100%, $F$11)</f>
        <v>15.6149</v>
      </c>
      <c r="C561" s="8">
        <f>CHOOSE( CONTROL!$C$32, 15.6229, 15.6192) * CHOOSE(CONTROL!$C$15, $D$11, 100%, $F$11)</f>
        <v>15.6229</v>
      </c>
      <c r="D561" s="8">
        <f>CHOOSE( CONTROL!$C$32, 15.6606, 15.657) * CHOOSE( CONTROL!$C$15, $D$11, 100%, $F$11)</f>
        <v>15.660600000000001</v>
      </c>
      <c r="E561" s="12">
        <f>CHOOSE( CONTROL!$C$32, 15.6457, 15.6421) * CHOOSE( CONTROL!$C$15, $D$11, 100%, $F$11)</f>
        <v>15.6457</v>
      </c>
      <c r="F561" s="4">
        <f>CHOOSE( CONTROL!$C$32, 16.3579, 16.3543) * CHOOSE(CONTROL!$C$15, $D$11, 100%, $F$11)</f>
        <v>16.357900000000001</v>
      </c>
      <c r="G561" s="8">
        <f>CHOOSE( CONTROL!$C$32, 15.4379, 15.4343) * CHOOSE( CONTROL!$C$15, $D$11, 100%, $F$11)</f>
        <v>15.437900000000001</v>
      </c>
      <c r="H561" s="4">
        <f>CHOOSE( CONTROL!$C$32, 16.413, 16.4094) * CHOOSE(CONTROL!$C$15, $D$11, 100%, $F$11)</f>
        <v>16.413</v>
      </c>
      <c r="I561" s="8">
        <f>CHOOSE( CONTROL!$C$32, 15.2926, 15.289) * CHOOSE(CONTROL!$C$15, $D$11, 100%, $F$11)</f>
        <v>15.2926</v>
      </c>
      <c r="J561" s="4">
        <f>CHOOSE( CONTROL!$C$32, 15.1434, 15.1399) * CHOOSE(CONTROL!$C$15, $D$11, 100%, $F$11)</f>
        <v>15.1434</v>
      </c>
      <c r="K561" s="4"/>
      <c r="L561" s="9">
        <v>30.7165</v>
      </c>
      <c r="M561" s="9">
        <v>12.063700000000001</v>
      </c>
      <c r="N561" s="9">
        <v>4.9444999999999997</v>
      </c>
      <c r="O561" s="9">
        <v>0.37409999999999999</v>
      </c>
      <c r="P561" s="9">
        <v>1.2183999999999999</v>
      </c>
      <c r="Q561" s="9">
        <v>19.688099999999999</v>
      </c>
      <c r="R561" s="9"/>
      <c r="S561" s="11"/>
    </row>
    <row r="562" spans="1:19" ht="15.75">
      <c r="A562" s="13">
        <v>58622</v>
      </c>
      <c r="B562" s="8">
        <f>CHOOSE( CONTROL!$C$32, 15.3641, 15.3604) * CHOOSE(CONTROL!$C$15, $D$11, 100%, $F$11)</f>
        <v>15.364100000000001</v>
      </c>
      <c r="C562" s="8">
        <f>CHOOSE( CONTROL!$C$32, 15.3721, 15.3684) * CHOOSE(CONTROL!$C$15, $D$11, 100%, $F$11)</f>
        <v>15.3721</v>
      </c>
      <c r="D562" s="8">
        <f>CHOOSE( CONTROL!$C$32, 15.41, 15.4064) * CHOOSE( CONTROL!$C$15, $D$11, 100%, $F$11)</f>
        <v>15.41</v>
      </c>
      <c r="E562" s="12">
        <f>CHOOSE( CONTROL!$C$32, 15.395, 15.3914) * CHOOSE( CONTROL!$C$15, $D$11, 100%, $F$11)</f>
        <v>15.395</v>
      </c>
      <c r="F562" s="4">
        <f>CHOOSE( CONTROL!$C$32, 16.1071, 16.1035) * CHOOSE(CONTROL!$C$15, $D$11, 100%, $F$11)</f>
        <v>16.107099999999999</v>
      </c>
      <c r="G562" s="8">
        <f>CHOOSE( CONTROL!$C$32, 15.1904, 15.1868) * CHOOSE( CONTROL!$C$15, $D$11, 100%, $F$11)</f>
        <v>15.1904</v>
      </c>
      <c r="H562" s="4">
        <f>CHOOSE( CONTROL!$C$32, 16.1651, 16.1615) * CHOOSE(CONTROL!$C$15, $D$11, 100%, $F$11)</f>
        <v>16.165099999999999</v>
      </c>
      <c r="I562" s="8">
        <f>CHOOSE( CONTROL!$C$32, 15.0501, 15.0465) * CHOOSE(CONTROL!$C$15, $D$11, 100%, $F$11)</f>
        <v>15.0501</v>
      </c>
      <c r="J562" s="4">
        <f>CHOOSE( CONTROL!$C$32, 14.9, 14.8965) * CHOOSE(CONTROL!$C$15, $D$11, 100%, $F$11)</f>
        <v>14.9</v>
      </c>
      <c r="K562" s="4"/>
      <c r="L562" s="9">
        <v>29.7257</v>
      </c>
      <c r="M562" s="9">
        <v>11.6745</v>
      </c>
      <c r="N562" s="9">
        <v>4.7850000000000001</v>
      </c>
      <c r="O562" s="9">
        <v>0.36199999999999999</v>
      </c>
      <c r="P562" s="9">
        <v>1.1791</v>
      </c>
      <c r="Q562" s="9">
        <v>19.053000000000001</v>
      </c>
      <c r="R562" s="9"/>
      <c r="S562" s="11"/>
    </row>
    <row r="563" spans="1:19" ht="15.75">
      <c r="A563" s="13">
        <v>58653</v>
      </c>
      <c r="B563" s="8">
        <f>CHOOSE( CONTROL!$C$32, 16.0246, 16.0209) * CHOOSE(CONTROL!$C$15, $D$11, 100%, $F$11)</f>
        <v>16.0246</v>
      </c>
      <c r="C563" s="8">
        <f>CHOOSE( CONTROL!$C$32, 16.0325, 16.0289) * CHOOSE(CONTROL!$C$15, $D$11, 100%, $F$11)</f>
        <v>16.032499999999999</v>
      </c>
      <c r="D563" s="8">
        <f>CHOOSE( CONTROL!$C$32, 16.0707, 16.0671) * CHOOSE( CONTROL!$C$15, $D$11, 100%, $F$11)</f>
        <v>16.070699999999999</v>
      </c>
      <c r="E563" s="12">
        <f>CHOOSE( CONTROL!$C$32, 16.0557, 16.052) * CHOOSE( CONTROL!$C$15, $D$11, 100%, $F$11)</f>
        <v>16.055700000000002</v>
      </c>
      <c r="F563" s="4">
        <f>CHOOSE( CONTROL!$C$32, 16.7676, 16.7639) * CHOOSE(CONTROL!$C$15, $D$11, 100%, $F$11)</f>
        <v>16.767600000000002</v>
      </c>
      <c r="G563" s="8">
        <f>CHOOSE( CONTROL!$C$32, 15.8435, 15.8399) * CHOOSE( CONTROL!$C$15, $D$11, 100%, $F$11)</f>
        <v>15.843500000000001</v>
      </c>
      <c r="H563" s="4">
        <f>CHOOSE( CONTROL!$C$32, 16.8179, 16.8143) * CHOOSE(CONTROL!$C$15, $D$11, 100%, $F$11)</f>
        <v>16.817900000000002</v>
      </c>
      <c r="I563" s="8">
        <f>CHOOSE( CONTROL!$C$32, 15.6925, 15.689) * CHOOSE(CONTROL!$C$15, $D$11, 100%, $F$11)</f>
        <v>15.692500000000001</v>
      </c>
      <c r="J563" s="4">
        <f>CHOOSE( CONTROL!$C$32, 15.541, 15.5375) * CHOOSE(CONTROL!$C$15, $D$11, 100%, $F$11)</f>
        <v>15.541</v>
      </c>
      <c r="K563" s="4"/>
      <c r="L563" s="9">
        <v>30.7165</v>
      </c>
      <c r="M563" s="9">
        <v>12.063700000000001</v>
      </c>
      <c r="N563" s="9">
        <v>4.9444999999999997</v>
      </c>
      <c r="O563" s="9">
        <v>0.37409999999999999</v>
      </c>
      <c r="P563" s="9">
        <v>1.2183999999999999</v>
      </c>
      <c r="Q563" s="9">
        <v>19.688099999999999</v>
      </c>
      <c r="R563" s="9"/>
      <c r="S563" s="11"/>
    </row>
    <row r="564" spans="1:19" ht="15.75">
      <c r="A564" s="13">
        <v>58684</v>
      </c>
      <c r="B564" s="8">
        <f>CHOOSE( CONTROL!$C$32, 14.7887, 14.7851) * CHOOSE(CONTROL!$C$15, $D$11, 100%, $F$11)</f>
        <v>14.7887</v>
      </c>
      <c r="C564" s="8">
        <f>CHOOSE( CONTROL!$C$32, 14.7967, 14.7931) * CHOOSE(CONTROL!$C$15, $D$11, 100%, $F$11)</f>
        <v>14.7967</v>
      </c>
      <c r="D564" s="8">
        <f>CHOOSE( CONTROL!$C$32, 14.835, 14.8313) * CHOOSE( CONTROL!$C$15, $D$11, 100%, $F$11)</f>
        <v>14.835000000000001</v>
      </c>
      <c r="E564" s="12">
        <f>CHOOSE( CONTROL!$C$32, 14.8199, 14.8162) * CHOOSE( CONTROL!$C$15, $D$11, 100%, $F$11)</f>
        <v>14.819900000000001</v>
      </c>
      <c r="F564" s="4">
        <f>CHOOSE( CONTROL!$C$32, 15.5317, 15.5281) * CHOOSE(CONTROL!$C$15, $D$11, 100%, $F$11)</f>
        <v>15.531700000000001</v>
      </c>
      <c r="G564" s="8">
        <f>CHOOSE( CONTROL!$C$32, 14.6222, 14.6186) * CHOOSE( CONTROL!$C$15, $D$11, 100%, $F$11)</f>
        <v>14.622199999999999</v>
      </c>
      <c r="H564" s="4">
        <f>CHOOSE( CONTROL!$C$32, 15.5965, 15.5929) * CHOOSE(CONTROL!$C$15, $D$11, 100%, $F$11)</f>
        <v>15.596500000000001</v>
      </c>
      <c r="I564" s="8">
        <f>CHOOSE( CONTROL!$C$32, 14.4928, 14.4893) * CHOOSE(CONTROL!$C$15, $D$11, 100%, $F$11)</f>
        <v>14.492800000000001</v>
      </c>
      <c r="J564" s="4">
        <f>CHOOSE( CONTROL!$C$32, 14.3416, 14.3381) * CHOOSE(CONTROL!$C$15, $D$11, 100%, $F$11)</f>
        <v>14.3416</v>
      </c>
      <c r="K564" s="4"/>
      <c r="L564" s="9">
        <v>30.7165</v>
      </c>
      <c r="M564" s="9">
        <v>12.063700000000001</v>
      </c>
      <c r="N564" s="9">
        <v>4.9444999999999997</v>
      </c>
      <c r="O564" s="9">
        <v>0.37409999999999999</v>
      </c>
      <c r="P564" s="9">
        <v>1.2183999999999999</v>
      </c>
      <c r="Q564" s="9">
        <v>19.688099999999999</v>
      </c>
      <c r="R564" s="9"/>
      <c r="S564" s="11"/>
    </row>
    <row r="565" spans="1:19" ht="15.75">
      <c r="A565" s="13">
        <v>58714</v>
      </c>
      <c r="B565" s="8">
        <f>CHOOSE( CONTROL!$C$32, 14.4793, 14.4756) * CHOOSE(CONTROL!$C$15, $D$11, 100%, $F$11)</f>
        <v>14.4793</v>
      </c>
      <c r="C565" s="8">
        <f>CHOOSE( CONTROL!$C$32, 14.4872, 14.4836) * CHOOSE(CONTROL!$C$15, $D$11, 100%, $F$11)</f>
        <v>14.4872</v>
      </c>
      <c r="D565" s="8">
        <f>CHOOSE( CONTROL!$C$32, 14.5254, 14.5218) * CHOOSE( CONTROL!$C$15, $D$11, 100%, $F$11)</f>
        <v>14.525399999999999</v>
      </c>
      <c r="E565" s="12">
        <f>CHOOSE( CONTROL!$C$32, 14.5104, 14.5067) * CHOOSE( CONTROL!$C$15, $D$11, 100%, $F$11)</f>
        <v>14.510400000000001</v>
      </c>
      <c r="F565" s="4">
        <f>CHOOSE( CONTROL!$C$32, 15.2223, 15.2186) * CHOOSE(CONTROL!$C$15, $D$11, 100%, $F$11)</f>
        <v>15.222300000000001</v>
      </c>
      <c r="G565" s="8">
        <f>CHOOSE( CONTROL!$C$32, 14.3163, 14.3127) * CHOOSE( CONTROL!$C$15, $D$11, 100%, $F$11)</f>
        <v>14.3163</v>
      </c>
      <c r="H565" s="4">
        <f>CHOOSE( CONTROL!$C$32, 15.2907, 15.2871) * CHOOSE(CONTROL!$C$15, $D$11, 100%, $F$11)</f>
        <v>15.290699999999999</v>
      </c>
      <c r="I565" s="8">
        <f>CHOOSE( CONTROL!$C$32, 14.192, 14.1884) * CHOOSE(CONTROL!$C$15, $D$11, 100%, $F$11)</f>
        <v>14.192</v>
      </c>
      <c r="J565" s="4">
        <f>CHOOSE( CONTROL!$C$32, 14.0413, 14.0378) * CHOOSE(CONTROL!$C$15, $D$11, 100%, $F$11)</f>
        <v>14.0413</v>
      </c>
      <c r="K565" s="4"/>
      <c r="L565" s="9">
        <v>29.7257</v>
      </c>
      <c r="M565" s="9">
        <v>11.6745</v>
      </c>
      <c r="N565" s="9">
        <v>4.7850000000000001</v>
      </c>
      <c r="O565" s="9">
        <v>0.36199999999999999</v>
      </c>
      <c r="P565" s="9">
        <v>1.1791</v>
      </c>
      <c r="Q565" s="9">
        <v>19.053000000000001</v>
      </c>
      <c r="R565" s="9"/>
      <c r="S565" s="11"/>
    </row>
    <row r="566" spans="1:19" ht="15.75">
      <c r="A566" s="13">
        <v>58745</v>
      </c>
      <c r="B566" s="8">
        <f>15.1165 * CHOOSE(CONTROL!$C$15, $D$11, 100%, $F$11)</f>
        <v>15.1165</v>
      </c>
      <c r="C566" s="8">
        <f>15.1218 * CHOOSE(CONTROL!$C$15, $D$11, 100%, $F$11)</f>
        <v>15.1218</v>
      </c>
      <c r="D566" s="8">
        <f>15.1653 * CHOOSE( CONTROL!$C$15, $D$11, 100%, $F$11)</f>
        <v>15.1653</v>
      </c>
      <c r="E566" s="12">
        <f>15.1504 * CHOOSE( CONTROL!$C$15, $D$11, 100%, $F$11)</f>
        <v>15.150399999999999</v>
      </c>
      <c r="F566" s="4">
        <f>15.8612 * CHOOSE(CONTROL!$C$15, $D$11, 100%, $F$11)</f>
        <v>15.8612</v>
      </c>
      <c r="G566" s="8">
        <f>14.9472 * CHOOSE( CONTROL!$C$15, $D$11, 100%, $F$11)</f>
        <v>14.9472</v>
      </c>
      <c r="H566" s="4">
        <f>15.9221 * CHOOSE(CONTROL!$C$15, $D$11, 100%, $F$11)</f>
        <v>15.9221</v>
      </c>
      <c r="I566" s="8">
        <f>14.8131 * CHOOSE(CONTROL!$C$15, $D$11, 100%, $F$11)</f>
        <v>14.8131</v>
      </c>
      <c r="J566" s="4">
        <f>14.6614 * CHOOSE(CONTROL!$C$15, $D$11, 100%, $F$11)</f>
        <v>14.6614</v>
      </c>
      <c r="K566" s="4"/>
      <c r="L566" s="9">
        <v>31.095300000000002</v>
      </c>
      <c r="M566" s="9">
        <v>12.063700000000001</v>
      </c>
      <c r="N566" s="9">
        <v>4.9444999999999997</v>
      </c>
      <c r="O566" s="9">
        <v>0.37409999999999999</v>
      </c>
      <c r="P566" s="9">
        <v>1.2183999999999999</v>
      </c>
      <c r="Q566" s="9">
        <v>19.688099999999999</v>
      </c>
      <c r="R566" s="9"/>
      <c r="S566" s="11"/>
    </row>
    <row r="567" spans="1:19" ht="15.75">
      <c r="A567" s="13">
        <v>58775</v>
      </c>
      <c r="B567" s="8">
        <f>16.3021 * CHOOSE(CONTROL!$C$15, $D$11, 100%, $F$11)</f>
        <v>16.302099999999999</v>
      </c>
      <c r="C567" s="8">
        <f>16.3072 * CHOOSE(CONTROL!$C$15, $D$11, 100%, $F$11)</f>
        <v>16.307200000000002</v>
      </c>
      <c r="D567" s="8">
        <f>16.2908 * CHOOSE( CONTROL!$C$15, $D$11, 100%, $F$11)</f>
        <v>16.290800000000001</v>
      </c>
      <c r="E567" s="12">
        <f>16.2963 * CHOOSE( CONTROL!$C$15, $D$11, 100%, $F$11)</f>
        <v>16.296299999999999</v>
      </c>
      <c r="F567" s="4">
        <f>16.9674 * CHOOSE(CONTROL!$C$15, $D$11, 100%, $F$11)</f>
        <v>16.967400000000001</v>
      </c>
      <c r="G567" s="8">
        <f>16.1199 * CHOOSE( CONTROL!$C$15, $D$11, 100%, $F$11)</f>
        <v>16.119900000000001</v>
      </c>
      <c r="H567" s="4">
        <f>17.0153 * CHOOSE(CONTROL!$C$15, $D$11, 100%, $F$11)</f>
        <v>17.0153</v>
      </c>
      <c r="I567" s="8">
        <f>15.9648 * CHOOSE(CONTROL!$C$15, $D$11, 100%, $F$11)</f>
        <v>15.9648</v>
      </c>
      <c r="J567" s="4">
        <f>15.8124 * CHOOSE(CONTROL!$C$15, $D$11, 100%, $F$11)</f>
        <v>15.8124</v>
      </c>
      <c r="K567" s="4"/>
      <c r="L567" s="9">
        <v>28.360600000000002</v>
      </c>
      <c r="M567" s="9">
        <v>11.6745</v>
      </c>
      <c r="N567" s="9">
        <v>4.7850000000000001</v>
      </c>
      <c r="O567" s="9">
        <v>0.36199999999999999</v>
      </c>
      <c r="P567" s="9">
        <v>1.2509999999999999</v>
      </c>
      <c r="Q567" s="9">
        <v>19.053000000000001</v>
      </c>
      <c r="R567" s="9"/>
      <c r="S567" s="11"/>
    </row>
    <row r="568" spans="1:19" ht="15.75">
      <c r="A568" s="13">
        <v>58806</v>
      </c>
      <c r="B568" s="8">
        <f>16.2725 * CHOOSE(CONTROL!$C$15, $D$11, 100%, $F$11)</f>
        <v>16.272500000000001</v>
      </c>
      <c r="C568" s="8">
        <f>16.2775 * CHOOSE(CONTROL!$C$15, $D$11, 100%, $F$11)</f>
        <v>16.2775</v>
      </c>
      <c r="D568" s="8">
        <f>16.2629 * CHOOSE( CONTROL!$C$15, $D$11, 100%, $F$11)</f>
        <v>16.262899999999998</v>
      </c>
      <c r="E568" s="12">
        <f>16.2677 * CHOOSE( CONTROL!$C$15, $D$11, 100%, $F$11)</f>
        <v>16.267700000000001</v>
      </c>
      <c r="F568" s="4">
        <f>16.9377 * CHOOSE(CONTROL!$C$15, $D$11, 100%, $F$11)</f>
        <v>16.9377</v>
      </c>
      <c r="G568" s="8">
        <f>16.0919 * CHOOSE( CONTROL!$C$15, $D$11, 100%, $F$11)</f>
        <v>16.091899999999999</v>
      </c>
      <c r="H568" s="4">
        <f>16.986 * CHOOSE(CONTROL!$C$15, $D$11, 100%, $F$11)</f>
        <v>16.986000000000001</v>
      </c>
      <c r="I568" s="8">
        <f>15.9414 * CHOOSE(CONTROL!$C$15, $D$11, 100%, $F$11)</f>
        <v>15.9414</v>
      </c>
      <c r="J568" s="4">
        <f>15.7837 * CHOOSE(CONTROL!$C$15, $D$11, 100%, $F$11)</f>
        <v>15.7837</v>
      </c>
      <c r="K568" s="4"/>
      <c r="L568" s="9">
        <v>29.306000000000001</v>
      </c>
      <c r="M568" s="9">
        <v>12.063700000000001</v>
      </c>
      <c r="N568" s="9">
        <v>4.9444999999999997</v>
      </c>
      <c r="O568" s="9">
        <v>0.37409999999999999</v>
      </c>
      <c r="P568" s="9">
        <v>1.2927</v>
      </c>
      <c r="Q568" s="9">
        <v>19.688099999999999</v>
      </c>
      <c r="R568" s="9"/>
      <c r="S568" s="11"/>
    </row>
    <row r="569" spans="1:19" ht="15.75">
      <c r="A569" s="13">
        <v>58837</v>
      </c>
      <c r="B569" s="8">
        <f>16.7522 * CHOOSE(CONTROL!$C$15, $D$11, 100%, $F$11)</f>
        <v>16.752199999999998</v>
      </c>
      <c r="C569" s="8">
        <f>16.7573 * CHOOSE(CONTROL!$C$15, $D$11, 100%, $F$11)</f>
        <v>16.757300000000001</v>
      </c>
      <c r="D569" s="8">
        <f>16.7284 * CHOOSE( CONTROL!$C$15, $D$11, 100%, $F$11)</f>
        <v>16.728400000000001</v>
      </c>
      <c r="E569" s="12">
        <f>16.7384 * CHOOSE( CONTROL!$C$15, $D$11, 100%, $F$11)</f>
        <v>16.738399999999999</v>
      </c>
      <c r="F569" s="4">
        <f>17.4175 * CHOOSE(CONTROL!$C$15, $D$11, 100%, $F$11)</f>
        <v>17.4175</v>
      </c>
      <c r="G569" s="8">
        <f>16.5557 * CHOOSE( CONTROL!$C$15, $D$11, 100%, $F$11)</f>
        <v>16.555700000000002</v>
      </c>
      <c r="H569" s="4">
        <f>17.4601 * CHOOSE(CONTROL!$C$15, $D$11, 100%, $F$11)</f>
        <v>17.460100000000001</v>
      </c>
      <c r="I569" s="8">
        <f>16.4019 * CHOOSE(CONTROL!$C$15, $D$11, 100%, $F$11)</f>
        <v>16.401900000000001</v>
      </c>
      <c r="J569" s="4">
        <f>16.2492 * CHOOSE(CONTROL!$C$15, $D$11, 100%, $F$11)</f>
        <v>16.249199999999998</v>
      </c>
      <c r="K569" s="4"/>
      <c r="L569" s="9">
        <v>29.306000000000001</v>
      </c>
      <c r="M569" s="9">
        <v>12.063700000000001</v>
      </c>
      <c r="N569" s="9">
        <v>4.9444999999999997</v>
      </c>
      <c r="O569" s="9">
        <v>0.37409999999999999</v>
      </c>
      <c r="P569" s="9">
        <v>1.2927</v>
      </c>
      <c r="Q569" s="9">
        <v>19.688099999999999</v>
      </c>
      <c r="R569" s="9"/>
      <c r="S569" s="11"/>
    </row>
    <row r="570" spans="1:19" ht="15.75">
      <c r="A570" s="13">
        <v>58865</v>
      </c>
      <c r="B570" s="8">
        <f>15.6698 * CHOOSE(CONTROL!$C$15, $D$11, 100%, $F$11)</f>
        <v>15.6698</v>
      </c>
      <c r="C570" s="8">
        <f>15.6748 * CHOOSE(CONTROL!$C$15, $D$11, 100%, $F$11)</f>
        <v>15.674799999999999</v>
      </c>
      <c r="D570" s="8">
        <f>15.646 * CHOOSE( CONTROL!$C$15, $D$11, 100%, $F$11)</f>
        <v>15.646000000000001</v>
      </c>
      <c r="E570" s="12">
        <f>15.656 * CHOOSE( CONTROL!$C$15, $D$11, 100%, $F$11)</f>
        <v>15.656000000000001</v>
      </c>
      <c r="F570" s="4">
        <f>16.335 * CHOOSE(CONTROL!$C$15, $D$11, 100%, $F$11)</f>
        <v>16.335000000000001</v>
      </c>
      <c r="G570" s="8">
        <f>15.486 * CHOOSE( CONTROL!$C$15, $D$11, 100%, $F$11)</f>
        <v>15.486000000000001</v>
      </c>
      <c r="H570" s="4">
        <f>16.3904 * CHOOSE(CONTROL!$C$15, $D$11, 100%, $F$11)</f>
        <v>16.3904</v>
      </c>
      <c r="I570" s="8">
        <f>15.3508 * CHOOSE(CONTROL!$C$15, $D$11, 100%, $F$11)</f>
        <v>15.3508</v>
      </c>
      <c r="J570" s="4">
        <f>15.1988 * CHOOSE(CONTROL!$C$15, $D$11, 100%, $F$11)</f>
        <v>15.1988</v>
      </c>
      <c r="K570" s="4"/>
      <c r="L570" s="9">
        <v>26.469899999999999</v>
      </c>
      <c r="M570" s="9">
        <v>10.8962</v>
      </c>
      <c r="N570" s="9">
        <v>4.4660000000000002</v>
      </c>
      <c r="O570" s="9">
        <v>0.33789999999999998</v>
      </c>
      <c r="P570" s="9">
        <v>1.1676</v>
      </c>
      <c r="Q570" s="9">
        <v>17.782800000000002</v>
      </c>
      <c r="R570" s="9"/>
      <c r="S570" s="11"/>
    </row>
    <row r="571" spans="1:19" ht="15.75">
      <c r="A571" s="13">
        <v>58893</v>
      </c>
      <c r="B571" s="8">
        <f>15.3364 * CHOOSE(CONTROL!$C$15, $D$11, 100%, $F$11)</f>
        <v>15.336399999999999</v>
      </c>
      <c r="C571" s="8">
        <f>15.3415 * CHOOSE(CONTROL!$C$15, $D$11, 100%, $F$11)</f>
        <v>15.3415</v>
      </c>
      <c r="D571" s="8">
        <f>15.3122 * CHOOSE( CONTROL!$C$15, $D$11, 100%, $F$11)</f>
        <v>15.312200000000001</v>
      </c>
      <c r="E571" s="12">
        <f>15.3224 * CHOOSE( CONTROL!$C$15, $D$11, 100%, $F$11)</f>
        <v>15.3224</v>
      </c>
      <c r="F571" s="4">
        <f>16.0017 * CHOOSE(CONTROL!$C$15, $D$11, 100%, $F$11)</f>
        <v>16.0017</v>
      </c>
      <c r="G571" s="8">
        <f>15.1562 * CHOOSE( CONTROL!$C$15, $D$11, 100%, $F$11)</f>
        <v>15.1562</v>
      </c>
      <c r="H571" s="4">
        <f>16.0609 * CHOOSE(CONTROL!$C$15, $D$11, 100%, $F$11)</f>
        <v>16.0609</v>
      </c>
      <c r="I571" s="8">
        <f>15.0259 * CHOOSE(CONTROL!$C$15, $D$11, 100%, $F$11)</f>
        <v>15.0259</v>
      </c>
      <c r="J571" s="4">
        <f>14.8752 * CHOOSE(CONTROL!$C$15, $D$11, 100%, $F$11)</f>
        <v>14.8752</v>
      </c>
      <c r="K571" s="4"/>
      <c r="L571" s="9">
        <v>29.306000000000001</v>
      </c>
      <c r="M571" s="9">
        <v>12.063700000000001</v>
      </c>
      <c r="N571" s="9">
        <v>4.9444999999999997</v>
      </c>
      <c r="O571" s="9">
        <v>0.37409999999999999</v>
      </c>
      <c r="P571" s="9">
        <v>1.2927</v>
      </c>
      <c r="Q571" s="9">
        <v>19.688099999999999</v>
      </c>
      <c r="R571" s="9"/>
      <c r="S571" s="11"/>
    </row>
    <row r="572" spans="1:19" ht="15.75">
      <c r="A572" s="13">
        <v>58926</v>
      </c>
      <c r="B572" s="8">
        <f>15.5701 * CHOOSE(CONTROL!$C$15, $D$11, 100%, $F$11)</f>
        <v>15.5701</v>
      </c>
      <c r="C572" s="8">
        <f>15.5746 * CHOOSE(CONTROL!$C$15, $D$11, 100%, $F$11)</f>
        <v>15.5746</v>
      </c>
      <c r="D572" s="8">
        <f>15.618 * CHOOSE( CONTROL!$C$15, $D$11, 100%, $F$11)</f>
        <v>15.618</v>
      </c>
      <c r="E572" s="12">
        <f>15.6032 * CHOOSE( CONTROL!$C$15, $D$11, 100%, $F$11)</f>
        <v>15.603199999999999</v>
      </c>
      <c r="F572" s="4">
        <f>16.3145 * CHOOSE(CONTROL!$C$15, $D$11, 100%, $F$11)</f>
        <v>16.314499999999999</v>
      </c>
      <c r="G572" s="8">
        <f>15.3942 * CHOOSE( CONTROL!$C$15, $D$11, 100%, $F$11)</f>
        <v>15.3942</v>
      </c>
      <c r="H572" s="4">
        <f>16.3701 * CHOOSE(CONTROL!$C$15, $D$11, 100%, $F$11)</f>
        <v>16.370100000000001</v>
      </c>
      <c r="I572" s="8">
        <f>15.2503 * CHOOSE(CONTROL!$C$15, $D$11, 100%, $F$11)</f>
        <v>15.250299999999999</v>
      </c>
      <c r="J572" s="4">
        <f>15.1013 * CHOOSE(CONTROL!$C$15, $D$11, 100%, $F$11)</f>
        <v>15.1013</v>
      </c>
      <c r="K572" s="4"/>
      <c r="L572" s="9">
        <v>30.092199999999998</v>
      </c>
      <c r="M572" s="9">
        <v>11.6745</v>
      </c>
      <c r="N572" s="9">
        <v>4.7850000000000001</v>
      </c>
      <c r="O572" s="9">
        <v>0.36199999999999999</v>
      </c>
      <c r="P572" s="9">
        <v>1.1791</v>
      </c>
      <c r="Q572" s="9">
        <v>19.053000000000001</v>
      </c>
      <c r="R572" s="9"/>
      <c r="S572" s="11"/>
    </row>
    <row r="573" spans="1:19" ht="15.75">
      <c r="A573" s="13">
        <v>58957</v>
      </c>
      <c r="B573" s="8">
        <f>CHOOSE( CONTROL!$C$32, 15.9897, 15.9861) * CHOOSE(CONTROL!$C$15, $D$11, 100%, $F$11)</f>
        <v>15.989699999999999</v>
      </c>
      <c r="C573" s="8">
        <f>CHOOSE( CONTROL!$C$32, 15.9977, 15.9941) * CHOOSE(CONTROL!$C$15, $D$11, 100%, $F$11)</f>
        <v>15.9977</v>
      </c>
      <c r="D573" s="8">
        <f>CHOOSE( CONTROL!$C$32, 16.0354, 16.0318) * CHOOSE( CONTROL!$C$15, $D$11, 100%, $F$11)</f>
        <v>16.035399999999999</v>
      </c>
      <c r="E573" s="12">
        <f>CHOOSE( CONTROL!$C$32, 16.0205, 16.0169) * CHOOSE( CONTROL!$C$15, $D$11, 100%, $F$11)</f>
        <v>16.020499999999998</v>
      </c>
      <c r="F573" s="4">
        <f>CHOOSE( CONTROL!$C$32, 16.7327, 16.7291) * CHOOSE(CONTROL!$C$15, $D$11, 100%, $F$11)</f>
        <v>16.732700000000001</v>
      </c>
      <c r="G573" s="8">
        <f>CHOOSE( CONTROL!$C$32, 15.8084, 15.8048) * CHOOSE( CONTROL!$C$15, $D$11, 100%, $F$11)</f>
        <v>15.808400000000001</v>
      </c>
      <c r="H573" s="4">
        <f>CHOOSE( CONTROL!$C$32, 16.7834, 16.7798) * CHOOSE(CONTROL!$C$15, $D$11, 100%, $F$11)</f>
        <v>16.7834</v>
      </c>
      <c r="I573" s="8">
        <f>CHOOSE( CONTROL!$C$32, 15.6565, 15.653) * CHOOSE(CONTROL!$C$15, $D$11, 100%, $F$11)</f>
        <v>15.656499999999999</v>
      </c>
      <c r="J573" s="4">
        <f>CHOOSE( CONTROL!$C$32, 15.5072, 15.5037) * CHOOSE(CONTROL!$C$15, $D$11, 100%, $F$11)</f>
        <v>15.507199999999999</v>
      </c>
      <c r="K573" s="4"/>
      <c r="L573" s="9">
        <v>30.7165</v>
      </c>
      <c r="M573" s="9">
        <v>12.063700000000001</v>
      </c>
      <c r="N573" s="9">
        <v>4.9444999999999997</v>
      </c>
      <c r="O573" s="9">
        <v>0.37409999999999999</v>
      </c>
      <c r="P573" s="9">
        <v>1.2183999999999999</v>
      </c>
      <c r="Q573" s="9">
        <v>19.688099999999999</v>
      </c>
      <c r="R573" s="9"/>
      <c r="S573" s="11"/>
    </row>
    <row r="574" spans="1:19" ht="15.75">
      <c r="A574" s="13">
        <v>58987</v>
      </c>
      <c r="B574" s="8">
        <f>CHOOSE( CONTROL!$C$32, 15.7329, 15.7293) * CHOOSE(CONTROL!$C$15, $D$11, 100%, $F$11)</f>
        <v>15.732900000000001</v>
      </c>
      <c r="C574" s="8">
        <f>CHOOSE( CONTROL!$C$32, 15.7409, 15.7372) * CHOOSE(CONTROL!$C$15, $D$11, 100%, $F$11)</f>
        <v>15.7409</v>
      </c>
      <c r="D574" s="8">
        <f>CHOOSE( CONTROL!$C$32, 15.7788, 15.7752) * CHOOSE( CONTROL!$C$15, $D$11, 100%, $F$11)</f>
        <v>15.7788</v>
      </c>
      <c r="E574" s="12">
        <f>CHOOSE( CONTROL!$C$32, 15.7638, 15.7602) * CHOOSE( CONTROL!$C$15, $D$11, 100%, $F$11)</f>
        <v>15.7638</v>
      </c>
      <c r="F574" s="4">
        <f>CHOOSE( CONTROL!$C$32, 16.4759, 16.4723) * CHOOSE(CONTROL!$C$15, $D$11, 100%, $F$11)</f>
        <v>16.475899999999999</v>
      </c>
      <c r="G574" s="8">
        <f>CHOOSE( CONTROL!$C$32, 15.5549, 15.5513) * CHOOSE( CONTROL!$C$15, $D$11, 100%, $F$11)</f>
        <v>15.5549</v>
      </c>
      <c r="H574" s="4">
        <f>CHOOSE( CONTROL!$C$32, 16.5296, 16.526) * CHOOSE(CONTROL!$C$15, $D$11, 100%, $F$11)</f>
        <v>16.529599999999999</v>
      </c>
      <c r="I574" s="8">
        <f>CHOOSE( CONTROL!$C$32, 15.4082, 15.4046) * CHOOSE(CONTROL!$C$15, $D$11, 100%, $F$11)</f>
        <v>15.408200000000001</v>
      </c>
      <c r="J574" s="4">
        <f>CHOOSE( CONTROL!$C$32, 15.258, 15.2544) * CHOOSE(CONTROL!$C$15, $D$11, 100%, $F$11)</f>
        <v>15.257999999999999</v>
      </c>
      <c r="K574" s="4"/>
      <c r="L574" s="9">
        <v>29.7257</v>
      </c>
      <c r="M574" s="9">
        <v>11.6745</v>
      </c>
      <c r="N574" s="9">
        <v>4.7850000000000001</v>
      </c>
      <c r="O574" s="9">
        <v>0.36199999999999999</v>
      </c>
      <c r="P574" s="9">
        <v>1.1791</v>
      </c>
      <c r="Q574" s="9">
        <v>19.053000000000001</v>
      </c>
      <c r="R574" s="9"/>
      <c r="S574" s="11"/>
    </row>
    <row r="575" spans="1:19" ht="15.75">
      <c r="A575" s="13">
        <v>59018</v>
      </c>
      <c r="B575" s="8">
        <f>CHOOSE( CONTROL!$C$32, 16.4092, 16.4056) * CHOOSE(CONTROL!$C$15, $D$11, 100%, $F$11)</f>
        <v>16.409199999999998</v>
      </c>
      <c r="C575" s="8">
        <f>CHOOSE( CONTROL!$C$32, 16.4172, 16.4136) * CHOOSE(CONTROL!$C$15, $D$11, 100%, $F$11)</f>
        <v>16.417200000000001</v>
      </c>
      <c r="D575" s="8">
        <f>CHOOSE( CONTROL!$C$32, 16.4554, 16.4518) * CHOOSE( CONTROL!$C$15, $D$11, 100%, $F$11)</f>
        <v>16.455400000000001</v>
      </c>
      <c r="E575" s="12">
        <f>CHOOSE( CONTROL!$C$32, 16.4403, 16.4367) * CHOOSE( CONTROL!$C$15, $D$11, 100%, $F$11)</f>
        <v>16.440300000000001</v>
      </c>
      <c r="F575" s="4">
        <f>CHOOSE( CONTROL!$C$32, 17.1523, 17.1486) * CHOOSE(CONTROL!$C$15, $D$11, 100%, $F$11)</f>
        <v>17.1523</v>
      </c>
      <c r="G575" s="8">
        <f>CHOOSE( CONTROL!$C$32, 16.2237, 16.2201) * CHOOSE( CONTROL!$C$15, $D$11, 100%, $F$11)</f>
        <v>16.223700000000001</v>
      </c>
      <c r="H575" s="4">
        <f>CHOOSE( CONTROL!$C$32, 17.198, 17.1944) * CHOOSE(CONTROL!$C$15, $D$11, 100%, $F$11)</f>
        <v>17.198</v>
      </c>
      <c r="I575" s="8">
        <f>CHOOSE( CONTROL!$C$32, 16.066, 16.0625) * CHOOSE(CONTROL!$C$15, $D$11, 100%, $F$11)</f>
        <v>16.065999999999999</v>
      </c>
      <c r="J575" s="4">
        <f>CHOOSE( CONTROL!$C$32, 15.9144, 15.9108) * CHOOSE(CONTROL!$C$15, $D$11, 100%, $F$11)</f>
        <v>15.914400000000001</v>
      </c>
      <c r="K575" s="4"/>
      <c r="L575" s="9">
        <v>30.7165</v>
      </c>
      <c r="M575" s="9">
        <v>12.063700000000001</v>
      </c>
      <c r="N575" s="9">
        <v>4.9444999999999997</v>
      </c>
      <c r="O575" s="9">
        <v>0.37409999999999999</v>
      </c>
      <c r="P575" s="9">
        <v>1.2183999999999999</v>
      </c>
      <c r="Q575" s="9">
        <v>19.688099999999999</v>
      </c>
      <c r="R575" s="9"/>
      <c r="S575" s="11"/>
    </row>
    <row r="576" spans="1:19" ht="15.75">
      <c r="A576" s="13">
        <v>59049</v>
      </c>
      <c r="B576" s="8">
        <f>CHOOSE( CONTROL!$C$32, 15.1437, 15.1401) * CHOOSE(CONTROL!$C$15, $D$11, 100%, $F$11)</f>
        <v>15.143700000000001</v>
      </c>
      <c r="C576" s="8">
        <f>CHOOSE( CONTROL!$C$32, 15.1517, 15.148) * CHOOSE(CONTROL!$C$15, $D$11, 100%, $F$11)</f>
        <v>15.1517</v>
      </c>
      <c r="D576" s="8">
        <f>CHOOSE( CONTROL!$C$32, 15.19, 15.1863) * CHOOSE( CONTROL!$C$15, $D$11, 100%, $F$11)</f>
        <v>15.19</v>
      </c>
      <c r="E576" s="12">
        <f>CHOOSE( CONTROL!$C$32, 15.1749, 15.1712) * CHOOSE( CONTROL!$C$15, $D$11, 100%, $F$11)</f>
        <v>15.174899999999999</v>
      </c>
      <c r="F576" s="4">
        <f>CHOOSE( CONTROL!$C$32, 15.8867, 15.8831) * CHOOSE(CONTROL!$C$15, $D$11, 100%, $F$11)</f>
        <v>15.886699999999999</v>
      </c>
      <c r="G576" s="8">
        <f>CHOOSE( CONTROL!$C$32, 14.973, 14.9694) * CHOOSE( CONTROL!$C$15, $D$11, 100%, $F$11)</f>
        <v>14.973000000000001</v>
      </c>
      <c r="H576" s="4">
        <f>CHOOSE( CONTROL!$C$32, 15.9473, 15.9437) * CHOOSE(CONTROL!$C$15, $D$11, 100%, $F$11)</f>
        <v>15.9473</v>
      </c>
      <c r="I576" s="8">
        <f>CHOOSE( CONTROL!$C$32, 14.8375, 14.834) * CHOOSE(CONTROL!$C$15, $D$11, 100%, $F$11)</f>
        <v>14.8375</v>
      </c>
      <c r="J576" s="4">
        <f>CHOOSE( CONTROL!$C$32, 14.6862, 14.6826) * CHOOSE(CONTROL!$C$15, $D$11, 100%, $F$11)</f>
        <v>14.686199999999999</v>
      </c>
      <c r="K576" s="4"/>
      <c r="L576" s="9">
        <v>30.7165</v>
      </c>
      <c r="M576" s="9">
        <v>12.063700000000001</v>
      </c>
      <c r="N576" s="9">
        <v>4.9444999999999997</v>
      </c>
      <c r="O576" s="9">
        <v>0.37409999999999999</v>
      </c>
      <c r="P576" s="9">
        <v>1.2183999999999999</v>
      </c>
      <c r="Q576" s="9">
        <v>19.688099999999999</v>
      </c>
      <c r="R576" s="9"/>
      <c r="S576" s="11"/>
    </row>
    <row r="577" spans="1:19" ht="15.75">
      <c r="A577" s="13">
        <v>59079</v>
      </c>
      <c r="B577" s="8">
        <f>CHOOSE( CONTROL!$C$32, 14.8268, 14.8232) * CHOOSE(CONTROL!$C$15, $D$11, 100%, $F$11)</f>
        <v>14.8268</v>
      </c>
      <c r="C577" s="8">
        <f>CHOOSE( CONTROL!$C$32, 14.8348, 14.8311) * CHOOSE(CONTROL!$C$15, $D$11, 100%, $F$11)</f>
        <v>14.8348</v>
      </c>
      <c r="D577" s="8">
        <f>CHOOSE( CONTROL!$C$32, 14.873, 14.8693) * CHOOSE( CONTROL!$C$15, $D$11, 100%, $F$11)</f>
        <v>14.872999999999999</v>
      </c>
      <c r="E577" s="12">
        <f>CHOOSE( CONTROL!$C$32, 14.8579, 14.8543) * CHOOSE( CONTROL!$C$15, $D$11, 100%, $F$11)</f>
        <v>14.857900000000001</v>
      </c>
      <c r="F577" s="4">
        <f>CHOOSE( CONTROL!$C$32, 15.5698, 15.5662) * CHOOSE(CONTROL!$C$15, $D$11, 100%, $F$11)</f>
        <v>15.569800000000001</v>
      </c>
      <c r="G577" s="8">
        <f>CHOOSE( CONTROL!$C$32, 14.6597, 14.6561) * CHOOSE( CONTROL!$C$15, $D$11, 100%, $F$11)</f>
        <v>14.659700000000001</v>
      </c>
      <c r="H577" s="4">
        <f>CHOOSE( CONTROL!$C$32, 15.6341, 15.6305) * CHOOSE(CONTROL!$C$15, $D$11, 100%, $F$11)</f>
        <v>15.6341</v>
      </c>
      <c r="I577" s="8">
        <f>CHOOSE( CONTROL!$C$32, 14.5294, 14.5259) * CHOOSE(CONTROL!$C$15, $D$11, 100%, $F$11)</f>
        <v>14.529400000000001</v>
      </c>
      <c r="J577" s="4">
        <f>CHOOSE( CONTROL!$C$32, 14.3786, 14.3751) * CHOOSE(CONTROL!$C$15, $D$11, 100%, $F$11)</f>
        <v>14.3786</v>
      </c>
      <c r="K577" s="4"/>
      <c r="L577" s="9">
        <v>29.7257</v>
      </c>
      <c r="M577" s="9">
        <v>11.6745</v>
      </c>
      <c r="N577" s="9">
        <v>4.7850000000000001</v>
      </c>
      <c r="O577" s="9">
        <v>0.36199999999999999</v>
      </c>
      <c r="P577" s="9">
        <v>1.1791</v>
      </c>
      <c r="Q577" s="9">
        <v>19.053000000000001</v>
      </c>
      <c r="R577" s="9"/>
      <c r="S577" s="11"/>
    </row>
    <row r="578" spans="1:19" ht="15.75">
      <c r="A578" s="13">
        <v>59110</v>
      </c>
      <c r="B578" s="8">
        <f>15.4794 * CHOOSE(CONTROL!$C$15, $D$11, 100%, $F$11)</f>
        <v>15.4794</v>
      </c>
      <c r="C578" s="8">
        <f>15.4848 * CHOOSE(CONTROL!$C$15, $D$11, 100%, $F$11)</f>
        <v>15.4848</v>
      </c>
      <c r="D578" s="8">
        <f>15.5283 * CHOOSE( CONTROL!$C$15, $D$11, 100%, $F$11)</f>
        <v>15.5283</v>
      </c>
      <c r="E578" s="12">
        <f>15.5134 * CHOOSE( CONTROL!$C$15, $D$11, 100%, $F$11)</f>
        <v>15.513400000000001</v>
      </c>
      <c r="F578" s="4">
        <f>16.2242 * CHOOSE(CONTROL!$C$15, $D$11, 100%, $F$11)</f>
        <v>16.2242</v>
      </c>
      <c r="G578" s="8">
        <f>15.3059 * CHOOSE( CONTROL!$C$15, $D$11, 100%, $F$11)</f>
        <v>15.305899999999999</v>
      </c>
      <c r="H578" s="4">
        <f>16.2808 * CHOOSE(CONTROL!$C$15, $D$11, 100%, $F$11)</f>
        <v>16.280799999999999</v>
      </c>
      <c r="I578" s="8">
        <f>15.1655 * CHOOSE(CONTROL!$C$15, $D$11, 100%, $F$11)</f>
        <v>15.1655</v>
      </c>
      <c r="J578" s="4">
        <f>15.0137 * CHOOSE(CONTROL!$C$15, $D$11, 100%, $F$11)</f>
        <v>15.0137</v>
      </c>
      <c r="K578" s="4"/>
      <c r="L578" s="9">
        <v>31.095300000000002</v>
      </c>
      <c r="M578" s="9">
        <v>12.063700000000001</v>
      </c>
      <c r="N578" s="9">
        <v>4.9444999999999997</v>
      </c>
      <c r="O578" s="9">
        <v>0.37409999999999999</v>
      </c>
      <c r="P578" s="9">
        <v>1.2183999999999999</v>
      </c>
      <c r="Q578" s="9">
        <v>19.688099999999999</v>
      </c>
      <c r="R578" s="9"/>
      <c r="S578" s="11"/>
    </row>
    <row r="579" spans="1:19" ht="15.75">
      <c r="A579" s="13">
        <v>59140</v>
      </c>
      <c r="B579" s="8">
        <f>16.6936 * CHOOSE(CONTROL!$C$15, $D$11, 100%, $F$11)</f>
        <v>16.6936</v>
      </c>
      <c r="C579" s="8">
        <f>16.6987 * CHOOSE(CONTROL!$C$15, $D$11, 100%, $F$11)</f>
        <v>16.698699999999999</v>
      </c>
      <c r="D579" s="8">
        <f>16.6823 * CHOOSE( CONTROL!$C$15, $D$11, 100%, $F$11)</f>
        <v>16.682300000000001</v>
      </c>
      <c r="E579" s="12">
        <f>16.6878 * CHOOSE( CONTROL!$C$15, $D$11, 100%, $F$11)</f>
        <v>16.687799999999999</v>
      </c>
      <c r="F579" s="4">
        <f>17.3589 * CHOOSE(CONTROL!$C$15, $D$11, 100%, $F$11)</f>
        <v>17.358899999999998</v>
      </c>
      <c r="G579" s="8">
        <f>16.5068 * CHOOSE( CONTROL!$C$15, $D$11, 100%, $F$11)</f>
        <v>16.506799999999998</v>
      </c>
      <c r="H579" s="4">
        <f>17.4022 * CHOOSE(CONTROL!$C$15, $D$11, 100%, $F$11)</f>
        <v>17.402200000000001</v>
      </c>
      <c r="I579" s="8">
        <f>16.345 * CHOOSE(CONTROL!$C$15, $D$11, 100%, $F$11)</f>
        <v>16.344999999999999</v>
      </c>
      <c r="J579" s="4">
        <f>16.1924 * CHOOSE(CONTROL!$C$15, $D$11, 100%, $F$11)</f>
        <v>16.192399999999999</v>
      </c>
      <c r="K579" s="4"/>
      <c r="L579" s="9">
        <v>28.360600000000002</v>
      </c>
      <c r="M579" s="9">
        <v>11.6745</v>
      </c>
      <c r="N579" s="9">
        <v>4.7850000000000001</v>
      </c>
      <c r="O579" s="9">
        <v>0.36199999999999999</v>
      </c>
      <c r="P579" s="9">
        <v>1.2509999999999999</v>
      </c>
      <c r="Q579" s="9">
        <v>19.053000000000001</v>
      </c>
      <c r="R579" s="9"/>
      <c r="S579" s="11"/>
    </row>
    <row r="580" spans="1:19" ht="15.75">
      <c r="A580" s="13">
        <v>59171</v>
      </c>
      <c r="B580" s="8">
        <f>16.6632 * CHOOSE(CONTROL!$C$15, $D$11, 100%, $F$11)</f>
        <v>16.6632</v>
      </c>
      <c r="C580" s="8">
        <f>16.6683 * CHOOSE(CONTROL!$C$15, $D$11, 100%, $F$11)</f>
        <v>16.668299999999999</v>
      </c>
      <c r="D580" s="8">
        <f>16.6537 * CHOOSE( CONTROL!$C$15, $D$11, 100%, $F$11)</f>
        <v>16.653700000000001</v>
      </c>
      <c r="E580" s="12">
        <f>16.6585 * CHOOSE( CONTROL!$C$15, $D$11, 100%, $F$11)</f>
        <v>16.6585</v>
      </c>
      <c r="F580" s="4">
        <f>17.3285 * CHOOSE(CONTROL!$C$15, $D$11, 100%, $F$11)</f>
        <v>17.328499999999998</v>
      </c>
      <c r="G580" s="8">
        <f>16.4781 * CHOOSE( CONTROL!$C$15, $D$11, 100%, $F$11)</f>
        <v>16.478100000000001</v>
      </c>
      <c r="H580" s="4">
        <f>17.3722 * CHOOSE(CONTROL!$C$15, $D$11, 100%, $F$11)</f>
        <v>17.372199999999999</v>
      </c>
      <c r="I580" s="8">
        <f>16.3209 * CHOOSE(CONTROL!$C$15, $D$11, 100%, $F$11)</f>
        <v>16.320900000000002</v>
      </c>
      <c r="J580" s="4">
        <f>16.1629 * CHOOSE(CONTROL!$C$15, $D$11, 100%, $F$11)</f>
        <v>16.1629</v>
      </c>
      <c r="K580" s="4"/>
      <c r="L580" s="9">
        <v>29.306000000000001</v>
      </c>
      <c r="M580" s="9">
        <v>12.063700000000001</v>
      </c>
      <c r="N580" s="9">
        <v>4.9444999999999997</v>
      </c>
      <c r="O580" s="9">
        <v>0.37409999999999999</v>
      </c>
      <c r="P580" s="9">
        <v>1.2927</v>
      </c>
      <c r="Q580" s="9">
        <v>19.688099999999999</v>
      </c>
      <c r="R580" s="9"/>
      <c r="S580" s="11"/>
    </row>
    <row r="581" spans="1:19" ht="15.75">
      <c r="A581" s="13">
        <v>59202</v>
      </c>
      <c r="B581" s="8">
        <f>17.1545 * CHOOSE(CONTROL!$C$15, $D$11, 100%, $F$11)</f>
        <v>17.154499999999999</v>
      </c>
      <c r="C581" s="8">
        <f>17.1596 * CHOOSE(CONTROL!$C$15, $D$11, 100%, $F$11)</f>
        <v>17.159600000000001</v>
      </c>
      <c r="D581" s="8">
        <f>17.1307 * CHOOSE( CONTROL!$C$15, $D$11, 100%, $F$11)</f>
        <v>17.130700000000001</v>
      </c>
      <c r="E581" s="12">
        <f>17.1407 * CHOOSE( CONTROL!$C$15, $D$11, 100%, $F$11)</f>
        <v>17.140699999999999</v>
      </c>
      <c r="F581" s="4">
        <f>17.8198 * CHOOSE(CONTROL!$C$15, $D$11, 100%, $F$11)</f>
        <v>17.819800000000001</v>
      </c>
      <c r="G581" s="8">
        <f>16.9533 * CHOOSE( CONTROL!$C$15, $D$11, 100%, $F$11)</f>
        <v>16.953299999999999</v>
      </c>
      <c r="H581" s="4">
        <f>17.8577 * CHOOSE(CONTROL!$C$15, $D$11, 100%, $F$11)</f>
        <v>17.857700000000001</v>
      </c>
      <c r="I581" s="8">
        <f>16.7925 * CHOOSE(CONTROL!$C$15, $D$11, 100%, $F$11)</f>
        <v>16.7925</v>
      </c>
      <c r="J581" s="4">
        <f>16.6397 * CHOOSE(CONTROL!$C$15, $D$11, 100%, $F$11)</f>
        <v>16.639700000000001</v>
      </c>
      <c r="K581" s="4"/>
      <c r="L581" s="9">
        <v>29.306000000000001</v>
      </c>
      <c r="M581" s="9">
        <v>12.063700000000001</v>
      </c>
      <c r="N581" s="9">
        <v>4.9444999999999997</v>
      </c>
      <c r="O581" s="9">
        <v>0.37409999999999999</v>
      </c>
      <c r="P581" s="9">
        <v>1.2927</v>
      </c>
      <c r="Q581" s="9">
        <v>19.688099999999999</v>
      </c>
      <c r="R581" s="9"/>
      <c r="S581" s="11"/>
    </row>
    <row r="582" spans="1:19" ht="15.75">
      <c r="A582" s="13">
        <v>59230</v>
      </c>
      <c r="B582" s="8">
        <f>16.0461 * CHOOSE(CONTROL!$C$15, $D$11, 100%, $F$11)</f>
        <v>16.046099999999999</v>
      </c>
      <c r="C582" s="8">
        <f>16.0511 * CHOOSE(CONTROL!$C$15, $D$11, 100%, $F$11)</f>
        <v>16.051100000000002</v>
      </c>
      <c r="D582" s="8">
        <f>16.0222 * CHOOSE( CONTROL!$C$15, $D$11, 100%, $F$11)</f>
        <v>16.022200000000002</v>
      </c>
      <c r="E582" s="12">
        <f>16.0322 * CHOOSE( CONTROL!$C$15, $D$11, 100%, $F$11)</f>
        <v>16.0322</v>
      </c>
      <c r="F582" s="4">
        <f>16.7113 * CHOOSE(CONTROL!$C$15, $D$11, 100%, $F$11)</f>
        <v>16.711300000000001</v>
      </c>
      <c r="G582" s="8">
        <f>15.8578 * CHOOSE( CONTROL!$C$15, $D$11, 100%, $F$11)</f>
        <v>15.857799999999999</v>
      </c>
      <c r="H582" s="4">
        <f>16.7623 * CHOOSE(CONTROL!$C$15, $D$11, 100%, $F$11)</f>
        <v>16.7623</v>
      </c>
      <c r="I582" s="8">
        <f>15.7162 * CHOOSE(CONTROL!$C$15, $D$11, 100%, $F$11)</f>
        <v>15.716200000000001</v>
      </c>
      <c r="J582" s="4">
        <f>15.5639 * CHOOSE(CONTROL!$C$15, $D$11, 100%, $F$11)</f>
        <v>15.5639</v>
      </c>
      <c r="K582" s="4"/>
      <c r="L582" s="9">
        <v>26.469899999999999</v>
      </c>
      <c r="M582" s="9">
        <v>10.8962</v>
      </c>
      <c r="N582" s="9">
        <v>4.4660000000000002</v>
      </c>
      <c r="O582" s="9">
        <v>0.33789999999999998</v>
      </c>
      <c r="P582" s="9">
        <v>1.1676</v>
      </c>
      <c r="Q582" s="9">
        <v>17.782800000000002</v>
      </c>
      <c r="R582" s="9"/>
      <c r="S582" s="11"/>
    </row>
    <row r="583" spans="1:19" ht="15.75">
      <c r="A583" s="13">
        <v>59261</v>
      </c>
      <c r="B583" s="8">
        <f>15.7047 * CHOOSE(CONTROL!$C$15, $D$11, 100%, $F$11)</f>
        <v>15.704700000000001</v>
      </c>
      <c r="C583" s="8">
        <f>15.7097 * CHOOSE(CONTROL!$C$15, $D$11, 100%, $F$11)</f>
        <v>15.7097</v>
      </c>
      <c r="D583" s="8">
        <f>15.6805 * CHOOSE( CONTROL!$C$15, $D$11, 100%, $F$11)</f>
        <v>15.6805</v>
      </c>
      <c r="E583" s="12">
        <f>15.6906 * CHOOSE( CONTROL!$C$15, $D$11, 100%, $F$11)</f>
        <v>15.6906</v>
      </c>
      <c r="F583" s="4">
        <f>16.3699 * CHOOSE(CONTROL!$C$15, $D$11, 100%, $F$11)</f>
        <v>16.369900000000001</v>
      </c>
      <c r="G583" s="8">
        <f>15.5202 * CHOOSE( CONTROL!$C$15, $D$11, 100%, $F$11)</f>
        <v>15.520200000000001</v>
      </c>
      <c r="H583" s="4">
        <f>16.4249 * CHOOSE(CONTROL!$C$15, $D$11, 100%, $F$11)</f>
        <v>16.424900000000001</v>
      </c>
      <c r="I583" s="8">
        <f>15.3835 * CHOOSE(CONTROL!$C$15, $D$11, 100%, $F$11)</f>
        <v>15.3835</v>
      </c>
      <c r="J583" s="4">
        <f>15.2326 * CHOOSE(CONTROL!$C$15, $D$11, 100%, $F$11)</f>
        <v>15.2326</v>
      </c>
      <c r="K583" s="4"/>
      <c r="L583" s="9">
        <v>29.306000000000001</v>
      </c>
      <c r="M583" s="9">
        <v>12.063700000000001</v>
      </c>
      <c r="N583" s="9">
        <v>4.9444999999999997</v>
      </c>
      <c r="O583" s="9">
        <v>0.37409999999999999</v>
      </c>
      <c r="P583" s="9">
        <v>1.2927</v>
      </c>
      <c r="Q583" s="9">
        <v>19.688099999999999</v>
      </c>
      <c r="R583" s="9"/>
      <c r="S583" s="11"/>
    </row>
    <row r="584" spans="1:19" ht="15.75">
      <c r="A584" s="13">
        <v>59291</v>
      </c>
      <c r="B584" s="8">
        <f>15.944 * CHOOSE(CONTROL!$C$15, $D$11, 100%, $F$11)</f>
        <v>15.944000000000001</v>
      </c>
      <c r="C584" s="8">
        <f>15.9485 * CHOOSE(CONTROL!$C$15, $D$11, 100%, $F$11)</f>
        <v>15.948499999999999</v>
      </c>
      <c r="D584" s="8">
        <f>15.9919 * CHOOSE( CONTROL!$C$15, $D$11, 100%, $F$11)</f>
        <v>15.991899999999999</v>
      </c>
      <c r="E584" s="12">
        <f>15.9771 * CHOOSE( CONTROL!$C$15, $D$11, 100%, $F$11)</f>
        <v>15.9771</v>
      </c>
      <c r="F584" s="4">
        <f>16.6884 * CHOOSE(CONTROL!$C$15, $D$11, 100%, $F$11)</f>
        <v>16.688400000000001</v>
      </c>
      <c r="G584" s="8">
        <f>15.7637 * CHOOSE( CONTROL!$C$15, $D$11, 100%, $F$11)</f>
        <v>15.7637</v>
      </c>
      <c r="H584" s="4">
        <f>16.7396 * CHOOSE(CONTROL!$C$15, $D$11, 100%, $F$11)</f>
        <v>16.739599999999999</v>
      </c>
      <c r="I584" s="8">
        <f>15.6133 * CHOOSE(CONTROL!$C$15, $D$11, 100%, $F$11)</f>
        <v>15.613300000000001</v>
      </c>
      <c r="J584" s="4">
        <f>15.4641 * CHOOSE(CONTROL!$C$15, $D$11, 100%, $F$11)</f>
        <v>15.4641</v>
      </c>
      <c r="K584" s="4"/>
      <c r="L584" s="9">
        <v>30.092199999999998</v>
      </c>
      <c r="M584" s="9">
        <v>11.6745</v>
      </c>
      <c r="N584" s="9">
        <v>4.7850000000000001</v>
      </c>
      <c r="O584" s="9">
        <v>0.36199999999999999</v>
      </c>
      <c r="P584" s="9">
        <v>1.1791</v>
      </c>
      <c r="Q584" s="9">
        <v>19.053000000000001</v>
      </c>
      <c r="R584" s="9"/>
      <c r="S584" s="11"/>
    </row>
    <row r="585" spans="1:19" ht="15.75">
      <c r="A585" s="13">
        <v>59322</v>
      </c>
      <c r="B585" s="8">
        <f>CHOOSE( CONTROL!$C$32, 16.3736, 16.3699) * CHOOSE(CONTROL!$C$15, $D$11, 100%, $F$11)</f>
        <v>16.3736</v>
      </c>
      <c r="C585" s="8">
        <f>CHOOSE( CONTROL!$C$32, 16.3815, 16.3779) * CHOOSE(CONTROL!$C$15, $D$11, 100%, $F$11)</f>
        <v>16.381499999999999</v>
      </c>
      <c r="D585" s="8">
        <f>CHOOSE( CONTROL!$C$32, 16.4193, 16.4156) * CHOOSE( CONTROL!$C$15, $D$11, 100%, $F$11)</f>
        <v>16.4193</v>
      </c>
      <c r="E585" s="12">
        <f>CHOOSE( CONTROL!$C$32, 16.4044, 16.4007) * CHOOSE( CONTROL!$C$15, $D$11, 100%, $F$11)</f>
        <v>16.404399999999999</v>
      </c>
      <c r="F585" s="4">
        <f>CHOOSE( CONTROL!$C$32, 17.1166, 17.1129) * CHOOSE(CONTROL!$C$15, $D$11, 100%, $F$11)</f>
        <v>17.116599999999998</v>
      </c>
      <c r="G585" s="8">
        <f>CHOOSE( CONTROL!$C$32, 16.1877, 16.1841) * CHOOSE( CONTROL!$C$15, $D$11, 100%, $F$11)</f>
        <v>16.1877</v>
      </c>
      <c r="H585" s="4">
        <f>CHOOSE( CONTROL!$C$32, 17.1628, 17.1592) * CHOOSE(CONTROL!$C$15, $D$11, 100%, $F$11)</f>
        <v>17.162800000000001</v>
      </c>
      <c r="I585" s="8">
        <f>CHOOSE( CONTROL!$C$32, 16.0292, 16.0257) * CHOOSE(CONTROL!$C$15, $D$11, 100%, $F$11)</f>
        <v>16.029199999999999</v>
      </c>
      <c r="J585" s="4">
        <f>CHOOSE( CONTROL!$C$32, 15.8797, 15.8762) * CHOOSE(CONTROL!$C$15, $D$11, 100%, $F$11)</f>
        <v>15.8797</v>
      </c>
      <c r="K585" s="4"/>
      <c r="L585" s="9">
        <v>30.7165</v>
      </c>
      <c r="M585" s="9">
        <v>12.063700000000001</v>
      </c>
      <c r="N585" s="9">
        <v>4.9444999999999997</v>
      </c>
      <c r="O585" s="9">
        <v>0.37409999999999999</v>
      </c>
      <c r="P585" s="9">
        <v>1.2183999999999999</v>
      </c>
      <c r="Q585" s="9">
        <v>19.688099999999999</v>
      </c>
      <c r="R585" s="9"/>
      <c r="S585" s="11"/>
    </row>
    <row r="586" spans="1:19" ht="15.75">
      <c r="A586" s="13">
        <v>59352</v>
      </c>
      <c r="B586" s="8">
        <f>CHOOSE( CONTROL!$C$32, 16.1106, 16.1069) * CHOOSE(CONTROL!$C$15, $D$11, 100%, $F$11)</f>
        <v>16.110600000000002</v>
      </c>
      <c r="C586" s="8">
        <f>CHOOSE( CONTROL!$C$32, 16.1185, 16.1149) * CHOOSE(CONTROL!$C$15, $D$11, 100%, $F$11)</f>
        <v>16.118500000000001</v>
      </c>
      <c r="D586" s="8">
        <f>CHOOSE( CONTROL!$C$32, 16.1565, 16.1529) * CHOOSE( CONTROL!$C$15, $D$11, 100%, $F$11)</f>
        <v>16.156500000000001</v>
      </c>
      <c r="E586" s="12">
        <f>CHOOSE( CONTROL!$C$32, 16.1415, 16.1379) * CHOOSE( CONTROL!$C$15, $D$11, 100%, $F$11)</f>
        <v>16.141500000000001</v>
      </c>
      <c r="F586" s="4">
        <f>CHOOSE( CONTROL!$C$32, 16.8536, 16.8499) * CHOOSE(CONTROL!$C$15, $D$11, 100%, $F$11)</f>
        <v>16.8536</v>
      </c>
      <c r="G586" s="8">
        <f>CHOOSE( CONTROL!$C$32, 15.9281, 15.9245) * CHOOSE( CONTROL!$C$15, $D$11, 100%, $F$11)</f>
        <v>15.928100000000001</v>
      </c>
      <c r="H586" s="4">
        <f>CHOOSE( CONTROL!$C$32, 16.9028, 16.8992) * CHOOSE(CONTROL!$C$15, $D$11, 100%, $F$11)</f>
        <v>16.902799999999999</v>
      </c>
      <c r="I586" s="8">
        <f>CHOOSE( CONTROL!$C$32, 15.7749, 15.7714) * CHOOSE(CONTROL!$C$15, $D$11, 100%, $F$11)</f>
        <v>15.774900000000001</v>
      </c>
      <c r="J586" s="4">
        <f>CHOOSE( CONTROL!$C$32, 15.6245, 15.6209) * CHOOSE(CONTROL!$C$15, $D$11, 100%, $F$11)</f>
        <v>15.624499999999999</v>
      </c>
      <c r="K586" s="4"/>
      <c r="L586" s="9">
        <v>29.7257</v>
      </c>
      <c r="M586" s="9">
        <v>11.6745</v>
      </c>
      <c r="N586" s="9">
        <v>4.7850000000000001</v>
      </c>
      <c r="O586" s="9">
        <v>0.36199999999999999</v>
      </c>
      <c r="P586" s="9">
        <v>1.1791</v>
      </c>
      <c r="Q586" s="9">
        <v>19.053000000000001</v>
      </c>
      <c r="R586" s="9"/>
      <c r="S586" s="11"/>
    </row>
    <row r="587" spans="1:19" ht="15.75">
      <c r="A587" s="13">
        <v>59383</v>
      </c>
      <c r="B587" s="8">
        <f>CHOOSE( CONTROL!$C$32, 16.8032, 16.7995) * CHOOSE(CONTROL!$C$15, $D$11, 100%, $F$11)</f>
        <v>16.8032</v>
      </c>
      <c r="C587" s="8">
        <f>CHOOSE( CONTROL!$C$32, 16.8111, 16.8075) * CHOOSE(CONTROL!$C$15, $D$11, 100%, $F$11)</f>
        <v>16.8111</v>
      </c>
      <c r="D587" s="8">
        <f>CHOOSE( CONTROL!$C$32, 16.8493, 16.8457) * CHOOSE( CONTROL!$C$15, $D$11, 100%, $F$11)</f>
        <v>16.849299999999999</v>
      </c>
      <c r="E587" s="12">
        <f>CHOOSE( CONTROL!$C$32, 16.8343, 16.8306) * CHOOSE( CONTROL!$C$15, $D$11, 100%, $F$11)</f>
        <v>16.834299999999999</v>
      </c>
      <c r="F587" s="4">
        <f>CHOOSE( CONTROL!$C$32, 17.5462, 17.5425) * CHOOSE(CONTROL!$C$15, $D$11, 100%, $F$11)</f>
        <v>17.546199999999999</v>
      </c>
      <c r="G587" s="8">
        <f>CHOOSE( CONTROL!$C$32, 16.613, 16.6094) * CHOOSE( CONTROL!$C$15, $D$11, 100%, $F$11)</f>
        <v>16.613</v>
      </c>
      <c r="H587" s="4">
        <f>CHOOSE( CONTROL!$C$32, 17.5873, 17.5837) * CHOOSE(CONTROL!$C$15, $D$11, 100%, $F$11)</f>
        <v>17.587299999999999</v>
      </c>
      <c r="I587" s="8">
        <f>CHOOSE( CONTROL!$C$32, 16.4485, 16.445) * CHOOSE(CONTROL!$C$15, $D$11, 100%, $F$11)</f>
        <v>16.448499999999999</v>
      </c>
      <c r="J587" s="4">
        <f>CHOOSE( CONTROL!$C$32, 16.2967, 16.2931) * CHOOSE(CONTROL!$C$15, $D$11, 100%, $F$11)</f>
        <v>16.296700000000001</v>
      </c>
      <c r="K587" s="4"/>
      <c r="L587" s="9">
        <v>30.7165</v>
      </c>
      <c r="M587" s="9">
        <v>12.063700000000001</v>
      </c>
      <c r="N587" s="9">
        <v>4.9444999999999997</v>
      </c>
      <c r="O587" s="9">
        <v>0.37409999999999999</v>
      </c>
      <c r="P587" s="9">
        <v>1.2183999999999999</v>
      </c>
      <c r="Q587" s="9">
        <v>19.688099999999999</v>
      </c>
      <c r="R587" s="9"/>
      <c r="S587" s="11"/>
    </row>
    <row r="588" spans="1:19" ht="15.75">
      <c r="A588" s="13">
        <v>59414</v>
      </c>
      <c r="B588" s="8">
        <f>CHOOSE( CONTROL!$C$32, 15.5072, 15.5036) * CHOOSE(CONTROL!$C$15, $D$11, 100%, $F$11)</f>
        <v>15.507199999999999</v>
      </c>
      <c r="C588" s="8">
        <f>CHOOSE( CONTROL!$C$32, 15.5152, 15.5116) * CHOOSE(CONTROL!$C$15, $D$11, 100%, $F$11)</f>
        <v>15.5152</v>
      </c>
      <c r="D588" s="8">
        <f>CHOOSE( CONTROL!$C$32, 15.5535, 15.5498) * CHOOSE( CONTROL!$C$15, $D$11, 100%, $F$11)</f>
        <v>15.5535</v>
      </c>
      <c r="E588" s="12">
        <f>CHOOSE( CONTROL!$C$32, 15.5384, 15.5347) * CHOOSE( CONTROL!$C$15, $D$11, 100%, $F$11)</f>
        <v>15.538399999999999</v>
      </c>
      <c r="F588" s="4">
        <f>CHOOSE( CONTROL!$C$32, 16.2502, 16.2466) * CHOOSE(CONTROL!$C$15, $D$11, 100%, $F$11)</f>
        <v>16.2502</v>
      </c>
      <c r="G588" s="8">
        <f>CHOOSE( CONTROL!$C$32, 15.3323, 15.3287) * CHOOSE( CONTROL!$C$15, $D$11, 100%, $F$11)</f>
        <v>15.3323</v>
      </c>
      <c r="H588" s="4">
        <f>CHOOSE( CONTROL!$C$32, 16.3066, 16.303) * CHOOSE(CONTROL!$C$15, $D$11, 100%, $F$11)</f>
        <v>16.3066</v>
      </c>
      <c r="I588" s="8">
        <f>CHOOSE( CONTROL!$C$32, 15.1905, 15.1869) * CHOOSE(CONTROL!$C$15, $D$11, 100%, $F$11)</f>
        <v>15.1905</v>
      </c>
      <c r="J588" s="4">
        <f>CHOOSE( CONTROL!$C$32, 15.0389, 15.0354) * CHOOSE(CONTROL!$C$15, $D$11, 100%, $F$11)</f>
        <v>15.0389</v>
      </c>
      <c r="K588" s="4"/>
      <c r="L588" s="9">
        <v>30.7165</v>
      </c>
      <c r="M588" s="9">
        <v>12.063700000000001</v>
      </c>
      <c r="N588" s="9">
        <v>4.9444999999999997</v>
      </c>
      <c r="O588" s="9">
        <v>0.37409999999999999</v>
      </c>
      <c r="P588" s="9">
        <v>1.2183999999999999</v>
      </c>
      <c r="Q588" s="9">
        <v>19.688099999999999</v>
      </c>
      <c r="R588" s="9"/>
      <c r="S588" s="11"/>
    </row>
    <row r="589" spans="1:19" ht="15.75">
      <c r="A589" s="13">
        <v>59444</v>
      </c>
      <c r="B589" s="8">
        <f>CHOOSE( CONTROL!$C$32, 15.1827, 15.1791) * CHOOSE(CONTROL!$C$15, $D$11, 100%, $F$11)</f>
        <v>15.182700000000001</v>
      </c>
      <c r="C589" s="8">
        <f>CHOOSE( CONTROL!$C$32, 15.1907, 15.187) * CHOOSE(CONTROL!$C$15, $D$11, 100%, $F$11)</f>
        <v>15.1907</v>
      </c>
      <c r="D589" s="8">
        <f>CHOOSE( CONTROL!$C$32, 15.2289, 15.2252) * CHOOSE( CONTROL!$C$15, $D$11, 100%, $F$11)</f>
        <v>15.228899999999999</v>
      </c>
      <c r="E589" s="12">
        <f>CHOOSE( CONTROL!$C$32, 15.2138, 15.2102) * CHOOSE( CONTROL!$C$15, $D$11, 100%, $F$11)</f>
        <v>15.213800000000001</v>
      </c>
      <c r="F589" s="4">
        <f>CHOOSE( CONTROL!$C$32, 15.9257, 15.9221) * CHOOSE(CONTROL!$C$15, $D$11, 100%, $F$11)</f>
        <v>15.925700000000001</v>
      </c>
      <c r="G589" s="8">
        <f>CHOOSE( CONTROL!$C$32, 15.0115, 15.0079) * CHOOSE( CONTROL!$C$15, $D$11, 100%, $F$11)</f>
        <v>15.0115</v>
      </c>
      <c r="H589" s="4">
        <f>CHOOSE( CONTROL!$C$32, 15.9859, 15.9823) * CHOOSE(CONTROL!$C$15, $D$11, 100%, $F$11)</f>
        <v>15.985900000000001</v>
      </c>
      <c r="I589" s="8">
        <f>CHOOSE( CONTROL!$C$32, 14.875, 14.8715) * CHOOSE(CONTROL!$C$15, $D$11, 100%, $F$11)</f>
        <v>14.875</v>
      </c>
      <c r="J589" s="4">
        <f>CHOOSE( CONTROL!$C$32, 14.724, 14.7205) * CHOOSE(CONTROL!$C$15, $D$11, 100%, $F$11)</f>
        <v>14.724</v>
      </c>
      <c r="K589" s="4"/>
      <c r="L589" s="9">
        <v>29.7257</v>
      </c>
      <c r="M589" s="9">
        <v>11.6745</v>
      </c>
      <c r="N589" s="9">
        <v>4.7850000000000001</v>
      </c>
      <c r="O589" s="9">
        <v>0.36199999999999999</v>
      </c>
      <c r="P589" s="9">
        <v>1.1791</v>
      </c>
      <c r="Q589" s="9">
        <v>19.053000000000001</v>
      </c>
      <c r="R589" s="9"/>
      <c r="S589" s="11"/>
    </row>
    <row r="590" spans="1:19" ht="15.75">
      <c r="A590" s="13">
        <v>59475</v>
      </c>
      <c r="B590" s="8">
        <f>15.8512 * CHOOSE(CONTROL!$C$15, $D$11, 100%, $F$11)</f>
        <v>15.8512</v>
      </c>
      <c r="C590" s="8">
        <f>15.8565 * CHOOSE(CONTROL!$C$15, $D$11, 100%, $F$11)</f>
        <v>15.8565</v>
      </c>
      <c r="D590" s="8">
        <f>15.9 * CHOOSE( CONTROL!$C$15, $D$11, 100%, $F$11)</f>
        <v>15.9</v>
      </c>
      <c r="E590" s="12">
        <f>15.8851 * CHOOSE( CONTROL!$C$15, $D$11, 100%, $F$11)</f>
        <v>15.8851</v>
      </c>
      <c r="F590" s="4">
        <f>16.5959 * CHOOSE(CONTROL!$C$15, $D$11, 100%, $F$11)</f>
        <v>16.5959</v>
      </c>
      <c r="G590" s="8">
        <f>15.6733 * CHOOSE( CONTROL!$C$15, $D$11, 100%, $F$11)</f>
        <v>15.673299999999999</v>
      </c>
      <c r="H590" s="4">
        <f>16.6482 * CHOOSE(CONTROL!$C$15, $D$11, 100%, $F$11)</f>
        <v>16.648199999999999</v>
      </c>
      <c r="I590" s="8">
        <f>15.5265 * CHOOSE(CONTROL!$C$15, $D$11, 100%, $F$11)</f>
        <v>15.5265</v>
      </c>
      <c r="J590" s="4">
        <f>15.3744 * CHOOSE(CONTROL!$C$15, $D$11, 100%, $F$11)</f>
        <v>15.3744</v>
      </c>
      <c r="K590" s="4"/>
      <c r="L590" s="9">
        <v>31.095300000000002</v>
      </c>
      <c r="M590" s="9">
        <v>12.063700000000001</v>
      </c>
      <c r="N590" s="9">
        <v>4.9444999999999997</v>
      </c>
      <c r="O590" s="9">
        <v>0.37409999999999999</v>
      </c>
      <c r="P590" s="9">
        <v>1.2183999999999999</v>
      </c>
      <c r="Q590" s="9">
        <v>19.688099999999999</v>
      </c>
      <c r="R590" s="9"/>
      <c r="S590" s="11"/>
    </row>
    <row r="591" spans="1:19" ht="15.75">
      <c r="A591" s="13">
        <v>59505</v>
      </c>
      <c r="B591" s="8">
        <f>17.0945 * CHOOSE(CONTROL!$C$15, $D$11, 100%, $F$11)</f>
        <v>17.0945</v>
      </c>
      <c r="C591" s="8">
        <f>17.0995 * CHOOSE(CONTROL!$C$15, $D$11, 100%, $F$11)</f>
        <v>17.099499999999999</v>
      </c>
      <c r="D591" s="8">
        <f>17.0832 * CHOOSE( CONTROL!$C$15, $D$11, 100%, $F$11)</f>
        <v>17.083200000000001</v>
      </c>
      <c r="E591" s="12">
        <f>17.0886 * CHOOSE( CONTROL!$C$15, $D$11, 100%, $F$11)</f>
        <v>17.0886</v>
      </c>
      <c r="F591" s="4">
        <f>17.7597 * CHOOSE(CONTROL!$C$15, $D$11, 100%, $F$11)</f>
        <v>17.759699999999999</v>
      </c>
      <c r="G591" s="8">
        <f>16.903 * CHOOSE( CONTROL!$C$15, $D$11, 100%, $F$11)</f>
        <v>16.902999999999999</v>
      </c>
      <c r="H591" s="4">
        <f>17.7984 * CHOOSE(CONTROL!$C$15, $D$11, 100%, $F$11)</f>
        <v>17.798400000000001</v>
      </c>
      <c r="I591" s="8">
        <f>16.7342 * CHOOSE(CONTROL!$C$15, $D$11, 100%, $F$11)</f>
        <v>16.734200000000001</v>
      </c>
      <c r="J591" s="4">
        <f>16.5814 * CHOOSE(CONTROL!$C$15, $D$11, 100%, $F$11)</f>
        <v>16.581399999999999</v>
      </c>
      <c r="K591" s="4"/>
      <c r="L591" s="9">
        <v>28.360600000000002</v>
      </c>
      <c r="M591" s="9">
        <v>11.6745</v>
      </c>
      <c r="N591" s="9">
        <v>4.7850000000000001</v>
      </c>
      <c r="O591" s="9">
        <v>0.36199999999999999</v>
      </c>
      <c r="P591" s="9">
        <v>1.2509999999999999</v>
      </c>
      <c r="Q591" s="9">
        <v>19.053000000000001</v>
      </c>
      <c r="R591" s="9"/>
      <c r="S591" s="11"/>
    </row>
    <row r="592" spans="1:19" ht="15.75">
      <c r="A592" s="13">
        <v>59536</v>
      </c>
      <c r="B592" s="8">
        <f>17.0634 * CHOOSE(CONTROL!$C$15, $D$11, 100%, $F$11)</f>
        <v>17.063400000000001</v>
      </c>
      <c r="C592" s="8">
        <f>17.0685 * CHOOSE(CONTROL!$C$15, $D$11, 100%, $F$11)</f>
        <v>17.0685</v>
      </c>
      <c r="D592" s="8">
        <f>17.0538 * CHOOSE( CONTROL!$C$15, $D$11, 100%, $F$11)</f>
        <v>17.053799999999999</v>
      </c>
      <c r="E592" s="12">
        <f>17.0586 * CHOOSE( CONTROL!$C$15, $D$11, 100%, $F$11)</f>
        <v>17.058599999999998</v>
      </c>
      <c r="F592" s="4">
        <f>17.7287 * CHOOSE(CONTROL!$C$15, $D$11, 100%, $F$11)</f>
        <v>17.7287</v>
      </c>
      <c r="G592" s="8">
        <f>16.8735 * CHOOSE( CONTROL!$C$15, $D$11, 100%, $F$11)</f>
        <v>16.8735</v>
      </c>
      <c r="H592" s="4">
        <f>17.7677 * CHOOSE(CONTROL!$C$15, $D$11, 100%, $F$11)</f>
        <v>17.767700000000001</v>
      </c>
      <c r="I592" s="8">
        <f>16.7094 * CHOOSE(CONTROL!$C$15, $D$11, 100%, $F$11)</f>
        <v>16.709399999999999</v>
      </c>
      <c r="J592" s="4">
        <f>16.5513 * CHOOSE(CONTROL!$C$15, $D$11, 100%, $F$11)</f>
        <v>16.551300000000001</v>
      </c>
      <c r="K592" s="4"/>
      <c r="L592" s="9">
        <v>29.306000000000001</v>
      </c>
      <c r="M592" s="9">
        <v>12.063700000000001</v>
      </c>
      <c r="N592" s="9">
        <v>4.9444999999999997</v>
      </c>
      <c r="O592" s="9">
        <v>0.37409999999999999</v>
      </c>
      <c r="P592" s="9">
        <v>1.2927</v>
      </c>
      <c r="Q592" s="9">
        <v>19.688099999999999</v>
      </c>
      <c r="R592" s="9"/>
      <c r="S592" s="11"/>
    </row>
    <row r="593" spans="1:19" ht="15.75">
      <c r="A593" s="13">
        <v>59567</v>
      </c>
      <c r="B593" s="8">
        <f>17.5664 * CHOOSE(CONTROL!$C$15, $D$11, 100%, $F$11)</f>
        <v>17.566400000000002</v>
      </c>
      <c r="C593" s="8">
        <f>17.5715 * CHOOSE(CONTROL!$C$15, $D$11, 100%, $F$11)</f>
        <v>17.5715</v>
      </c>
      <c r="D593" s="8">
        <f>17.5426 * CHOOSE( CONTROL!$C$15, $D$11, 100%, $F$11)</f>
        <v>17.5426</v>
      </c>
      <c r="E593" s="12">
        <f>17.5526 * CHOOSE( CONTROL!$C$15, $D$11, 100%, $F$11)</f>
        <v>17.552600000000002</v>
      </c>
      <c r="F593" s="4">
        <f>18.2317 * CHOOSE(CONTROL!$C$15, $D$11, 100%, $F$11)</f>
        <v>18.2317</v>
      </c>
      <c r="G593" s="8">
        <f>17.3604 * CHOOSE( CONTROL!$C$15, $D$11, 100%, $F$11)</f>
        <v>17.360399999999998</v>
      </c>
      <c r="H593" s="4">
        <f>18.2649 * CHOOSE(CONTROL!$C$15, $D$11, 100%, $F$11)</f>
        <v>18.264900000000001</v>
      </c>
      <c r="I593" s="8">
        <f>17.1925 * CHOOSE(CONTROL!$C$15, $D$11, 100%, $F$11)</f>
        <v>17.192499999999999</v>
      </c>
      <c r="J593" s="4">
        <f>17.0395 * CHOOSE(CONTROL!$C$15, $D$11, 100%, $F$11)</f>
        <v>17.0395</v>
      </c>
      <c r="K593" s="4"/>
      <c r="L593" s="9">
        <v>29.306000000000001</v>
      </c>
      <c r="M593" s="9">
        <v>12.063700000000001</v>
      </c>
      <c r="N593" s="9">
        <v>4.9444999999999997</v>
      </c>
      <c r="O593" s="9">
        <v>0.37409999999999999</v>
      </c>
      <c r="P593" s="9">
        <v>1.2927</v>
      </c>
      <c r="Q593" s="9">
        <v>19.688099999999999</v>
      </c>
      <c r="R593" s="9"/>
      <c r="S593" s="11"/>
    </row>
    <row r="594" spans="1:19" ht="15.75">
      <c r="A594" s="13">
        <v>59595</v>
      </c>
      <c r="B594" s="8">
        <f>16.4314 * CHOOSE(CONTROL!$C$15, $D$11, 100%, $F$11)</f>
        <v>16.4314</v>
      </c>
      <c r="C594" s="8">
        <f>16.4365 * CHOOSE(CONTROL!$C$15, $D$11, 100%, $F$11)</f>
        <v>16.436499999999999</v>
      </c>
      <c r="D594" s="8">
        <f>16.4076 * CHOOSE( CONTROL!$C$15, $D$11, 100%, $F$11)</f>
        <v>16.407599999999999</v>
      </c>
      <c r="E594" s="12">
        <f>16.4176 * CHOOSE( CONTROL!$C$15, $D$11, 100%, $F$11)</f>
        <v>16.4176</v>
      </c>
      <c r="F594" s="4">
        <f>17.0967 * CHOOSE(CONTROL!$C$15, $D$11, 100%, $F$11)</f>
        <v>17.096699999999998</v>
      </c>
      <c r="G594" s="8">
        <f>16.2387 * CHOOSE( CONTROL!$C$15, $D$11, 100%, $F$11)</f>
        <v>16.238700000000001</v>
      </c>
      <c r="H594" s="4">
        <f>17.1431 * CHOOSE(CONTROL!$C$15, $D$11, 100%, $F$11)</f>
        <v>17.1431</v>
      </c>
      <c r="I594" s="8">
        <f>16.0903 * CHOOSE(CONTROL!$C$15, $D$11, 100%, $F$11)</f>
        <v>16.090299999999999</v>
      </c>
      <c r="J594" s="4">
        <f>15.9379 * CHOOSE(CONTROL!$C$15, $D$11, 100%, $F$11)</f>
        <v>15.937900000000001</v>
      </c>
      <c r="K594" s="4"/>
      <c r="L594" s="9">
        <v>26.469899999999999</v>
      </c>
      <c r="M594" s="9">
        <v>10.8962</v>
      </c>
      <c r="N594" s="9">
        <v>4.4660000000000002</v>
      </c>
      <c r="O594" s="9">
        <v>0.33789999999999998</v>
      </c>
      <c r="P594" s="9">
        <v>1.1676</v>
      </c>
      <c r="Q594" s="9">
        <v>17.782800000000002</v>
      </c>
      <c r="R594" s="9"/>
      <c r="S594" s="11"/>
    </row>
    <row r="595" spans="1:19" ht="15.75">
      <c r="A595" s="13">
        <v>59626</v>
      </c>
      <c r="B595" s="8">
        <f>16.0818 * CHOOSE(CONTROL!$C$15, $D$11, 100%, $F$11)</f>
        <v>16.081800000000001</v>
      </c>
      <c r="C595" s="8">
        <f>16.0869 * CHOOSE(CONTROL!$C$15, $D$11, 100%, $F$11)</f>
        <v>16.0869</v>
      </c>
      <c r="D595" s="8">
        <f>16.0576 * CHOOSE( CONTROL!$C$15, $D$11, 100%, $F$11)</f>
        <v>16.057600000000001</v>
      </c>
      <c r="E595" s="12">
        <f>16.0678 * CHOOSE( CONTROL!$C$15, $D$11, 100%, $F$11)</f>
        <v>16.067799999999998</v>
      </c>
      <c r="F595" s="4">
        <f>16.7471 * CHOOSE(CONTROL!$C$15, $D$11, 100%, $F$11)</f>
        <v>16.7471</v>
      </c>
      <c r="G595" s="8">
        <f>15.8929 * CHOOSE( CONTROL!$C$15, $D$11, 100%, $F$11)</f>
        <v>15.892899999999999</v>
      </c>
      <c r="H595" s="4">
        <f>16.7976 * CHOOSE(CONTROL!$C$15, $D$11, 100%, $F$11)</f>
        <v>16.797599999999999</v>
      </c>
      <c r="I595" s="8">
        <f>15.7496 * CHOOSE(CONTROL!$C$15, $D$11, 100%, $F$11)</f>
        <v>15.749599999999999</v>
      </c>
      <c r="J595" s="4">
        <f>15.5986 * CHOOSE(CONTROL!$C$15, $D$11, 100%, $F$11)</f>
        <v>15.598599999999999</v>
      </c>
      <c r="K595" s="4"/>
      <c r="L595" s="9">
        <v>29.306000000000001</v>
      </c>
      <c r="M595" s="9">
        <v>12.063700000000001</v>
      </c>
      <c r="N595" s="9">
        <v>4.9444999999999997</v>
      </c>
      <c r="O595" s="9">
        <v>0.37409999999999999</v>
      </c>
      <c r="P595" s="9">
        <v>1.2927</v>
      </c>
      <c r="Q595" s="9">
        <v>19.688099999999999</v>
      </c>
      <c r="R595" s="9"/>
      <c r="S595" s="11"/>
    </row>
    <row r="596" spans="1:19" ht="15.75">
      <c r="A596" s="13">
        <v>59656</v>
      </c>
      <c r="B596" s="8">
        <f>16.3268 * CHOOSE(CONTROL!$C$15, $D$11, 100%, $F$11)</f>
        <v>16.326799999999999</v>
      </c>
      <c r="C596" s="8">
        <f>16.3314 * CHOOSE(CONTROL!$C$15, $D$11, 100%, $F$11)</f>
        <v>16.331399999999999</v>
      </c>
      <c r="D596" s="8">
        <f>16.3747 * CHOOSE( CONTROL!$C$15, $D$11, 100%, $F$11)</f>
        <v>16.374700000000001</v>
      </c>
      <c r="E596" s="12">
        <f>16.3599 * CHOOSE( CONTROL!$C$15, $D$11, 100%, $F$11)</f>
        <v>16.3599</v>
      </c>
      <c r="F596" s="4">
        <f>17.0712 * CHOOSE(CONTROL!$C$15, $D$11, 100%, $F$11)</f>
        <v>17.071200000000001</v>
      </c>
      <c r="G596" s="8">
        <f>16.1421 * CHOOSE( CONTROL!$C$15, $D$11, 100%, $F$11)</f>
        <v>16.142099999999999</v>
      </c>
      <c r="H596" s="4">
        <f>17.1179 * CHOOSE(CONTROL!$C$15, $D$11, 100%, $F$11)</f>
        <v>17.117899999999999</v>
      </c>
      <c r="I596" s="8">
        <f>15.985 * CHOOSE(CONTROL!$C$15, $D$11, 100%, $F$11)</f>
        <v>15.984999999999999</v>
      </c>
      <c r="J596" s="4">
        <f>15.8357 * CHOOSE(CONTROL!$C$15, $D$11, 100%, $F$11)</f>
        <v>15.835699999999999</v>
      </c>
      <c r="K596" s="4"/>
      <c r="L596" s="9">
        <v>30.092199999999998</v>
      </c>
      <c r="M596" s="9">
        <v>11.6745</v>
      </c>
      <c r="N596" s="9">
        <v>4.7850000000000001</v>
      </c>
      <c r="O596" s="9">
        <v>0.36199999999999999</v>
      </c>
      <c r="P596" s="9">
        <v>1.1791</v>
      </c>
      <c r="Q596" s="9">
        <v>19.053000000000001</v>
      </c>
      <c r="R596" s="9"/>
      <c r="S596" s="11"/>
    </row>
    <row r="597" spans="1:19" ht="15.75">
      <c r="A597" s="13">
        <v>59687</v>
      </c>
      <c r="B597" s="8">
        <f>CHOOSE( CONTROL!$C$32, 16.7666, 16.763) * CHOOSE(CONTROL!$C$15, $D$11, 100%, $F$11)</f>
        <v>16.7666</v>
      </c>
      <c r="C597" s="8">
        <f>CHOOSE( CONTROL!$C$32, 16.7746, 16.771) * CHOOSE(CONTROL!$C$15, $D$11, 100%, $F$11)</f>
        <v>16.7746</v>
      </c>
      <c r="D597" s="8">
        <f>CHOOSE( CONTROL!$C$32, 16.8123, 16.8087) * CHOOSE( CONTROL!$C$15, $D$11, 100%, $F$11)</f>
        <v>16.8123</v>
      </c>
      <c r="E597" s="12">
        <f>CHOOSE( CONTROL!$C$32, 16.7974, 16.7938) * CHOOSE( CONTROL!$C$15, $D$11, 100%, $F$11)</f>
        <v>16.7974</v>
      </c>
      <c r="F597" s="4">
        <f>CHOOSE( CONTROL!$C$32, 17.5096, 17.506) * CHOOSE(CONTROL!$C$15, $D$11, 100%, $F$11)</f>
        <v>17.509599999999999</v>
      </c>
      <c r="G597" s="8">
        <f>CHOOSE( CONTROL!$C$32, 16.5762, 16.5726) * CHOOSE( CONTROL!$C$15, $D$11, 100%, $F$11)</f>
        <v>16.5762</v>
      </c>
      <c r="H597" s="4">
        <f>CHOOSE( CONTROL!$C$32, 17.5512, 17.5476) * CHOOSE(CONTROL!$C$15, $D$11, 100%, $F$11)</f>
        <v>17.551200000000001</v>
      </c>
      <c r="I597" s="8">
        <f>CHOOSE( CONTROL!$C$32, 16.4109, 16.4073) * CHOOSE(CONTROL!$C$15, $D$11, 100%, $F$11)</f>
        <v>16.410900000000002</v>
      </c>
      <c r="J597" s="4">
        <f>CHOOSE( CONTROL!$C$32, 16.2612, 16.2577) * CHOOSE(CONTROL!$C$15, $D$11, 100%, $F$11)</f>
        <v>16.261199999999999</v>
      </c>
      <c r="K597" s="4"/>
      <c r="L597" s="9">
        <v>30.7165</v>
      </c>
      <c r="M597" s="9">
        <v>12.063700000000001</v>
      </c>
      <c r="N597" s="9">
        <v>4.9444999999999997</v>
      </c>
      <c r="O597" s="9">
        <v>0.37409999999999999</v>
      </c>
      <c r="P597" s="9">
        <v>1.2183999999999999</v>
      </c>
      <c r="Q597" s="9">
        <v>19.688099999999999</v>
      </c>
      <c r="R597" s="9"/>
      <c r="S597" s="11"/>
    </row>
    <row r="598" spans="1:19" ht="15.75">
      <c r="A598" s="13">
        <v>59717</v>
      </c>
      <c r="B598" s="8">
        <f>CHOOSE( CONTROL!$C$32, 16.4973, 16.4937) * CHOOSE(CONTROL!$C$15, $D$11, 100%, $F$11)</f>
        <v>16.497299999999999</v>
      </c>
      <c r="C598" s="8">
        <f>CHOOSE( CONTROL!$C$32, 16.5053, 16.5016) * CHOOSE(CONTROL!$C$15, $D$11, 100%, $F$11)</f>
        <v>16.505299999999998</v>
      </c>
      <c r="D598" s="8">
        <f>CHOOSE( CONTROL!$C$32, 16.5432, 16.5396) * CHOOSE( CONTROL!$C$15, $D$11, 100%, $F$11)</f>
        <v>16.543199999999999</v>
      </c>
      <c r="E598" s="12">
        <f>CHOOSE( CONTROL!$C$32, 16.5282, 16.5246) * CHOOSE( CONTROL!$C$15, $D$11, 100%, $F$11)</f>
        <v>16.528199999999998</v>
      </c>
      <c r="F598" s="4">
        <f>CHOOSE( CONTROL!$C$32, 17.2403, 17.2367) * CHOOSE(CONTROL!$C$15, $D$11, 100%, $F$11)</f>
        <v>17.240300000000001</v>
      </c>
      <c r="G598" s="8">
        <f>CHOOSE( CONTROL!$C$32, 16.3103, 16.3067) * CHOOSE( CONTROL!$C$15, $D$11, 100%, $F$11)</f>
        <v>16.310300000000002</v>
      </c>
      <c r="H598" s="4">
        <f>CHOOSE( CONTROL!$C$32, 17.2851, 17.2815) * CHOOSE(CONTROL!$C$15, $D$11, 100%, $F$11)</f>
        <v>17.2851</v>
      </c>
      <c r="I598" s="8">
        <f>CHOOSE( CONTROL!$C$32, 16.1504, 16.1469) * CHOOSE(CONTROL!$C$15, $D$11, 100%, $F$11)</f>
        <v>16.150400000000001</v>
      </c>
      <c r="J598" s="4">
        <f>CHOOSE( CONTROL!$C$32, 15.9998, 15.9963) * CHOOSE(CONTROL!$C$15, $D$11, 100%, $F$11)</f>
        <v>15.9998</v>
      </c>
      <c r="K598" s="4"/>
      <c r="L598" s="9">
        <v>29.7257</v>
      </c>
      <c r="M598" s="9">
        <v>11.6745</v>
      </c>
      <c r="N598" s="9">
        <v>4.7850000000000001</v>
      </c>
      <c r="O598" s="9">
        <v>0.36199999999999999</v>
      </c>
      <c r="P598" s="9">
        <v>1.1791</v>
      </c>
      <c r="Q598" s="9">
        <v>19.053000000000001</v>
      </c>
      <c r="R598" s="9"/>
      <c r="S598" s="11"/>
    </row>
    <row r="599" spans="1:19" ht="15.75">
      <c r="A599" s="13">
        <v>59748</v>
      </c>
      <c r="B599" s="8">
        <f>CHOOSE( CONTROL!$C$32, 17.2065, 17.2029) * CHOOSE(CONTROL!$C$15, $D$11, 100%, $F$11)</f>
        <v>17.206499999999998</v>
      </c>
      <c r="C599" s="8">
        <f>CHOOSE( CONTROL!$C$32, 17.2145, 17.2109) * CHOOSE(CONTROL!$C$15, $D$11, 100%, $F$11)</f>
        <v>17.214500000000001</v>
      </c>
      <c r="D599" s="8">
        <f>CHOOSE( CONTROL!$C$32, 17.2527, 17.2491) * CHOOSE( CONTROL!$C$15, $D$11, 100%, $F$11)</f>
        <v>17.252700000000001</v>
      </c>
      <c r="E599" s="12">
        <f>CHOOSE( CONTROL!$C$32, 17.2376, 17.234) * CHOOSE( CONTROL!$C$15, $D$11, 100%, $F$11)</f>
        <v>17.2376</v>
      </c>
      <c r="F599" s="4">
        <f>CHOOSE( CONTROL!$C$32, 17.9496, 17.9459) * CHOOSE(CONTROL!$C$15, $D$11, 100%, $F$11)</f>
        <v>17.9496</v>
      </c>
      <c r="G599" s="8">
        <f>CHOOSE( CONTROL!$C$32, 17.0116, 17.008) * CHOOSE( CONTROL!$C$15, $D$11, 100%, $F$11)</f>
        <v>17.011600000000001</v>
      </c>
      <c r="H599" s="4">
        <f>CHOOSE( CONTROL!$C$32, 17.986, 17.9824) * CHOOSE(CONTROL!$C$15, $D$11, 100%, $F$11)</f>
        <v>17.986000000000001</v>
      </c>
      <c r="I599" s="8">
        <f>CHOOSE( CONTROL!$C$32, 16.8402, 16.8367) * CHOOSE(CONTROL!$C$15, $D$11, 100%, $F$11)</f>
        <v>16.840199999999999</v>
      </c>
      <c r="J599" s="4">
        <f>CHOOSE( CONTROL!$C$32, 16.6881, 16.6846) * CHOOSE(CONTROL!$C$15, $D$11, 100%, $F$11)</f>
        <v>16.688099999999999</v>
      </c>
      <c r="K599" s="4"/>
      <c r="L599" s="9">
        <v>30.7165</v>
      </c>
      <c r="M599" s="9">
        <v>12.063700000000001</v>
      </c>
      <c r="N599" s="9">
        <v>4.9444999999999997</v>
      </c>
      <c r="O599" s="9">
        <v>0.37409999999999999</v>
      </c>
      <c r="P599" s="9">
        <v>1.2183999999999999</v>
      </c>
      <c r="Q599" s="9">
        <v>19.688099999999999</v>
      </c>
      <c r="R599" s="9"/>
      <c r="S599" s="11"/>
    </row>
    <row r="600" spans="1:19" ht="15.75">
      <c r="A600" s="13">
        <v>59779</v>
      </c>
      <c r="B600" s="8">
        <f>CHOOSE( CONTROL!$C$32, 15.8795, 15.8758) * CHOOSE(CONTROL!$C$15, $D$11, 100%, $F$11)</f>
        <v>15.8795</v>
      </c>
      <c r="C600" s="8">
        <f>CHOOSE( CONTROL!$C$32, 15.8874, 15.8838) * CHOOSE(CONTROL!$C$15, $D$11, 100%, $F$11)</f>
        <v>15.8874</v>
      </c>
      <c r="D600" s="8">
        <f>CHOOSE( CONTROL!$C$32, 15.9257, 15.9221) * CHOOSE( CONTROL!$C$15, $D$11, 100%, $F$11)</f>
        <v>15.925700000000001</v>
      </c>
      <c r="E600" s="12">
        <f>CHOOSE( CONTROL!$C$32, 15.9106, 15.907) * CHOOSE( CONTROL!$C$15, $D$11, 100%, $F$11)</f>
        <v>15.910600000000001</v>
      </c>
      <c r="F600" s="4">
        <f>CHOOSE( CONTROL!$C$32, 16.6225, 16.6188) * CHOOSE(CONTROL!$C$15, $D$11, 100%, $F$11)</f>
        <v>16.622499999999999</v>
      </c>
      <c r="G600" s="8">
        <f>CHOOSE( CONTROL!$C$32, 15.7002, 15.6966) * CHOOSE( CONTROL!$C$15, $D$11, 100%, $F$11)</f>
        <v>15.700200000000001</v>
      </c>
      <c r="H600" s="4">
        <f>CHOOSE( CONTROL!$C$32, 16.6745, 16.6709) * CHOOSE(CONTROL!$C$15, $D$11, 100%, $F$11)</f>
        <v>16.674499999999998</v>
      </c>
      <c r="I600" s="8">
        <f>CHOOSE( CONTROL!$C$32, 15.5519, 15.5484) * CHOOSE(CONTROL!$C$15, $D$11, 100%, $F$11)</f>
        <v>15.5519</v>
      </c>
      <c r="J600" s="4">
        <f>CHOOSE( CONTROL!$C$32, 15.4002, 15.3967) * CHOOSE(CONTROL!$C$15, $D$11, 100%, $F$11)</f>
        <v>15.4002</v>
      </c>
      <c r="K600" s="4"/>
      <c r="L600" s="9">
        <v>30.7165</v>
      </c>
      <c r="M600" s="9">
        <v>12.063700000000001</v>
      </c>
      <c r="N600" s="9">
        <v>4.9444999999999997</v>
      </c>
      <c r="O600" s="9">
        <v>0.37409999999999999</v>
      </c>
      <c r="P600" s="9">
        <v>1.2183999999999999</v>
      </c>
      <c r="Q600" s="9">
        <v>19.688099999999999</v>
      </c>
      <c r="R600" s="9"/>
      <c r="S600" s="11"/>
    </row>
    <row r="601" spans="1:19" ht="15.75">
      <c r="A601" s="13">
        <v>59809</v>
      </c>
      <c r="B601" s="8">
        <f>CHOOSE( CONTROL!$C$32, 15.5472, 15.5435) * CHOOSE(CONTROL!$C$15, $D$11, 100%, $F$11)</f>
        <v>15.5472</v>
      </c>
      <c r="C601" s="8">
        <f>CHOOSE( CONTROL!$C$32, 15.5551, 15.5515) * CHOOSE(CONTROL!$C$15, $D$11, 100%, $F$11)</f>
        <v>15.555099999999999</v>
      </c>
      <c r="D601" s="8">
        <f>CHOOSE( CONTROL!$C$32, 15.5933, 15.5897) * CHOOSE( CONTROL!$C$15, $D$11, 100%, $F$11)</f>
        <v>15.593299999999999</v>
      </c>
      <c r="E601" s="12">
        <f>CHOOSE( CONTROL!$C$32, 15.5783, 15.5746) * CHOOSE( CONTROL!$C$15, $D$11, 100%, $F$11)</f>
        <v>15.5783</v>
      </c>
      <c r="F601" s="4">
        <f>CHOOSE( CONTROL!$C$32, 16.2902, 16.2865) * CHOOSE(CONTROL!$C$15, $D$11, 100%, $F$11)</f>
        <v>16.290199999999999</v>
      </c>
      <c r="G601" s="8">
        <f>CHOOSE( CONTROL!$C$32, 15.3716, 15.368) * CHOOSE( CONTROL!$C$15, $D$11, 100%, $F$11)</f>
        <v>15.371600000000001</v>
      </c>
      <c r="H601" s="4">
        <f>CHOOSE( CONTROL!$C$32, 16.346, 16.3424) * CHOOSE(CONTROL!$C$15, $D$11, 100%, $F$11)</f>
        <v>16.346</v>
      </c>
      <c r="I601" s="8">
        <f>CHOOSE( CONTROL!$C$32, 15.2289, 15.2253) * CHOOSE(CONTROL!$C$15, $D$11, 100%, $F$11)</f>
        <v>15.228899999999999</v>
      </c>
      <c r="J601" s="4">
        <f>CHOOSE( CONTROL!$C$32, 15.0777, 15.0742) * CHOOSE(CONTROL!$C$15, $D$11, 100%, $F$11)</f>
        <v>15.0777</v>
      </c>
      <c r="K601" s="4"/>
      <c r="L601" s="9">
        <v>29.7257</v>
      </c>
      <c r="M601" s="9">
        <v>11.6745</v>
      </c>
      <c r="N601" s="9">
        <v>4.7850000000000001</v>
      </c>
      <c r="O601" s="9">
        <v>0.36199999999999999</v>
      </c>
      <c r="P601" s="9">
        <v>1.1791</v>
      </c>
      <c r="Q601" s="9">
        <v>19.053000000000001</v>
      </c>
      <c r="R601" s="9"/>
      <c r="S601" s="11"/>
    </row>
    <row r="602" spans="1:19" ht="15.75">
      <c r="A602" s="13">
        <v>59840</v>
      </c>
      <c r="B602" s="8">
        <f>16.2318 * CHOOSE(CONTROL!$C$15, $D$11, 100%, $F$11)</f>
        <v>16.2318</v>
      </c>
      <c r="C602" s="8">
        <f>16.2371 * CHOOSE(CONTROL!$C$15, $D$11, 100%, $F$11)</f>
        <v>16.237100000000002</v>
      </c>
      <c r="D602" s="8">
        <f>16.2806 * CHOOSE( CONTROL!$C$15, $D$11, 100%, $F$11)</f>
        <v>16.2806</v>
      </c>
      <c r="E602" s="12">
        <f>16.2657 * CHOOSE( CONTROL!$C$15, $D$11, 100%, $F$11)</f>
        <v>16.265699999999999</v>
      </c>
      <c r="F602" s="4">
        <f>16.9765 * CHOOSE(CONTROL!$C$15, $D$11, 100%, $F$11)</f>
        <v>16.976500000000001</v>
      </c>
      <c r="G602" s="8">
        <f>16.0495 * CHOOSE( CONTROL!$C$15, $D$11, 100%, $F$11)</f>
        <v>16.049499999999998</v>
      </c>
      <c r="H602" s="4">
        <f>17.0244 * CHOOSE(CONTROL!$C$15, $D$11, 100%, $F$11)</f>
        <v>17.0244</v>
      </c>
      <c r="I602" s="8">
        <f>15.8961 * CHOOSE(CONTROL!$C$15, $D$11, 100%, $F$11)</f>
        <v>15.896100000000001</v>
      </c>
      <c r="J602" s="4">
        <f>15.7438 * CHOOSE(CONTROL!$C$15, $D$11, 100%, $F$11)</f>
        <v>15.7438</v>
      </c>
      <c r="K602" s="4"/>
      <c r="L602" s="9">
        <v>31.095300000000002</v>
      </c>
      <c r="M602" s="9">
        <v>12.063700000000001</v>
      </c>
      <c r="N602" s="9">
        <v>4.9444999999999997</v>
      </c>
      <c r="O602" s="9">
        <v>0.37409999999999999</v>
      </c>
      <c r="P602" s="9">
        <v>1.2183999999999999</v>
      </c>
      <c r="Q602" s="9">
        <v>19.688099999999999</v>
      </c>
      <c r="R602" s="9"/>
      <c r="S602" s="11"/>
    </row>
    <row r="603" spans="1:19" ht="15.75">
      <c r="A603" s="13">
        <v>59870</v>
      </c>
      <c r="B603" s="8">
        <f>17.505 * CHOOSE(CONTROL!$C$15, $D$11, 100%, $F$11)</f>
        <v>17.504999999999999</v>
      </c>
      <c r="C603" s="8">
        <f>17.5101 * CHOOSE(CONTROL!$C$15, $D$11, 100%, $F$11)</f>
        <v>17.510100000000001</v>
      </c>
      <c r="D603" s="8">
        <f>17.4937 * CHOOSE( CONTROL!$C$15, $D$11, 100%, $F$11)</f>
        <v>17.4937</v>
      </c>
      <c r="E603" s="12">
        <f>17.4992 * CHOOSE( CONTROL!$C$15, $D$11, 100%, $F$11)</f>
        <v>17.499199999999998</v>
      </c>
      <c r="F603" s="4">
        <f>18.1703 * CHOOSE(CONTROL!$C$15, $D$11, 100%, $F$11)</f>
        <v>18.170300000000001</v>
      </c>
      <c r="G603" s="8">
        <f>17.3087 * CHOOSE( CONTROL!$C$15, $D$11, 100%, $F$11)</f>
        <v>17.308700000000002</v>
      </c>
      <c r="H603" s="4">
        <f>18.2041 * CHOOSE(CONTROL!$C$15, $D$11, 100%, $F$11)</f>
        <v>18.2041</v>
      </c>
      <c r="I603" s="8">
        <f>17.1328 * CHOOSE(CONTROL!$C$15, $D$11, 100%, $F$11)</f>
        <v>17.1328</v>
      </c>
      <c r="J603" s="4">
        <f>16.9798 * CHOOSE(CONTROL!$C$15, $D$11, 100%, $F$11)</f>
        <v>16.979800000000001</v>
      </c>
      <c r="K603" s="4"/>
      <c r="L603" s="9">
        <v>28.360600000000002</v>
      </c>
      <c r="M603" s="9">
        <v>11.6745</v>
      </c>
      <c r="N603" s="9">
        <v>4.7850000000000001</v>
      </c>
      <c r="O603" s="9">
        <v>0.36199999999999999</v>
      </c>
      <c r="P603" s="9">
        <v>1.2509999999999999</v>
      </c>
      <c r="Q603" s="9">
        <v>19.053000000000001</v>
      </c>
      <c r="R603" s="9"/>
      <c r="S603" s="11"/>
    </row>
    <row r="604" spans="1:19" ht="15.75">
      <c r="A604" s="13">
        <v>59901</v>
      </c>
      <c r="B604" s="8">
        <f>17.4732 * CHOOSE(CONTROL!$C$15, $D$11, 100%, $F$11)</f>
        <v>17.473199999999999</v>
      </c>
      <c r="C604" s="8">
        <f>17.4782 * CHOOSE(CONTROL!$C$15, $D$11, 100%, $F$11)</f>
        <v>17.478200000000001</v>
      </c>
      <c r="D604" s="8">
        <f>17.4636 * CHOOSE( CONTROL!$C$15, $D$11, 100%, $F$11)</f>
        <v>17.4636</v>
      </c>
      <c r="E604" s="12">
        <f>17.4684 * CHOOSE( CONTROL!$C$15, $D$11, 100%, $F$11)</f>
        <v>17.468399999999999</v>
      </c>
      <c r="F604" s="4">
        <f>18.1384 * CHOOSE(CONTROL!$C$15, $D$11, 100%, $F$11)</f>
        <v>18.138400000000001</v>
      </c>
      <c r="G604" s="8">
        <f>17.2785 * CHOOSE( CONTROL!$C$15, $D$11, 100%, $F$11)</f>
        <v>17.278500000000001</v>
      </c>
      <c r="H604" s="4">
        <f>18.1727 * CHOOSE(CONTROL!$C$15, $D$11, 100%, $F$11)</f>
        <v>18.172699999999999</v>
      </c>
      <c r="I604" s="8">
        <f>17.1073 * CHOOSE(CONTROL!$C$15, $D$11, 100%, $F$11)</f>
        <v>17.107299999999999</v>
      </c>
      <c r="J604" s="4">
        <f>16.949 * CHOOSE(CONTROL!$C$15, $D$11, 100%, $F$11)</f>
        <v>16.949000000000002</v>
      </c>
      <c r="K604" s="4"/>
      <c r="L604" s="9">
        <v>29.306000000000001</v>
      </c>
      <c r="M604" s="9">
        <v>12.063700000000001</v>
      </c>
      <c r="N604" s="9">
        <v>4.9444999999999997</v>
      </c>
      <c r="O604" s="9">
        <v>0.37409999999999999</v>
      </c>
      <c r="P604" s="9">
        <v>1.2927</v>
      </c>
      <c r="Q604" s="9">
        <v>19.688099999999999</v>
      </c>
      <c r="R604" s="9"/>
      <c r="S604" s="11"/>
    </row>
    <row r="605" spans="1:19" ht="15.75">
      <c r="A605" s="13">
        <v>59932</v>
      </c>
      <c r="B605" s="8">
        <f>17.9883 * CHOOSE(CONTROL!$C$15, $D$11, 100%, $F$11)</f>
        <v>17.988299999999999</v>
      </c>
      <c r="C605" s="8">
        <f>17.9934 * CHOOSE(CONTROL!$C$15, $D$11, 100%, $F$11)</f>
        <v>17.993400000000001</v>
      </c>
      <c r="D605" s="8">
        <f>17.9645 * CHOOSE( CONTROL!$C$15, $D$11, 100%, $F$11)</f>
        <v>17.964500000000001</v>
      </c>
      <c r="E605" s="12">
        <f>17.9745 * CHOOSE( CONTROL!$C$15, $D$11, 100%, $F$11)</f>
        <v>17.974499999999999</v>
      </c>
      <c r="F605" s="4">
        <f>18.6536 * CHOOSE(CONTROL!$C$15, $D$11, 100%, $F$11)</f>
        <v>18.653600000000001</v>
      </c>
      <c r="G605" s="8">
        <f>17.7774 * CHOOSE( CONTROL!$C$15, $D$11, 100%, $F$11)</f>
        <v>17.7774</v>
      </c>
      <c r="H605" s="4">
        <f>18.6818 * CHOOSE(CONTROL!$C$15, $D$11, 100%, $F$11)</f>
        <v>18.681799999999999</v>
      </c>
      <c r="I605" s="8">
        <f>17.6021 * CHOOSE(CONTROL!$C$15, $D$11, 100%, $F$11)</f>
        <v>17.6021</v>
      </c>
      <c r="J605" s="4">
        <f>17.4489 * CHOOSE(CONTROL!$C$15, $D$11, 100%, $F$11)</f>
        <v>17.448899999999998</v>
      </c>
      <c r="K605" s="4"/>
      <c r="L605" s="9">
        <v>29.306000000000001</v>
      </c>
      <c r="M605" s="9">
        <v>12.063700000000001</v>
      </c>
      <c r="N605" s="9">
        <v>4.9444999999999997</v>
      </c>
      <c r="O605" s="9">
        <v>0.37409999999999999</v>
      </c>
      <c r="P605" s="9">
        <v>1.2927</v>
      </c>
      <c r="Q605" s="9">
        <v>19.688099999999999</v>
      </c>
      <c r="R605" s="9"/>
      <c r="S605" s="11"/>
    </row>
    <row r="606" spans="1:19" ht="15.75">
      <c r="A606" s="13">
        <v>59961</v>
      </c>
      <c r="B606" s="8">
        <f>16.826 * CHOOSE(CONTROL!$C$15, $D$11, 100%, $F$11)</f>
        <v>16.826000000000001</v>
      </c>
      <c r="C606" s="8">
        <f>16.831 * CHOOSE(CONTROL!$C$15, $D$11, 100%, $F$11)</f>
        <v>16.831</v>
      </c>
      <c r="D606" s="8">
        <f>16.8022 * CHOOSE( CONTROL!$C$15, $D$11, 100%, $F$11)</f>
        <v>16.802199999999999</v>
      </c>
      <c r="E606" s="12">
        <f>16.8122 * CHOOSE( CONTROL!$C$15, $D$11, 100%, $F$11)</f>
        <v>16.812200000000001</v>
      </c>
      <c r="F606" s="4">
        <f>17.4913 * CHOOSE(CONTROL!$C$15, $D$11, 100%, $F$11)</f>
        <v>17.491299999999999</v>
      </c>
      <c r="G606" s="8">
        <f>16.6286 * CHOOSE( CONTROL!$C$15, $D$11, 100%, $F$11)</f>
        <v>16.628599999999999</v>
      </c>
      <c r="H606" s="4">
        <f>17.5331 * CHOOSE(CONTROL!$C$15, $D$11, 100%, $F$11)</f>
        <v>17.533100000000001</v>
      </c>
      <c r="I606" s="8">
        <f>16.4735 * CHOOSE(CONTROL!$C$15, $D$11, 100%, $F$11)</f>
        <v>16.473500000000001</v>
      </c>
      <c r="J606" s="4">
        <f>16.3209 * CHOOSE(CONTROL!$C$15, $D$11, 100%, $F$11)</f>
        <v>16.320900000000002</v>
      </c>
      <c r="K606" s="4"/>
      <c r="L606" s="9">
        <v>27.415299999999998</v>
      </c>
      <c r="M606" s="9">
        <v>11.285299999999999</v>
      </c>
      <c r="N606" s="9">
        <v>4.6254999999999997</v>
      </c>
      <c r="O606" s="9">
        <v>0.34989999999999999</v>
      </c>
      <c r="P606" s="9">
        <v>1.2093</v>
      </c>
      <c r="Q606" s="9">
        <v>18.417899999999999</v>
      </c>
      <c r="R606" s="9"/>
      <c r="S606" s="11"/>
    </row>
    <row r="607" spans="1:19" ht="15.75">
      <c r="A607" s="13">
        <v>59992</v>
      </c>
      <c r="B607" s="8">
        <f>16.468 * CHOOSE(CONTROL!$C$15, $D$11, 100%, $F$11)</f>
        <v>16.468</v>
      </c>
      <c r="C607" s="8">
        <f>16.4731 * CHOOSE(CONTROL!$C$15, $D$11, 100%, $F$11)</f>
        <v>16.473099999999999</v>
      </c>
      <c r="D607" s="8">
        <f>16.4438 * CHOOSE( CONTROL!$C$15, $D$11, 100%, $F$11)</f>
        <v>16.4438</v>
      </c>
      <c r="E607" s="12">
        <f>16.454 * CHOOSE( CONTROL!$C$15, $D$11, 100%, $F$11)</f>
        <v>16.454000000000001</v>
      </c>
      <c r="F607" s="4">
        <f>17.1333 * CHOOSE(CONTROL!$C$15, $D$11, 100%, $F$11)</f>
        <v>17.133299999999998</v>
      </c>
      <c r="G607" s="8">
        <f>16.2745 * CHOOSE( CONTROL!$C$15, $D$11, 100%, $F$11)</f>
        <v>16.2745</v>
      </c>
      <c r="H607" s="4">
        <f>17.1793 * CHOOSE(CONTROL!$C$15, $D$11, 100%, $F$11)</f>
        <v>17.179300000000001</v>
      </c>
      <c r="I607" s="8">
        <f>16.1246 * CHOOSE(CONTROL!$C$15, $D$11, 100%, $F$11)</f>
        <v>16.124600000000001</v>
      </c>
      <c r="J607" s="4">
        <f>15.9734 * CHOOSE(CONTROL!$C$15, $D$11, 100%, $F$11)</f>
        <v>15.9734</v>
      </c>
      <c r="K607" s="4"/>
      <c r="L607" s="9">
        <v>29.306000000000001</v>
      </c>
      <c r="M607" s="9">
        <v>12.063700000000001</v>
      </c>
      <c r="N607" s="9">
        <v>4.9444999999999997</v>
      </c>
      <c r="O607" s="9">
        <v>0.37409999999999999</v>
      </c>
      <c r="P607" s="9">
        <v>1.2927</v>
      </c>
      <c r="Q607" s="9">
        <v>19.688099999999999</v>
      </c>
      <c r="R607" s="9"/>
      <c r="S607" s="11"/>
    </row>
    <row r="608" spans="1:19" ht="15.75">
      <c r="A608" s="13">
        <v>60022</v>
      </c>
      <c r="B608" s="8">
        <f>16.7189 * CHOOSE(CONTROL!$C$15, $D$11, 100%, $F$11)</f>
        <v>16.718900000000001</v>
      </c>
      <c r="C608" s="8">
        <f>16.7234 * CHOOSE(CONTROL!$C$15, $D$11, 100%, $F$11)</f>
        <v>16.723400000000002</v>
      </c>
      <c r="D608" s="8">
        <f>16.7668 * CHOOSE( CONTROL!$C$15, $D$11, 100%, $F$11)</f>
        <v>16.7668</v>
      </c>
      <c r="E608" s="12">
        <f>16.752 * CHOOSE( CONTROL!$C$15, $D$11, 100%, $F$11)</f>
        <v>16.751999999999999</v>
      </c>
      <c r="F608" s="4">
        <f>17.4633 * CHOOSE(CONTROL!$C$15, $D$11, 100%, $F$11)</f>
        <v>17.4633</v>
      </c>
      <c r="G608" s="8">
        <f>16.5296 * CHOOSE( CONTROL!$C$15, $D$11, 100%, $F$11)</f>
        <v>16.529599999999999</v>
      </c>
      <c r="H608" s="4">
        <f>17.5054 * CHOOSE(CONTROL!$C$15, $D$11, 100%, $F$11)</f>
        <v>17.505400000000002</v>
      </c>
      <c r="I608" s="8">
        <f>16.3657 * CHOOSE(CONTROL!$C$15, $D$11, 100%, $F$11)</f>
        <v>16.3657</v>
      </c>
      <c r="J608" s="4">
        <f>16.2162 * CHOOSE(CONTROL!$C$15, $D$11, 100%, $F$11)</f>
        <v>16.216200000000001</v>
      </c>
      <c r="K608" s="4"/>
      <c r="L608" s="9">
        <v>30.092199999999998</v>
      </c>
      <c r="M608" s="9">
        <v>11.6745</v>
      </c>
      <c r="N608" s="9">
        <v>4.7850000000000001</v>
      </c>
      <c r="O608" s="9">
        <v>0.36199999999999999</v>
      </c>
      <c r="P608" s="9">
        <v>1.1791</v>
      </c>
      <c r="Q608" s="9">
        <v>19.053000000000001</v>
      </c>
      <c r="R608" s="9"/>
      <c r="S608" s="11"/>
    </row>
    <row r="609" spans="1:19" ht="15.75">
      <c r="A609" s="13">
        <v>60053</v>
      </c>
      <c r="B609" s="8">
        <f>CHOOSE( CONTROL!$C$32, 17.1691, 17.1655) * CHOOSE(CONTROL!$C$15, $D$11, 100%, $F$11)</f>
        <v>17.1691</v>
      </c>
      <c r="C609" s="8">
        <f>CHOOSE( CONTROL!$C$32, 17.1771, 17.1735) * CHOOSE(CONTROL!$C$15, $D$11, 100%, $F$11)</f>
        <v>17.177099999999999</v>
      </c>
      <c r="D609" s="8">
        <f>CHOOSE( CONTROL!$C$32, 17.2148, 17.2112) * CHOOSE( CONTROL!$C$15, $D$11, 100%, $F$11)</f>
        <v>17.2148</v>
      </c>
      <c r="E609" s="12">
        <f>CHOOSE( CONTROL!$C$32, 17.1999, 17.1963) * CHOOSE( CONTROL!$C$15, $D$11, 100%, $F$11)</f>
        <v>17.1999</v>
      </c>
      <c r="F609" s="4">
        <f>CHOOSE( CONTROL!$C$32, 17.9121, 17.9085) * CHOOSE(CONTROL!$C$15, $D$11, 100%, $F$11)</f>
        <v>17.912099999999999</v>
      </c>
      <c r="G609" s="8">
        <f>CHOOSE( CONTROL!$C$32, 16.974, 16.9704) * CHOOSE( CONTROL!$C$15, $D$11, 100%, $F$11)</f>
        <v>16.974</v>
      </c>
      <c r="H609" s="4">
        <f>CHOOSE( CONTROL!$C$32, 17.949, 17.9454) * CHOOSE(CONTROL!$C$15, $D$11, 100%, $F$11)</f>
        <v>17.949000000000002</v>
      </c>
      <c r="I609" s="8">
        <f>CHOOSE( CONTROL!$C$32, 16.8017, 16.7982) * CHOOSE(CONTROL!$C$15, $D$11, 100%, $F$11)</f>
        <v>16.8017</v>
      </c>
      <c r="J609" s="4">
        <f>CHOOSE( CONTROL!$C$32, 16.6518, 16.6483) * CHOOSE(CONTROL!$C$15, $D$11, 100%, $F$11)</f>
        <v>16.651800000000001</v>
      </c>
      <c r="K609" s="4"/>
      <c r="L609" s="9">
        <v>30.7165</v>
      </c>
      <c r="M609" s="9">
        <v>12.063700000000001</v>
      </c>
      <c r="N609" s="9">
        <v>4.9444999999999997</v>
      </c>
      <c r="O609" s="9">
        <v>0.37409999999999999</v>
      </c>
      <c r="P609" s="9">
        <v>1.2183999999999999</v>
      </c>
      <c r="Q609" s="9">
        <v>19.688099999999999</v>
      </c>
      <c r="R609" s="9"/>
      <c r="S609" s="11"/>
    </row>
    <row r="610" spans="1:19" ht="15.75">
      <c r="A610" s="13">
        <v>60083</v>
      </c>
      <c r="B610" s="8">
        <f>CHOOSE( CONTROL!$C$32, 16.8933, 16.8897) * CHOOSE(CONTROL!$C$15, $D$11, 100%, $F$11)</f>
        <v>16.8933</v>
      </c>
      <c r="C610" s="8">
        <f>CHOOSE( CONTROL!$C$32, 16.9013, 16.8977) * CHOOSE(CONTROL!$C$15, $D$11, 100%, $F$11)</f>
        <v>16.901299999999999</v>
      </c>
      <c r="D610" s="8">
        <f>CHOOSE( CONTROL!$C$32, 16.9393, 16.9356) * CHOOSE( CONTROL!$C$15, $D$11, 100%, $F$11)</f>
        <v>16.939299999999999</v>
      </c>
      <c r="E610" s="12">
        <f>CHOOSE( CONTROL!$C$32, 16.9243, 16.9206) * CHOOSE( CONTROL!$C$15, $D$11, 100%, $F$11)</f>
        <v>16.924299999999999</v>
      </c>
      <c r="F610" s="4">
        <f>CHOOSE( CONTROL!$C$32, 17.6363, 17.6327) * CHOOSE(CONTROL!$C$15, $D$11, 100%, $F$11)</f>
        <v>17.636299999999999</v>
      </c>
      <c r="G610" s="8">
        <f>CHOOSE( CONTROL!$C$32, 16.7017, 16.6981) * CHOOSE( CONTROL!$C$15, $D$11, 100%, $F$11)</f>
        <v>16.701699999999999</v>
      </c>
      <c r="H610" s="4">
        <f>CHOOSE( CONTROL!$C$32, 17.6764, 17.6728) * CHOOSE(CONTROL!$C$15, $D$11, 100%, $F$11)</f>
        <v>17.676400000000001</v>
      </c>
      <c r="I610" s="8">
        <f>CHOOSE( CONTROL!$C$32, 16.5349, 16.5314) * CHOOSE(CONTROL!$C$15, $D$11, 100%, $F$11)</f>
        <v>16.5349</v>
      </c>
      <c r="J610" s="4">
        <f>CHOOSE( CONTROL!$C$32, 16.3842, 16.3806) * CHOOSE(CONTROL!$C$15, $D$11, 100%, $F$11)</f>
        <v>16.3842</v>
      </c>
      <c r="K610" s="4"/>
      <c r="L610" s="9">
        <v>29.7257</v>
      </c>
      <c r="M610" s="9">
        <v>11.6745</v>
      </c>
      <c r="N610" s="9">
        <v>4.7850000000000001</v>
      </c>
      <c r="O610" s="9">
        <v>0.36199999999999999</v>
      </c>
      <c r="P610" s="9">
        <v>1.1791</v>
      </c>
      <c r="Q610" s="9">
        <v>19.053000000000001</v>
      </c>
      <c r="R610" s="9"/>
      <c r="S610" s="11"/>
    </row>
    <row r="611" spans="1:19" ht="15.75">
      <c r="A611" s="13">
        <v>60114</v>
      </c>
      <c r="B611" s="8">
        <f>CHOOSE( CONTROL!$C$32, 17.6196, 17.616) * CHOOSE(CONTROL!$C$15, $D$11, 100%, $F$11)</f>
        <v>17.619599999999998</v>
      </c>
      <c r="C611" s="8">
        <f>CHOOSE( CONTROL!$C$32, 17.6276, 17.624) * CHOOSE(CONTROL!$C$15, $D$11, 100%, $F$11)</f>
        <v>17.627600000000001</v>
      </c>
      <c r="D611" s="8">
        <f>CHOOSE( CONTROL!$C$32, 17.6658, 17.6622) * CHOOSE( CONTROL!$C$15, $D$11, 100%, $F$11)</f>
        <v>17.665800000000001</v>
      </c>
      <c r="E611" s="12">
        <f>CHOOSE( CONTROL!$C$32, 17.6507, 17.6471) * CHOOSE( CONTROL!$C$15, $D$11, 100%, $F$11)</f>
        <v>17.650700000000001</v>
      </c>
      <c r="F611" s="4">
        <f>CHOOSE( CONTROL!$C$32, 18.3626, 18.359) * CHOOSE(CONTROL!$C$15, $D$11, 100%, $F$11)</f>
        <v>18.3626</v>
      </c>
      <c r="G611" s="8">
        <f>CHOOSE( CONTROL!$C$32, 17.4199, 17.4163) * CHOOSE( CONTROL!$C$15, $D$11, 100%, $F$11)</f>
        <v>17.419899999999998</v>
      </c>
      <c r="H611" s="4">
        <f>CHOOSE( CONTROL!$C$32, 18.3942, 18.3906) * CHOOSE(CONTROL!$C$15, $D$11, 100%, $F$11)</f>
        <v>18.394200000000001</v>
      </c>
      <c r="I611" s="8">
        <f>CHOOSE( CONTROL!$C$32, 17.2413, 17.2378) * CHOOSE(CONTROL!$C$15, $D$11, 100%, $F$11)</f>
        <v>17.241299999999999</v>
      </c>
      <c r="J611" s="4">
        <f>CHOOSE( CONTROL!$C$32, 17.089, 17.0855) * CHOOSE(CONTROL!$C$15, $D$11, 100%, $F$11)</f>
        <v>17.088999999999999</v>
      </c>
      <c r="K611" s="4"/>
      <c r="L611" s="9">
        <v>30.7165</v>
      </c>
      <c r="M611" s="9">
        <v>12.063700000000001</v>
      </c>
      <c r="N611" s="9">
        <v>4.9444999999999997</v>
      </c>
      <c r="O611" s="9">
        <v>0.37409999999999999</v>
      </c>
      <c r="P611" s="9">
        <v>1.2183999999999999</v>
      </c>
      <c r="Q611" s="9">
        <v>19.688099999999999</v>
      </c>
      <c r="R611" s="9"/>
      <c r="S611" s="11"/>
    </row>
    <row r="612" spans="1:19" ht="15.75">
      <c r="A612" s="13">
        <v>60145</v>
      </c>
      <c r="B612" s="8">
        <f>CHOOSE( CONTROL!$C$32, 16.2607, 16.257) * CHOOSE(CONTROL!$C$15, $D$11, 100%, $F$11)</f>
        <v>16.2607</v>
      </c>
      <c r="C612" s="8">
        <f>CHOOSE( CONTROL!$C$32, 16.2686, 16.265) * CHOOSE(CONTROL!$C$15, $D$11, 100%, $F$11)</f>
        <v>16.268599999999999</v>
      </c>
      <c r="D612" s="8">
        <f>CHOOSE( CONTROL!$C$32, 16.3069, 16.3032) * CHOOSE( CONTROL!$C$15, $D$11, 100%, $F$11)</f>
        <v>16.306899999999999</v>
      </c>
      <c r="E612" s="12">
        <f>CHOOSE( CONTROL!$C$32, 16.2918, 16.2881) * CHOOSE( CONTROL!$C$15, $D$11, 100%, $F$11)</f>
        <v>16.291799999999999</v>
      </c>
      <c r="F612" s="4">
        <f>CHOOSE( CONTROL!$C$32, 17.0037, 17) * CHOOSE(CONTROL!$C$15, $D$11, 100%, $F$11)</f>
        <v>17.003699999999998</v>
      </c>
      <c r="G612" s="8">
        <f>CHOOSE( CONTROL!$C$32, 16.0769, 16.0733) * CHOOSE( CONTROL!$C$15, $D$11, 100%, $F$11)</f>
        <v>16.076899999999998</v>
      </c>
      <c r="H612" s="4">
        <f>CHOOSE( CONTROL!$C$32, 17.0512, 17.0476) * CHOOSE(CONTROL!$C$15, $D$11, 100%, $F$11)</f>
        <v>17.051200000000001</v>
      </c>
      <c r="I612" s="8">
        <f>CHOOSE( CONTROL!$C$32, 15.922, 15.9185) * CHOOSE(CONTROL!$C$15, $D$11, 100%, $F$11)</f>
        <v>15.922000000000001</v>
      </c>
      <c r="J612" s="4">
        <f>CHOOSE( CONTROL!$C$32, 15.7701, 15.7666) * CHOOSE(CONTROL!$C$15, $D$11, 100%, $F$11)</f>
        <v>15.770099999999999</v>
      </c>
      <c r="K612" s="4"/>
      <c r="L612" s="9">
        <v>30.7165</v>
      </c>
      <c r="M612" s="9">
        <v>12.063700000000001</v>
      </c>
      <c r="N612" s="9">
        <v>4.9444999999999997</v>
      </c>
      <c r="O612" s="9">
        <v>0.37409999999999999</v>
      </c>
      <c r="P612" s="9">
        <v>1.2183999999999999</v>
      </c>
      <c r="Q612" s="9">
        <v>19.688099999999999</v>
      </c>
      <c r="R612" s="9"/>
      <c r="S612" s="11"/>
    </row>
    <row r="613" spans="1:19" ht="15.75">
      <c r="A613" s="13">
        <v>60175</v>
      </c>
      <c r="B613" s="8">
        <f>CHOOSE( CONTROL!$C$32, 15.9204, 15.9167) * CHOOSE(CONTROL!$C$15, $D$11, 100%, $F$11)</f>
        <v>15.920400000000001</v>
      </c>
      <c r="C613" s="8">
        <f>CHOOSE( CONTROL!$C$32, 15.9283, 15.9247) * CHOOSE(CONTROL!$C$15, $D$11, 100%, $F$11)</f>
        <v>15.9283</v>
      </c>
      <c r="D613" s="8">
        <f>CHOOSE( CONTROL!$C$32, 15.9665, 15.9629) * CHOOSE( CONTROL!$C$15, $D$11, 100%, $F$11)</f>
        <v>15.9665</v>
      </c>
      <c r="E613" s="12">
        <f>CHOOSE( CONTROL!$C$32, 15.9515, 15.9478) * CHOOSE( CONTROL!$C$15, $D$11, 100%, $F$11)</f>
        <v>15.951499999999999</v>
      </c>
      <c r="F613" s="4">
        <f>CHOOSE( CONTROL!$C$32, 16.6634, 16.6597) * CHOOSE(CONTROL!$C$15, $D$11, 100%, $F$11)</f>
        <v>16.663399999999999</v>
      </c>
      <c r="G613" s="8">
        <f>CHOOSE( CONTROL!$C$32, 15.7405, 15.7369) * CHOOSE( CONTROL!$C$15, $D$11, 100%, $F$11)</f>
        <v>15.740500000000001</v>
      </c>
      <c r="H613" s="4">
        <f>CHOOSE( CONTROL!$C$32, 16.7149, 16.7113) * CHOOSE(CONTROL!$C$15, $D$11, 100%, $F$11)</f>
        <v>16.7149</v>
      </c>
      <c r="I613" s="8">
        <f>CHOOSE( CONTROL!$C$32, 15.5912, 15.5877) * CHOOSE(CONTROL!$C$15, $D$11, 100%, $F$11)</f>
        <v>15.591200000000001</v>
      </c>
      <c r="J613" s="4">
        <f>CHOOSE( CONTROL!$C$32, 15.4399, 15.4364) * CHOOSE(CONTROL!$C$15, $D$11, 100%, $F$11)</f>
        <v>15.4399</v>
      </c>
      <c r="K613" s="4"/>
      <c r="L613" s="9">
        <v>29.7257</v>
      </c>
      <c r="M613" s="9">
        <v>11.6745</v>
      </c>
      <c r="N613" s="9">
        <v>4.7850000000000001</v>
      </c>
      <c r="O613" s="9">
        <v>0.36199999999999999</v>
      </c>
      <c r="P613" s="9">
        <v>1.1791</v>
      </c>
      <c r="Q613" s="9">
        <v>19.053000000000001</v>
      </c>
      <c r="R613" s="9"/>
      <c r="S613" s="11"/>
    </row>
    <row r="614" spans="1:19" ht="15.75">
      <c r="A614" s="13">
        <v>60206</v>
      </c>
      <c r="B614" s="8">
        <f>16.6216 * CHOOSE(CONTROL!$C$15, $D$11, 100%, $F$11)</f>
        <v>16.621600000000001</v>
      </c>
      <c r="C614" s="8">
        <f>16.6269 * CHOOSE(CONTROL!$C$15, $D$11, 100%, $F$11)</f>
        <v>16.626899999999999</v>
      </c>
      <c r="D614" s="8">
        <f>16.6704 * CHOOSE( CONTROL!$C$15, $D$11, 100%, $F$11)</f>
        <v>16.670400000000001</v>
      </c>
      <c r="E614" s="12">
        <f>16.6555 * CHOOSE( CONTROL!$C$15, $D$11, 100%, $F$11)</f>
        <v>16.6555</v>
      </c>
      <c r="F614" s="4">
        <f>17.3663 * CHOOSE(CONTROL!$C$15, $D$11, 100%, $F$11)</f>
        <v>17.366299999999999</v>
      </c>
      <c r="G614" s="8">
        <f>16.4347 * CHOOSE( CONTROL!$C$15, $D$11, 100%, $F$11)</f>
        <v>16.434699999999999</v>
      </c>
      <c r="H614" s="4">
        <f>17.4096 * CHOOSE(CONTROL!$C$15, $D$11, 100%, $F$11)</f>
        <v>17.409600000000001</v>
      </c>
      <c r="I614" s="8">
        <f>16.2745 * CHOOSE(CONTROL!$C$15, $D$11, 100%, $F$11)</f>
        <v>16.2745</v>
      </c>
      <c r="J614" s="4">
        <f>16.1221 * CHOOSE(CONTROL!$C$15, $D$11, 100%, $F$11)</f>
        <v>16.1221</v>
      </c>
      <c r="K614" s="4"/>
      <c r="L614" s="9">
        <v>31.095300000000002</v>
      </c>
      <c r="M614" s="9">
        <v>12.063700000000001</v>
      </c>
      <c r="N614" s="9">
        <v>4.9444999999999997</v>
      </c>
      <c r="O614" s="9">
        <v>0.37409999999999999</v>
      </c>
      <c r="P614" s="9">
        <v>1.2183999999999999</v>
      </c>
      <c r="Q614" s="9">
        <v>19.688099999999999</v>
      </c>
      <c r="R614" s="9"/>
      <c r="S614" s="11"/>
    </row>
    <row r="615" spans="1:19" ht="15.75">
      <c r="A615" s="13">
        <v>60236</v>
      </c>
      <c r="B615" s="8">
        <f>17.9254 * CHOOSE(CONTROL!$C$15, $D$11, 100%, $F$11)</f>
        <v>17.9254</v>
      </c>
      <c r="C615" s="8">
        <f>17.9304 * CHOOSE(CONTROL!$C$15, $D$11, 100%, $F$11)</f>
        <v>17.930399999999999</v>
      </c>
      <c r="D615" s="8">
        <f>17.9141 * CHOOSE( CONTROL!$C$15, $D$11, 100%, $F$11)</f>
        <v>17.914100000000001</v>
      </c>
      <c r="E615" s="12">
        <f>17.9195 * CHOOSE( CONTROL!$C$15, $D$11, 100%, $F$11)</f>
        <v>17.919499999999999</v>
      </c>
      <c r="F615" s="4">
        <f>18.5907 * CHOOSE(CONTROL!$C$15, $D$11, 100%, $F$11)</f>
        <v>18.590699999999998</v>
      </c>
      <c r="G615" s="8">
        <f>17.7242 * CHOOSE( CONTROL!$C$15, $D$11, 100%, $F$11)</f>
        <v>17.7242</v>
      </c>
      <c r="H615" s="4">
        <f>18.6196 * CHOOSE(CONTROL!$C$15, $D$11, 100%, $F$11)</f>
        <v>18.619599999999998</v>
      </c>
      <c r="I615" s="8">
        <f>17.541 * CHOOSE(CONTROL!$C$15, $D$11, 100%, $F$11)</f>
        <v>17.541</v>
      </c>
      <c r="J615" s="4">
        <f>17.3878 * CHOOSE(CONTROL!$C$15, $D$11, 100%, $F$11)</f>
        <v>17.387799999999999</v>
      </c>
      <c r="K615" s="4"/>
      <c r="L615" s="9">
        <v>28.360600000000002</v>
      </c>
      <c r="M615" s="9">
        <v>11.6745</v>
      </c>
      <c r="N615" s="9">
        <v>4.7850000000000001</v>
      </c>
      <c r="O615" s="9">
        <v>0.36199999999999999</v>
      </c>
      <c r="P615" s="9">
        <v>1.2509999999999999</v>
      </c>
      <c r="Q615" s="9">
        <v>19.053000000000001</v>
      </c>
      <c r="R615" s="9"/>
      <c r="S615" s="11"/>
    </row>
    <row r="616" spans="1:19" ht="15.75">
      <c r="A616" s="13">
        <v>60267</v>
      </c>
      <c r="B616" s="8">
        <f>17.8928 * CHOOSE(CONTROL!$C$15, $D$11, 100%, $F$11)</f>
        <v>17.892800000000001</v>
      </c>
      <c r="C616" s="8">
        <f>17.8979 * CHOOSE(CONTROL!$C$15, $D$11, 100%, $F$11)</f>
        <v>17.8979</v>
      </c>
      <c r="D616" s="8">
        <f>17.8832 * CHOOSE( CONTROL!$C$15, $D$11, 100%, $F$11)</f>
        <v>17.883199999999999</v>
      </c>
      <c r="E616" s="12">
        <f>17.888 * CHOOSE( CONTROL!$C$15, $D$11, 100%, $F$11)</f>
        <v>17.888000000000002</v>
      </c>
      <c r="F616" s="4">
        <f>18.5581 * CHOOSE(CONTROL!$C$15, $D$11, 100%, $F$11)</f>
        <v>18.5581</v>
      </c>
      <c r="G616" s="8">
        <f>17.6932 * CHOOSE( CONTROL!$C$15, $D$11, 100%, $F$11)</f>
        <v>17.693200000000001</v>
      </c>
      <c r="H616" s="4">
        <f>18.5874 * CHOOSE(CONTROL!$C$15, $D$11, 100%, $F$11)</f>
        <v>18.587399999999999</v>
      </c>
      <c r="I616" s="8">
        <f>17.5148 * CHOOSE(CONTROL!$C$15, $D$11, 100%, $F$11)</f>
        <v>17.514800000000001</v>
      </c>
      <c r="J616" s="4">
        <f>17.3562 * CHOOSE(CONTROL!$C$15, $D$11, 100%, $F$11)</f>
        <v>17.356200000000001</v>
      </c>
      <c r="K616" s="4"/>
      <c r="L616" s="9">
        <v>29.306000000000001</v>
      </c>
      <c r="M616" s="9">
        <v>12.063700000000001</v>
      </c>
      <c r="N616" s="9">
        <v>4.9444999999999997</v>
      </c>
      <c r="O616" s="9">
        <v>0.37409999999999999</v>
      </c>
      <c r="P616" s="9">
        <v>1.2927</v>
      </c>
      <c r="Q616" s="9">
        <v>19.688099999999999</v>
      </c>
      <c r="R616" s="9"/>
      <c r="S616" s="11"/>
    </row>
    <row r="617" spans="1:19" ht="15.75">
      <c r="A617" s="13">
        <v>60298</v>
      </c>
      <c r="B617" s="8">
        <f>18.4203 * CHOOSE(CONTROL!$C$15, $D$11, 100%, $F$11)</f>
        <v>18.420300000000001</v>
      </c>
      <c r="C617" s="8">
        <f>18.4254 * CHOOSE(CONTROL!$C$15, $D$11, 100%, $F$11)</f>
        <v>18.4254</v>
      </c>
      <c r="D617" s="8">
        <f>18.3965 * CHOOSE( CONTROL!$C$15, $D$11, 100%, $F$11)</f>
        <v>18.3965</v>
      </c>
      <c r="E617" s="12">
        <f>18.4065 * CHOOSE( CONTROL!$C$15, $D$11, 100%, $F$11)</f>
        <v>18.406500000000001</v>
      </c>
      <c r="F617" s="4">
        <f>19.0856 * CHOOSE(CONTROL!$C$15, $D$11, 100%, $F$11)</f>
        <v>19.085599999999999</v>
      </c>
      <c r="G617" s="8">
        <f>18.2043 * CHOOSE( CONTROL!$C$15, $D$11, 100%, $F$11)</f>
        <v>18.2043</v>
      </c>
      <c r="H617" s="4">
        <f>19.1087 * CHOOSE(CONTROL!$C$15, $D$11, 100%, $F$11)</f>
        <v>19.108699999999999</v>
      </c>
      <c r="I617" s="8">
        <f>18.0216 * CHOOSE(CONTROL!$C$15, $D$11, 100%, $F$11)</f>
        <v>18.021599999999999</v>
      </c>
      <c r="J617" s="4">
        <f>17.8681 * CHOOSE(CONTROL!$C$15, $D$11, 100%, $F$11)</f>
        <v>17.868099999999998</v>
      </c>
      <c r="K617" s="4"/>
      <c r="L617" s="9">
        <v>29.306000000000001</v>
      </c>
      <c r="M617" s="9">
        <v>12.063700000000001</v>
      </c>
      <c r="N617" s="9">
        <v>4.9444999999999997</v>
      </c>
      <c r="O617" s="9">
        <v>0.37409999999999999</v>
      </c>
      <c r="P617" s="9">
        <v>1.2927</v>
      </c>
      <c r="Q617" s="9">
        <v>19.688099999999999</v>
      </c>
      <c r="R617" s="9"/>
      <c r="S617" s="11"/>
    </row>
    <row r="618" spans="1:19" ht="15.75">
      <c r="A618" s="13">
        <v>60326</v>
      </c>
      <c r="B618" s="8">
        <f>17.23 * CHOOSE(CONTROL!$C$15, $D$11, 100%, $F$11)</f>
        <v>17.23</v>
      </c>
      <c r="C618" s="8">
        <f>17.2351 * CHOOSE(CONTROL!$C$15, $D$11, 100%, $F$11)</f>
        <v>17.235099999999999</v>
      </c>
      <c r="D618" s="8">
        <f>17.2062 * CHOOSE( CONTROL!$C$15, $D$11, 100%, $F$11)</f>
        <v>17.206199999999999</v>
      </c>
      <c r="E618" s="12">
        <f>17.2162 * CHOOSE( CONTROL!$C$15, $D$11, 100%, $F$11)</f>
        <v>17.216200000000001</v>
      </c>
      <c r="F618" s="4">
        <f>17.8953 * CHOOSE(CONTROL!$C$15, $D$11, 100%, $F$11)</f>
        <v>17.895299999999999</v>
      </c>
      <c r="G618" s="8">
        <f>17.028 * CHOOSE( CONTROL!$C$15, $D$11, 100%, $F$11)</f>
        <v>17.027999999999999</v>
      </c>
      <c r="H618" s="4">
        <f>17.9324 * CHOOSE(CONTROL!$C$15, $D$11, 100%, $F$11)</f>
        <v>17.932400000000001</v>
      </c>
      <c r="I618" s="8">
        <f>16.8658 * CHOOSE(CONTROL!$C$15, $D$11, 100%, $F$11)</f>
        <v>16.8658</v>
      </c>
      <c r="J618" s="4">
        <f>16.713 * CHOOSE(CONTROL!$C$15, $D$11, 100%, $F$11)</f>
        <v>16.713000000000001</v>
      </c>
      <c r="K618" s="4"/>
      <c r="L618" s="9">
        <v>26.469899999999999</v>
      </c>
      <c r="M618" s="9">
        <v>10.8962</v>
      </c>
      <c r="N618" s="9">
        <v>4.4660000000000002</v>
      </c>
      <c r="O618" s="9">
        <v>0.33789999999999998</v>
      </c>
      <c r="P618" s="9">
        <v>1.1676</v>
      </c>
      <c r="Q618" s="9">
        <v>17.782800000000002</v>
      </c>
      <c r="R618" s="9"/>
      <c r="S618" s="11"/>
    </row>
    <row r="619" spans="1:19" ht="15.75">
      <c r="A619" s="13">
        <v>60357</v>
      </c>
      <c r="B619" s="8">
        <f>16.8634 * CHOOSE(CONTROL!$C$15, $D$11, 100%, $F$11)</f>
        <v>16.863399999999999</v>
      </c>
      <c r="C619" s="8">
        <f>16.8685 * CHOOSE(CONTROL!$C$15, $D$11, 100%, $F$11)</f>
        <v>16.868500000000001</v>
      </c>
      <c r="D619" s="8">
        <f>16.8392 * CHOOSE( CONTROL!$C$15, $D$11, 100%, $F$11)</f>
        <v>16.839200000000002</v>
      </c>
      <c r="E619" s="12">
        <f>16.8494 * CHOOSE( CONTROL!$C$15, $D$11, 100%, $F$11)</f>
        <v>16.849399999999999</v>
      </c>
      <c r="F619" s="4">
        <f>17.5287 * CHOOSE(CONTROL!$C$15, $D$11, 100%, $F$11)</f>
        <v>17.528700000000001</v>
      </c>
      <c r="G619" s="8">
        <f>16.6654 * CHOOSE( CONTROL!$C$15, $D$11, 100%, $F$11)</f>
        <v>16.665400000000002</v>
      </c>
      <c r="H619" s="4">
        <f>17.5701 * CHOOSE(CONTROL!$C$15, $D$11, 100%, $F$11)</f>
        <v>17.5701</v>
      </c>
      <c r="I619" s="8">
        <f>16.5086 * CHOOSE(CONTROL!$C$15, $D$11, 100%, $F$11)</f>
        <v>16.508600000000001</v>
      </c>
      <c r="J619" s="4">
        <f>16.3572 * CHOOSE(CONTROL!$C$15, $D$11, 100%, $F$11)</f>
        <v>16.357199999999999</v>
      </c>
      <c r="K619" s="4"/>
      <c r="L619" s="9">
        <v>29.306000000000001</v>
      </c>
      <c r="M619" s="9">
        <v>12.063700000000001</v>
      </c>
      <c r="N619" s="9">
        <v>4.9444999999999997</v>
      </c>
      <c r="O619" s="9">
        <v>0.37409999999999999</v>
      </c>
      <c r="P619" s="9">
        <v>1.2927</v>
      </c>
      <c r="Q619" s="9">
        <v>19.688099999999999</v>
      </c>
      <c r="R619" s="9"/>
      <c r="S619" s="11"/>
    </row>
    <row r="620" spans="1:19" ht="15.75">
      <c r="A620" s="13">
        <v>60387</v>
      </c>
      <c r="B620" s="8">
        <f>17.1204 * CHOOSE(CONTROL!$C$15, $D$11, 100%, $F$11)</f>
        <v>17.1204</v>
      </c>
      <c r="C620" s="8">
        <f>17.1249 * CHOOSE(CONTROL!$C$15, $D$11, 100%, $F$11)</f>
        <v>17.1249</v>
      </c>
      <c r="D620" s="8">
        <f>17.1683 * CHOOSE( CONTROL!$C$15, $D$11, 100%, $F$11)</f>
        <v>17.168299999999999</v>
      </c>
      <c r="E620" s="12">
        <f>17.1535 * CHOOSE( CONTROL!$C$15, $D$11, 100%, $F$11)</f>
        <v>17.153500000000001</v>
      </c>
      <c r="F620" s="4">
        <f>17.8648 * CHOOSE(CONTROL!$C$15, $D$11, 100%, $F$11)</f>
        <v>17.864799999999999</v>
      </c>
      <c r="G620" s="8">
        <f>16.9263 * CHOOSE( CONTROL!$C$15, $D$11, 100%, $F$11)</f>
        <v>16.926300000000001</v>
      </c>
      <c r="H620" s="4">
        <f>17.9022 * CHOOSE(CONTROL!$C$15, $D$11, 100%, $F$11)</f>
        <v>17.902200000000001</v>
      </c>
      <c r="I620" s="8">
        <f>16.7556 * CHOOSE(CONTROL!$C$15, $D$11, 100%, $F$11)</f>
        <v>16.755600000000001</v>
      </c>
      <c r="J620" s="4">
        <f>16.6058 * CHOOSE(CONTROL!$C$15, $D$11, 100%, $F$11)</f>
        <v>16.605799999999999</v>
      </c>
      <c r="K620" s="4"/>
      <c r="L620" s="9">
        <v>30.092199999999998</v>
      </c>
      <c r="M620" s="9">
        <v>11.6745</v>
      </c>
      <c r="N620" s="9">
        <v>4.7850000000000001</v>
      </c>
      <c r="O620" s="9">
        <v>0.36199999999999999</v>
      </c>
      <c r="P620" s="9">
        <v>1.1791</v>
      </c>
      <c r="Q620" s="9">
        <v>19.053000000000001</v>
      </c>
      <c r="R620" s="9"/>
      <c r="S620" s="11"/>
    </row>
    <row r="621" spans="1:19" ht="15.75">
      <c r="A621" s="13">
        <v>60418</v>
      </c>
      <c r="B621" s="8">
        <f>CHOOSE( CONTROL!$C$32, 17.5813, 17.5777) * CHOOSE(CONTROL!$C$15, $D$11, 100%, $F$11)</f>
        <v>17.581299999999999</v>
      </c>
      <c r="C621" s="8">
        <f>CHOOSE( CONTROL!$C$32, 17.5893, 17.5856) * CHOOSE(CONTROL!$C$15, $D$11, 100%, $F$11)</f>
        <v>17.589300000000001</v>
      </c>
      <c r="D621" s="8">
        <f>CHOOSE( CONTROL!$C$32, 17.627, 17.6234) * CHOOSE( CONTROL!$C$15, $D$11, 100%, $F$11)</f>
        <v>17.626999999999999</v>
      </c>
      <c r="E621" s="12">
        <f>CHOOSE( CONTROL!$C$32, 17.6121, 17.6085) * CHOOSE( CONTROL!$C$15, $D$11, 100%, $F$11)</f>
        <v>17.612100000000002</v>
      </c>
      <c r="F621" s="4">
        <f>CHOOSE( CONTROL!$C$32, 18.3243, 18.3207) * CHOOSE(CONTROL!$C$15, $D$11, 100%, $F$11)</f>
        <v>18.324300000000001</v>
      </c>
      <c r="G621" s="8">
        <f>CHOOSE( CONTROL!$C$32, 17.3813, 17.3777) * CHOOSE( CONTROL!$C$15, $D$11, 100%, $F$11)</f>
        <v>17.3813</v>
      </c>
      <c r="H621" s="4">
        <f>CHOOSE( CONTROL!$C$32, 18.3564, 18.3528) * CHOOSE(CONTROL!$C$15, $D$11, 100%, $F$11)</f>
        <v>18.356400000000001</v>
      </c>
      <c r="I621" s="8">
        <f>CHOOSE( CONTROL!$C$32, 17.2019, 17.1984) * CHOOSE(CONTROL!$C$15, $D$11, 100%, $F$11)</f>
        <v>17.201899999999998</v>
      </c>
      <c r="J621" s="4">
        <f>CHOOSE( CONTROL!$C$32, 17.0518, 17.0483) * CHOOSE(CONTROL!$C$15, $D$11, 100%, $F$11)</f>
        <v>17.0518</v>
      </c>
      <c r="K621" s="4"/>
      <c r="L621" s="9">
        <v>30.7165</v>
      </c>
      <c r="M621" s="9">
        <v>12.063700000000001</v>
      </c>
      <c r="N621" s="9">
        <v>4.9444999999999997</v>
      </c>
      <c r="O621" s="9">
        <v>0.37409999999999999</v>
      </c>
      <c r="P621" s="9">
        <v>1.2183999999999999</v>
      </c>
      <c r="Q621" s="9">
        <v>19.688099999999999</v>
      </c>
      <c r="R621" s="9"/>
      <c r="S621" s="11"/>
    </row>
    <row r="622" spans="1:19" ht="15.75">
      <c r="A622" s="13">
        <v>60448</v>
      </c>
      <c r="B622" s="8">
        <f>CHOOSE( CONTROL!$C$32, 17.2989, 17.2952) * CHOOSE(CONTROL!$C$15, $D$11, 100%, $F$11)</f>
        <v>17.2989</v>
      </c>
      <c r="C622" s="8">
        <f>CHOOSE( CONTROL!$C$32, 17.3069, 17.3032) * CHOOSE(CONTROL!$C$15, $D$11, 100%, $F$11)</f>
        <v>17.306899999999999</v>
      </c>
      <c r="D622" s="8">
        <f>CHOOSE( CONTROL!$C$32, 17.3448, 17.3412) * CHOOSE( CONTROL!$C$15, $D$11, 100%, $F$11)</f>
        <v>17.344799999999999</v>
      </c>
      <c r="E622" s="12">
        <f>CHOOSE( CONTROL!$C$32, 17.3298, 17.3262) * CHOOSE( CONTROL!$C$15, $D$11, 100%, $F$11)</f>
        <v>17.329799999999999</v>
      </c>
      <c r="F622" s="4">
        <f>CHOOSE( CONTROL!$C$32, 18.0419, 18.0382) * CHOOSE(CONTROL!$C$15, $D$11, 100%, $F$11)</f>
        <v>18.041899999999998</v>
      </c>
      <c r="G622" s="8">
        <f>CHOOSE( CONTROL!$C$32, 17.1025, 17.0989) * CHOOSE( CONTROL!$C$15, $D$11, 100%, $F$11)</f>
        <v>17.102499999999999</v>
      </c>
      <c r="H622" s="4">
        <f>CHOOSE( CONTROL!$C$32, 18.0772, 18.0736) * CHOOSE(CONTROL!$C$15, $D$11, 100%, $F$11)</f>
        <v>18.077200000000001</v>
      </c>
      <c r="I622" s="8">
        <f>CHOOSE( CONTROL!$C$32, 16.9287, 16.9252) * CHOOSE(CONTROL!$C$15, $D$11, 100%, $F$11)</f>
        <v>16.928699999999999</v>
      </c>
      <c r="J622" s="4">
        <f>CHOOSE( CONTROL!$C$32, 16.7777, 16.7742) * CHOOSE(CONTROL!$C$15, $D$11, 100%, $F$11)</f>
        <v>16.777699999999999</v>
      </c>
      <c r="K622" s="4"/>
      <c r="L622" s="9">
        <v>29.7257</v>
      </c>
      <c r="M622" s="9">
        <v>11.6745</v>
      </c>
      <c r="N622" s="9">
        <v>4.7850000000000001</v>
      </c>
      <c r="O622" s="9">
        <v>0.36199999999999999</v>
      </c>
      <c r="P622" s="9">
        <v>1.1791</v>
      </c>
      <c r="Q622" s="9">
        <v>19.053000000000001</v>
      </c>
      <c r="R622" s="9"/>
      <c r="S622" s="11"/>
    </row>
    <row r="623" spans="1:19" ht="15.75">
      <c r="A623" s="13">
        <v>60479</v>
      </c>
      <c r="B623" s="8">
        <f>CHOOSE( CONTROL!$C$32, 18.0426, 18.039) * CHOOSE(CONTROL!$C$15, $D$11, 100%, $F$11)</f>
        <v>18.0426</v>
      </c>
      <c r="C623" s="8">
        <f>CHOOSE( CONTROL!$C$32, 18.0506, 18.047) * CHOOSE(CONTROL!$C$15, $D$11, 100%, $F$11)</f>
        <v>18.050599999999999</v>
      </c>
      <c r="D623" s="8">
        <f>CHOOSE( CONTROL!$C$32, 18.0888, 18.0852) * CHOOSE( CONTROL!$C$15, $D$11, 100%, $F$11)</f>
        <v>18.088799999999999</v>
      </c>
      <c r="E623" s="12">
        <f>CHOOSE( CONTROL!$C$32, 18.0737, 18.0701) * CHOOSE( CONTROL!$C$15, $D$11, 100%, $F$11)</f>
        <v>18.073699999999999</v>
      </c>
      <c r="F623" s="4">
        <f>CHOOSE( CONTROL!$C$32, 18.7856, 18.782) * CHOOSE(CONTROL!$C$15, $D$11, 100%, $F$11)</f>
        <v>18.785599999999999</v>
      </c>
      <c r="G623" s="8">
        <f>CHOOSE( CONTROL!$C$32, 17.8379, 17.8343) * CHOOSE( CONTROL!$C$15, $D$11, 100%, $F$11)</f>
        <v>17.837900000000001</v>
      </c>
      <c r="H623" s="4">
        <f>CHOOSE( CONTROL!$C$32, 18.8123, 18.8087) * CHOOSE(CONTROL!$C$15, $D$11, 100%, $F$11)</f>
        <v>18.8123</v>
      </c>
      <c r="I623" s="8">
        <f>CHOOSE( CONTROL!$C$32, 17.652, 17.6485) * CHOOSE(CONTROL!$C$15, $D$11, 100%, $F$11)</f>
        <v>17.652000000000001</v>
      </c>
      <c r="J623" s="4">
        <f>CHOOSE( CONTROL!$C$32, 17.4995, 17.496) * CHOOSE(CONTROL!$C$15, $D$11, 100%, $F$11)</f>
        <v>17.499500000000001</v>
      </c>
      <c r="K623" s="4"/>
      <c r="L623" s="9">
        <v>30.7165</v>
      </c>
      <c r="M623" s="9">
        <v>12.063700000000001</v>
      </c>
      <c r="N623" s="9">
        <v>4.9444999999999997</v>
      </c>
      <c r="O623" s="9">
        <v>0.37409999999999999</v>
      </c>
      <c r="P623" s="9">
        <v>1.2183999999999999</v>
      </c>
      <c r="Q623" s="9">
        <v>19.688099999999999</v>
      </c>
      <c r="R623" s="9"/>
      <c r="S623" s="11"/>
    </row>
    <row r="624" spans="1:19" ht="15.75">
      <c r="A624" s="13">
        <v>60510</v>
      </c>
      <c r="B624" s="8">
        <f>CHOOSE( CONTROL!$C$32, 16.651, 16.6474) * CHOOSE(CONTROL!$C$15, $D$11, 100%, $F$11)</f>
        <v>16.651</v>
      </c>
      <c r="C624" s="8">
        <f>CHOOSE( CONTROL!$C$32, 16.659, 16.6553) * CHOOSE(CONTROL!$C$15, $D$11, 100%, $F$11)</f>
        <v>16.658999999999999</v>
      </c>
      <c r="D624" s="8">
        <f>CHOOSE( CONTROL!$C$32, 16.6972, 16.6936) * CHOOSE( CONTROL!$C$15, $D$11, 100%, $F$11)</f>
        <v>16.697199999999999</v>
      </c>
      <c r="E624" s="12">
        <f>CHOOSE( CONTROL!$C$32, 16.6821, 16.6785) * CHOOSE( CONTROL!$C$15, $D$11, 100%, $F$11)</f>
        <v>16.682099999999998</v>
      </c>
      <c r="F624" s="4">
        <f>CHOOSE( CONTROL!$C$32, 17.394, 17.3904) * CHOOSE(CONTROL!$C$15, $D$11, 100%, $F$11)</f>
        <v>17.393999999999998</v>
      </c>
      <c r="G624" s="8">
        <f>CHOOSE( CONTROL!$C$32, 16.4627, 16.4591) * CHOOSE( CONTROL!$C$15, $D$11, 100%, $F$11)</f>
        <v>16.462700000000002</v>
      </c>
      <c r="H624" s="4">
        <f>CHOOSE( CONTROL!$C$32, 17.437, 17.4334) * CHOOSE(CONTROL!$C$15, $D$11, 100%, $F$11)</f>
        <v>17.437000000000001</v>
      </c>
      <c r="I624" s="8">
        <f>CHOOSE( CONTROL!$C$32, 16.3011, 16.2975) * CHOOSE(CONTROL!$C$15, $D$11, 100%, $F$11)</f>
        <v>16.301100000000002</v>
      </c>
      <c r="J624" s="4">
        <f>CHOOSE( CONTROL!$C$32, 16.149, 16.1454) * CHOOSE(CONTROL!$C$15, $D$11, 100%, $F$11)</f>
        <v>16.149000000000001</v>
      </c>
      <c r="K624" s="4"/>
      <c r="L624" s="9">
        <v>30.7165</v>
      </c>
      <c r="M624" s="9">
        <v>12.063700000000001</v>
      </c>
      <c r="N624" s="9">
        <v>4.9444999999999997</v>
      </c>
      <c r="O624" s="9">
        <v>0.37409999999999999</v>
      </c>
      <c r="P624" s="9">
        <v>1.2183999999999999</v>
      </c>
      <c r="Q624" s="9">
        <v>19.688099999999999</v>
      </c>
      <c r="R624" s="9"/>
      <c r="S624" s="11"/>
    </row>
    <row r="625" spans="1:19" ht="15.75">
      <c r="A625" s="13">
        <v>60540</v>
      </c>
      <c r="B625" s="8">
        <f>CHOOSE( CONTROL!$C$32, 16.3025, 16.2989) * CHOOSE(CONTROL!$C$15, $D$11, 100%, $F$11)</f>
        <v>16.302499999999998</v>
      </c>
      <c r="C625" s="8">
        <f>CHOOSE( CONTROL!$C$32, 16.3105, 16.3069) * CHOOSE(CONTROL!$C$15, $D$11, 100%, $F$11)</f>
        <v>16.310500000000001</v>
      </c>
      <c r="D625" s="8">
        <f>CHOOSE( CONTROL!$C$32, 16.3487, 16.345) * CHOOSE( CONTROL!$C$15, $D$11, 100%, $F$11)</f>
        <v>16.348700000000001</v>
      </c>
      <c r="E625" s="12">
        <f>CHOOSE( CONTROL!$C$32, 16.3336, 16.33) * CHOOSE( CONTROL!$C$15, $D$11, 100%, $F$11)</f>
        <v>16.333600000000001</v>
      </c>
      <c r="F625" s="4">
        <f>CHOOSE( CONTROL!$C$32, 17.0455, 17.0419) * CHOOSE(CONTROL!$C$15, $D$11, 100%, $F$11)</f>
        <v>17.045500000000001</v>
      </c>
      <c r="G625" s="8">
        <f>CHOOSE( CONTROL!$C$32, 16.1182, 16.1146) * CHOOSE( CONTROL!$C$15, $D$11, 100%, $F$11)</f>
        <v>16.118200000000002</v>
      </c>
      <c r="H625" s="4">
        <f>CHOOSE( CONTROL!$C$32, 17.0926, 17.089) * CHOOSE(CONTROL!$C$15, $D$11, 100%, $F$11)</f>
        <v>17.092600000000001</v>
      </c>
      <c r="I625" s="8">
        <f>CHOOSE( CONTROL!$C$32, 15.9623, 15.9588) * CHOOSE(CONTROL!$C$15, $D$11, 100%, $F$11)</f>
        <v>15.962300000000001</v>
      </c>
      <c r="J625" s="4">
        <f>CHOOSE( CONTROL!$C$32, 15.8108, 15.8072) * CHOOSE(CONTROL!$C$15, $D$11, 100%, $F$11)</f>
        <v>15.8108</v>
      </c>
      <c r="K625" s="4"/>
      <c r="L625" s="9">
        <v>29.7257</v>
      </c>
      <c r="M625" s="9">
        <v>11.6745</v>
      </c>
      <c r="N625" s="9">
        <v>4.7850000000000001</v>
      </c>
      <c r="O625" s="9">
        <v>0.36199999999999999</v>
      </c>
      <c r="P625" s="9">
        <v>1.1791</v>
      </c>
      <c r="Q625" s="9">
        <v>19.053000000000001</v>
      </c>
      <c r="R625" s="9"/>
      <c r="S625" s="11"/>
    </row>
    <row r="626" spans="1:19" ht="15.75">
      <c r="A626" s="13">
        <v>60571</v>
      </c>
      <c r="B626" s="8">
        <f>17.0207 * CHOOSE(CONTROL!$C$15, $D$11, 100%, $F$11)</f>
        <v>17.020700000000001</v>
      </c>
      <c r="C626" s="8">
        <f>17.026 * CHOOSE(CONTROL!$C$15, $D$11, 100%, $F$11)</f>
        <v>17.026</v>
      </c>
      <c r="D626" s="8">
        <f>17.0696 * CHOOSE( CONTROL!$C$15, $D$11, 100%, $F$11)</f>
        <v>17.069600000000001</v>
      </c>
      <c r="E626" s="12">
        <f>17.0546 * CHOOSE( CONTROL!$C$15, $D$11, 100%, $F$11)</f>
        <v>17.054600000000001</v>
      </c>
      <c r="F626" s="4">
        <f>17.7654 * CHOOSE(CONTROL!$C$15, $D$11, 100%, $F$11)</f>
        <v>17.7654</v>
      </c>
      <c r="G626" s="8">
        <f>16.8291 * CHOOSE( CONTROL!$C$15, $D$11, 100%, $F$11)</f>
        <v>16.8291</v>
      </c>
      <c r="H626" s="4">
        <f>17.804 * CHOOSE(CONTROL!$C$15, $D$11, 100%, $F$11)</f>
        <v>17.803999999999998</v>
      </c>
      <c r="I626" s="8">
        <f>16.6621 * CHOOSE(CONTROL!$C$15, $D$11, 100%, $F$11)</f>
        <v>16.662099999999999</v>
      </c>
      <c r="J626" s="4">
        <f>16.5095 * CHOOSE(CONTROL!$C$15, $D$11, 100%, $F$11)</f>
        <v>16.509499999999999</v>
      </c>
      <c r="K626" s="4"/>
      <c r="L626" s="9">
        <v>31.095300000000002</v>
      </c>
      <c r="M626" s="9">
        <v>12.063700000000001</v>
      </c>
      <c r="N626" s="9">
        <v>4.9444999999999997</v>
      </c>
      <c r="O626" s="9">
        <v>0.37409999999999999</v>
      </c>
      <c r="P626" s="9">
        <v>1.2183999999999999</v>
      </c>
      <c r="Q626" s="9">
        <v>19.688099999999999</v>
      </c>
      <c r="R626" s="9"/>
      <c r="S626" s="11"/>
    </row>
    <row r="627" spans="1:19" ht="15.75">
      <c r="A627" s="13">
        <v>60601</v>
      </c>
      <c r="B627" s="8">
        <f>18.3559 * CHOOSE(CONTROL!$C$15, $D$11, 100%, $F$11)</f>
        <v>18.355899999999998</v>
      </c>
      <c r="C627" s="8">
        <f>18.3609 * CHOOSE(CONTROL!$C$15, $D$11, 100%, $F$11)</f>
        <v>18.360900000000001</v>
      </c>
      <c r="D627" s="8">
        <f>18.3446 * CHOOSE( CONTROL!$C$15, $D$11, 100%, $F$11)</f>
        <v>18.3446</v>
      </c>
      <c r="E627" s="12">
        <f>18.35 * CHOOSE( CONTROL!$C$15, $D$11, 100%, $F$11)</f>
        <v>18.350000000000001</v>
      </c>
      <c r="F627" s="4">
        <f>19.0211 * CHOOSE(CONTROL!$C$15, $D$11, 100%, $F$11)</f>
        <v>19.021100000000001</v>
      </c>
      <c r="G627" s="8">
        <f>18.1496 * CHOOSE( CONTROL!$C$15, $D$11, 100%, $F$11)</f>
        <v>18.1496</v>
      </c>
      <c r="H627" s="4">
        <f>19.045 * CHOOSE(CONTROL!$C$15, $D$11, 100%, $F$11)</f>
        <v>19.045000000000002</v>
      </c>
      <c r="I627" s="8">
        <f>17.959 * CHOOSE(CONTROL!$C$15, $D$11, 100%, $F$11)</f>
        <v>17.959</v>
      </c>
      <c r="J627" s="4">
        <f>17.8056 * CHOOSE(CONTROL!$C$15, $D$11, 100%, $F$11)</f>
        <v>17.805599999999998</v>
      </c>
      <c r="K627" s="4"/>
      <c r="L627" s="9">
        <v>28.360600000000002</v>
      </c>
      <c r="M627" s="9">
        <v>11.6745</v>
      </c>
      <c r="N627" s="9">
        <v>4.7850000000000001</v>
      </c>
      <c r="O627" s="9">
        <v>0.36199999999999999</v>
      </c>
      <c r="P627" s="9">
        <v>1.2509999999999999</v>
      </c>
      <c r="Q627" s="9">
        <v>19.053000000000001</v>
      </c>
      <c r="R627" s="9"/>
      <c r="S627" s="11"/>
    </row>
    <row r="628" spans="1:19" ht="15.75">
      <c r="A628" s="13">
        <v>60632</v>
      </c>
      <c r="B628" s="8">
        <f>18.3225 * CHOOSE(CONTROL!$C$15, $D$11, 100%, $F$11)</f>
        <v>18.322500000000002</v>
      </c>
      <c r="C628" s="8">
        <f>18.3276 * CHOOSE(CONTROL!$C$15, $D$11, 100%, $F$11)</f>
        <v>18.3276</v>
      </c>
      <c r="D628" s="8">
        <f>18.3129 * CHOOSE( CONTROL!$C$15, $D$11, 100%, $F$11)</f>
        <v>18.312899999999999</v>
      </c>
      <c r="E628" s="12">
        <f>18.3177 * CHOOSE( CONTROL!$C$15, $D$11, 100%, $F$11)</f>
        <v>18.317699999999999</v>
      </c>
      <c r="F628" s="4">
        <f>18.9878 * CHOOSE(CONTROL!$C$15, $D$11, 100%, $F$11)</f>
        <v>18.9878</v>
      </c>
      <c r="G628" s="8">
        <f>18.1179 * CHOOSE( CONTROL!$C$15, $D$11, 100%, $F$11)</f>
        <v>18.117899999999999</v>
      </c>
      <c r="H628" s="4">
        <f>19.012 * CHOOSE(CONTROL!$C$15, $D$11, 100%, $F$11)</f>
        <v>19.012</v>
      </c>
      <c r="I628" s="8">
        <f>17.932 * CHOOSE(CONTROL!$C$15, $D$11, 100%, $F$11)</f>
        <v>17.931999999999999</v>
      </c>
      <c r="J628" s="4">
        <f>17.7732 * CHOOSE(CONTROL!$C$15, $D$11, 100%, $F$11)</f>
        <v>17.773199999999999</v>
      </c>
      <c r="K628" s="4"/>
      <c r="L628" s="9">
        <v>29.306000000000001</v>
      </c>
      <c r="M628" s="9">
        <v>12.063700000000001</v>
      </c>
      <c r="N628" s="9">
        <v>4.9444999999999997</v>
      </c>
      <c r="O628" s="9">
        <v>0.37409999999999999</v>
      </c>
      <c r="P628" s="9">
        <v>1.2927</v>
      </c>
      <c r="Q628" s="9">
        <v>19.688099999999999</v>
      </c>
      <c r="R628" s="9"/>
      <c r="S628" s="11"/>
    </row>
    <row r="629" spans="1:19" ht="15.75">
      <c r="A629" s="13">
        <v>60663</v>
      </c>
      <c r="B629" s="8">
        <f>18.8627 * CHOOSE(CONTROL!$C$15, $D$11, 100%, $F$11)</f>
        <v>18.8627</v>
      </c>
      <c r="C629" s="8">
        <f>18.8678 * CHOOSE(CONTROL!$C$15, $D$11, 100%, $F$11)</f>
        <v>18.867799999999999</v>
      </c>
      <c r="D629" s="8">
        <f>18.8389 * CHOOSE( CONTROL!$C$15, $D$11, 100%, $F$11)</f>
        <v>18.838899999999999</v>
      </c>
      <c r="E629" s="12">
        <f>18.8489 * CHOOSE( CONTROL!$C$15, $D$11, 100%, $F$11)</f>
        <v>18.8489</v>
      </c>
      <c r="F629" s="4">
        <f>19.528 * CHOOSE(CONTROL!$C$15, $D$11, 100%, $F$11)</f>
        <v>19.527999999999999</v>
      </c>
      <c r="G629" s="8">
        <f>18.6415 * CHOOSE( CONTROL!$C$15, $D$11, 100%, $F$11)</f>
        <v>18.641500000000001</v>
      </c>
      <c r="H629" s="4">
        <f>19.5459 * CHOOSE(CONTROL!$C$15, $D$11, 100%, $F$11)</f>
        <v>19.5459</v>
      </c>
      <c r="I629" s="8">
        <f>18.4511 * CHOOSE(CONTROL!$C$15, $D$11, 100%, $F$11)</f>
        <v>18.4511</v>
      </c>
      <c r="J629" s="4">
        <f>18.2975 * CHOOSE(CONTROL!$C$15, $D$11, 100%, $F$11)</f>
        <v>18.297499999999999</v>
      </c>
      <c r="K629" s="4"/>
      <c r="L629" s="9">
        <v>29.306000000000001</v>
      </c>
      <c r="M629" s="9">
        <v>12.063700000000001</v>
      </c>
      <c r="N629" s="9">
        <v>4.9444999999999997</v>
      </c>
      <c r="O629" s="9">
        <v>0.37409999999999999</v>
      </c>
      <c r="P629" s="9">
        <v>1.2927</v>
      </c>
      <c r="Q629" s="9">
        <v>19.688099999999999</v>
      </c>
      <c r="R629" s="9"/>
      <c r="S629" s="11"/>
    </row>
    <row r="630" spans="1:19" ht="15.75">
      <c r="A630" s="13">
        <v>60691</v>
      </c>
      <c r="B630" s="8">
        <f>17.6438 * CHOOSE(CONTROL!$C$15, $D$11, 100%, $F$11)</f>
        <v>17.643799999999999</v>
      </c>
      <c r="C630" s="8">
        <f>17.6489 * CHOOSE(CONTROL!$C$15, $D$11, 100%, $F$11)</f>
        <v>17.648900000000001</v>
      </c>
      <c r="D630" s="8">
        <f>17.62 * CHOOSE( CONTROL!$C$15, $D$11, 100%, $F$11)</f>
        <v>17.62</v>
      </c>
      <c r="E630" s="12">
        <f>17.63 * CHOOSE( CONTROL!$C$15, $D$11, 100%, $F$11)</f>
        <v>17.63</v>
      </c>
      <c r="F630" s="4">
        <f>18.3091 * CHOOSE(CONTROL!$C$15, $D$11, 100%, $F$11)</f>
        <v>18.309100000000001</v>
      </c>
      <c r="G630" s="8">
        <f>17.4369 * CHOOSE( CONTROL!$C$15, $D$11, 100%, $F$11)</f>
        <v>17.436900000000001</v>
      </c>
      <c r="H630" s="4">
        <f>18.3413 * CHOOSE(CONTROL!$C$15, $D$11, 100%, $F$11)</f>
        <v>18.3413</v>
      </c>
      <c r="I630" s="8">
        <f>17.2676 * CHOOSE(CONTROL!$C$15, $D$11, 100%, $F$11)</f>
        <v>17.267600000000002</v>
      </c>
      <c r="J630" s="4">
        <f>17.1146 * CHOOSE(CONTROL!$C$15, $D$11, 100%, $F$11)</f>
        <v>17.114599999999999</v>
      </c>
      <c r="K630" s="4"/>
      <c r="L630" s="9">
        <v>26.469899999999999</v>
      </c>
      <c r="M630" s="9">
        <v>10.8962</v>
      </c>
      <c r="N630" s="9">
        <v>4.4660000000000002</v>
      </c>
      <c r="O630" s="9">
        <v>0.33789999999999998</v>
      </c>
      <c r="P630" s="9">
        <v>1.1676</v>
      </c>
      <c r="Q630" s="9">
        <v>17.782800000000002</v>
      </c>
      <c r="R630" s="9"/>
      <c r="S630" s="11"/>
    </row>
    <row r="631" spans="1:19" ht="15.75">
      <c r="A631" s="13">
        <v>60722</v>
      </c>
      <c r="B631" s="8">
        <f>17.2684 * CHOOSE(CONTROL!$C$15, $D$11, 100%, $F$11)</f>
        <v>17.2684</v>
      </c>
      <c r="C631" s="8">
        <f>17.2735 * CHOOSE(CONTROL!$C$15, $D$11, 100%, $F$11)</f>
        <v>17.273499999999999</v>
      </c>
      <c r="D631" s="8">
        <f>17.2442 * CHOOSE( CONTROL!$C$15, $D$11, 100%, $F$11)</f>
        <v>17.244199999999999</v>
      </c>
      <c r="E631" s="12">
        <f>17.2544 * CHOOSE( CONTROL!$C$15, $D$11, 100%, $F$11)</f>
        <v>17.2544</v>
      </c>
      <c r="F631" s="4">
        <f>17.9337 * CHOOSE(CONTROL!$C$15, $D$11, 100%, $F$11)</f>
        <v>17.933700000000002</v>
      </c>
      <c r="G631" s="8">
        <f>17.0656 * CHOOSE( CONTROL!$C$15, $D$11, 100%, $F$11)</f>
        <v>17.0656</v>
      </c>
      <c r="H631" s="4">
        <f>17.9703 * CHOOSE(CONTROL!$C$15, $D$11, 100%, $F$11)</f>
        <v>17.970300000000002</v>
      </c>
      <c r="I631" s="8">
        <f>16.9018 * CHOOSE(CONTROL!$C$15, $D$11, 100%, $F$11)</f>
        <v>16.901800000000001</v>
      </c>
      <c r="J631" s="4">
        <f>16.7502 * CHOOSE(CONTROL!$C$15, $D$11, 100%, $F$11)</f>
        <v>16.7502</v>
      </c>
      <c r="K631" s="4"/>
      <c r="L631" s="9">
        <v>29.306000000000001</v>
      </c>
      <c r="M631" s="9">
        <v>12.063700000000001</v>
      </c>
      <c r="N631" s="9">
        <v>4.9444999999999997</v>
      </c>
      <c r="O631" s="9">
        <v>0.37409999999999999</v>
      </c>
      <c r="P631" s="9">
        <v>1.2927</v>
      </c>
      <c r="Q631" s="9">
        <v>19.688099999999999</v>
      </c>
      <c r="R631" s="9"/>
      <c r="S631" s="11"/>
    </row>
    <row r="632" spans="1:19" ht="15.75">
      <c r="A632" s="13">
        <v>60752</v>
      </c>
      <c r="B632" s="8">
        <f>17.5315 * CHOOSE(CONTROL!$C$15, $D$11, 100%, $F$11)</f>
        <v>17.531500000000001</v>
      </c>
      <c r="C632" s="8">
        <f>17.536 * CHOOSE(CONTROL!$C$15, $D$11, 100%, $F$11)</f>
        <v>17.536000000000001</v>
      </c>
      <c r="D632" s="8">
        <f>17.5794 * CHOOSE( CONTROL!$C$15, $D$11, 100%, $F$11)</f>
        <v>17.5794</v>
      </c>
      <c r="E632" s="12">
        <f>17.5646 * CHOOSE( CONTROL!$C$15, $D$11, 100%, $F$11)</f>
        <v>17.564599999999999</v>
      </c>
      <c r="F632" s="4">
        <f>18.2759 * CHOOSE(CONTROL!$C$15, $D$11, 100%, $F$11)</f>
        <v>18.2759</v>
      </c>
      <c r="G632" s="8">
        <f>17.3326 * CHOOSE( CONTROL!$C$15, $D$11, 100%, $F$11)</f>
        <v>17.332599999999999</v>
      </c>
      <c r="H632" s="4">
        <f>18.3085 * CHOOSE(CONTROL!$C$15, $D$11, 100%, $F$11)</f>
        <v>18.308499999999999</v>
      </c>
      <c r="I632" s="8">
        <f>17.1547 * CHOOSE(CONTROL!$C$15, $D$11, 100%, $F$11)</f>
        <v>17.154699999999998</v>
      </c>
      <c r="J632" s="4">
        <f>17.0048 * CHOOSE(CONTROL!$C$15, $D$11, 100%, $F$11)</f>
        <v>17.004799999999999</v>
      </c>
      <c r="K632" s="4"/>
      <c r="L632" s="9">
        <v>30.092199999999998</v>
      </c>
      <c r="M632" s="9">
        <v>11.6745</v>
      </c>
      <c r="N632" s="9">
        <v>4.7850000000000001</v>
      </c>
      <c r="O632" s="9">
        <v>0.36199999999999999</v>
      </c>
      <c r="P632" s="9">
        <v>1.1791</v>
      </c>
      <c r="Q632" s="9">
        <v>19.053000000000001</v>
      </c>
      <c r="R632" s="9"/>
      <c r="S632" s="11"/>
    </row>
    <row r="633" spans="1:19" ht="15.75">
      <c r="A633" s="13">
        <v>60783</v>
      </c>
      <c r="B633" s="8">
        <f>CHOOSE( CONTROL!$C$32, 18.0034, 17.9997) * CHOOSE(CONTROL!$C$15, $D$11, 100%, $F$11)</f>
        <v>18.003399999999999</v>
      </c>
      <c r="C633" s="8">
        <f>CHOOSE( CONTROL!$C$32, 18.0114, 18.0077) * CHOOSE(CONTROL!$C$15, $D$11, 100%, $F$11)</f>
        <v>18.011399999999998</v>
      </c>
      <c r="D633" s="8">
        <f>CHOOSE( CONTROL!$C$32, 18.0491, 18.0455) * CHOOSE( CONTROL!$C$15, $D$11, 100%, $F$11)</f>
        <v>18.049099999999999</v>
      </c>
      <c r="E633" s="12">
        <f>CHOOSE( CONTROL!$C$32, 18.0342, 18.0306) * CHOOSE( CONTROL!$C$15, $D$11, 100%, $F$11)</f>
        <v>18.034199999999998</v>
      </c>
      <c r="F633" s="4">
        <f>CHOOSE( CONTROL!$C$32, 18.7464, 18.7428) * CHOOSE(CONTROL!$C$15, $D$11, 100%, $F$11)</f>
        <v>18.746400000000001</v>
      </c>
      <c r="G633" s="8">
        <f>CHOOSE( CONTROL!$C$32, 17.7985, 17.7949) * CHOOSE( CONTROL!$C$15, $D$11, 100%, $F$11)</f>
        <v>17.798500000000001</v>
      </c>
      <c r="H633" s="4">
        <f>CHOOSE( CONTROL!$C$32, 18.7735, 18.7699) * CHOOSE(CONTROL!$C$15, $D$11, 100%, $F$11)</f>
        <v>18.773499999999999</v>
      </c>
      <c r="I633" s="8">
        <f>CHOOSE( CONTROL!$C$32, 17.6118, 17.6082) * CHOOSE(CONTROL!$C$15, $D$11, 100%, $F$11)</f>
        <v>17.611799999999999</v>
      </c>
      <c r="J633" s="4">
        <f>CHOOSE( CONTROL!$C$32, 17.4615, 17.4579) * CHOOSE(CONTROL!$C$15, $D$11, 100%, $F$11)</f>
        <v>17.461500000000001</v>
      </c>
      <c r="K633" s="4"/>
      <c r="L633" s="9">
        <v>30.7165</v>
      </c>
      <c r="M633" s="9">
        <v>12.063700000000001</v>
      </c>
      <c r="N633" s="9">
        <v>4.9444999999999997</v>
      </c>
      <c r="O633" s="9">
        <v>0.37409999999999999</v>
      </c>
      <c r="P633" s="9">
        <v>1.2183999999999999</v>
      </c>
      <c r="Q633" s="9">
        <v>19.688099999999999</v>
      </c>
      <c r="R633" s="9"/>
      <c r="S633" s="11"/>
    </row>
    <row r="634" spans="1:19" ht="15.75">
      <c r="A634" s="13">
        <v>60813</v>
      </c>
      <c r="B634" s="8">
        <f>CHOOSE( CONTROL!$C$32, 17.7142, 17.7105) * CHOOSE(CONTROL!$C$15, $D$11, 100%, $F$11)</f>
        <v>17.714200000000002</v>
      </c>
      <c r="C634" s="8">
        <f>CHOOSE( CONTROL!$C$32, 17.7221, 17.7185) * CHOOSE(CONTROL!$C$15, $D$11, 100%, $F$11)</f>
        <v>17.722100000000001</v>
      </c>
      <c r="D634" s="8">
        <f>CHOOSE( CONTROL!$C$32, 17.7601, 17.7565) * CHOOSE( CONTROL!$C$15, $D$11, 100%, $F$11)</f>
        <v>17.760100000000001</v>
      </c>
      <c r="E634" s="12">
        <f>CHOOSE( CONTROL!$C$32, 17.7451, 17.7415) * CHOOSE( CONTROL!$C$15, $D$11, 100%, $F$11)</f>
        <v>17.745100000000001</v>
      </c>
      <c r="F634" s="4">
        <f>CHOOSE( CONTROL!$C$32, 18.4572, 18.4535) * CHOOSE(CONTROL!$C$15, $D$11, 100%, $F$11)</f>
        <v>18.4572</v>
      </c>
      <c r="G634" s="8">
        <f>CHOOSE( CONTROL!$C$32, 17.513, 17.5094) * CHOOSE( CONTROL!$C$15, $D$11, 100%, $F$11)</f>
        <v>17.513000000000002</v>
      </c>
      <c r="H634" s="4">
        <f>CHOOSE( CONTROL!$C$32, 18.4877, 18.4841) * CHOOSE(CONTROL!$C$15, $D$11, 100%, $F$11)</f>
        <v>18.4877</v>
      </c>
      <c r="I634" s="8">
        <f>CHOOSE( CONTROL!$C$32, 17.332, 17.3284) * CHOOSE(CONTROL!$C$15, $D$11, 100%, $F$11)</f>
        <v>17.332000000000001</v>
      </c>
      <c r="J634" s="4">
        <f>CHOOSE( CONTROL!$C$32, 17.1808, 17.1772) * CHOOSE(CONTROL!$C$15, $D$11, 100%, $F$11)</f>
        <v>17.180800000000001</v>
      </c>
      <c r="K634" s="4"/>
      <c r="L634" s="9">
        <v>29.7257</v>
      </c>
      <c r="M634" s="9">
        <v>11.6745</v>
      </c>
      <c r="N634" s="9">
        <v>4.7850000000000001</v>
      </c>
      <c r="O634" s="9">
        <v>0.36199999999999999</v>
      </c>
      <c r="P634" s="9">
        <v>1.1791</v>
      </c>
      <c r="Q634" s="9">
        <v>19.053000000000001</v>
      </c>
      <c r="R634" s="9"/>
      <c r="S634" s="11"/>
    </row>
    <row r="635" spans="1:19" ht="15.75">
      <c r="A635" s="13">
        <v>60844</v>
      </c>
      <c r="B635" s="8">
        <f>CHOOSE( CONTROL!$C$32, 18.4758, 18.4721) * CHOOSE(CONTROL!$C$15, $D$11, 100%, $F$11)</f>
        <v>18.4758</v>
      </c>
      <c r="C635" s="8">
        <f>CHOOSE( CONTROL!$C$32, 18.4838, 18.4801) * CHOOSE(CONTROL!$C$15, $D$11, 100%, $F$11)</f>
        <v>18.483799999999999</v>
      </c>
      <c r="D635" s="8">
        <f>CHOOSE( CONTROL!$C$32, 18.522, 18.5183) * CHOOSE( CONTROL!$C$15, $D$11, 100%, $F$11)</f>
        <v>18.521999999999998</v>
      </c>
      <c r="E635" s="12">
        <f>CHOOSE( CONTROL!$C$32, 18.5069, 18.5032) * CHOOSE( CONTROL!$C$15, $D$11, 100%, $F$11)</f>
        <v>18.506900000000002</v>
      </c>
      <c r="F635" s="4">
        <f>CHOOSE( CONTROL!$C$32, 19.2188, 19.2151) * CHOOSE(CONTROL!$C$15, $D$11, 100%, $F$11)</f>
        <v>19.218800000000002</v>
      </c>
      <c r="G635" s="8">
        <f>CHOOSE( CONTROL!$C$32, 18.266, 18.2624) * CHOOSE( CONTROL!$C$15, $D$11, 100%, $F$11)</f>
        <v>18.265999999999998</v>
      </c>
      <c r="H635" s="4">
        <f>CHOOSE( CONTROL!$C$32, 19.2404, 19.2368) * CHOOSE(CONTROL!$C$15, $D$11, 100%, $F$11)</f>
        <v>19.240400000000001</v>
      </c>
      <c r="I635" s="8">
        <f>CHOOSE( CONTROL!$C$32, 18.0726, 18.0691) * CHOOSE(CONTROL!$C$15, $D$11, 100%, $F$11)</f>
        <v>18.072600000000001</v>
      </c>
      <c r="J635" s="4">
        <f>CHOOSE( CONTROL!$C$32, 17.9199, 17.9164) * CHOOSE(CONTROL!$C$15, $D$11, 100%, $F$11)</f>
        <v>17.919899999999998</v>
      </c>
      <c r="K635" s="4"/>
      <c r="L635" s="9">
        <v>30.7165</v>
      </c>
      <c r="M635" s="9">
        <v>12.063700000000001</v>
      </c>
      <c r="N635" s="9">
        <v>4.9444999999999997</v>
      </c>
      <c r="O635" s="9">
        <v>0.37409999999999999</v>
      </c>
      <c r="P635" s="9">
        <v>1.2183999999999999</v>
      </c>
      <c r="Q635" s="9">
        <v>19.688099999999999</v>
      </c>
      <c r="R635" s="9"/>
      <c r="S635" s="11"/>
    </row>
    <row r="636" spans="1:19" ht="15.75">
      <c r="A636" s="13">
        <v>60875</v>
      </c>
      <c r="B636" s="8">
        <f>CHOOSE( CONTROL!$C$32, 17.0507, 17.0471) * CHOOSE(CONTROL!$C$15, $D$11, 100%, $F$11)</f>
        <v>17.050699999999999</v>
      </c>
      <c r="C636" s="8">
        <f>CHOOSE( CONTROL!$C$32, 17.0587, 17.0551) * CHOOSE(CONTROL!$C$15, $D$11, 100%, $F$11)</f>
        <v>17.058700000000002</v>
      </c>
      <c r="D636" s="8">
        <f>CHOOSE( CONTROL!$C$32, 17.097, 17.0933) * CHOOSE( CONTROL!$C$15, $D$11, 100%, $F$11)</f>
        <v>17.097000000000001</v>
      </c>
      <c r="E636" s="12">
        <f>CHOOSE( CONTROL!$C$32, 17.0819, 17.0782) * CHOOSE( CONTROL!$C$15, $D$11, 100%, $F$11)</f>
        <v>17.081900000000001</v>
      </c>
      <c r="F636" s="4">
        <f>CHOOSE( CONTROL!$C$32, 17.7937, 17.7901) * CHOOSE(CONTROL!$C$15, $D$11, 100%, $F$11)</f>
        <v>17.793700000000001</v>
      </c>
      <c r="G636" s="8">
        <f>CHOOSE( CONTROL!$C$32, 16.8577, 16.8541) * CHOOSE( CONTROL!$C$15, $D$11, 100%, $F$11)</f>
        <v>16.857700000000001</v>
      </c>
      <c r="H636" s="4">
        <f>CHOOSE( CONTROL!$C$32, 17.832, 17.8284) * CHOOSE(CONTROL!$C$15, $D$11, 100%, $F$11)</f>
        <v>17.832000000000001</v>
      </c>
      <c r="I636" s="8">
        <f>CHOOSE( CONTROL!$C$32, 16.6892, 16.6857) * CHOOSE(CONTROL!$C$15, $D$11, 100%, $F$11)</f>
        <v>16.6892</v>
      </c>
      <c r="J636" s="4">
        <f>CHOOSE( CONTROL!$C$32, 16.5369, 16.5334) * CHOOSE(CONTROL!$C$15, $D$11, 100%, $F$11)</f>
        <v>16.536899999999999</v>
      </c>
      <c r="K636" s="4"/>
      <c r="L636" s="9">
        <v>30.7165</v>
      </c>
      <c r="M636" s="9">
        <v>12.063700000000001</v>
      </c>
      <c r="N636" s="9">
        <v>4.9444999999999997</v>
      </c>
      <c r="O636" s="9">
        <v>0.37409999999999999</v>
      </c>
      <c r="P636" s="9">
        <v>1.2183999999999999</v>
      </c>
      <c r="Q636" s="9">
        <v>19.688099999999999</v>
      </c>
      <c r="R636" s="9"/>
      <c r="S636" s="11"/>
    </row>
    <row r="637" spans="1:19" ht="15.75">
      <c r="A637" s="13">
        <v>60905</v>
      </c>
      <c r="B637" s="8">
        <f>CHOOSE( CONTROL!$C$32, 16.6939, 16.6902) * CHOOSE(CONTROL!$C$15, $D$11, 100%, $F$11)</f>
        <v>16.693899999999999</v>
      </c>
      <c r="C637" s="8">
        <f>CHOOSE( CONTROL!$C$32, 16.7019, 16.6982) * CHOOSE(CONTROL!$C$15, $D$11, 100%, $F$11)</f>
        <v>16.701899999999998</v>
      </c>
      <c r="D637" s="8">
        <f>CHOOSE( CONTROL!$C$32, 16.74, 16.7364) * CHOOSE( CONTROL!$C$15, $D$11, 100%, $F$11)</f>
        <v>16.739999999999998</v>
      </c>
      <c r="E637" s="12">
        <f>CHOOSE( CONTROL!$C$32, 16.725, 16.7213) * CHOOSE( CONTROL!$C$15, $D$11, 100%, $F$11)</f>
        <v>16.725000000000001</v>
      </c>
      <c r="F637" s="4">
        <f>CHOOSE( CONTROL!$C$32, 17.4369, 17.4332) * CHOOSE(CONTROL!$C$15, $D$11, 100%, $F$11)</f>
        <v>17.436900000000001</v>
      </c>
      <c r="G637" s="8">
        <f>CHOOSE( CONTROL!$C$32, 16.5049, 16.5013) * CHOOSE( CONTROL!$C$15, $D$11, 100%, $F$11)</f>
        <v>16.504899999999999</v>
      </c>
      <c r="H637" s="4">
        <f>CHOOSE( CONTROL!$C$32, 17.4793, 17.4757) * CHOOSE(CONTROL!$C$15, $D$11, 100%, $F$11)</f>
        <v>17.479299999999999</v>
      </c>
      <c r="I637" s="8">
        <f>CHOOSE( CONTROL!$C$32, 16.3423, 16.3388) * CHOOSE(CONTROL!$C$15, $D$11, 100%, $F$11)</f>
        <v>16.342300000000002</v>
      </c>
      <c r="J637" s="4">
        <f>CHOOSE( CONTROL!$C$32, 16.1906, 16.1871) * CHOOSE(CONTROL!$C$15, $D$11, 100%, $F$11)</f>
        <v>16.1906</v>
      </c>
      <c r="K637" s="4"/>
      <c r="L637" s="9">
        <v>29.7257</v>
      </c>
      <c r="M637" s="9">
        <v>11.6745</v>
      </c>
      <c r="N637" s="9">
        <v>4.7850000000000001</v>
      </c>
      <c r="O637" s="9">
        <v>0.36199999999999999</v>
      </c>
      <c r="P637" s="9">
        <v>1.1791</v>
      </c>
      <c r="Q637" s="9">
        <v>19.053000000000001</v>
      </c>
      <c r="R637" s="9"/>
      <c r="S637" s="11"/>
    </row>
    <row r="638" spans="1:19" ht="15.75">
      <c r="A638" s="13">
        <v>60936</v>
      </c>
      <c r="B638" s="8">
        <f>17.4295 * CHOOSE(CONTROL!$C$15, $D$11, 100%, $F$11)</f>
        <v>17.429500000000001</v>
      </c>
      <c r="C638" s="8">
        <f>17.4348 * CHOOSE(CONTROL!$C$15, $D$11, 100%, $F$11)</f>
        <v>17.434799999999999</v>
      </c>
      <c r="D638" s="8">
        <f>17.4783 * CHOOSE( CONTROL!$C$15, $D$11, 100%, $F$11)</f>
        <v>17.478300000000001</v>
      </c>
      <c r="E638" s="12">
        <f>17.4634 * CHOOSE( CONTROL!$C$15, $D$11, 100%, $F$11)</f>
        <v>17.4634</v>
      </c>
      <c r="F638" s="4">
        <f>18.1742 * CHOOSE(CONTROL!$C$15, $D$11, 100%, $F$11)</f>
        <v>18.174199999999999</v>
      </c>
      <c r="G638" s="8">
        <f>17.2331 * CHOOSE( CONTROL!$C$15, $D$11, 100%, $F$11)</f>
        <v>17.2331</v>
      </c>
      <c r="H638" s="4">
        <f>18.208 * CHOOSE(CONTROL!$C$15, $D$11, 100%, $F$11)</f>
        <v>18.207999999999998</v>
      </c>
      <c r="I638" s="8">
        <f>17.059 * CHOOSE(CONTROL!$C$15, $D$11, 100%, $F$11)</f>
        <v>17.059000000000001</v>
      </c>
      <c r="J638" s="4">
        <f>16.9061 * CHOOSE(CONTROL!$C$15, $D$11, 100%, $F$11)</f>
        <v>16.906099999999999</v>
      </c>
      <c r="K638" s="4"/>
      <c r="L638" s="9">
        <v>31.095300000000002</v>
      </c>
      <c r="M638" s="9">
        <v>12.063700000000001</v>
      </c>
      <c r="N638" s="9">
        <v>4.9444999999999997</v>
      </c>
      <c r="O638" s="9">
        <v>0.37409999999999999</v>
      </c>
      <c r="P638" s="9">
        <v>1.2183999999999999</v>
      </c>
      <c r="Q638" s="9">
        <v>19.688099999999999</v>
      </c>
      <c r="R638" s="9"/>
      <c r="S638" s="11"/>
    </row>
    <row r="639" spans="1:19" ht="15.75">
      <c r="A639" s="13">
        <v>60966</v>
      </c>
      <c r="B639" s="8">
        <f>18.7967 * CHOOSE(CONTROL!$C$15, $D$11, 100%, $F$11)</f>
        <v>18.796700000000001</v>
      </c>
      <c r="C639" s="8">
        <f>18.8018 * CHOOSE(CONTROL!$C$15, $D$11, 100%, $F$11)</f>
        <v>18.8018</v>
      </c>
      <c r="D639" s="8">
        <f>18.7854 * CHOOSE( CONTROL!$C$15, $D$11, 100%, $F$11)</f>
        <v>18.785399999999999</v>
      </c>
      <c r="E639" s="12">
        <f>18.7909 * CHOOSE( CONTROL!$C$15, $D$11, 100%, $F$11)</f>
        <v>18.790900000000001</v>
      </c>
      <c r="F639" s="4">
        <f>19.462 * CHOOSE(CONTROL!$C$15, $D$11, 100%, $F$11)</f>
        <v>19.462</v>
      </c>
      <c r="G639" s="8">
        <f>18.5853 * CHOOSE( CONTROL!$C$15, $D$11, 100%, $F$11)</f>
        <v>18.5853</v>
      </c>
      <c r="H639" s="4">
        <f>19.4807 * CHOOSE(CONTROL!$C$15, $D$11, 100%, $F$11)</f>
        <v>19.480699999999999</v>
      </c>
      <c r="I639" s="8">
        <f>18.387 * CHOOSE(CONTROL!$C$15, $D$11, 100%, $F$11)</f>
        <v>18.387</v>
      </c>
      <c r="J639" s="4">
        <f>18.2334 * CHOOSE(CONTROL!$C$15, $D$11, 100%, $F$11)</f>
        <v>18.2334</v>
      </c>
      <c r="K639" s="4"/>
      <c r="L639" s="9">
        <v>28.360600000000002</v>
      </c>
      <c r="M639" s="9">
        <v>11.6745</v>
      </c>
      <c r="N639" s="9">
        <v>4.7850000000000001</v>
      </c>
      <c r="O639" s="9">
        <v>0.36199999999999999</v>
      </c>
      <c r="P639" s="9">
        <v>1.2509999999999999</v>
      </c>
      <c r="Q639" s="9">
        <v>19.053000000000001</v>
      </c>
      <c r="R639" s="9"/>
      <c r="S639" s="11"/>
    </row>
    <row r="640" spans="1:19" ht="15.75">
      <c r="A640" s="13">
        <v>60997</v>
      </c>
      <c r="B640" s="8">
        <f>18.7625 * CHOOSE(CONTROL!$C$15, $D$11, 100%, $F$11)</f>
        <v>18.762499999999999</v>
      </c>
      <c r="C640" s="8">
        <f>18.7676 * CHOOSE(CONTROL!$C$15, $D$11, 100%, $F$11)</f>
        <v>18.767600000000002</v>
      </c>
      <c r="D640" s="8">
        <f>18.753 * CHOOSE( CONTROL!$C$15, $D$11, 100%, $F$11)</f>
        <v>18.753</v>
      </c>
      <c r="E640" s="12">
        <f>18.7578 * CHOOSE( CONTROL!$C$15, $D$11, 100%, $F$11)</f>
        <v>18.7578</v>
      </c>
      <c r="F640" s="4">
        <f>19.4278 * CHOOSE(CONTROL!$C$15, $D$11, 100%, $F$11)</f>
        <v>19.427800000000001</v>
      </c>
      <c r="G640" s="8">
        <f>18.5528 * CHOOSE( CONTROL!$C$15, $D$11, 100%, $F$11)</f>
        <v>18.552800000000001</v>
      </c>
      <c r="H640" s="4">
        <f>19.4469 * CHOOSE(CONTROL!$C$15, $D$11, 100%, $F$11)</f>
        <v>19.446899999999999</v>
      </c>
      <c r="I640" s="8">
        <f>18.3592 * CHOOSE(CONTROL!$C$15, $D$11, 100%, $F$11)</f>
        <v>18.359200000000001</v>
      </c>
      <c r="J640" s="4">
        <f>18.2003 * CHOOSE(CONTROL!$C$15, $D$11, 100%, $F$11)</f>
        <v>18.200299999999999</v>
      </c>
      <c r="K640" s="4"/>
      <c r="L640" s="9">
        <v>29.306000000000001</v>
      </c>
      <c r="M640" s="9">
        <v>12.063700000000001</v>
      </c>
      <c r="N640" s="9">
        <v>4.9444999999999997</v>
      </c>
      <c r="O640" s="9">
        <v>0.37409999999999999</v>
      </c>
      <c r="P640" s="9">
        <v>1.2927</v>
      </c>
      <c r="Q640" s="9">
        <v>19.688099999999999</v>
      </c>
      <c r="R640" s="9"/>
      <c r="S640" s="11"/>
    </row>
    <row r="641" spans="1:19" ht="15.75">
      <c r="A641" s="13">
        <v>61028</v>
      </c>
      <c r="B641" s="8">
        <f>19.3157 * CHOOSE(CONTROL!$C$15, $D$11, 100%, $F$11)</f>
        <v>19.3157</v>
      </c>
      <c r="C641" s="8">
        <f>19.3208 * CHOOSE(CONTROL!$C$15, $D$11, 100%, $F$11)</f>
        <v>19.320799999999998</v>
      </c>
      <c r="D641" s="8">
        <f>19.2919 * CHOOSE( CONTROL!$C$15, $D$11, 100%, $F$11)</f>
        <v>19.291899999999998</v>
      </c>
      <c r="E641" s="12">
        <f>19.3019 * CHOOSE( CONTROL!$C$15, $D$11, 100%, $F$11)</f>
        <v>19.3019</v>
      </c>
      <c r="F641" s="4">
        <f>19.981 * CHOOSE(CONTROL!$C$15, $D$11, 100%, $F$11)</f>
        <v>19.981000000000002</v>
      </c>
      <c r="G641" s="8">
        <f>19.0892 * CHOOSE( CONTROL!$C$15, $D$11, 100%, $F$11)</f>
        <v>19.089200000000002</v>
      </c>
      <c r="H641" s="4">
        <f>19.9936 * CHOOSE(CONTROL!$C$15, $D$11, 100%, $F$11)</f>
        <v>19.993600000000001</v>
      </c>
      <c r="I641" s="8">
        <f>18.891 * CHOOSE(CONTROL!$C$15, $D$11, 100%, $F$11)</f>
        <v>18.890999999999998</v>
      </c>
      <c r="J641" s="4">
        <f>18.7371 * CHOOSE(CONTROL!$C$15, $D$11, 100%, $F$11)</f>
        <v>18.737100000000002</v>
      </c>
      <c r="K641" s="4"/>
      <c r="L641" s="9">
        <v>29.306000000000001</v>
      </c>
      <c r="M641" s="9">
        <v>12.063700000000001</v>
      </c>
      <c r="N641" s="9">
        <v>4.9444999999999997</v>
      </c>
      <c r="O641" s="9">
        <v>0.37409999999999999</v>
      </c>
      <c r="P641" s="9">
        <v>1.2927</v>
      </c>
      <c r="Q641" s="9">
        <v>19.688099999999999</v>
      </c>
      <c r="R641" s="9"/>
      <c r="S641" s="11"/>
    </row>
    <row r="642" spans="1:19" ht="15.75">
      <c r="A642" s="13">
        <v>61056</v>
      </c>
      <c r="B642" s="8">
        <f>18.0675 * CHOOSE(CONTROL!$C$15, $D$11, 100%, $F$11)</f>
        <v>18.067499999999999</v>
      </c>
      <c r="C642" s="8">
        <f>18.0726 * CHOOSE(CONTROL!$C$15, $D$11, 100%, $F$11)</f>
        <v>18.072600000000001</v>
      </c>
      <c r="D642" s="8">
        <f>18.0437 * CHOOSE( CONTROL!$C$15, $D$11, 100%, $F$11)</f>
        <v>18.043700000000001</v>
      </c>
      <c r="E642" s="12">
        <f>18.0537 * CHOOSE( CONTROL!$C$15, $D$11, 100%, $F$11)</f>
        <v>18.053699999999999</v>
      </c>
      <c r="F642" s="4">
        <f>18.7328 * CHOOSE(CONTROL!$C$15, $D$11, 100%, $F$11)</f>
        <v>18.732800000000001</v>
      </c>
      <c r="G642" s="8">
        <f>17.8557 * CHOOSE( CONTROL!$C$15, $D$11, 100%, $F$11)</f>
        <v>17.855699999999999</v>
      </c>
      <c r="H642" s="4">
        <f>18.7601 * CHOOSE(CONTROL!$C$15, $D$11, 100%, $F$11)</f>
        <v>18.760100000000001</v>
      </c>
      <c r="I642" s="8">
        <f>17.679 * CHOOSE(CONTROL!$C$15, $D$11, 100%, $F$11)</f>
        <v>17.678999999999998</v>
      </c>
      <c r="J642" s="4">
        <f>17.5258 * CHOOSE(CONTROL!$C$15, $D$11, 100%, $F$11)</f>
        <v>17.5258</v>
      </c>
      <c r="K642" s="4"/>
      <c r="L642" s="9">
        <v>26.469899999999999</v>
      </c>
      <c r="M642" s="9">
        <v>10.8962</v>
      </c>
      <c r="N642" s="9">
        <v>4.4660000000000002</v>
      </c>
      <c r="O642" s="9">
        <v>0.33789999999999998</v>
      </c>
      <c r="P642" s="9">
        <v>1.1676</v>
      </c>
      <c r="Q642" s="9">
        <v>17.782800000000002</v>
      </c>
      <c r="R642" s="9"/>
      <c r="S642" s="11"/>
    </row>
    <row r="643" spans="1:19" ht="15.75">
      <c r="A643" s="13">
        <v>61087</v>
      </c>
      <c r="B643" s="8">
        <f>17.6831 * CHOOSE(CONTROL!$C$15, $D$11, 100%, $F$11)</f>
        <v>17.6831</v>
      </c>
      <c r="C643" s="8">
        <f>17.6882 * CHOOSE(CONTROL!$C$15, $D$11, 100%, $F$11)</f>
        <v>17.688199999999998</v>
      </c>
      <c r="D643" s="8">
        <f>17.6589 * CHOOSE( CONTROL!$C$15, $D$11, 100%, $F$11)</f>
        <v>17.658899999999999</v>
      </c>
      <c r="E643" s="12">
        <f>17.6691 * CHOOSE( CONTROL!$C$15, $D$11, 100%, $F$11)</f>
        <v>17.6691</v>
      </c>
      <c r="F643" s="4">
        <f>18.3484 * CHOOSE(CONTROL!$C$15, $D$11, 100%, $F$11)</f>
        <v>18.348400000000002</v>
      </c>
      <c r="G643" s="8">
        <f>17.4754 * CHOOSE( CONTROL!$C$15, $D$11, 100%, $F$11)</f>
        <v>17.4754</v>
      </c>
      <c r="H643" s="4">
        <f>18.3802 * CHOOSE(CONTROL!$C$15, $D$11, 100%, $F$11)</f>
        <v>18.380199999999999</v>
      </c>
      <c r="I643" s="8">
        <f>17.3045 * CHOOSE(CONTROL!$C$15, $D$11, 100%, $F$11)</f>
        <v>17.304500000000001</v>
      </c>
      <c r="J643" s="4">
        <f>17.1527 * CHOOSE(CONTROL!$C$15, $D$11, 100%, $F$11)</f>
        <v>17.152699999999999</v>
      </c>
      <c r="K643" s="4"/>
      <c r="L643" s="9">
        <v>29.306000000000001</v>
      </c>
      <c r="M643" s="9">
        <v>12.063700000000001</v>
      </c>
      <c r="N643" s="9">
        <v>4.9444999999999997</v>
      </c>
      <c r="O643" s="9">
        <v>0.37409999999999999</v>
      </c>
      <c r="P643" s="9">
        <v>1.2927</v>
      </c>
      <c r="Q643" s="9">
        <v>19.688099999999999</v>
      </c>
      <c r="R643" s="9"/>
      <c r="S643" s="11"/>
    </row>
    <row r="644" spans="1:19" ht="15.75">
      <c r="A644" s="13">
        <v>61117</v>
      </c>
      <c r="B644" s="8">
        <f>17.9525 * CHOOSE(CONTROL!$C$15, $D$11, 100%, $F$11)</f>
        <v>17.952500000000001</v>
      </c>
      <c r="C644" s="8">
        <f>17.957 * CHOOSE(CONTROL!$C$15, $D$11, 100%, $F$11)</f>
        <v>17.957000000000001</v>
      </c>
      <c r="D644" s="8">
        <f>18.0004 * CHOOSE( CONTROL!$C$15, $D$11, 100%, $F$11)</f>
        <v>18.000399999999999</v>
      </c>
      <c r="E644" s="12">
        <f>17.9856 * CHOOSE( CONTROL!$C$15, $D$11, 100%, $F$11)</f>
        <v>17.985600000000002</v>
      </c>
      <c r="F644" s="4">
        <f>18.6969 * CHOOSE(CONTROL!$C$15, $D$11, 100%, $F$11)</f>
        <v>18.696899999999999</v>
      </c>
      <c r="G644" s="8">
        <f>17.7487 * CHOOSE( CONTROL!$C$15, $D$11, 100%, $F$11)</f>
        <v>17.748699999999999</v>
      </c>
      <c r="H644" s="4">
        <f>18.7246 * CHOOSE(CONTROL!$C$15, $D$11, 100%, $F$11)</f>
        <v>18.724599999999999</v>
      </c>
      <c r="I644" s="8">
        <f>17.5635 * CHOOSE(CONTROL!$C$15, $D$11, 100%, $F$11)</f>
        <v>17.563500000000001</v>
      </c>
      <c r="J644" s="4">
        <f>17.4134 * CHOOSE(CONTROL!$C$15, $D$11, 100%, $F$11)</f>
        <v>17.413399999999999</v>
      </c>
      <c r="K644" s="4"/>
      <c r="L644" s="9">
        <v>30.092199999999998</v>
      </c>
      <c r="M644" s="9">
        <v>11.6745</v>
      </c>
      <c r="N644" s="9">
        <v>4.7850000000000001</v>
      </c>
      <c r="O644" s="9">
        <v>0.36199999999999999</v>
      </c>
      <c r="P644" s="9">
        <v>1.1791</v>
      </c>
      <c r="Q644" s="9">
        <v>19.053000000000001</v>
      </c>
      <c r="R644" s="9"/>
      <c r="S644" s="11"/>
    </row>
    <row r="645" spans="1:19" ht="15.75">
      <c r="A645" s="13">
        <v>61148</v>
      </c>
      <c r="B645" s="8">
        <f>CHOOSE( CONTROL!$C$32, 18.4356, 18.432) * CHOOSE(CONTROL!$C$15, $D$11, 100%, $F$11)</f>
        <v>18.435600000000001</v>
      </c>
      <c r="C645" s="8">
        <f>CHOOSE( CONTROL!$C$32, 18.4436, 18.4399) * CHOOSE(CONTROL!$C$15, $D$11, 100%, $F$11)</f>
        <v>18.4436</v>
      </c>
      <c r="D645" s="8">
        <f>CHOOSE( CONTROL!$C$32, 18.4813, 18.4777) * CHOOSE( CONTROL!$C$15, $D$11, 100%, $F$11)</f>
        <v>18.481300000000001</v>
      </c>
      <c r="E645" s="12">
        <f>CHOOSE( CONTROL!$C$32, 18.4664, 18.4628) * CHOOSE( CONTROL!$C$15, $D$11, 100%, $F$11)</f>
        <v>18.4664</v>
      </c>
      <c r="F645" s="4">
        <f>CHOOSE( CONTROL!$C$32, 19.1786, 19.175) * CHOOSE(CONTROL!$C$15, $D$11, 100%, $F$11)</f>
        <v>19.178599999999999</v>
      </c>
      <c r="G645" s="8">
        <f>CHOOSE( CONTROL!$C$32, 18.2256, 18.222) * CHOOSE( CONTROL!$C$15, $D$11, 100%, $F$11)</f>
        <v>18.2256</v>
      </c>
      <c r="H645" s="4">
        <f>CHOOSE( CONTROL!$C$32, 19.2007, 19.1971) * CHOOSE(CONTROL!$C$15, $D$11, 100%, $F$11)</f>
        <v>19.200700000000001</v>
      </c>
      <c r="I645" s="8">
        <f>CHOOSE( CONTROL!$C$32, 18.0314, 18.0279) * CHOOSE(CONTROL!$C$15, $D$11, 100%, $F$11)</f>
        <v>18.031400000000001</v>
      </c>
      <c r="J645" s="4">
        <f>CHOOSE( CONTROL!$C$32, 17.8809, 17.8774) * CHOOSE(CONTROL!$C$15, $D$11, 100%, $F$11)</f>
        <v>17.8809</v>
      </c>
      <c r="K645" s="4"/>
      <c r="L645" s="9">
        <v>30.7165</v>
      </c>
      <c r="M645" s="9">
        <v>12.063700000000001</v>
      </c>
      <c r="N645" s="9">
        <v>4.9444999999999997</v>
      </c>
      <c r="O645" s="9">
        <v>0.37409999999999999</v>
      </c>
      <c r="P645" s="9">
        <v>1.2183999999999999</v>
      </c>
      <c r="Q645" s="9">
        <v>19.688099999999999</v>
      </c>
      <c r="R645" s="9"/>
      <c r="S645" s="11"/>
    </row>
    <row r="646" spans="1:19" ht="15.75">
      <c r="A646" s="13">
        <v>61178</v>
      </c>
      <c r="B646" s="8">
        <f>CHOOSE( CONTROL!$C$32, 18.1394, 18.1358) * CHOOSE(CONTROL!$C$15, $D$11, 100%, $F$11)</f>
        <v>18.139399999999998</v>
      </c>
      <c r="C646" s="8">
        <f>CHOOSE( CONTROL!$C$32, 18.1474, 18.1438) * CHOOSE(CONTROL!$C$15, $D$11, 100%, $F$11)</f>
        <v>18.147400000000001</v>
      </c>
      <c r="D646" s="8">
        <f>CHOOSE( CONTROL!$C$32, 18.1854, 18.1817) * CHOOSE( CONTROL!$C$15, $D$11, 100%, $F$11)</f>
        <v>18.185400000000001</v>
      </c>
      <c r="E646" s="12">
        <f>CHOOSE( CONTROL!$C$32, 18.1704, 18.1667) * CHOOSE( CONTROL!$C$15, $D$11, 100%, $F$11)</f>
        <v>18.170400000000001</v>
      </c>
      <c r="F646" s="4">
        <f>CHOOSE( CONTROL!$C$32, 18.8825, 18.8788) * CHOOSE(CONTROL!$C$15, $D$11, 100%, $F$11)</f>
        <v>18.8825</v>
      </c>
      <c r="G646" s="8">
        <f>CHOOSE( CONTROL!$C$32, 17.9332, 17.9296) * CHOOSE( CONTROL!$C$15, $D$11, 100%, $F$11)</f>
        <v>17.933199999999999</v>
      </c>
      <c r="H646" s="4">
        <f>CHOOSE( CONTROL!$C$32, 18.908, 18.9044) * CHOOSE(CONTROL!$C$15, $D$11, 100%, $F$11)</f>
        <v>18.908000000000001</v>
      </c>
      <c r="I646" s="8">
        <f>CHOOSE( CONTROL!$C$32, 17.7449, 17.7414) * CHOOSE(CONTROL!$C$15, $D$11, 100%, $F$11)</f>
        <v>17.744900000000001</v>
      </c>
      <c r="J646" s="4">
        <f>CHOOSE( CONTROL!$C$32, 17.5935, 17.59) * CHOOSE(CONTROL!$C$15, $D$11, 100%, $F$11)</f>
        <v>17.593499999999999</v>
      </c>
      <c r="K646" s="4"/>
      <c r="L646" s="9">
        <v>29.7257</v>
      </c>
      <c r="M646" s="9">
        <v>11.6745</v>
      </c>
      <c r="N646" s="9">
        <v>4.7850000000000001</v>
      </c>
      <c r="O646" s="9">
        <v>0.36199999999999999</v>
      </c>
      <c r="P646" s="9">
        <v>1.1791</v>
      </c>
      <c r="Q646" s="9">
        <v>19.053000000000001</v>
      </c>
      <c r="R646" s="9"/>
      <c r="S646" s="11"/>
    </row>
    <row r="647" spans="1:19" ht="15.75">
      <c r="A647" s="13">
        <v>61209</v>
      </c>
      <c r="B647" s="8">
        <f>CHOOSE( CONTROL!$C$32, 18.9194, 18.9157) * CHOOSE(CONTROL!$C$15, $D$11, 100%, $F$11)</f>
        <v>18.9194</v>
      </c>
      <c r="C647" s="8">
        <f>CHOOSE( CONTROL!$C$32, 18.9273, 18.9237) * CHOOSE(CONTROL!$C$15, $D$11, 100%, $F$11)</f>
        <v>18.927299999999999</v>
      </c>
      <c r="D647" s="8">
        <f>CHOOSE( CONTROL!$C$32, 18.9655, 18.9619) * CHOOSE( CONTROL!$C$15, $D$11, 100%, $F$11)</f>
        <v>18.965499999999999</v>
      </c>
      <c r="E647" s="12">
        <f>CHOOSE( CONTROL!$C$32, 18.9505, 18.9468) * CHOOSE( CONTROL!$C$15, $D$11, 100%, $F$11)</f>
        <v>18.950500000000002</v>
      </c>
      <c r="F647" s="4">
        <f>CHOOSE( CONTROL!$C$32, 19.6624, 19.6587) * CHOOSE(CONTROL!$C$15, $D$11, 100%, $F$11)</f>
        <v>19.662400000000002</v>
      </c>
      <c r="G647" s="8">
        <f>CHOOSE( CONTROL!$C$32, 18.7044, 18.7008) * CHOOSE( CONTROL!$C$15, $D$11, 100%, $F$11)</f>
        <v>18.7044</v>
      </c>
      <c r="H647" s="4">
        <f>CHOOSE( CONTROL!$C$32, 19.6787, 19.6751) * CHOOSE(CONTROL!$C$15, $D$11, 100%, $F$11)</f>
        <v>19.678699999999999</v>
      </c>
      <c r="I647" s="8">
        <f>CHOOSE( CONTROL!$C$32, 18.5033, 18.4998) * CHOOSE(CONTROL!$C$15, $D$11, 100%, $F$11)</f>
        <v>18.503299999999999</v>
      </c>
      <c r="J647" s="4">
        <f>CHOOSE( CONTROL!$C$32, 18.3504, 18.3469) * CHOOSE(CONTROL!$C$15, $D$11, 100%, $F$11)</f>
        <v>18.3504</v>
      </c>
      <c r="K647" s="4"/>
      <c r="L647" s="9">
        <v>30.7165</v>
      </c>
      <c r="M647" s="9">
        <v>12.063700000000001</v>
      </c>
      <c r="N647" s="9">
        <v>4.9444999999999997</v>
      </c>
      <c r="O647" s="9">
        <v>0.37409999999999999</v>
      </c>
      <c r="P647" s="9">
        <v>1.2183999999999999</v>
      </c>
      <c r="Q647" s="9">
        <v>19.688099999999999</v>
      </c>
      <c r="R647" s="9"/>
      <c r="S647" s="11"/>
    </row>
    <row r="648" spans="1:19" ht="15.75">
      <c r="A648" s="13">
        <v>61240</v>
      </c>
      <c r="B648" s="8">
        <f>CHOOSE( CONTROL!$C$32, 17.4601, 17.4564) * CHOOSE(CONTROL!$C$15, $D$11, 100%, $F$11)</f>
        <v>17.460100000000001</v>
      </c>
      <c r="C648" s="8">
        <f>CHOOSE( CONTROL!$C$32, 17.468, 17.4644) * CHOOSE(CONTROL!$C$15, $D$11, 100%, $F$11)</f>
        <v>17.468</v>
      </c>
      <c r="D648" s="8">
        <f>CHOOSE( CONTROL!$C$32, 17.5063, 17.5027) * CHOOSE( CONTROL!$C$15, $D$11, 100%, $F$11)</f>
        <v>17.5063</v>
      </c>
      <c r="E648" s="12">
        <f>CHOOSE( CONTROL!$C$32, 17.4912, 17.4876) * CHOOSE( CONTROL!$C$15, $D$11, 100%, $F$11)</f>
        <v>17.491199999999999</v>
      </c>
      <c r="F648" s="4">
        <f>CHOOSE( CONTROL!$C$32, 18.2031, 18.1994) * CHOOSE(CONTROL!$C$15, $D$11, 100%, $F$11)</f>
        <v>18.203099999999999</v>
      </c>
      <c r="G648" s="8">
        <f>CHOOSE( CONTROL!$C$32, 17.2623, 17.2587) * CHOOSE( CONTROL!$C$15, $D$11, 100%, $F$11)</f>
        <v>17.2623</v>
      </c>
      <c r="H648" s="4">
        <f>CHOOSE( CONTROL!$C$32, 18.2365, 18.2329) * CHOOSE(CONTROL!$C$15, $D$11, 100%, $F$11)</f>
        <v>18.236499999999999</v>
      </c>
      <c r="I648" s="8">
        <f>CHOOSE( CONTROL!$C$32, 17.0866, 17.0831) * CHOOSE(CONTROL!$C$15, $D$11, 100%, $F$11)</f>
        <v>17.086600000000001</v>
      </c>
      <c r="J648" s="4">
        <f>CHOOSE( CONTROL!$C$32, 16.9342, 16.9306) * CHOOSE(CONTROL!$C$15, $D$11, 100%, $F$11)</f>
        <v>16.934200000000001</v>
      </c>
      <c r="K648" s="4"/>
      <c r="L648" s="9">
        <v>30.7165</v>
      </c>
      <c r="M648" s="9">
        <v>12.063700000000001</v>
      </c>
      <c r="N648" s="9">
        <v>4.9444999999999997</v>
      </c>
      <c r="O648" s="9">
        <v>0.37409999999999999</v>
      </c>
      <c r="P648" s="9">
        <v>1.2183999999999999</v>
      </c>
      <c r="Q648" s="9">
        <v>19.688099999999999</v>
      </c>
      <c r="R648" s="9"/>
      <c r="S648" s="11"/>
    </row>
    <row r="649" spans="1:19" ht="15.75">
      <c r="A649" s="13">
        <v>61270</v>
      </c>
      <c r="B649" s="8">
        <f>CHOOSE( CONTROL!$C$32, 17.0946, 17.091) * CHOOSE(CONTROL!$C$15, $D$11, 100%, $F$11)</f>
        <v>17.0946</v>
      </c>
      <c r="C649" s="8">
        <f>CHOOSE( CONTROL!$C$32, 17.1026, 17.099) * CHOOSE(CONTROL!$C$15, $D$11, 100%, $F$11)</f>
        <v>17.102599999999999</v>
      </c>
      <c r="D649" s="8">
        <f>CHOOSE( CONTROL!$C$32, 17.1408, 17.1371) * CHOOSE( CONTROL!$C$15, $D$11, 100%, $F$11)</f>
        <v>17.140799999999999</v>
      </c>
      <c r="E649" s="12">
        <f>CHOOSE( CONTROL!$C$32, 17.1257, 17.1221) * CHOOSE( CONTROL!$C$15, $D$11, 100%, $F$11)</f>
        <v>17.125699999999998</v>
      </c>
      <c r="F649" s="4">
        <f>CHOOSE( CONTROL!$C$32, 17.8376, 17.834) * CHOOSE(CONTROL!$C$15, $D$11, 100%, $F$11)</f>
        <v>17.837599999999998</v>
      </c>
      <c r="G649" s="8">
        <f>CHOOSE( CONTROL!$C$32, 16.901, 16.8974) * CHOOSE( CONTROL!$C$15, $D$11, 100%, $F$11)</f>
        <v>16.901</v>
      </c>
      <c r="H649" s="4">
        <f>CHOOSE( CONTROL!$C$32, 17.8754, 17.8718) * CHOOSE(CONTROL!$C$15, $D$11, 100%, $F$11)</f>
        <v>17.875399999999999</v>
      </c>
      <c r="I649" s="8">
        <f>CHOOSE( CONTROL!$C$32, 16.7314, 16.7279) * CHOOSE(CONTROL!$C$15, $D$11, 100%, $F$11)</f>
        <v>16.731400000000001</v>
      </c>
      <c r="J649" s="4">
        <f>CHOOSE( CONTROL!$C$32, 16.5795, 16.576) * CHOOSE(CONTROL!$C$15, $D$11, 100%, $F$11)</f>
        <v>16.579499999999999</v>
      </c>
      <c r="K649" s="4"/>
      <c r="L649" s="9">
        <v>29.7257</v>
      </c>
      <c r="M649" s="9">
        <v>11.6745</v>
      </c>
      <c r="N649" s="9">
        <v>4.7850000000000001</v>
      </c>
      <c r="O649" s="9">
        <v>0.36199999999999999</v>
      </c>
      <c r="P649" s="9">
        <v>1.1791</v>
      </c>
      <c r="Q649" s="9">
        <v>19.053000000000001</v>
      </c>
      <c r="R649" s="9"/>
      <c r="S649" s="11"/>
    </row>
    <row r="650" spans="1:19" ht="15.75">
      <c r="A650" s="13">
        <v>61301</v>
      </c>
      <c r="B650" s="8">
        <f>17.848 * CHOOSE(CONTROL!$C$15, $D$11, 100%, $F$11)</f>
        <v>17.847999999999999</v>
      </c>
      <c r="C650" s="8">
        <f>17.8533 * CHOOSE(CONTROL!$C$15, $D$11, 100%, $F$11)</f>
        <v>17.853300000000001</v>
      </c>
      <c r="D650" s="8">
        <f>17.8969 * CHOOSE( CONTROL!$C$15, $D$11, 100%, $F$11)</f>
        <v>17.896899999999999</v>
      </c>
      <c r="E650" s="12">
        <f>17.8819 * CHOOSE( CONTROL!$C$15, $D$11, 100%, $F$11)</f>
        <v>17.881900000000002</v>
      </c>
      <c r="F650" s="4">
        <f>18.5927 * CHOOSE(CONTROL!$C$15, $D$11, 100%, $F$11)</f>
        <v>18.592700000000001</v>
      </c>
      <c r="G650" s="8">
        <f>17.6467 * CHOOSE( CONTROL!$C$15, $D$11, 100%, $F$11)</f>
        <v>17.646699999999999</v>
      </c>
      <c r="H650" s="4">
        <f>18.6217 * CHOOSE(CONTROL!$C$15, $D$11, 100%, $F$11)</f>
        <v>18.621700000000001</v>
      </c>
      <c r="I650" s="8">
        <f>17.4654 * CHOOSE(CONTROL!$C$15, $D$11, 100%, $F$11)</f>
        <v>17.465399999999999</v>
      </c>
      <c r="J650" s="4">
        <f>17.3124 * CHOOSE(CONTROL!$C$15, $D$11, 100%, $F$11)</f>
        <v>17.3124</v>
      </c>
      <c r="K650" s="4"/>
      <c r="L650" s="9">
        <v>31.095300000000002</v>
      </c>
      <c r="M650" s="9">
        <v>12.063700000000001</v>
      </c>
      <c r="N650" s="9">
        <v>4.9444999999999997</v>
      </c>
      <c r="O650" s="9">
        <v>0.37409999999999999</v>
      </c>
      <c r="P650" s="9">
        <v>1.2183999999999999</v>
      </c>
      <c r="Q650" s="9">
        <v>19.688099999999999</v>
      </c>
      <c r="R650" s="9"/>
      <c r="S650" s="11"/>
    </row>
    <row r="651" spans="1:19" ht="15.75">
      <c r="A651" s="13">
        <v>61331</v>
      </c>
      <c r="B651" s="8">
        <f>19.2481 * CHOOSE(CONTROL!$C$15, $D$11, 100%, $F$11)</f>
        <v>19.248100000000001</v>
      </c>
      <c r="C651" s="8">
        <f>19.2532 * CHOOSE(CONTROL!$C$15, $D$11, 100%, $F$11)</f>
        <v>19.2532</v>
      </c>
      <c r="D651" s="8">
        <f>19.2368 * CHOOSE( CONTROL!$C$15, $D$11, 100%, $F$11)</f>
        <v>19.236799999999999</v>
      </c>
      <c r="E651" s="12">
        <f>19.2423 * CHOOSE( CONTROL!$C$15, $D$11, 100%, $F$11)</f>
        <v>19.2423</v>
      </c>
      <c r="F651" s="4">
        <f>19.9134 * CHOOSE(CONTROL!$C$15, $D$11, 100%, $F$11)</f>
        <v>19.913399999999999</v>
      </c>
      <c r="G651" s="8">
        <f>19.0314 * CHOOSE( CONTROL!$C$15, $D$11, 100%, $F$11)</f>
        <v>19.031400000000001</v>
      </c>
      <c r="H651" s="4">
        <f>19.9268 * CHOOSE(CONTROL!$C$15, $D$11, 100%, $F$11)</f>
        <v>19.9268</v>
      </c>
      <c r="I651" s="8">
        <f>18.8254 * CHOOSE(CONTROL!$C$15, $D$11, 100%, $F$11)</f>
        <v>18.825399999999998</v>
      </c>
      <c r="J651" s="4">
        <f>18.6715 * CHOOSE(CONTROL!$C$15, $D$11, 100%, $F$11)</f>
        <v>18.671500000000002</v>
      </c>
      <c r="K651" s="4"/>
      <c r="L651" s="9">
        <v>28.360600000000002</v>
      </c>
      <c r="M651" s="9">
        <v>11.6745</v>
      </c>
      <c r="N651" s="9">
        <v>4.7850000000000001</v>
      </c>
      <c r="O651" s="9">
        <v>0.36199999999999999</v>
      </c>
      <c r="P651" s="9">
        <v>1.2509999999999999</v>
      </c>
      <c r="Q651" s="9">
        <v>19.053000000000001</v>
      </c>
      <c r="R651" s="9"/>
      <c r="S651" s="11"/>
    </row>
    <row r="652" spans="1:19" ht="15.75">
      <c r="A652" s="13">
        <v>61362</v>
      </c>
      <c r="B652" s="8">
        <f>19.2131 * CHOOSE(CONTROL!$C$15, $D$11, 100%, $F$11)</f>
        <v>19.213100000000001</v>
      </c>
      <c r="C652" s="8">
        <f>19.2182 * CHOOSE(CONTROL!$C$15, $D$11, 100%, $F$11)</f>
        <v>19.2182</v>
      </c>
      <c r="D652" s="8">
        <f>19.2036 * CHOOSE( CONTROL!$C$15, $D$11, 100%, $F$11)</f>
        <v>19.203600000000002</v>
      </c>
      <c r="E652" s="12">
        <f>19.2084 * CHOOSE( CONTROL!$C$15, $D$11, 100%, $F$11)</f>
        <v>19.208400000000001</v>
      </c>
      <c r="F652" s="4">
        <f>19.8784 * CHOOSE(CONTROL!$C$15, $D$11, 100%, $F$11)</f>
        <v>19.878399999999999</v>
      </c>
      <c r="G652" s="8">
        <f>18.9981 * CHOOSE( CONTROL!$C$15, $D$11, 100%, $F$11)</f>
        <v>18.998100000000001</v>
      </c>
      <c r="H652" s="4">
        <f>19.8922 * CHOOSE(CONTROL!$C$15, $D$11, 100%, $F$11)</f>
        <v>19.892199999999999</v>
      </c>
      <c r="I652" s="8">
        <f>18.7968 * CHOOSE(CONTROL!$C$15, $D$11, 100%, $F$11)</f>
        <v>18.796800000000001</v>
      </c>
      <c r="J652" s="4">
        <f>18.6376 * CHOOSE(CONTROL!$C$15, $D$11, 100%, $F$11)</f>
        <v>18.637599999999999</v>
      </c>
      <c r="K652" s="4"/>
      <c r="L652" s="9">
        <v>29.306000000000001</v>
      </c>
      <c r="M652" s="9">
        <v>12.063700000000001</v>
      </c>
      <c r="N652" s="9">
        <v>4.9444999999999997</v>
      </c>
      <c r="O652" s="9">
        <v>0.37409999999999999</v>
      </c>
      <c r="P652" s="9">
        <v>1.2927</v>
      </c>
      <c r="Q652" s="9">
        <v>19.688099999999999</v>
      </c>
      <c r="R652" s="9"/>
      <c r="S652" s="11"/>
    </row>
    <row r="653" spans="1:19" ht="15.75">
      <c r="A653" s="13">
        <v>61393</v>
      </c>
      <c r="B653" s="8">
        <f>19.7796 * CHOOSE(CONTROL!$C$15, $D$11, 100%, $F$11)</f>
        <v>19.779599999999999</v>
      </c>
      <c r="C653" s="8">
        <f>19.7846 * CHOOSE(CONTROL!$C$15, $D$11, 100%, $F$11)</f>
        <v>19.784600000000001</v>
      </c>
      <c r="D653" s="8">
        <f>19.7558 * CHOOSE( CONTROL!$C$15, $D$11, 100%, $F$11)</f>
        <v>19.755800000000001</v>
      </c>
      <c r="E653" s="12">
        <f>19.7658 * CHOOSE( CONTROL!$C$15, $D$11, 100%, $F$11)</f>
        <v>19.765799999999999</v>
      </c>
      <c r="F653" s="4">
        <f>20.4449 * CHOOSE(CONTROL!$C$15, $D$11, 100%, $F$11)</f>
        <v>20.444900000000001</v>
      </c>
      <c r="G653" s="8">
        <f>19.5476 * CHOOSE( CONTROL!$C$15, $D$11, 100%, $F$11)</f>
        <v>19.547599999999999</v>
      </c>
      <c r="H653" s="4">
        <f>20.4521 * CHOOSE(CONTROL!$C$15, $D$11, 100%, $F$11)</f>
        <v>20.452100000000002</v>
      </c>
      <c r="I653" s="8">
        <f>19.3414 * CHOOSE(CONTROL!$C$15, $D$11, 100%, $F$11)</f>
        <v>19.3414</v>
      </c>
      <c r="J653" s="4">
        <f>19.1873 * CHOOSE(CONTROL!$C$15, $D$11, 100%, $F$11)</f>
        <v>19.1873</v>
      </c>
      <c r="K653" s="4"/>
      <c r="L653" s="9">
        <v>29.306000000000001</v>
      </c>
      <c r="M653" s="9">
        <v>12.063700000000001</v>
      </c>
      <c r="N653" s="9">
        <v>4.9444999999999997</v>
      </c>
      <c r="O653" s="9">
        <v>0.37409999999999999</v>
      </c>
      <c r="P653" s="9">
        <v>1.2927</v>
      </c>
      <c r="Q653" s="9">
        <v>19.688099999999999</v>
      </c>
      <c r="R653" s="9"/>
      <c r="S653" s="11"/>
    </row>
    <row r="654" spans="1:19" ht="15.75">
      <c r="A654" s="13">
        <v>61422</v>
      </c>
      <c r="B654" s="8">
        <f>18.5014 * CHOOSE(CONTROL!$C$15, $D$11, 100%, $F$11)</f>
        <v>18.5014</v>
      </c>
      <c r="C654" s="8">
        <f>18.5065 * CHOOSE(CONTROL!$C$15, $D$11, 100%, $F$11)</f>
        <v>18.506499999999999</v>
      </c>
      <c r="D654" s="8">
        <f>18.4776 * CHOOSE( CONTROL!$C$15, $D$11, 100%, $F$11)</f>
        <v>18.477599999999999</v>
      </c>
      <c r="E654" s="12">
        <f>18.4876 * CHOOSE( CONTROL!$C$15, $D$11, 100%, $F$11)</f>
        <v>18.4876</v>
      </c>
      <c r="F654" s="4">
        <f>19.1667 * CHOOSE(CONTROL!$C$15, $D$11, 100%, $F$11)</f>
        <v>19.166699999999999</v>
      </c>
      <c r="G654" s="8">
        <f>18.2845 * CHOOSE( CONTROL!$C$15, $D$11, 100%, $F$11)</f>
        <v>18.284500000000001</v>
      </c>
      <c r="H654" s="4">
        <f>19.1889 * CHOOSE(CONTROL!$C$15, $D$11, 100%, $F$11)</f>
        <v>19.1889</v>
      </c>
      <c r="I654" s="8">
        <f>18.1003 * CHOOSE(CONTROL!$C$15, $D$11, 100%, $F$11)</f>
        <v>18.100300000000001</v>
      </c>
      <c r="J654" s="4">
        <f>17.9469 * CHOOSE(CONTROL!$C$15, $D$11, 100%, $F$11)</f>
        <v>17.946899999999999</v>
      </c>
      <c r="K654" s="4"/>
      <c r="L654" s="9">
        <v>27.415299999999998</v>
      </c>
      <c r="M654" s="9">
        <v>11.285299999999999</v>
      </c>
      <c r="N654" s="9">
        <v>4.6254999999999997</v>
      </c>
      <c r="O654" s="9">
        <v>0.34989999999999999</v>
      </c>
      <c r="P654" s="9">
        <v>1.2093</v>
      </c>
      <c r="Q654" s="9">
        <v>18.417899999999999</v>
      </c>
      <c r="R654" s="9"/>
      <c r="S654" s="11"/>
    </row>
    <row r="655" spans="1:19" ht="15.75">
      <c r="A655" s="13">
        <v>61453</v>
      </c>
      <c r="B655" s="8">
        <f>18.1078 * CHOOSE(CONTROL!$C$15, $D$11, 100%, $F$11)</f>
        <v>18.107800000000001</v>
      </c>
      <c r="C655" s="8">
        <f>18.1129 * CHOOSE(CONTROL!$C$15, $D$11, 100%, $F$11)</f>
        <v>18.1129</v>
      </c>
      <c r="D655" s="8">
        <f>18.0836 * CHOOSE( CONTROL!$C$15, $D$11, 100%, $F$11)</f>
        <v>18.083600000000001</v>
      </c>
      <c r="E655" s="12">
        <f>18.0938 * CHOOSE( CONTROL!$C$15, $D$11, 100%, $F$11)</f>
        <v>18.093800000000002</v>
      </c>
      <c r="F655" s="4">
        <f>18.7731 * CHOOSE(CONTROL!$C$15, $D$11, 100%, $F$11)</f>
        <v>18.773099999999999</v>
      </c>
      <c r="G655" s="8">
        <f>17.8951 * CHOOSE( CONTROL!$C$15, $D$11, 100%, $F$11)</f>
        <v>17.895099999999999</v>
      </c>
      <c r="H655" s="4">
        <f>18.7999 * CHOOSE(CONTROL!$C$15, $D$11, 100%, $F$11)</f>
        <v>18.799900000000001</v>
      </c>
      <c r="I655" s="8">
        <f>17.7169 * CHOOSE(CONTROL!$C$15, $D$11, 100%, $F$11)</f>
        <v>17.716899999999999</v>
      </c>
      <c r="J655" s="4">
        <f>17.5648 * CHOOSE(CONTROL!$C$15, $D$11, 100%, $F$11)</f>
        <v>17.564800000000002</v>
      </c>
      <c r="K655" s="4"/>
      <c r="L655" s="9">
        <v>29.306000000000001</v>
      </c>
      <c r="M655" s="9">
        <v>12.063700000000001</v>
      </c>
      <c r="N655" s="9">
        <v>4.9444999999999997</v>
      </c>
      <c r="O655" s="9">
        <v>0.37409999999999999</v>
      </c>
      <c r="P655" s="9">
        <v>1.2927</v>
      </c>
      <c r="Q655" s="9">
        <v>19.688099999999999</v>
      </c>
      <c r="R655" s="9"/>
      <c r="S655" s="11"/>
    </row>
    <row r="656" spans="1:19" ht="15.75">
      <c r="A656" s="13">
        <v>61483</v>
      </c>
      <c r="B656" s="8">
        <f>18.3836 * CHOOSE(CONTROL!$C$15, $D$11, 100%, $F$11)</f>
        <v>18.383600000000001</v>
      </c>
      <c r="C656" s="8">
        <f>18.3881 * CHOOSE(CONTROL!$C$15, $D$11, 100%, $F$11)</f>
        <v>18.388100000000001</v>
      </c>
      <c r="D656" s="8">
        <f>18.4315 * CHOOSE( CONTROL!$C$15, $D$11, 100%, $F$11)</f>
        <v>18.4315</v>
      </c>
      <c r="E656" s="12">
        <f>18.4167 * CHOOSE( CONTROL!$C$15, $D$11, 100%, $F$11)</f>
        <v>18.416699999999999</v>
      </c>
      <c r="F656" s="4">
        <f>19.128 * CHOOSE(CONTROL!$C$15, $D$11, 100%, $F$11)</f>
        <v>19.128</v>
      </c>
      <c r="G656" s="8">
        <f>18.1748 * CHOOSE( CONTROL!$C$15, $D$11, 100%, $F$11)</f>
        <v>18.174800000000001</v>
      </c>
      <c r="H656" s="4">
        <f>19.1506 * CHOOSE(CONTROL!$C$15, $D$11, 100%, $F$11)</f>
        <v>19.150600000000001</v>
      </c>
      <c r="I656" s="8">
        <f>17.9821 * CHOOSE(CONTROL!$C$15, $D$11, 100%, $F$11)</f>
        <v>17.982099999999999</v>
      </c>
      <c r="J656" s="4">
        <f>17.8318 * CHOOSE(CONTROL!$C$15, $D$11, 100%, $F$11)</f>
        <v>17.831800000000001</v>
      </c>
      <c r="K656" s="4"/>
      <c r="L656" s="9">
        <v>30.092199999999998</v>
      </c>
      <c r="M656" s="9">
        <v>11.6745</v>
      </c>
      <c r="N656" s="9">
        <v>4.7850000000000001</v>
      </c>
      <c r="O656" s="9">
        <v>0.36199999999999999</v>
      </c>
      <c r="P656" s="9">
        <v>1.1791</v>
      </c>
      <c r="Q656" s="9">
        <v>19.053000000000001</v>
      </c>
      <c r="R656" s="9"/>
      <c r="S656" s="11"/>
    </row>
    <row r="657" spans="1:19" ht="15.75">
      <c r="A657" s="13">
        <v>61514</v>
      </c>
      <c r="B657" s="8">
        <f>CHOOSE( CONTROL!$C$32, 18.8782, 18.8746) * CHOOSE(CONTROL!$C$15, $D$11, 100%, $F$11)</f>
        <v>18.8782</v>
      </c>
      <c r="C657" s="8">
        <f>CHOOSE( CONTROL!$C$32, 18.8862, 18.8825) * CHOOSE(CONTROL!$C$15, $D$11, 100%, $F$11)</f>
        <v>18.886199999999999</v>
      </c>
      <c r="D657" s="8">
        <f>CHOOSE( CONTROL!$C$32, 18.9239, 18.9203) * CHOOSE( CONTROL!$C$15, $D$11, 100%, $F$11)</f>
        <v>18.9239</v>
      </c>
      <c r="E657" s="12">
        <f>CHOOSE( CONTROL!$C$32, 18.909, 18.9054) * CHOOSE( CONTROL!$C$15, $D$11, 100%, $F$11)</f>
        <v>18.908999999999999</v>
      </c>
      <c r="F657" s="4">
        <f>CHOOSE( CONTROL!$C$32, 19.6212, 19.6176) * CHOOSE(CONTROL!$C$15, $D$11, 100%, $F$11)</f>
        <v>19.621200000000002</v>
      </c>
      <c r="G657" s="8">
        <f>CHOOSE( CONTROL!$C$32, 18.663, 18.6594) * CHOOSE( CONTROL!$C$15, $D$11, 100%, $F$11)</f>
        <v>18.663</v>
      </c>
      <c r="H657" s="4">
        <f>CHOOSE( CONTROL!$C$32, 19.6381, 19.6345) * CHOOSE(CONTROL!$C$15, $D$11, 100%, $F$11)</f>
        <v>19.638100000000001</v>
      </c>
      <c r="I657" s="8">
        <f>CHOOSE( CONTROL!$C$32, 18.4612, 18.4577) * CHOOSE(CONTROL!$C$15, $D$11, 100%, $F$11)</f>
        <v>18.461200000000002</v>
      </c>
      <c r="J657" s="4">
        <f>CHOOSE( CONTROL!$C$32, 18.3105, 18.307) * CHOOSE(CONTROL!$C$15, $D$11, 100%, $F$11)</f>
        <v>18.310500000000001</v>
      </c>
      <c r="K657" s="4"/>
      <c r="L657" s="9">
        <v>30.7165</v>
      </c>
      <c r="M657" s="9">
        <v>12.063700000000001</v>
      </c>
      <c r="N657" s="9">
        <v>4.9444999999999997</v>
      </c>
      <c r="O657" s="9">
        <v>0.37409999999999999</v>
      </c>
      <c r="P657" s="9">
        <v>1.2183999999999999</v>
      </c>
      <c r="Q657" s="9">
        <v>19.688099999999999</v>
      </c>
      <c r="R657" s="9"/>
      <c r="S657" s="11"/>
    </row>
    <row r="658" spans="1:19" ht="15.75">
      <c r="A658" s="13">
        <v>61544</v>
      </c>
      <c r="B658" s="8">
        <f>CHOOSE( CONTROL!$C$32, 18.5749, 18.5713) * CHOOSE(CONTROL!$C$15, $D$11, 100%, $F$11)</f>
        <v>18.5749</v>
      </c>
      <c r="C658" s="8">
        <f>CHOOSE( CONTROL!$C$32, 18.5829, 18.5793) * CHOOSE(CONTROL!$C$15, $D$11, 100%, $F$11)</f>
        <v>18.582899999999999</v>
      </c>
      <c r="D658" s="8">
        <f>CHOOSE( CONTROL!$C$32, 18.6209, 18.6172) * CHOOSE( CONTROL!$C$15, $D$11, 100%, $F$11)</f>
        <v>18.620899999999999</v>
      </c>
      <c r="E658" s="12">
        <f>CHOOSE( CONTROL!$C$32, 18.6059, 18.6022) * CHOOSE( CONTROL!$C$15, $D$11, 100%, $F$11)</f>
        <v>18.605899999999998</v>
      </c>
      <c r="F658" s="4">
        <f>CHOOSE( CONTROL!$C$32, 19.3179, 19.3143) * CHOOSE(CONTROL!$C$15, $D$11, 100%, $F$11)</f>
        <v>19.317900000000002</v>
      </c>
      <c r="G658" s="8">
        <f>CHOOSE( CONTROL!$C$32, 18.3636, 18.36) * CHOOSE( CONTROL!$C$15, $D$11, 100%, $F$11)</f>
        <v>18.363600000000002</v>
      </c>
      <c r="H658" s="4">
        <f>CHOOSE( CONTROL!$C$32, 19.3384, 19.3348) * CHOOSE(CONTROL!$C$15, $D$11, 100%, $F$11)</f>
        <v>19.3384</v>
      </c>
      <c r="I658" s="8">
        <f>CHOOSE( CONTROL!$C$32, 18.1678, 18.1642) * CHOOSE(CONTROL!$C$15, $D$11, 100%, $F$11)</f>
        <v>18.1678</v>
      </c>
      <c r="J658" s="4">
        <f>CHOOSE( CONTROL!$C$32, 18.0162, 18.0126) * CHOOSE(CONTROL!$C$15, $D$11, 100%, $F$11)</f>
        <v>18.016200000000001</v>
      </c>
      <c r="K658" s="4"/>
      <c r="L658" s="9">
        <v>29.7257</v>
      </c>
      <c r="M658" s="9">
        <v>11.6745</v>
      </c>
      <c r="N658" s="9">
        <v>4.7850000000000001</v>
      </c>
      <c r="O658" s="9">
        <v>0.36199999999999999</v>
      </c>
      <c r="P658" s="9">
        <v>1.1791</v>
      </c>
      <c r="Q658" s="9">
        <v>19.053000000000001</v>
      </c>
      <c r="R658" s="9"/>
      <c r="S658" s="11"/>
    </row>
    <row r="659" spans="1:19" ht="15.75">
      <c r="A659" s="13">
        <v>61575</v>
      </c>
      <c r="B659" s="8">
        <f>CHOOSE( CONTROL!$C$32, 19.3736, 19.3699) * CHOOSE(CONTROL!$C$15, $D$11, 100%, $F$11)</f>
        <v>19.3736</v>
      </c>
      <c r="C659" s="8">
        <f>CHOOSE( CONTROL!$C$32, 19.3816, 19.3779) * CHOOSE(CONTROL!$C$15, $D$11, 100%, $F$11)</f>
        <v>19.381599999999999</v>
      </c>
      <c r="D659" s="8">
        <f>CHOOSE( CONTROL!$C$32, 19.4198, 19.4161) * CHOOSE( CONTROL!$C$15, $D$11, 100%, $F$11)</f>
        <v>19.419799999999999</v>
      </c>
      <c r="E659" s="12">
        <f>CHOOSE( CONTROL!$C$32, 19.4047, 19.401) * CHOOSE( CONTROL!$C$15, $D$11, 100%, $F$11)</f>
        <v>19.404699999999998</v>
      </c>
      <c r="F659" s="4">
        <f>CHOOSE( CONTROL!$C$32, 20.1166, 20.1129) * CHOOSE(CONTROL!$C$15, $D$11, 100%, $F$11)</f>
        <v>20.116599999999998</v>
      </c>
      <c r="G659" s="8">
        <f>CHOOSE( CONTROL!$C$32, 19.1533, 19.1497) * CHOOSE( CONTROL!$C$15, $D$11, 100%, $F$11)</f>
        <v>19.153300000000002</v>
      </c>
      <c r="H659" s="4">
        <f>CHOOSE( CONTROL!$C$32, 20.1276, 20.124) * CHOOSE(CONTROL!$C$15, $D$11, 100%, $F$11)</f>
        <v>20.127600000000001</v>
      </c>
      <c r="I659" s="8">
        <f>CHOOSE( CONTROL!$C$32, 18.9444, 18.9408) * CHOOSE(CONTROL!$C$15, $D$11, 100%, $F$11)</f>
        <v>18.944400000000002</v>
      </c>
      <c r="J659" s="4">
        <f>CHOOSE( CONTROL!$C$32, 18.7912, 18.7877) * CHOOSE(CONTROL!$C$15, $D$11, 100%, $F$11)</f>
        <v>18.7912</v>
      </c>
      <c r="K659" s="4"/>
      <c r="L659" s="9">
        <v>30.7165</v>
      </c>
      <c r="M659" s="9">
        <v>12.063700000000001</v>
      </c>
      <c r="N659" s="9">
        <v>4.9444999999999997</v>
      </c>
      <c r="O659" s="9">
        <v>0.37409999999999999</v>
      </c>
      <c r="P659" s="9">
        <v>1.2183999999999999</v>
      </c>
      <c r="Q659" s="9">
        <v>19.688099999999999</v>
      </c>
      <c r="R659" s="9"/>
      <c r="S659" s="11"/>
    </row>
    <row r="660" spans="1:19" ht="15.75">
      <c r="A660" s="13">
        <v>61606</v>
      </c>
      <c r="B660" s="8">
        <f>CHOOSE( CONTROL!$C$32, 17.8792, 17.8756) * CHOOSE(CONTROL!$C$15, $D$11, 100%, $F$11)</f>
        <v>17.879200000000001</v>
      </c>
      <c r="C660" s="8">
        <f>CHOOSE( CONTROL!$C$32, 17.8872, 17.8836) * CHOOSE(CONTROL!$C$15, $D$11, 100%, $F$11)</f>
        <v>17.8872</v>
      </c>
      <c r="D660" s="8">
        <f>CHOOSE( CONTROL!$C$32, 17.9255, 17.9218) * CHOOSE( CONTROL!$C$15, $D$11, 100%, $F$11)</f>
        <v>17.9255</v>
      </c>
      <c r="E660" s="12">
        <f>CHOOSE( CONTROL!$C$32, 17.9104, 17.9067) * CHOOSE( CONTROL!$C$15, $D$11, 100%, $F$11)</f>
        <v>17.910399999999999</v>
      </c>
      <c r="F660" s="4">
        <f>CHOOSE( CONTROL!$C$32, 18.6222, 18.6186) * CHOOSE(CONTROL!$C$15, $D$11, 100%, $F$11)</f>
        <v>18.622199999999999</v>
      </c>
      <c r="G660" s="8">
        <f>CHOOSE( CONTROL!$C$32, 17.6765, 17.6729) * CHOOSE( CONTROL!$C$15, $D$11, 100%, $F$11)</f>
        <v>17.676500000000001</v>
      </c>
      <c r="H660" s="4">
        <f>CHOOSE( CONTROL!$C$32, 18.6508, 18.6472) * CHOOSE(CONTROL!$C$15, $D$11, 100%, $F$11)</f>
        <v>18.6508</v>
      </c>
      <c r="I660" s="8">
        <f>CHOOSE( CONTROL!$C$32, 17.4936, 17.4901) * CHOOSE(CONTROL!$C$15, $D$11, 100%, $F$11)</f>
        <v>17.493600000000001</v>
      </c>
      <c r="J660" s="4">
        <f>CHOOSE( CONTROL!$C$32, 17.341, 17.3374) * CHOOSE(CONTROL!$C$15, $D$11, 100%, $F$11)</f>
        <v>17.341000000000001</v>
      </c>
      <c r="K660" s="4"/>
      <c r="L660" s="9">
        <v>30.7165</v>
      </c>
      <c r="M660" s="9">
        <v>12.063700000000001</v>
      </c>
      <c r="N660" s="9">
        <v>4.9444999999999997</v>
      </c>
      <c r="O660" s="9">
        <v>0.37409999999999999</v>
      </c>
      <c r="P660" s="9">
        <v>1.2183999999999999</v>
      </c>
      <c r="Q660" s="9">
        <v>19.688099999999999</v>
      </c>
      <c r="R660" s="9"/>
      <c r="S660" s="11"/>
    </row>
    <row r="661" spans="1:19" ht="15.75">
      <c r="A661" s="13">
        <v>61636</v>
      </c>
      <c r="B661" s="8">
        <f>CHOOSE( CONTROL!$C$32, 17.505, 17.5014) * CHOOSE(CONTROL!$C$15, $D$11, 100%, $F$11)</f>
        <v>17.504999999999999</v>
      </c>
      <c r="C661" s="8">
        <f>CHOOSE( CONTROL!$C$32, 17.513, 17.5094) * CHOOSE(CONTROL!$C$15, $D$11, 100%, $F$11)</f>
        <v>17.513000000000002</v>
      </c>
      <c r="D661" s="8">
        <f>CHOOSE( CONTROL!$C$32, 17.5512, 17.5475) * CHOOSE( CONTROL!$C$15, $D$11, 100%, $F$11)</f>
        <v>17.551200000000001</v>
      </c>
      <c r="E661" s="12">
        <f>CHOOSE( CONTROL!$C$32, 17.5361, 17.5325) * CHOOSE( CONTROL!$C$15, $D$11, 100%, $F$11)</f>
        <v>17.536100000000001</v>
      </c>
      <c r="F661" s="4">
        <f>CHOOSE( CONTROL!$C$32, 18.248, 18.2444) * CHOOSE(CONTROL!$C$15, $D$11, 100%, $F$11)</f>
        <v>18.248000000000001</v>
      </c>
      <c r="G661" s="8">
        <f>CHOOSE( CONTROL!$C$32, 17.3066, 17.303) * CHOOSE( CONTROL!$C$15, $D$11, 100%, $F$11)</f>
        <v>17.3066</v>
      </c>
      <c r="H661" s="4">
        <f>CHOOSE( CONTROL!$C$32, 18.281, 18.2774) * CHOOSE(CONTROL!$C$15, $D$11, 100%, $F$11)</f>
        <v>18.280999999999999</v>
      </c>
      <c r="I661" s="8">
        <f>CHOOSE( CONTROL!$C$32, 17.1299, 17.1264) * CHOOSE(CONTROL!$C$15, $D$11, 100%, $F$11)</f>
        <v>17.129899999999999</v>
      </c>
      <c r="J661" s="4">
        <f>CHOOSE( CONTROL!$C$32, 16.9778, 16.9743) * CHOOSE(CONTROL!$C$15, $D$11, 100%, $F$11)</f>
        <v>16.977799999999998</v>
      </c>
      <c r="K661" s="4"/>
      <c r="L661" s="9">
        <v>29.7257</v>
      </c>
      <c r="M661" s="9">
        <v>11.6745</v>
      </c>
      <c r="N661" s="9">
        <v>4.7850000000000001</v>
      </c>
      <c r="O661" s="9">
        <v>0.36199999999999999</v>
      </c>
      <c r="P661" s="9">
        <v>1.1791</v>
      </c>
      <c r="Q661" s="9">
        <v>19.053000000000001</v>
      </c>
      <c r="R661" s="9"/>
      <c r="S661" s="11"/>
    </row>
    <row r="662" spans="1:19" ht="15.75">
      <c r="A662" s="13">
        <v>61667</v>
      </c>
      <c r="B662" s="8">
        <f>18.2766 * CHOOSE(CONTROL!$C$15, $D$11, 100%, $F$11)</f>
        <v>18.276599999999998</v>
      </c>
      <c r="C662" s="8">
        <f>18.282 * CHOOSE(CONTROL!$C$15, $D$11, 100%, $F$11)</f>
        <v>18.282</v>
      </c>
      <c r="D662" s="8">
        <f>18.3255 * CHOOSE( CONTROL!$C$15, $D$11, 100%, $F$11)</f>
        <v>18.325500000000002</v>
      </c>
      <c r="E662" s="12">
        <f>18.3106 * CHOOSE( CONTROL!$C$15, $D$11, 100%, $F$11)</f>
        <v>18.310600000000001</v>
      </c>
      <c r="F662" s="4">
        <f>19.0214 * CHOOSE(CONTROL!$C$15, $D$11, 100%, $F$11)</f>
        <v>19.0214</v>
      </c>
      <c r="G662" s="8">
        <f>18.0703 * CHOOSE( CONTROL!$C$15, $D$11, 100%, $F$11)</f>
        <v>18.0703</v>
      </c>
      <c r="H662" s="4">
        <f>19.0452 * CHOOSE(CONTROL!$C$15, $D$11, 100%, $F$11)</f>
        <v>19.045200000000001</v>
      </c>
      <c r="I662" s="8">
        <f>17.8816 * CHOOSE(CONTROL!$C$15, $D$11, 100%, $F$11)</f>
        <v>17.881599999999999</v>
      </c>
      <c r="J662" s="4">
        <f>17.7283 * CHOOSE(CONTROL!$C$15, $D$11, 100%, $F$11)</f>
        <v>17.728300000000001</v>
      </c>
      <c r="K662" s="4"/>
      <c r="L662" s="9">
        <v>31.095300000000002</v>
      </c>
      <c r="M662" s="9">
        <v>12.063700000000001</v>
      </c>
      <c r="N662" s="9">
        <v>4.9444999999999997</v>
      </c>
      <c r="O662" s="9">
        <v>0.37409999999999999</v>
      </c>
      <c r="P662" s="9">
        <v>1.2183999999999999</v>
      </c>
      <c r="Q662" s="9">
        <v>19.688099999999999</v>
      </c>
      <c r="R662" s="9"/>
      <c r="S662" s="11"/>
    </row>
    <row r="663" spans="1:19" ht="15.75">
      <c r="A663" s="13">
        <v>61697</v>
      </c>
      <c r="B663" s="8">
        <f>19.7104 * CHOOSE(CONTROL!$C$15, $D$11, 100%, $F$11)</f>
        <v>19.7104</v>
      </c>
      <c r="C663" s="8">
        <f>19.7154 * CHOOSE(CONTROL!$C$15, $D$11, 100%, $F$11)</f>
        <v>19.715399999999999</v>
      </c>
      <c r="D663" s="8">
        <f>19.6991 * CHOOSE( CONTROL!$C$15, $D$11, 100%, $F$11)</f>
        <v>19.699100000000001</v>
      </c>
      <c r="E663" s="12">
        <f>19.7045 * CHOOSE( CONTROL!$C$15, $D$11, 100%, $F$11)</f>
        <v>19.704499999999999</v>
      </c>
      <c r="F663" s="4">
        <f>20.3756 * CHOOSE(CONTROL!$C$15, $D$11, 100%, $F$11)</f>
        <v>20.375599999999999</v>
      </c>
      <c r="G663" s="8">
        <f>19.4883 * CHOOSE( CONTROL!$C$15, $D$11, 100%, $F$11)</f>
        <v>19.488299999999999</v>
      </c>
      <c r="H663" s="4">
        <f>20.3837 * CHOOSE(CONTROL!$C$15, $D$11, 100%, $F$11)</f>
        <v>20.383700000000001</v>
      </c>
      <c r="I663" s="8">
        <f>19.2742 * CHOOSE(CONTROL!$C$15, $D$11, 100%, $F$11)</f>
        <v>19.2742</v>
      </c>
      <c r="J663" s="4">
        <f>19.1202 * CHOOSE(CONTROL!$C$15, $D$11, 100%, $F$11)</f>
        <v>19.120200000000001</v>
      </c>
      <c r="K663" s="4"/>
      <c r="L663" s="9">
        <v>28.360600000000002</v>
      </c>
      <c r="M663" s="9">
        <v>11.6745</v>
      </c>
      <c r="N663" s="9">
        <v>4.7850000000000001</v>
      </c>
      <c r="O663" s="9">
        <v>0.36199999999999999</v>
      </c>
      <c r="P663" s="9">
        <v>1.2509999999999999</v>
      </c>
      <c r="Q663" s="9">
        <v>19.053000000000001</v>
      </c>
      <c r="R663" s="9"/>
      <c r="S663" s="11"/>
    </row>
    <row r="664" spans="1:19" ht="15.75">
      <c r="A664" s="13">
        <v>61728</v>
      </c>
      <c r="B664" s="8">
        <f>19.6745 * CHOOSE(CONTROL!$C$15, $D$11, 100%, $F$11)</f>
        <v>19.674499999999998</v>
      </c>
      <c r="C664" s="8">
        <f>19.6796 * CHOOSE(CONTROL!$C$15, $D$11, 100%, $F$11)</f>
        <v>19.679600000000001</v>
      </c>
      <c r="D664" s="8">
        <f>19.665 * CHOOSE( CONTROL!$C$15, $D$11, 100%, $F$11)</f>
        <v>19.664999999999999</v>
      </c>
      <c r="E664" s="12">
        <f>19.6698 * CHOOSE( CONTROL!$C$15, $D$11, 100%, $F$11)</f>
        <v>19.669799999999999</v>
      </c>
      <c r="F664" s="4">
        <f>20.3398 * CHOOSE(CONTROL!$C$15, $D$11, 100%, $F$11)</f>
        <v>20.3398</v>
      </c>
      <c r="G664" s="8">
        <f>19.4541 * CHOOSE( CONTROL!$C$15, $D$11, 100%, $F$11)</f>
        <v>19.4541</v>
      </c>
      <c r="H664" s="4">
        <f>20.3483 * CHOOSE(CONTROL!$C$15, $D$11, 100%, $F$11)</f>
        <v>20.348299999999998</v>
      </c>
      <c r="I664" s="8">
        <f>19.2448 * CHOOSE(CONTROL!$C$15, $D$11, 100%, $F$11)</f>
        <v>19.244800000000001</v>
      </c>
      <c r="J664" s="4">
        <f>19.0854 * CHOOSE(CONTROL!$C$15, $D$11, 100%, $F$11)</f>
        <v>19.0854</v>
      </c>
      <c r="K664" s="4"/>
      <c r="L664" s="9">
        <v>29.306000000000001</v>
      </c>
      <c r="M664" s="9">
        <v>12.063700000000001</v>
      </c>
      <c r="N664" s="9">
        <v>4.9444999999999997</v>
      </c>
      <c r="O664" s="9">
        <v>0.37409999999999999</v>
      </c>
      <c r="P664" s="9">
        <v>1.2927</v>
      </c>
      <c r="Q664" s="9">
        <v>19.688099999999999</v>
      </c>
      <c r="R664" s="9"/>
      <c r="S664" s="11"/>
    </row>
    <row r="665" spans="1:19" ht="15.75">
      <c r="A665" s="13">
        <v>61759</v>
      </c>
      <c r="B665" s="8">
        <f>20.2546 * CHOOSE(CONTROL!$C$15, $D$11, 100%, $F$11)</f>
        <v>20.2546</v>
      </c>
      <c r="C665" s="8">
        <f>20.2597 * CHOOSE(CONTROL!$C$15, $D$11, 100%, $F$11)</f>
        <v>20.259699999999999</v>
      </c>
      <c r="D665" s="8">
        <f>20.2308 * CHOOSE( CONTROL!$C$15, $D$11, 100%, $F$11)</f>
        <v>20.230799999999999</v>
      </c>
      <c r="E665" s="12">
        <f>20.2408 * CHOOSE( CONTROL!$C$15, $D$11, 100%, $F$11)</f>
        <v>20.2408</v>
      </c>
      <c r="F665" s="4">
        <f>20.9199 * CHOOSE(CONTROL!$C$15, $D$11, 100%, $F$11)</f>
        <v>20.919899999999998</v>
      </c>
      <c r="G665" s="8">
        <f>20.0171 * CHOOSE( CONTROL!$C$15, $D$11, 100%, $F$11)</f>
        <v>20.017099999999999</v>
      </c>
      <c r="H665" s="4">
        <f>20.9215 * CHOOSE(CONTROL!$C$15, $D$11, 100%, $F$11)</f>
        <v>20.921500000000002</v>
      </c>
      <c r="I665" s="8">
        <f>19.8027 * CHOOSE(CONTROL!$C$15, $D$11, 100%, $F$11)</f>
        <v>19.802700000000002</v>
      </c>
      <c r="J665" s="4">
        <f>19.6483 * CHOOSE(CONTROL!$C$15, $D$11, 100%, $F$11)</f>
        <v>19.648299999999999</v>
      </c>
      <c r="K665" s="4"/>
      <c r="L665" s="9">
        <v>29.306000000000001</v>
      </c>
      <c r="M665" s="9">
        <v>12.063700000000001</v>
      </c>
      <c r="N665" s="9">
        <v>4.9444999999999997</v>
      </c>
      <c r="O665" s="9">
        <v>0.37409999999999999</v>
      </c>
      <c r="P665" s="9">
        <v>1.2927</v>
      </c>
      <c r="Q665" s="9">
        <v>19.688099999999999</v>
      </c>
      <c r="R665" s="9"/>
      <c r="S665" s="11"/>
    </row>
    <row r="666" spans="1:19" ht="15.75">
      <c r="A666" s="13">
        <v>61787</v>
      </c>
      <c r="B666" s="8">
        <f>18.9458 * CHOOSE(CONTROL!$C$15, $D$11, 100%, $F$11)</f>
        <v>18.945799999999998</v>
      </c>
      <c r="C666" s="8">
        <f>18.9508 * CHOOSE(CONTROL!$C$15, $D$11, 100%, $F$11)</f>
        <v>18.950800000000001</v>
      </c>
      <c r="D666" s="8">
        <f>18.9219 * CHOOSE( CONTROL!$C$15, $D$11, 100%, $F$11)</f>
        <v>18.921900000000001</v>
      </c>
      <c r="E666" s="12">
        <f>18.9319 * CHOOSE( CONTROL!$C$15, $D$11, 100%, $F$11)</f>
        <v>18.931899999999999</v>
      </c>
      <c r="F666" s="4">
        <f>19.611 * CHOOSE(CONTROL!$C$15, $D$11, 100%, $F$11)</f>
        <v>19.611000000000001</v>
      </c>
      <c r="G666" s="8">
        <f>18.7236 * CHOOSE( CONTROL!$C$15, $D$11, 100%, $F$11)</f>
        <v>18.723600000000001</v>
      </c>
      <c r="H666" s="4">
        <f>19.628 * CHOOSE(CONTROL!$C$15, $D$11, 100%, $F$11)</f>
        <v>19.628</v>
      </c>
      <c r="I666" s="8">
        <f>18.5318 * CHOOSE(CONTROL!$C$15, $D$11, 100%, $F$11)</f>
        <v>18.5318</v>
      </c>
      <c r="J666" s="4">
        <f>18.3781 * CHOOSE(CONTROL!$C$15, $D$11, 100%, $F$11)</f>
        <v>18.3781</v>
      </c>
      <c r="K666" s="4"/>
      <c r="L666" s="9">
        <v>26.469899999999999</v>
      </c>
      <c r="M666" s="9">
        <v>10.8962</v>
      </c>
      <c r="N666" s="9">
        <v>4.4660000000000002</v>
      </c>
      <c r="O666" s="9">
        <v>0.33789999999999998</v>
      </c>
      <c r="P666" s="9">
        <v>1.1676</v>
      </c>
      <c r="Q666" s="9">
        <v>17.782800000000002</v>
      </c>
      <c r="R666" s="9"/>
      <c r="S666" s="11"/>
    </row>
    <row r="667" spans="1:19" ht="15.75">
      <c r="A667" s="13">
        <v>61818</v>
      </c>
      <c r="B667" s="8">
        <f>18.5426 * CHOOSE(CONTROL!$C$15, $D$11, 100%, $F$11)</f>
        <v>18.5426</v>
      </c>
      <c r="C667" s="8">
        <f>18.5477 * CHOOSE(CONTROL!$C$15, $D$11, 100%, $F$11)</f>
        <v>18.547699999999999</v>
      </c>
      <c r="D667" s="8">
        <f>18.5184 * CHOOSE( CONTROL!$C$15, $D$11, 100%, $F$11)</f>
        <v>18.5184</v>
      </c>
      <c r="E667" s="12">
        <f>18.5286 * CHOOSE( CONTROL!$C$15, $D$11, 100%, $F$11)</f>
        <v>18.528600000000001</v>
      </c>
      <c r="F667" s="4">
        <f>19.2079 * CHOOSE(CONTROL!$C$15, $D$11, 100%, $F$11)</f>
        <v>19.207899999999999</v>
      </c>
      <c r="G667" s="8">
        <f>18.3249 * CHOOSE( CONTROL!$C$15, $D$11, 100%, $F$11)</f>
        <v>18.3249</v>
      </c>
      <c r="H667" s="4">
        <f>19.2296 * CHOOSE(CONTROL!$C$15, $D$11, 100%, $F$11)</f>
        <v>19.229600000000001</v>
      </c>
      <c r="I667" s="8">
        <f>18.1391 * CHOOSE(CONTROL!$C$15, $D$11, 100%, $F$11)</f>
        <v>18.139099999999999</v>
      </c>
      <c r="J667" s="4">
        <f>17.9869 * CHOOSE(CONTROL!$C$15, $D$11, 100%, $F$11)</f>
        <v>17.986899999999999</v>
      </c>
      <c r="K667" s="4"/>
      <c r="L667" s="9">
        <v>29.306000000000001</v>
      </c>
      <c r="M667" s="9">
        <v>12.063700000000001</v>
      </c>
      <c r="N667" s="9">
        <v>4.9444999999999997</v>
      </c>
      <c r="O667" s="9">
        <v>0.37409999999999999</v>
      </c>
      <c r="P667" s="9">
        <v>1.2927</v>
      </c>
      <c r="Q667" s="9">
        <v>19.688099999999999</v>
      </c>
      <c r="R667" s="9"/>
      <c r="S667" s="11"/>
    </row>
    <row r="668" spans="1:19" ht="15.75">
      <c r="A668" s="13">
        <v>61848</v>
      </c>
      <c r="B668" s="8">
        <f>18.8251 * CHOOSE(CONTROL!$C$15, $D$11, 100%, $F$11)</f>
        <v>18.825099999999999</v>
      </c>
      <c r="C668" s="8">
        <f>18.8296 * CHOOSE(CONTROL!$C$15, $D$11, 100%, $F$11)</f>
        <v>18.829599999999999</v>
      </c>
      <c r="D668" s="8">
        <f>18.873 * CHOOSE( CONTROL!$C$15, $D$11, 100%, $F$11)</f>
        <v>18.873000000000001</v>
      </c>
      <c r="E668" s="12">
        <f>18.8582 * CHOOSE( CONTROL!$C$15, $D$11, 100%, $F$11)</f>
        <v>18.8582</v>
      </c>
      <c r="F668" s="4">
        <f>19.5695 * CHOOSE(CONTROL!$C$15, $D$11, 100%, $F$11)</f>
        <v>19.569500000000001</v>
      </c>
      <c r="G668" s="8">
        <f>18.6111 * CHOOSE( CONTROL!$C$15, $D$11, 100%, $F$11)</f>
        <v>18.6111</v>
      </c>
      <c r="H668" s="4">
        <f>19.5869 * CHOOSE(CONTROL!$C$15, $D$11, 100%, $F$11)</f>
        <v>19.5869</v>
      </c>
      <c r="I668" s="8">
        <f>18.4108 * CHOOSE(CONTROL!$C$15, $D$11, 100%, $F$11)</f>
        <v>18.410799999999998</v>
      </c>
      <c r="J668" s="4">
        <f>18.2603 * CHOOSE(CONTROL!$C$15, $D$11, 100%, $F$11)</f>
        <v>18.260300000000001</v>
      </c>
      <c r="K668" s="4"/>
      <c r="L668" s="9">
        <v>30.092199999999998</v>
      </c>
      <c r="M668" s="9">
        <v>11.6745</v>
      </c>
      <c r="N668" s="9">
        <v>4.7850000000000001</v>
      </c>
      <c r="O668" s="9">
        <v>0.36199999999999999</v>
      </c>
      <c r="P668" s="9">
        <v>1.1791</v>
      </c>
      <c r="Q668" s="9">
        <v>19.053000000000001</v>
      </c>
      <c r="R668" s="9"/>
      <c r="S668" s="11"/>
    </row>
    <row r="669" spans="1:19" ht="15.75">
      <c r="A669" s="13">
        <v>61879</v>
      </c>
      <c r="B669" s="8">
        <f>CHOOSE( CONTROL!$C$32, 19.3315, 19.3278) * CHOOSE(CONTROL!$C$15, $D$11, 100%, $F$11)</f>
        <v>19.331499999999998</v>
      </c>
      <c r="C669" s="8">
        <f>CHOOSE( CONTROL!$C$32, 19.3394, 19.3358) * CHOOSE(CONTROL!$C$15, $D$11, 100%, $F$11)</f>
        <v>19.339400000000001</v>
      </c>
      <c r="D669" s="8">
        <f>CHOOSE( CONTROL!$C$32, 19.3772, 19.3735) * CHOOSE( CONTROL!$C$15, $D$11, 100%, $F$11)</f>
        <v>19.377199999999998</v>
      </c>
      <c r="E669" s="12">
        <f>CHOOSE( CONTROL!$C$32, 19.3623, 19.3586) * CHOOSE( CONTROL!$C$15, $D$11, 100%, $F$11)</f>
        <v>19.362300000000001</v>
      </c>
      <c r="F669" s="4">
        <f>CHOOSE( CONTROL!$C$32, 20.0745, 20.0708) * CHOOSE(CONTROL!$C$15, $D$11, 100%, $F$11)</f>
        <v>20.0745</v>
      </c>
      <c r="G669" s="8">
        <f>CHOOSE( CONTROL!$C$32, 19.111, 19.1074) * CHOOSE( CONTROL!$C$15, $D$11, 100%, $F$11)</f>
        <v>19.111000000000001</v>
      </c>
      <c r="H669" s="4">
        <f>CHOOSE( CONTROL!$C$32, 20.086, 20.0824) * CHOOSE(CONTROL!$C$15, $D$11, 100%, $F$11)</f>
        <v>20.085999999999999</v>
      </c>
      <c r="I669" s="8">
        <f>CHOOSE( CONTROL!$C$32, 18.9013, 18.8978) * CHOOSE(CONTROL!$C$15, $D$11, 100%, $F$11)</f>
        <v>18.901299999999999</v>
      </c>
      <c r="J669" s="4">
        <f>CHOOSE( CONTROL!$C$32, 18.7504, 18.7468) * CHOOSE(CONTROL!$C$15, $D$11, 100%, $F$11)</f>
        <v>18.750399999999999</v>
      </c>
      <c r="K669" s="4"/>
      <c r="L669" s="9">
        <v>30.7165</v>
      </c>
      <c r="M669" s="9">
        <v>12.063700000000001</v>
      </c>
      <c r="N669" s="9">
        <v>4.9444999999999997</v>
      </c>
      <c r="O669" s="9">
        <v>0.37409999999999999</v>
      </c>
      <c r="P669" s="9">
        <v>1.2183999999999999</v>
      </c>
      <c r="Q669" s="9">
        <v>19.688099999999999</v>
      </c>
      <c r="R669" s="9"/>
      <c r="S669" s="11"/>
    </row>
    <row r="670" spans="1:19" ht="15.75">
      <c r="A670" s="13">
        <v>61909</v>
      </c>
      <c r="B670" s="8">
        <f>CHOOSE( CONTROL!$C$32, 19.0209, 19.0172) * CHOOSE(CONTROL!$C$15, $D$11, 100%, $F$11)</f>
        <v>19.020900000000001</v>
      </c>
      <c r="C670" s="8">
        <f>CHOOSE( CONTROL!$C$32, 19.0289, 19.0252) * CHOOSE(CONTROL!$C$15, $D$11, 100%, $F$11)</f>
        <v>19.0289</v>
      </c>
      <c r="D670" s="8">
        <f>CHOOSE( CONTROL!$C$32, 19.0668, 19.0632) * CHOOSE( CONTROL!$C$15, $D$11, 100%, $F$11)</f>
        <v>19.066800000000001</v>
      </c>
      <c r="E670" s="12">
        <f>CHOOSE( CONTROL!$C$32, 19.0518, 19.0482) * CHOOSE( CONTROL!$C$15, $D$11, 100%, $F$11)</f>
        <v>19.0518</v>
      </c>
      <c r="F670" s="4">
        <f>CHOOSE( CONTROL!$C$32, 19.7639, 19.7603) * CHOOSE(CONTROL!$C$15, $D$11, 100%, $F$11)</f>
        <v>19.7639</v>
      </c>
      <c r="G670" s="8">
        <f>CHOOSE( CONTROL!$C$32, 18.8044, 18.8008) * CHOOSE( CONTROL!$C$15, $D$11, 100%, $F$11)</f>
        <v>18.804400000000001</v>
      </c>
      <c r="H670" s="4">
        <f>CHOOSE( CONTROL!$C$32, 19.7791, 19.7755) * CHOOSE(CONTROL!$C$15, $D$11, 100%, $F$11)</f>
        <v>19.7791</v>
      </c>
      <c r="I670" s="8">
        <f>CHOOSE( CONTROL!$C$32, 18.6008, 18.5972) * CHOOSE(CONTROL!$C$15, $D$11, 100%, $F$11)</f>
        <v>18.6008</v>
      </c>
      <c r="J670" s="4">
        <f>CHOOSE( CONTROL!$C$32, 18.449, 18.4454) * CHOOSE(CONTROL!$C$15, $D$11, 100%, $F$11)</f>
        <v>18.449000000000002</v>
      </c>
      <c r="K670" s="4"/>
      <c r="L670" s="9">
        <v>29.7257</v>
      </c>
      <c r="M670" s="9">
        <v>11.6745</v>
      </c>
      <c r="N670" s="9">
        <v>4.7850000000000001</v>
      </c>
      <c r="O670" s="9">
        <v>0.36199999999999999</v>
      </c>
      <c r="P670" s="9">
        <v>1.1791</v>
      </c>
      <c r="Q670" s="9">
        <v>19.053000000000001</v>
      </c>
      <c r="R670" s="9"/>
      <c r="S670" s="11"/>
    </row>
    <row r="671" spans="1:19" ht="15.75">
      <c r="A671" s="13">
        <v>61940</v>
      </c>
      <c r="B671" s="8">
        <f>CHOOSE( CONTROL!$C$32, 19.8387, 19.8351) * CHOOSE(CONTROL!$C$15, $D$11, 100%, $F$11)</f>
        <v>19.838699999999999</v>
      </c>
      <c r="C671" s="8">
        <f>CHOOSE( CONTROL!$C$32, 19.8467, 19.8431) * CHOOSE(CONTROL!$C$15, $D$11, 100%, $F$11)</f>
        <v>19.846699999999998</v>
      </c>
      <c r="D671" s="8">
        <f>CHOOSE( CONTROL!$C$32, 19.8849, 19.8813) * CHOOSE( CONTROL!$C$15, $D$11, 100%, $F$11)</f>
        <v>19.884899999999998</v>
      </c>
      <c r="E671" s="12">
        <f>CHOOSE( CONTROL!$C$32, 19.8698, 19.8662) * CHOOSE( CONTROL!$C$15, $D$11, 100%, $F$11)</f>
        <v>19.869800000000001</v>
      </c>
      <c r="F671" s="4">
        <f>CHOOSE( CONTROL!$C$32, 20.5817, 20.5781) * CHOOSE(CONTROL!$C$15, $D$11, 100%, $F$11)</f>
        <v>20.581700000000001</v>
      </c>
      <c r="G671" s="8">
        <f>CHOOSE( CONTROL!$C$32, 19.613, 19.6094) * CHOOSE( CONTROL!$C$15, $D$11, 100%, $F$11)</f>
        <v>19.613</v>
      </c>
      <c r="H671" s="4">
        <f>CHOOSE( CONTROL!$C$32, 20.5873, 20.5837) * CHOOSE(CONTROL!$C$15, $D$11, 100%, $F$11)</f>
        <v>20.587299999999999</v>
      </c>
      <c r="I671" s="8">
        <f>CHOOSE( CONTROL!$C$32, 19.396, 19.3925) * CHOOSE(CONTROL!$C$15, $D$11, 100%, $F$11)</f>
        <v>19.396000000000001</v>
      </c>
      <c r="J671" s="4">
        <f>CHOOSE( CONTROL!$C$32, 19.2427, 19.2391) * CHOOSE(CONTROL!$C$15, $D$11, 100%, $F$11)</f>
        <v>19.242699999999999</v>
      </c>
      <c r="K671" s="4"/>
      <c r="L671" s="9">
        <v>30.7165</v>
      </c>
      <c r="M671" s="9">
        <v>12.063700000000001</v>
      </c>
      <c r="N671" s="9">
        <v>4.9444999999999997</v>
      </c>
      <c r="O671" s="9">
        <v>0.37409999999999999</v>
      </c>
      <c r="P671" s="9">
        <v>1.2183999999999999</v>
      </c>
      <c r="Q671" s="9">
        <v>19.688099999999999</v>
      </c>
      <c r="R671" s="9"/>
      <c r="S671" s="11"/>
    </row>
    <row r="672" spans="1:19" ht="15.75">
      <c r="A672" s="13">
        <v>61971</v>
      </c>
      <c r="B672" s="8">
        <f>CHOOSE( CONTROL!$C$32, 18.3085, 18.3048) * CHOOSE(CONTROL!$C$15, $D$11, 100%, $F$11)</f>
        <v>18.308499999999999</v>
      </c>
      <c r="C672" s="8">
        <f>CHOOSE( CONTROL!$C$32, 18.3164, 18.3128) * CHOOSE(CONTROL!$C$15, $D$11, 100%, $F$11)</f>
        <v>18.316400000000002</v>
      </c>
      <c r="D672" s="8">
        <f>CHOOSE( CONTROL!$C$32, 18.3547, 18.3511) * CHOOSE( CONTROL!$C$15, $D$11, 100%, $F$11)</f>
        <v>18.354700000000001</v>
      </c>
      <c r="E672" s="12">
        <f>CHOOSE( CONTROL!$C$32, 18.3396, 18.336) * CHOOSE( CONTROL!$C$15, $D$11, 100%, $F$11)</f>
        <v>18.339600000000001</v>
      </c>
      <c r="F672" s="4">
        <f>CHOOSE( CONTROL!$C$32, 19.0515, 19.0478) * CHOOSE(CONTROL!$C$15, $D$11, 100%, $F$11)</f>
        <v>19.051500000000001</v>
      </c>
      <c r="G672" s="8">
        <f>CHOOSE( CONTROL!$C$32, 18.1007, 18.0971) * CHOOSE( CONTROL!$C$15, $D$11, 100%, $F$11)</f>
        <v>18.1007</v>
      </c>
      <c r="H672" s="4">
        <f>CHOOSE( CONTROL!$C$32, 19.075, 19.0714) * CHOOSE(CONTROL!$C$15, $D$11, 100%, $F$11)</f>
        <v>19.074999999999999</v>
      </c>
      <c r="I672" s="8">
        <f>CHOOSE( CONTROL!$C$32, 17.9104, 17.9069) * CHOOSE(CONTROL!$C$15, $D$11, 100%, $F$11)</f>
        <v>17.910399999999999</v>
      </c>
      <c r="J672" s="4">
        <f>CHOOSE( CONTROL!$C$32, 17.7575, 17.754) * CHOOSE(CONTROL!$C$15, $D$11, 100%, $F$11)</f>
        <v>17.7575</v>
      </c>
      <c r="K672" s="4"/>
      <c r="L672" s="9">
        <v>30.7165</v>
      </c>
      <c r="M672" s="9">
        <v>12.063700000000001</v>
      </c>
      <c r="N672" s="9">
        <v>4.9444999999999997</v>
      </c>
      <c r="O672" s="9">
        <v>0.37409999999999999</v>
      </c>
      <c r="P672" s="9">
        <v>1.2183999999999999</v>
      </c>
      <c r="Q672" s="9">
        <v>19.688099999999999</v>
      </c>
      <c r="R672" s="9"/>
      <c r="S672" s="11"/>
    </row>
    <row r="673" spans="1:19" ht="15.75">
      <c r="A673" s="13">
        <v>62001</v>
      </c>
      <c r="B673" s="8">
        <f>CHOOSE( CONTROL!$C$32, 17.9253, 17.9216) * CHOOSE(CONTROL!$C$15, $D$11, 100%, $F$11)</f>
        <v>17.9253</v>
      </c>
      <c r="C673" s="8">
        <f>CHOOSE( CONTROL!$C$32, 17.9332, 17.9296) * CHOOSE(CONTROL!$C$15, $D$11, 100%, $F$11)</f>
        <v>17.933199999999999</v>
      </c>
      <c r="D673" s="8">
        <f>CHOOSE( CONTROL!$C$32, 17.9714, 17.9678) * CHOOSE( CONTROL!$C$15, $D$11, 100%, $F$11)</f>
        <v>17.971399999999999</v>
      </c>
      <c r="E673" s="12">
        <f>CHOOSE( CONTROL!$C$32, 17.9564, 17.9527) * CHOOSE( CONTROL!$C$15, $D$11, 100%, $F$11)</f>
        <v>17.956399999999999</v>
      </c>
      <c r="F673" s="4">
        <f>CHOOSE( CONTROL!$C$32, 18.6683, 18.6646) * CHOOSE(CONTROL!$C$15, $D$11, 100%, $F$11)</f>
        <v>18.668299999999999</v>
      </c>
      <c r="G673" s="8">
        <f>CHOOSE( CONTROL!$C$32, 17.7219, 17.7183) * CHOOSE( CONTROL!$C$15, $D$11, 100%, $F$11)</f>
        <v>17.721900000000002</v>
      </c>
      <c r="H673" s="4">
        <f>CHOOSE( CONTROL!$C$32, 18.6963, 18.6927) * CHOOSE(CONTROL!$C$15, $D$11, 100%, $F$11)</f>
        <v>18.696300000000001</v>
      </c>
      <c r="I673" s="8">
        <f>CHOOSE( CONTROL!$C$32, 17.538, 17.5344) * CHOOSE(CONTROL!$C$15, $D$11, 100%, $F$11)</f>
        <v>17.538</v>
      </c>
      <c r="J673" s="4">
        <f>CHOOSE( CONTROL!$C$32, 17.3857, 17.3821) * CHOOSE(CONTROL!$C$15, $D$11, 100%, $F$11)</f>
        <v>17.3857</v>
      </c>
      <c r="K673" s="4"/>
      <c r="L673" s="9">
        <v>29.7257</v>
      </c>
      <c r="M673" s="9">
        <v>11.6745</v>
      </c>
      <c r="N673" s="9">
        <v>4.7850000000000001</v>
      </c>
      <c r="O673" s="9">
        <v>0.36199999999999999</v>
      </c>
      <c r="P673" s="9">
        <v>1.1791</v>
      </c>
      <c r="Q673" s="9">
        <v>19.053000000000001</v>
      </c>
      <c r="R673" s="9"/>
      <c r="S673" s="11"/>
    </row>
    <row r="674" spans="1:19" ht="15.75">
      <c r="A674" s="13">
        <v>62032</v>
      </c>
      <c r="B674" s="8">
        <f>18.7155 * CHOOSE(CONTROL!$C$15, $D$11, 100%, $F$11)</f>
        <v>18.715499999999999</v>
      </c>
      <c r="C674" s="8">
        <f>18.7209 * CHOOSE(CONTROL!$C$15, $D$11, 100%, $F$11)</f>
        <v>18.7209</v>
      </c>
      <c r="D674" s="8">
        <f>18.7644 * CHOOSE( CONTROL!$C$15, $D$11, 100%, $F$11)</f>
        <v>18.764399999999998</v>
      </c>
      <c r="E674" s="12">
        <f>18.7495 * CHOOSE( CONTROL!$C$15, $D$11, 100%, $F$11)</f>
        <v>18.749500000000001</v>
      </c>
      <c r="F674" s="4">
        <f>19.4603 * CHOOSE(CONTROL!$C$15, $D$11, 100%, $F$11)</f>
        <v>19.4603</v>
      </c>
      <c r="G674" s="8">
        <f>18.5041 * CHOOSE( CONTROL!$C$15, $D$11, 100%, $F$11)</f>
        <v>18.504100000000001</v>
      </c>
      <c r="H674" s="4">
        <f>19.479 * CHOOSE(CONTROL!$C$15, $D$11, 100%, $F$11)</f>
        <v>19.478999999999999</v>
      </c>
      <c r="I674" s="8">
        <f>18.3078 * CHOOSE(CONTROL!$C$15, $D$11, 100%, $F$11)</f>
        <v>18.3078</v>
      </c>
      <c r="J674" s="4">
        <f>18.1543 * CHOOSE(CONTROL!$C$15, $D$11, 100%, $F$11)</f>
        <v>18.154299999999999</v>
      </c>
      <c r="K674" s="4"/>
      <c r="L674" s="9">
        <v>31.095300000000002</v>
      </c>
      <c r="M674" s="9">
        <v>12.063700000000001</v>
      </c>
      <c r="N674" s="9">
        <v>4.9444999999999997</v>
      </c>
      <c r="O674" s="9">
        <v>0.37409999999999999</v>
      </c>
      <c r="P674" s="9">
        <v>1.2183999999999999</v>
      </c>
      <c r="Q674" s="9">
        <v>19.688099999999999</v>
      </c>
      <c r="R674" s="9"/>
      <c r="S674" s="11"/>
    </row>
    <row r="675" spans="1:19" ht="15.75">
      <c r="A675" s="13">
        <v>62062</v>
      </c>
      <c r="B675" s="8">
        <f>20.1837 * CHOOSE(CONTROL!$C$15, $D$11, 100%, $F$11)</f>
        <v>20.183700000000002</v>
      </c>
      <c r="C675" s="8">
        <f>20.1888 * CHOOSE(CONTROL!$C$15, $D$11, 100%, $F$11)</f>
        <v>20.188800000000001</v>
      </c>
      <c r="D675" s="8">
        <f>20.1725 * CHOOSE( CONTROL!$C$15, $D$11, 100%, $F$11)</f>
        <v>20.172499999999999</v>
      </c>
      <c r="E675" s="12">
        <f>20.1779 * CHOOSE( CONTROL!$C$15, $D$11, 100%, $F$11)</f>
        <v>20.177900000000001</v>
      </c>
      <c r="F675" s="4">
        <f>20.849 * CHOOSE(CONTROL!$C$15, $D$11, 100%, $F$11)</f>
        <v>20.849</v>
      </c>
      <c r="G675" s="8">
        <f>19.9561 * CHOOSE( CONTROL!$C$15, $D$11, 100%, $F$11)</f>
        <v>19.956099999999999</v>
      </c>
      <c r="H675" s="4">
        <f>20.8515 * CHOOSE(CONTROL!$C$15, $D$11, 100%, $F$11)</f>
        <v>20.851500000000001</v>
      </c>
      <c r="I675" s="8">
        <f>19.7339 * CHOOSE(CONTROL!$C$15, $D$11, 100%, $F$11)</f>
        <v>19.733899999999998</v>
      </c>
      <c r="J675" s="4">
        <f>19.5796 * CHOOSE(CONTROL!$C$15, $D$11, 100%, $F$11)</f>
        <v>19.579599999999999</v>
      </c>
      <c r="K675" s="4"/>
      <c r="L675" s="9">
        <v>28.360600000000002</v>
      </c>
      <c r="M675" s="9">
        <v>11.6745</v>
      </c>
      <c r="N675" s="9">
        <v>4.7850000000000001</v>
      </c>
      <c r="O675" s="9">
        <v>0.36199999999999999</v>
      </c>
      <c r="P675" s="9">
        <v>1.2509999999999999</v>
      </c>
      <c r="Q675" s="9">
        <v>19.053000000000001</v>
      </c>
      <c r="R675" s="9"/>
      <c r="S675" s="11"/>
    </row>
    <row r="676" spans="1:19" ht="15.75">
      <c r="A676" s="13">
        <v>62093</v>
      </c>
      <c r="B676" s="8">
        <f>20.147 * CHOOSE(CONTROL!$C$15, $D$11, 100%, $F$11)</f>
        <v>20.146999999999998</v>
      </c>
      <c r="C676" s="8">
        <f>20.1521 * CHOOSE(CONTROL!$C$15, $D$11, 100%, $F$11)</f>
        <v>20.152100000000001</v>
      </c>
      <c r="D676" s="8">
        <f>20.1375 * CHOOSE( CONTROL!$C$15, $D$11, 100%, $F$11)</f>
        <v>20.137499999999999</v>
      </c>
      <c r="E676" s="12">
        <f>20.1423 * CHOOSE( CONTROL!$C$15, $D$11, 100%, $F$11)</f>
        <v>20.142299999999999</v>
      </c>
      <c r="F676" s="4">
        <f>20.8123 * CHOOSE(CONTROL!$C$15, $D$11, 100%, $F$11)</f>
        <v>20.8123</v>
      </c>
      <c r="G676" s="8">
        <f>19.9211 * CHOOSE( CONTROL!$C$15, $D$11, 100%, $F$11)</f>
        <v>19.921099999999999</v>
      </c>
      <c r="H676" s="4">
        <f>20.8152 * CHOOSE(CONTROL!$C$15, $D$11, 100%, $F$11)</f>
        <v>20.815200000000001</v>
      </c>
      <c r="I676" s="8">
        <f>19.7036 * CHOOSE(CONTROL!$C$15, $D$11, 100%, $F$11)</f>
        <v>19.703600000000002</v>
      </c>
      <c r="J676" s="4">
        <f>19.544 * CHOOSE(CONTROL!$C$15, $D$11, 100%, $F$11)</f>
        <v>19.544</v>
      </c>
      <c r="K676" s="4"/>
      <c r="L676" s="9">
        <v>29.306000000000001</v>
      </c>
      <c r="M676" s="9">
        <v>12.063700000000001</v>
      </c>
      <c r="N676" s="9">
        <v>4.9444999999999997</v>
      </c>
      <c r="O676" s="9">
        <v>0.37409999999999999</v>
      </c>
      <c r="P676" s="9">
        <v>1.2927</v>
      </c>
      <c r="Q676" s="9">
        <v>19.688099999999999</v>
      </c>
      <c r="R676" s="9"/>
      <c r="S676" s="11"/>
    </row>
    <row r="677" spans="1:19" ht="15.75">
      <c r="A677" s="13">
        <v>62124</v>
      </c>
      <c r="B677" s="8">
        <f>20.7411 * CHOOSE(CONTROL!$C$15, $D$11, 100%, $F$11)</f>
        <v>20.741099999999999</v>
      </c>
      <c r="C677" s="8">
        <f>20.7461 * CHOOSE(CONTROL!$C$15, $D$11, 100%, $F$11)</f>
        <v>20.746099999999998</v>
      </c>
      <c r="D677" s="8">
        <f>20.7173 * CHOOSE( CONTROL!$C$15, $D$11, 100%, $F$11)</f>
        <v>20.717300000000002</v>
      </c>
      <c r="E677" s="12">
        <f>20.7273 * CHOOSE( CONTROL!$C$15, $D$11, 100%, $F$11)</f>
        <v>20.7273</v>
      </c>
      <c r="F677" s="4">
        <f>21.4063 * CHOOSE(CONTROL!$C$15, $D$11, 100%, $F$11)</f>
        <v>21.406300000000002</v>
      </c>
      <c r="G677" s="8">
        <f>20.4979 * CHOOSE( CONTROL!$C$15, $D$11, 100%, $F$11)</f>
        <v>20.497900000000001</v>
      </c>
      <c r="H677" s="4">
        <f>21.4023 * CHOOSE(CONTROL!$C$15, $D$11, 100%, $F$11)</f>
        <v>21.4023</v>
      </c>
      <c r="I677" s="8">
        <f>20.275 * CHOOSE(CONTROL!$C$15, $D$11, 100%, $F$11)</f>
        <v>20.274999999999999</v>
      </c>
      <c r="J677" s="4">
        <f>20.1204 * CHOOSE(CONTROL!$C$15, $D$11, 100%, $F$11)</f>
        <v>20.1204</v>
      </c>
      <c r="K677" s="4"/>
      <c r="L677" s="9">
        <v>29.306000000000001</v>
      </c>
      <c r="M677" s="9">
        <v>12.063700000000001</v>
      </c>
      <c r="N677" s="9">
        <v>4.9444999999999997</v>
      </c>
      <c r="O677" s="9">
        <v>0.37409999999999999</v>
      </c>
      <c r="P677" s="9">
        <v>1.2927</v>
      </c>
      <c r="Q677" s="9">
        <v>19.688099999999999</v>
      </c>
      <c r="R677" s="9"/>
      <c r="S677" s="11"/>
    </row>
    <row r="678" spans="1:19" ht="15.75">
      <c r="A678" s="13">
        <v>62152</v>
      </c>
      <c r="B678" s="8">
        <f>19.4008 * CHOOSE(CONTROL!$C$15, $D$11, 100%, $F$11)</f>
        <v>19.4008</v>
      </c>
      <c r="C678" s="8">
        <f>19.4058 * CHOOSE(CONTROL!$C$15, $D$11, 100%, $F$11)</f>
        <v>19.405799999999999</v>
      </c>
      <c r="D678" s="8">
        <f>19.3769 * CHOOSE( CONTROL!$C$15, $D$11, 100%, $F$11)</f>
        <v>19.376899999999999</v>
      </c>
      <c r="E678" s="12">
        <f>19.3869 * CHOOSE( CONTROL!$C$15, $D$11, 100%, $F$11)</f>
        <v>19.386900000000001</v>
      </c>
      <c r="F678" s="4">
        <f>20.066 * CHOOSE(CONTROL!$C$15, $D$11, 100%, $F$11)</f>
        <v>20.065999999999999</v>
      </c>
      <c r="G678" s="8">
        <f>19.1733 * CHOOSE( CONTROL!$C$15, $D$11, 100%, $F$11)</f>
        <v>19.173300000000001</v>
      </c>
      <c r="H678" s="4">
        <f>20.0777 * CHOOSE(CONTROL!$C$15, $D$11, 100%, $F$11)</f>
        <v>20.0777</v>
      </c>
      <c r="I678" s="8">
        <f>18.9736 * CHOOSE(CONTROL!$C$15, $D$11, 100%, $F$11)</f>
        <v>18.973600000000001</v>
      </c>
      <c r="J678" s="4">
        <f>18.8197 * CHOOSE(CONTROL!$C$15, $D$11, 100%, $F$11)</f>
        <v>18.819700000000001</v>
      </c>
      <c r="K678" s="4"/>
      <c r="L678" s="9">
        <v>26.469899999999999</v>
      </c>
      <c r="M678" s="9">
        <v>10.8962</v>
      </c>
      <c r="N678" s="9">
        <v>4.4660000000000002</v>
      </c>
      <c r="O678" s="9">
        <v>0.33789999999999998</v>
      </c>
      <c r="P678" s="9">
        <v>1.1676</v>
      </c>
      <c r="Q678" s="9">
        <v>17.782800000000002</v>
      </c>
      <c r="R678" s="9"/>
      <c r="S678" s="11"/>
    </row>
    <row r="679" spans="1:19" ht="15.75">
      <c r="A679" s="13">
        <v>62183</v>
      </c>
      <c r="B679" s="8">
        <f>18.988 * CHOOSE(CONTROL!$C$15, $D$11, 100%, $F$11)</f>
        <v>18.988</v>
      </c>
      <c r="C679" s="8">
        <f>18.993 * CHOOSE(CONTROL!$C$15, $D$11, 100%, $F$11)</f>
        <v>18.992999999999999</v>
      </c>
      <c r="D679" s="8">
        <f>18.9637 * CHOOSE( CONTROL!$C$15, $D$11, 100%, $F$11)</f>
        <v>18.963699999999999</v>
      </c>
      <c r="E679" s="12">
        <f>18.9739 * CHOOSE( CONTROL!$C$15, $D$11, 100%, $F$11)</f>
        <v>18.9739</v>
      </c>
      <c r="F679" s="4">
        <f>19.6532 * CHOOSE(CONTROL!$C$15, $D$11, 100%, $F$11)</f>
        <v>19.653199999999998</v>
      </c>
      <c r="G679" s="8">
        <f>18.765 * CHOOSE( CONTROL!$C$15, $D$11, 100%, $F$11)</f>
        <v>18.765000000000001</v>
      </c>
      <c r="H679" s="4">
        <f>19.6697 * CHOOSE(CONTROL!$C$15, $D$11, 100%, $F$11)</f>
        <v>19.669699999999999</v>
      </c>
      <c r="I679" s="8">
        <f>18.5715 * CHOOSE(CONTROL!$C$15, $D$11, 100%, $F$11)</f>
        <v>18.5715</v>
      </c>
      <c r="J679" s="4">
        <f>18.4191 * CHOOSE(CONTROL!$C$15, $D$11, 100%, $F$11)</f>
        <v>18.4191</v>
      </c>
      <c r="K679" s="4"/>
      <c r="L679" s="9">
        <v>29.306000000000001</v>
      </c>
      <c r="M679" s="9">
        <v>12.063700000000001</v>
      </c>
      <c r="N679" s="9">
        <v>4.9444999999999997</v>
      </c>
      <c r="O679" s="9">
        <v>0.37409999999999999</v>
      </c>
      <c r="P679" s="9">
        <v>1.2927</v>
      </c>
      <c r="Q679" s="9">
        <v>19.688099999999999</v>
      </c>
      <c r="R679" s="9"/>
      <c r="S679" s="11"/>
    </row>
    <row r="680" spans="1:19" ht="15.75">
      <c r="A680" s="13">
        <v>62213</v>
      </c>
      <c r="B680" s="8">
        <f>19.2772 * CHOOSE(CONTROL!$C$15, $D$11, 100%, $F$11)</f>
        <v>19.277200000000001</v>
      </c>
      <c r="C680" s="8">
        <f>19.2817 * CHOOSE(CONTROL!$C$15, $D$11, 100%, $F$11)</f>
        <v>19.281700000000001</v>
      </c>
      <c r="D680" s="8">
        <f>19.3251 * CHOOSE( CONTROL!$C$15, $D$11, 100%, $F$11)</f>
        <v>19.325099999999999</v>
      </c>
      <c r="E680" s="12">
        <f>19.3103 * CHOOSE( CONTROL!$C$15, $D$11, 100%, $F$11)</f>
        <v>19.310300000000002</v>
      </c>
      <c r="F680" s="4">
        <f>20.0216 * CHOOSE(CONTROL!$C$15, $D$11, 100%, $F$11)</f>
        <v>20.021599999999999</v>
      </c>
      <c r="G680" s="8">
        <f>19.0579 * CHOOSE( CONTROL!$C$15, $D$11, 100%, $F$11)</f>
        <v>19.0579</v>
      </c>
      <c r="H680" s="4">
        <f>20.0337 * CHOOSE(CONTROL!$C$15, $D$11, 100%, $F$11)</f>
        <v>20.0337</v>
      </c>
      <c r="I680" s="8">
        <f>18.8498 * CHOOSE(CONTROL!$C$15, $D$11, 100%, $F$11)</f>
        <v>18.849799999999998</v>
      </c>
      <c r="J680" s="4">
        <f>18.699 * CHOOSE(CONTROL!$C$15, $D$11, 100%, $F$11)</f>
        <v>18.699000000000002</v>
      </c>
      <c r="K680" s="4"/>
      <c r="L680" s="9">
        <v>30.092199999999998</v>
      </c>
      <c r="M680" s="9">
        <v>11.6745</v>
      </c>
      <c r="N680" s="9">
        <v>4.7850000000000001</v>
      </c>
      <c r="O680" s="9">
        <v>0.36199999999999999</v>
      </c>
      <c r="P680" s="9">
        <v>1.1791</v>
      </c>
      <c r="Q680" s="9">
        <v>19.053000000000001</v>
      </c>
      <c r="R680" s="9"/>
      <c r="S680" s="11"/>
    </row>
    <row r="681" spans="1:19" ht="15.75">
      <c r="A681" s="13">
        <v>62244</v>
      </c>
      <c r="B681" s="8">
        <f>CHOOSE( CONTROL!$C$32, 19.7956, 19.7919) * CHOOSE(CONTROL!$C$15, $D$11, 100%, $F$11)</f>
        <v>19.7956</v>
      </c>
      <c r="C681" s="8">
        <f>CHOOSE( CONTROL!$C$32, 19.8036, 19.7999) * CHOOSE(CONTROL!$C$15, $D$11, 100%, $F$11)</f>
        <v>19.803599999999999</v>
      </c>
      <c r="D681" s="8">
        <f>CHOOSE( CONTROL!$C$32, 19.8413, 19.8377) * CHOOSE( CONTROL!$C$15, $D$11, 100%, $F$11)</f>
        <v>19.8413</v>
      </c>
      <c r="E681" s="12">
        <f>CHOOSE( CONTROL!$C$32, 19.8264, 19.8228) * CHOOSE( CONTROL!$C$15, $D$11, 100%, $F$11)</f>
        <v>19.8264</v>
      </c>
      <c r="F681" s="4">
        <f>CHOOSE( CONTROL!$C$32, 20.5386, 20.5349) * CHOOSE(CONTROL!$C$15, $D$11, 100%, $F$11)</f>
        <v>20.538599999999999</v>
      </c>
      <c r="G681" s="8">
        <f>CHOOSE( CONTROL!$C$32, 19.5697, 19.5661) * CHOOSE( CONTROL!$C$15, $D$11, 100%, $F$11)</f>
        <v>19.569700000000001</v>
      </c>
      <c r="H681" s="4">
        <f>CHOOSE( CONTROL!$C$32, 20.5447, 20.5411) * CHOOSE(CONTROL!$C$15, $D$11, 100%, $F$11)</f>
        <v>20.544699999999999</v>
      </c>
      <c r="I681" s="8">
        <f>CHOOSE( CONTROL!$C$32, 19.352, 19.3484) * CHOOSE(CONTROL!$C$15, $D$11, 100%, $F$11)</f>
        <v>19.352</v>
      </c>
      <c r="J681" s="4">
        <f>CHOOSE( CONTROL!$C$32, 19.2008, 19.1973) * CHOOSE(CONTROL!$C$15, $D$11, 100%, $F$11)</f>
        <v>19.200800000000001</v>
      </c>
      <c r="K681" s="4"/>
      <c r="L681" s="9">
        <v>30.7165</v>
      </c>
      <c r="M681" s="9">
        <v>12.063700000000001</v>
      </c>
      <c r="N681" s="9">
        <v>4.9444999999999997</v>
      </c>
      <c r="O681" s="9">
        <v>0.37409999999999999</v>
      </c>
      <c r="P681" s="9">
        <v>1.2183999999999999</v>
      </c>
      <c r="Q681" s="9">
        <v>19.688099999999999</v>
      </c>
      <c r="R681" s="9"/>
      <c r="S681" s="11"/>
    </row>
    <row r="682" spans="1:19" ht="15.75">
      <c r="A682" s="13">
        <v>62274</v>
      </c>
      <c r="B682" s="8">
        <f>CHOOSE( CONTROL!$C$32, 19.4776, 19.4739) * CHOOSE(CONTROL!$C$15, $D$11, 100%, $F$11)</f>
        <v>19.477599999999999</v>
      </c>
      <c r="C682" s="8">
        <f>CHOOSE( CONTROL!$C$32, 19.4855, 19.4819) * CHOOSE(CONTROL!$C$15, $D$11, 100%, $F$11)</f>
        <v>19.485499999999998</v>
      </c>
      <c r="D682" s="8">
        <f>CHOOSE( CONTROL!$C$32, 19.5235, 19.5198) * CHOOSE( CONTROL!$C$15, $D$11, 100%, $F$11)</f>
        <v>19.523499999999999</v>
      </c>
      <c r="E682" s="12">
        <f>CHOOSE( CONTROL!$C$32, 19.5085, 19.5048) * CHOOSE( CONTROL!$C$15, $D$11, 100%, $F$11)</f>
        <v>19.508500000000002</v>
      </c>
      <c r="F682" s="4">
        <f>CHOOSE( CONTROL!$C$32, 20.2206, 20.2169) * CHOOSE(CONTROL!$C$15, $D$11, 100%, $F$11)</f>
        <v>20.220600000000001</v>
      </c>
      <c r="G682" s="8">
        <f>CHOOSE( CONTROL!$C$32, 19.2557, 19.2521) * CHOOSE( CONTROL!$C$15, $D$11, 100%, $F$11)</f>
        <v>19.255700000000001</v>
      </c>
      <c r="H682" s="4">
        <f>CHOOSE( CONTROL!$C$32, 20.2304, 20.2268) * CHOOSE(CONTROL!$C$15, $D$11, 100%, $F$11)</f>
        <v>20.230399999999999</v>
      </c>
      <c r="I682" s="8">
        <f>CHOOSE( CONTROL!$C$32, 19.0442, 19.0407) * CHOOSE(CONTROL!$C$15, $D$11, 100%, $F$11)</f>
        <v>19.0442</v>
      </c>
      <c r="J682" s="4">
        <f>CHOOSE( CONTROL!$C$32, 18.8921, 18.8886) * CHOOSE(CONTROL!$C$15, $D$11, 100%, $F$11)</f>
        <v>18.892099999999999</v>
      </c>
      <c r="K682" s="4"/>
      <c r="L682" s="9">
        <v>29.7257</v>
      </c>
      <c r="M682" s="9">
        <v>11.6745</v>
      </c>
      <c r="N682" s="9">
        <v>4.7850000000000001</v>
      </c>
      <c r="O682" s="9">
        <v>0.36199999999999999</v>
      </c>
      <c r="P682" s="9">
        <v>1.1791</v>
      </c>
      <c r="Q682" s="9">
        <v>19.053000000000001</v>
      </c>
      <c r="R682" s="9"/>
      <c r="S682" s="11"/>
    </row>
    <row r="683" spans="1:19" ht="15.75">
      <c r="A683" s="13">
        <v>62305</v>
      </c>
      <c r="B683" s="8">
        <f>CHOOSE( CONTROL!$C$32, 20.315, 20.3114) * CHOOSE(CONTROL!$C$15, $D$11, 100%, $F$11)</f>
        <v>20.315000000000001</v>
      </c>
      <c r="C683" s="8">
        <f>CHOOSE( CONTROL!$C$32, 20.323, 20.3194) * CHOOSE(CONTROL!$C$15, $D$11, 100%, $F$11)</f>
        <v>20.323</v>
      </c>
      <c r="D683" s="8">
        <f>CHOOSE( CONTROL!$C$32, 20.3612, 20.3576) * CHOOSE( CONTROL!$C$15, $D$11, 100%, $F$11)</f>
        <v>20.3612</v>
      </c>
      <c r="E683" s="12">
        <f>CHOOSE( CONTROL!$C$32, 20.3461, 20.3425) * CHOOSE( CONTROL!$C$15, $D$11, 100%, $F$11)</f>
        <v>20.3461</v>
      </c>
      <c r="F683" s="4">
        <f>CHOOSE( CONTROL!$C$32, 21.058, 21.0544) * CHOOSE(CONTROL!$C$15, $D$11, 100%, $F$11)</f>
        <v>21.058</v>
      </c>
      <c r="G683" s="8">
        <f>CHOOSE( CONTROL!$C$32, 20.0837, 20.0801) * CHOOSE( CONTROL!$C$15, $D$11, 100%, $F$11)</f>
        <v>20.0837</v>
      </c>
      <c r="H683" s="4">
        <f>CHOOSE( CONTROL!$C$32, 21.0581, 21.0545) * CHOOSE(CONTROL!$C$15, $D$11, 100%, $F$11)</f>
        <v>21.0581</v>
      </c>
      <c r="I683" s="8">
        <f>CHOOSE( CONTROL!$C$32, 19.8585, 19.855) * CHOOSE(CONTROL!$C$15, $D$11, 100%, $F$11)</f>
        <v>19.858499999999999</v>
      </c>
      <c r="J683" s="4">
        <f>CHOOSE( CONTROL!$C$32, 19.7049, 19.7014) * CHOOSE(CONTROL!$C$15, $D$11, 100%, $F$11)</f>
        <v>19.704899999999999</v>
      </c>
      <c r="K683" s="4"/>
      <c r="L683" s="9">
        <v>30.7165</v>
      </c>
      <c r="M683" s="9">
        <v>12.063700000000001</v>
      </c>
      <c r="N683" s="9">
        <v>4.9444999999999997</v>
      </c>
      <c r="O683" s="9">
        <v>0.37409999999999999</v>
      </c>
      <c r="P683" s="9">
        <v>1.2183999999999999</v>
      </c>
      <c r="Q683" s="9">
        <v>19.688099999999999</v>
      </c>
      <c r="R683" s="9"/>
      <c r="S683" s="11"/>
    </row>
    <row r="684" spans="1:19" ht="15.75">
      <c r="A684" s="13">
        <v>62336</v>
      </c>
      <c r="B684" s="8">
        <f>CHOOSE( CONTROL!$C$32, 18.748, 18.7444) * CHOOSE(CONTROL!$C$15, $D$11, 100%, $F$11)</f>
        <v>18.748000000000001</v>
      </c>
      <c r="C684" s="8">
        <f>CHOOSE( CONTROL!$C$32, 18.756, 18.7523) * CHOOSE(CONTROL!$C$15, $D$11, 100%, $F$11)</f>
        <v>18.756</v>
      </c>
      <c r="D684" s="8">
        <f>CHOOSE( CONTROL!$C$32, 18.7942, 18.7906) * CHOOSE( CONTROL!$C$15, $D$11, 100%, $F$11)</f>
        <v>18.7942</v>
      </c>
      <c r="E684" s="12">
        <f>CHOOSE( CONTROL!$C$32, 18.7791, 18.7755) * CHOOSE( CONTROL!$C$15, $D$11, 100%, $F$11)</f>
        <v>18.7791</v>
      </c>
      <c r="F684" s="4">
        <f>CHOOSE( CONTROL!$C$32, 19.491, 19.4874) * CHOOSE(CONTROL!$C$15, $D$11, 100%, $F$11)</f>
        <v>19.491</v>
      </c>
      <c r="G684" s="8">
        <f>CHOOSE( CONTROL!$C$32, 18.5351, 18.5315) * CHOOSE( CONTROL!$C$15, $D$11, 100%, $F$11)</f>
        <v>18.5351</v>
      </c>
      <c r="H684" s="4">
        <f>CHOOSE( CONTROL!$C$32, 19.5094, 19.5058) * CHOOSE(CONTROL!$C$15, $D$11, 100%, $F$11)</f>
        <v>19.509399999999999</v>
      </c>
      <c r="I684" s="8">
        <f>CHOOSE( CONTROL!$C$32, 18.3372, 18.3337) * CHOOSE(CONTROL!$C$15, $D$11, 100%, $F$11)</f>
        <v>18.337199999999999</v>
      </c>
      <c r="J684" s="4">
        <f>CHOOSE( CONTROL!$C$32, 18.1841, 18.1806) * CHOOSE(CONTROL!$C$15, $D$11, 100%, $F$11)</f>
        <v>18.184100000000001</v>
      </c>
      <c r="K684" s="4"/>
      <c r="L684" s="9">
        <v>30.7165</v>
      </c>
      <c r="M684" s="9">
        <v>12.063700000000001</v>
      </c>
      <c r="N684" s="9">
        <v>4.9444999999999997</v>
      </c>
      <c r="O684" s="9">
        <v>0.37409999999999999</v>
      </c>
      <c r="P684" s="9">
        <v>1.2183999999999999</v>
      </c>
      <c r="Q684" s="9">
        <v>19.688099999999999</v>
      </c>
      <c r="R684" s="9"/>
      <c r="S684" s="11"/>
    </row>
    <row r="685" spans="1:19" ht="15.75">
      <c r="A685" s="13">
        <v>62366</v>
      </c>
      <c r="B685" s="8">
        <f>CHOOSE( CONTROL!$C$32, 18.3556, 18.352) * CHOOSE(CONTROL!$C$15, $D$11, 100%, $F$11)</f>
        <v>18.355599999999999</v>
      </c>
      <c r="C685" s="8">
        <f>CHOOSE( CONTROL!$C$32, 18.3636, 18.3599) * CHOOSE(CONTROL!$C$15, $D$11, 100%, $F$11)</f>
        <v>18.363600000000002</v>
      </c>
      <c r="D685" s="8">
        <f>CHOOSE( CONTROL!$C$32, 18.4018, 18.3981) * CHOOSE( CONTROL!$C$15, $D$11, 100%, $F$11)</f>
        <v>18.401800000000001</v>
      </c>
      <c r="E685" s="12">
        <f>CHOOSE( CONTROL!$C$32, 18.3867, 18.3831) * CHOOSE( CONTROL!$C$15, $D$11, 100%, $F$11)</f>
        <v>18.386700000000001</v>
      </c>
      <c r="F685" s="4">
        <f>CHOOSE( CONTROL!$C$32, 19.0986, 19.095) * CHOOSE(CONTROL!$C$15, $D$11, 100%, $F$11)</f>
        <v>19.098600000000001</v>
      </c>
      <c r="G685" s="8">
        <f>CHOOSE( CONTROL!$C$32, 18.1472, 18.1436) * CHOOSE( CONTROL!$C$15, $D$11, 100%, $F$11)</f>
        <v>18.147200000000002</v>
      </c>
      <c r="H685" s="4">
        <f>CHOOSE( CONTROL!$C$32, 19.1216, 19.118) * CHOOSE(CONTROL!$C$15, $D$11, 100%, $F$11)</f>
        <v>19.121600000000001</v>
      </c>
      <c r="I685" s="8">
        <f>CHOOSE( CONTROL!$C$32, 17.9558, 17.9523) * CHOOSE(CONTROL!$C$15, $D$11, 100%, $F$11)</f>
        <v>17.9558</v>
      </c>
      <c r="J685" s="4">
        <f>CHOOSE( CONTROL!$C$32, 17.8033, 17.7998) * CHOOSE(CONTROL!$C$15, $D$11, 100%, $F$11)</f>
        <v>17.8033</v>
      </c>
      <c r="K685" s="4"/>
      <c r="L685" s="9">
        <v>29.7257</v>
      </c>
      <c r="M685" s="9">
        <v>11.6745</v>
      </c>
      <c r="N685" s="9">
        <v>4.7850000000000001</v>
      </c>
      <c r="O685" s="9">
        <v>0.36199999999999999</v>
      </c>
      <c r="P685" s="9">
        <v>1.1791</v>
      </c>
      <c r="Q685" s="9">
        <v>19.053000000000001</v>
      </c>
      <c r="R685" s="9"/>
      <c r="S685" s="11"/>
    </row>
    <row r="686" spans="1:19" ht="15.75">
      <c r="A686" s="13">
        <v>62397</v>
      </c>
      <c r="B686" s="8">
        <f>19.165 * CHOOSE(CONTROL!$C$15, $D$11, 100%, $F$11)</f>
        <v>19.164999999999999</v>
      </c>
      <c r="C686" s="8">
        <f>19.1703 * CHOOSE(CONTROL!$C$15, $D$11, 100%, $F$11)</f>
        <v>19.170300000000001</v>
      </c>
      <c r="D686" s="8">
        <f>19.2139 * CHOOSE( CONTROL!$C$15, $D$11, 100%, $F$11)</f>
        <v>19.213899999999999</v>
      </c>
      <c r="E686" s="12">
        <f>19.1989 * CHOOSE( CONTROL!$C$15, $D$11, 100%, $F$11)</f>
        <v>19.198899999999998</v>
      </c>
      <c r="F686" s="4">
        <f>19.9097 * CHOOSE(CONTROL!$C$15, $D$11, 100%, $F$11)</f>
        <v>19.909700000000001</v>
      </c>
      <c r="G686" s="8">
        <f>18.9483 * CHOOSE( CONTROL!$C$15, $D$11, 100%, $F$11)</f>
        <v>18.9483</v>
      </c>
      <c r="H686" s="4">
        <f>19.9232 * CHOOSE(CONTROL!$C$15, $D$11, 100%, $F$11)</f>
        <v>19.923200000000001</v>
      </c>
      <c r="I686" s="8">
        <f>18.7442 * CHOOSE(CONTROL!$C$15, $D$11, 100%, $F$11)</f>
        <v>18.744199999999999</v>
      </c>
      <c r="J686" s="4">
        <f>18.5905 * CHOOSE(CONTROL!$C$15, $D$11, 100%, $F$11)</f>
        <v>18.590499999999999</v>
      </c>
      <c r="K686" s="4"/>
      <c r="L686" s="9">
        <v>31.095300000000002</v>
      </c>
      <c r="M686" s="9">
        <v>12.063700000000001</v>
      </c>
      <c r="N686" s="9">
        <v>4.9444999999999997</v>
      </c>
      <c r="O686" s="9">
        <v>0.37409999999999999</v>
      </c>
      <c r="P686" s="9">
        <v>1.2183999999999999</v>
      </c>
      <c r="Q686" s="9">
        <v>19.688099999999999</v>
      </c>
      <c r="R686" s="9"/>
      <c r="S686" s="11"/>
    </row>
    <row r="687" spans="1:19" ht="15.75">
      <c r="A687" s="13">
        <v>62427</v>
      </c>
      <c r="B687" s="8">
        <f>20.6685 * CHOOSE(CONTROL!$C$15, $D$11, 100%, $F$11)</f>
        <v>20.668500000000002</v>
      </c>
      <c r="C687" s="8">
        <f>20.6736 * CHOOSE(CONTROL!$C$15, $D$11, 100%, $F$11)</f>
        <v>20.6736</v>
      </c>
      <c r="D687" s="8">
        <f>20.6572 * CHOOSE( CONTROL!$C$15, $D$11, 100%, $F$11)</f>
        <v>20.6572</v>
      </c>
      <c r="E687" s="12">
        <f>20.6627 * CHOOSE( CONTROL!$C$15, $D$11, 100%, $F$11)</f>
        <v>20.662700000000001</v>
      </c>
      <c r="F687" s="4">
        <f>21.3338 * CHOOSE(CONTROL!$C$15, $D$11, 100%, $F$11)</f>
        <v>21.3338</v>
      </c>
      <c r="G687" s="8">
        <f>20.4352 * CHOOSE( CONTROL!$C$15, $D$11, 100%, $F$11)</f>
        <v>20.435199999999998</v>
      </c>
      <c r="H687" s="4">
        <f>21.3306 * CHOOSE(CONTROL!$C$15, $D$11, 100%, $F$11)</f>
        <v>21.3306</v>
      </c>
      <c r="I687" s="8">
        <f>20.2045 * CHOOSE(CONTROL!$C$15, $D$11, 100%, $F$11)</f>
        <v>20.204499999999999</v>
      </c>
      <c r="J687" s="4">
        <f>20.05 * CHOOSE(CONTROL!$C$15, $D$11, 100%, $F$11)</f>
        <v>20.05</v>
      </c>
      <c r="K687" s="4"/>
      <c r="L687" s="9">
        <v>28.360600000000002</v>
      </c>
      <c r="M687" s="9">
        <v>11.6745</v>
      </c>
      <c r="N687" s="9">
        <v>4.7850000000000001</v>
      </c>
      <c r="O687" s="9">
        <v>0.36199999999999999</v>
      </c>
      <c r="P687" s="9">
        <v>1.2509999999999999</v>
      </c>
      <c r="Q687" s="9">
        <v>19.053000000000001</v>
      </c>
      <c r="R687" s="9"/>
      <c r="S687" s="11"/>
    </row>
    <row r="688" spans="1:19" ht="15.75">
      <c r="A688" s="13">
        <v>62458</v>
      </c>
      <c r="B688" s="8">
        <f>20.6309 * CHOOSE(CONTROL!$C$15, $D$11, 100%, $F$11)</f>
        <v>20.6309</v>
      </c>
      <c r="C688" s="8">
        <f>20.636 * CHOOSE(CONTROL!$C$15, $D$11, 100%, $F$11)</f>
        <v>20.635999999999999</v>
      </c>
      <c r="D688" s="8">
        <f>20.6214 * CHOOSE( CONTROL!$C$15, $D$11, 100%, $F$11)</f>
        <v>20.621400000000001</v>
      </c>
      <c r="E688" s="12">
        <f>20.6262 * CHOOSE( CONTROL!$C$15, $D$11, 100%, $F$11)</f>
        <v>20.626200000000001</v>
      </c>
      <c r="F688" s="4">
        <f>21.2962 * CHOOSE(CONTROL!$C$15, $D$11, 100%, $F$11)</f>
        <v>21.296199999999999</v>
      </c>
      <c r="G688" s="8">
        <f>20.3993 * CHOOSE( CONTROL!$C$15, $D$11, 100%, $F$11)</f>
        <v>20.3993</v>
      </c>
      <c r="H688" s="4">
        <f>21.2934 * CHOOSE(CONTROL!$C$15, $D$11, 100%, $F$11)</f>
        <v>21.293399999999998</v>
      </c>
      <c r="I688" s="8">
        <f>20.1734 * CHOOSE(CONTROL!$C$15, $D$11, 100%, $F$11)</f>
        <v>20.173400000000001</v>
      </c>
      <c r="J688" s="4">
        <f>20.0135 * CHOOSE(CONTROL!$C$15, $D$11, 100%, $F$11)</f>
        <v>20.013500000000001</v>
      </c>
      <c r="K688" s="4"/>
      <c r="L688" s="9">
        <v>29.306000000000001</v>
      </c>
      <c r="M688" s="9">
        <v>12.063700000000001</v>
      </c>
      <c r="N688" s="9">
        <v>4.9444999999999997</v>
      </c>
      <c r="O688" s="9">
        <v>0.37409999999999999</v>
      </c>
      <c r="P688" s="9">
        <v>1.2927</v>
      </c>
      <c r="Q688" s="9">
        <v>19.688099999999999</v>
      </c>
      <c r="R688" s="9"/>
      <c r="S688" s="11"/>
    </row>
    <row r="689" spans="1:19" ht="15.75">
      <c r="A689" s="13">
        <v>62489</v>
      </c>
      <c r="B689" s="8">
        <f>21.2392 * CHOOSE(CONTROL!$C$15, $D$11, 100%, $F$11)</f>
        <v>21.2392</v>
      </c>
      <c r="C689" s="8">
        <f>21.2443 * CHOOSE(CONTROL!$C$15, $D$11, 100%, $F$11)</f>
        <v>21.244299999999999</v>
      </c>
      <c r="D689" s="8">
        <f>21.2154 * CHOOSE( CONTROL!$C$15, $D$11, 100%, $F$11)</f>
        <v>21.215399999999999</v>
      </c>
      <c r="E689" s="12">
        <f>21.2254 * CHOOSE( CONTROL!$C$15, $D$11, 100%, $F$11)</f>
        <v>21.2254</v>
      </c>
      <c r="F689" s="4">
        <f>21.9045 * CHOOSE(CONTROL!$C$15, $D$11, 100%, $F$11)</f>
        <v>21.904499999999999</v>
      </c>
      <c r="G689" s="8">
        <f>20.9902 * CHOOSE( CONTROL!$C$15, $D$11, 100%, $F$11)</f>
        <v>20.990200000000002</v>
      </c>
      <c r="H689" s="4">
        <f>21.8946 * CHOOSE(CONTROL!$C$15, $D$11, 100%, $F$11)</f>
        <v>21.894600000000001</v>
      </c>
      <c r="I689" s="8">
        <f>20.7587 * CHOOSE(CONTROL!$C$15, $D$11, 100%, $F$11)</f>
        <v>20.758700000000001</v>
      </c>
      <c r="J689" s="4">
        <f>20.6039 * CHOOSE(CONTROL!$C$15, $D$11, 100%, $F$11)</f>
        <v>20.603899999999999</v>
      </c>
      <c r="K689" s="4"/>
      <c r="L689" s="9">
        <v>29.306000000000001</v>
      </c>
      <c r="M689" s="9">
        <v>12.063700000000001</v>
      </c>
      <c r="N689" s="9">
        <v>4.9444999999999997</v>
      </c>
      <c r="O689" s="9">
        <v>0.37409999999999999</v>
      </c>
      <c r="P689" s="9">
        <v>1.2927</v>
      </c>
      <c r="Q689" s="9">
        <v>19.688099999999999</v>
      </c>
      <c r="R689" s="9"/>
      <c r="S689" s="11"/>
    </row>
    <row r="690" spans="1:19" ht="15.75">
      <c r="A690" s="13">
        <v>62517</v>
      </c>
      <c r="B690" s="8">
        <f>19.8667 * CHOOSE(CONTROL!$C$15, $D$11, 100%, $F$11)</f>
        <v>19.866700000000002</v>
      </c>
      <c r="C690" s="8">
        <f>19.8718 * CHOOSE(CONTROL!$C$15, $D$11, 100%, $F$11)</f>
        <v>19.8718</v>
      </c>
      <c r="D690" s="8">
        <f>19.8429 * CHOOSE( CONTROL!$C$15, $D$11, 100%, $F$11)</f>
        <v>19.8429</v>
      </c>
      <c r="E690" s="12">
        <f>19.8529 * CHOOSE( CONTROL!$C$15, $D$11, 100%, $F$11)</f>
        <v>19.852900000000002</v>
      </c>
      <c r="F690" s="4">
        <f>20.532 * CHOOSE(CONTROL!$C$15, $D$11, 100%, $F$11)</f>
        <v>20.532</v>
      </c>
      <c r="G690" s="8">
        <f>19.6337 * CHOOSE( CONTROL!$C$15, $D$11, 100%, $F$11)</f>
        <v>19.633700000000001</v>
      </c>
      <c r="H690" s="4">
        <f>20.5382 * CHOOSE(CONTROL!$C$15, $D$11, 100%, $F$11)</f>
        <v>20.5382</v>
      </c>
      <c r="I690" s="8">
        <f>19.426 * CHOOSE(CONTROL!$C$15, $D$11, 100%, $F$11)</f>
        <v>19.425999999999998</v>
      </c>
      <c r="J690" s="4">
        <f>19.2719 * CHOOSE(CONTROL!$C$15, $D$11, 100%, $F$11)</f>
        <v>19.271899999999999</v>
      </c>
      <c r="K690" s="4"/>
      <c r="L690" s="9">
        <v>26.469899999999999</v>
      </c>
      <c r="M690" s="9">
        <v>10.8962</v>
      </c>
      <c r="N690" s="9">
        <v>4.4660000000000002</v>
      </c>
      <c r="O690" s="9">
        <v>0.33789999999999998</v>
      </c>
      <c r="P690" s="9">
        <v>1.1676</v>
      </c>
      <c r="Q690" s="9">
        <v>17.782800000000002</v>
      </c>
      <c r="R690" s="9"/>
      <c r="S690" s="11"/>
    </row>
    <row r="691" spans="1:19" ht="15.75">
      <c r="A691" s="13">
        <v>62548</v>
      </c>
      <c r="B691" s="8">
        <f>19.444 * CHOOSE(CONTROL!$C$15, $D$11, 100%, $F$11)</f>
        <v>19.443999999999999</v>
      </c>
      <c r="C691" s="8">
        <f>19.4491 * CHOOSE(CONTROL!$C$15, $D$11, 100%, $F$11)</f>
        <v>19.449100000000001</v>
      </c>
      <c r="D691" s="8">
        <f>19.4198 * CHOOSE( CONTROL!$C$15, $D$11, 100%, $F$11)</f>
        <v>19.419799999999999</v>
      </c>
      <c r="E691" s="12">
        <f>19.43 * CHOOSE( CONTROL!$C$15, $D$11, 100%, $F$11)</f>
        <v>19.43</v>
      </c>
      <c r="F691" s="4">
        <f>20.1093 * CHOOSE(CONTROL!$C$15, $D$11, 100%, $F$11)</f>
        <v>20.109300000000001</v>
      </c>
      <c r="G691" s="8">
        <f>19.2157 * CHOOSE( CONTROL!$C$15, $D$11, 100%, $F$11)</f>
        <v>19.215699999999998</v>
      </c>
      <c r="H691" s="4">
        <f>20.1204 * CHOOSE(CONTROL!$C$15, $D$11, 100%, $F$11)</f>
        <v>20.1204</v>
      </c>
      <c r="I691" s="8">
        <f>19.0143 * CHOOSE(CONTROL!$C$15, $D$11, 100%, $F$11)</f>
        <v>19.014299999999999</v>
      </c>
      <c r="J691" s="4">
        <f>18.8616 * CHOOSE(CONTROL!$C$15, $D$11, 100%, $F$11)</f>
        <v>18.861599999999999</v>
      </c>
      <c r="K691" s="4"/>
      <c r="L691" s="9">
        <v>29.306000000000001</v>
      </c>
      <c r="M691" s="9">
        <v>12.063700000000001</v>
      </c>
      <c r="N691" s="9">
        <v>4.9444999999999997</v>
      </c>
      <c r="O691" s="9">
        <v>0.37409999999999999</v>
      </c>
      <c r="P691" s="9">
        <v>1.2927</v>
      </c>
      <c r="Q691" s="9">
        <v>19.688099999999999</v>
      </c>
      <c r="R691" s="9"/>
      <c r="S691" s="11"/>
    </row>
    <row r="692" spans="1:19" ht="15.75">
      <c r="A692" s="13">
        <v>62578</v>
      </c>
      <c r="B692" s="8">
        <f>19.7401 * CHOOSE(CONTROL!$C$15, $D$11, 100%, $F$11)</f>
        <v>19.740100000000002</v>
      </c>
      <c r="C692" s="8">
        <f>19.7446 * CHOOSE(CONTROL!$C$15, $D$11, 100%, $F$11)</f>
        <v>19.744599999999998</v>
      </c>
      <c r="D692" s="8">
        <f>19.788 * CHOOSE( CONTROL!$C$15, $D$11, 100%, $F$11)</f>
        <v>19.788</v>
      </c>
      <c r="E692" s="12">
        <f>19.7732 * CHOOSE( CONTROL!$C$15, $D$11, 100%, $F$11)</f>
        <v>19.773199999999999</v>
      </c>
      <c r="F692" s="4">
        <f>20.4845 * CHOOSE(CONTROL!$C$15, $D$11, 100%, $F$11)</f>
        <v>20.484500000000001</v>
      </c>
      <c r="G692" s="8">
        <f>19.5154 * CHOOSE( CONTROL!$C$15, $D$11, 100%, $F$11)</f>
        <v>19.5154</v>
      </c>
      <c r="H692" s="4">
        <f>20.4913 * CHOOSE(CONTROL!$C$15, $D$11, 100%, $F$11)</f>
        <v>20.491299999999999</v>
      </c>
      <c r="I692" s="8">
        <f>19.2993 * CHOOSE(CONTROL!$C$15, $D$11, 100%, $F$11)</f>
        <v>19.299299999999999</v>
      </c>
      <c r="J692" s="4">
        <f>19.1483 * CHOOSE(CONTROL!$C$15, $D$11, 100%, $F$11)</f>
        <v>19.148299999999999</v>
      </c>
      <c r="K692" s="4"/>
      <c r="L692" s="9">
        <v>30.092199999999998</v>
      </c>
      <c r="M692" s="9">
        <v>11.6745</v>
      </c>
      <c r="N692" s="9">
        <v>4.7850000000000001</v>
      </c>
      <c r="O692" s="9">
        <v>0.36199999999999999</v>
      </c>
      <c r="P692" s="9">
        <v>1.1791</v>
      </c>
      <c r="Q692" s="9">
        <v>19.053000000000001</v>
      </c>
      <c r="R692" s="9"/>
      <c r="S692" s="11"/>
    </row>
    <row r="693" spans="1:19" ht="15.75">
      <c r="A693" s="13">
        <v>62609</v>
      </c>
      <c r="B693" s="8">
        <f>CHOOSE( CONTROL!$C$32, 20.2709, 20.2672) * CHOOSE(CONTROL!$C$15, $D$11, 100%, $F$11)</f>
        <v>20.270900000000001</v>
      </c>
      <c r="C693" s="8">
        <f>CHOOSE( CONTROL!$C$32, 20.2788, 20.2752) * CHOOSE(CONTROL!$C$15, $D$11, 100%, $F$11)</f>
        <v>20.2788</v>
      </c>
      <c r="D693" s="8">
        <f>CHOOSE( CONTROL!$C$32, 20.3166, 20.3129) * CHOOSE( CONTROL!$C$15, $D$11, 100%, $F$11)</f>
        <v>20.316600000000001</v>
      </c>
      <c r="E693" s="12">
        <f>CHOOSE( CONTROL!$C$32, 20.3017, 20.298) * CHOOSE( CONTROL!$C$15, $D$11, 100%, $F$11)</f>
        <v>20.3017</v>
      </c>
      <c r="F693" s="4">
        <f>CHOOSE( CONTROL!$C$32, 21.0139, 21.0102) * CHOOSE(CONTROL!$C$15, $D$11, 100%, $F$11)</f>
        <v>21.0139</v>
      </c>
      <c r="G693" s="8">
        <f>CHOOSE( CONTROL!$C$32, 20.0394, 20.0358) * CHOOSE( CONTROL!$C$15, $D$11, 100%, $F$11)</f>
        <v>20.039400000000001</v>
      </c>
      <c r="H693" s="4">
        <f>CHOOSE( CONTROL!$C$32, 21.0144, 21.0108) * CHOOSE(CONTROL!$C$15, $D$11, 100%, $F$11)</f>
        <v>21.014399999999998</v>
      </c>
      <c r="I693" s="8">
        <f>CHOOSE( CONTROL!$C$32, 19.8134, 19.8099) * CHOOSE(CONTROL!$C$15, $D$11, 100%, $F$11)</f>
        <v>19.813400000000001</v>
      </c>
      <c r="J693" s="4">
        <f>CHOOSE( CONTROL!$C$32, 19.6621, 19.6585) * CHOOSE(CONTROL!$C$15, $D$11, 100%, $F$11)</f>
        <v>19.662099999999999</v>
      </c>
      <c r="K693" s="4"/>
      <c r="L693" s="9">
        <v>30.7165</v>
      </c>
      <c r="M693" s="9">
        <v>12.063700000000001</v>
      </c>
      <c r="N693" s="9">
        <v>4.9444999999999997</v>
      </c>
      <c r="O693" s="9">
        <v>0.37409999999999999</v>
      </c>
      <c r="P693" s="9">
        <v>1.2183999999999999</v>
      </c>
      <c r="Q693" s="9">
        <v>19.688099999999999</v>
      </c>
      <c r="R693" s="9"/>
      <c r="S693" s="11"/>
    </row>
    <row r="694" spans="1:19" ht="15.75">
      <c r="A694" s="13">
        <v>62639</v>
      </c>
      <c r="B694" s="8">
        <f>CHOOSE( CONTROL!$C$32, 19.9452, 19.9416) * CHOOSE(CONTROL!$C$15, $D$11, 100%, $F$11)</f>
        <v>19.9452</v>
      </c>
      <c r="C694" s="8">
        <f>CHOOSE( CONTROL!$C$32, 19.9532, 19.9495) * CHOOSE(CONTROL!$C$15, $D$11, 100%, $F$11)</f>
        <v>19.953199999999999</v>
      </c>
      <c r="D694" s="8">
        <f>CHOOSE( CONTROL!$C$32, 19.9911, 19.9875) * CHOOSE( CONTROL!$C$15, $D$11, 100%, $F$11)</f>
        <v>19.991099999999999</v>
      </c>
      <c r="E694" s="12">
        <f>CHOOSE( CONTROL!$C$32, 19.9761, 19.9725) * CHOOSE( CONTROL!$C$15, $D$11, 100%, $F$11)</f>
        <v>19.976099999999999</v>
      </c>
      <c r="F694" s="4">
        <f>CHOOSE( CONTROL!$C$32, 20.6882, 20.6846) * CHOOSE(CONTROL!$C$15, $D$11, 100%, $F$11)</f>
        <v>20.688199999999998</v>
      </c>
      <c r="G694" s="8">
        <f>CHOOSE( CONTROL!$C$32, 19.7178, 19.7142) * CHOOSE( CONTROL!$C$15, $D$11, 100%, $F$11)</f>
        <v>19.7178</v>
      </c>
      <c r="H694" s="4">
        <f>CHOOSE( CONTROL!$C$32, 20.6926, 20.689) * CHOOSE(CONTROL!$C$15, $D$11, 100%, $F$11)</f>
        <v>20.692599999999999</v>
      </c>
      <c r="I694" s="8">
        <f>CHOOSE( CONTROL!$C$32, 19.4983, 19.4947) * CHOOSE(CONTROL!$C$15, $D$11, 100%, $F$11)</f>
        <v>19.4983</v>
      </c>
      <c r="J694" s="4">
        <f>CHOOSE( CONTROL!$C$32, 19.346, 19.3425) * CHOOSE(CONTROL!$C$15, $D$11, 100%, $F$11)</f>
        <v>19.346</v>
      </c>
      <c r="K694" s="4"/>
      <c r="L694" s="9">
        <v>29.7257</v>
      </c>
      <c r="M694" s="9">
        <v>11.6745</v>
      </c>
      <c r="N694" s="9">
        <v>4.7850000000000001</v>
      </c>
      <c r="O694" s="9">
        <v>0.36199999999999999</v>
      </c>
      <c r="P694" s="9">
        <v>1.1791</v>
      </c>
      <c r="Q694" s="9">
        <v>19.053000000000001</v>
      </c>
      <c r="R694" s="9"/>
      <c r="S694" s="11"/>
    </row>
    <row r="695" spans="1:19" ht="15.75">
      <c r="A695" s="13">
        <v>62670</v>
      </c>
      <c r="B695" s="8">
        <f>CHOOSE( CONTROL!$C$32, 20.8028, 20.7992) * CHOOSE(CONTROL!$C$15, $D$11, 100%, $F$11)</f>
        <v>20.802800000000001</v>
      </c>
      <c r="C695" s="8">
        <f>CHOOSE( CONTROL!$C$32, 20.8108, 20.8071) * CHOOSE(CONTROL!$C$15, $D$11, 100%, $F$11)</f>
        <v>20.8108</v>
      </c>
      <c r="D695" s="8">
        <f>CHOOSE( CONTROL!$C$32, 20.849, 20.8453) * CHOOSE( CONTROL!$C$15, $D$11, 100%, $F$11)</f>
        <v>20.849</v>
      </c>
      <c r="E695" s="12">
        <f>CHOOSE( CONTROL!$C$32, 20.8339, 20.8303) * CHOOSE( CONTROL!$C$15, $D$11, 100%, $F$11)</f>
        <v>20.8339</v>
      </c>
      <c r="F695" s="4">
        <f>CHOOSE( CONTROL!$C$32, 21.5458, 21.5422) * CHOOSE(CONTROL!$C$15, $D$11, 100%, $F$11)</f>
        <v>21.5458</v>
      </c>
      <c r="G695" s="8">
        <f>CHOOSE( CONTROL!$C$32, 20.5658, 20.5622) * CHOOSE( CONTROL!$C$15, $D$11, 100%, $F$11)</f>
        <v>20.565799999999999</v>
      </c>
      <c r="H695" s="4">
        <f>CHOOSE( CONTROL!$C$32, 21.5401, 21.5365) * CHOOSE(CONTROL!$C$15, $D$11, 100%, $F$11)</f>
        <v>21.540099999999999</v>
      </c>
      <c r="I695" s="8">
        <f>CHOOSE( CONTROL!$C$32, 20.3321, 20.3286) * CHOOSE(CONTROL!$C$15, $D$11, 100%, $F$11)</f>
        <v>20.332100000000001</v>
      </c>
      <c r="J695" s="4">
        <f>CHOOSE( CONTROL!$C$32, 20.1783, 20.1748) * CHOOSE(CONTROL!$C$15, $D$11, 100%, $F$11)</f>
        <v>20.1783</v>
      </c>
      <c r="K695" s="4"/>
      <c r="L695" s="9">
        <v>30.7165</v>
      </c>
      <c r="M695" s="9">
        <v>12.063700000000001</v>
      </c>
      <c r="N695" s="9">
        <v>4.9444999999999997</v>
      </c>
      <c r="O695" s="9">
        <v>0.37409999999999999</v>
      </c>
      <c r="P695" s="9">
        <v>1.2183999999999999</v>
      </c>
      <c r="Q695" s="9">
        <v>19.688099999999999</v>
      </c>
      <c r="R695" s="9"/>
      <c r="S695" s="11"/>
    </row>
    <row r="696" spans="1:19" ht="15.75">
      <c r="A696" s="13">
        <v>62701</v>
      </c>
      <c r="B696" s="8">
        <f>CHOOSE( CONTROL!$C$32, 19.1981, 19.1945) * CHOOSE(CONTROL!$C$15, $D$11, 100%, $F$11)</f>
        <v>19.1981</v>
      </c>
      <c r="C696" s="8">
        <f>CHOOSE( CONTROL!$C$32, 19.2061, 19.2025) * CHOOSE(CONTROL!$C$15, $D$11, 100%, $F$11)</f>
        <v>19.206099999999999</v>
      </c>
      <c r="D696" s="8">
        <f>CHOOSE( CONTROL!$C$32, 19.2444, 19.2407) * CHOOSE( CONTROL!$C$15, $D$11, 100%, $F$11)</f>
        <v>19.244399999999999</v>
      </c>
      <c r="E696" s="12">
        <f>CHOOSE( CONTROL!$C$32, 19.2293, 19.2256) * CHOOSE( CONTROL!$C$15, $D$11, 100%, $F$11)</f>
        <v>19.229299999999999</v>
      </c>
      <c r="F696" s="4">
        <f>CHOOSE( CONTROL!$C$32, 19.9411, 19.9375) * CHOOSE(CONTROL!$C$15, $D$11, 100%, $F$11)</f>
        <v>19.941099999999999</v>
      </c>
      <c r="G696" s="8">
        <f>CHOOSE( CONTROL!$C$32, 18.98, 18.9764) * CHOOSE( CONTROL!$C$15, $D$11, 100%, $F$11)</f>
        <v>18.98</v>
      </c>
      <c r="H696" s="4">
        <f>CHOOSE( CONTROL!$C$32, 19.9542, 19.9506) * CHOOSE(CONTROL!$C$15, $D$11, 100%, $F$11)</f>
        <v>19.9542</v>
      </c>
      <c r="I696" s="8">
        <f>CHOOSE( CONTROL!$C$32, 18.7743, 18.7707) * CHOOSE(CONTROL!$C$15, $D$11, 100%, $F$11)</f>
        <v>18.7743</v>
      </c>
      <c r="J696" s="4">
        <f>CHOOSE( CONTROL!$C$32, 18.621, 18.6174) * CHOOSE(CONTROL!$C$15, $D$11, 100%, $F$11)</f>
        <v>18.620999999999999</v>
      </c>
      <c r="K696" s="4"/>
      <c r="L696" s="9">
        <v>30.7165</v>
      </c>
      <c r="M696" s="9">
        <v>12.063700000000001</v>
      </c>
      <c r="N696" s="9">
        <v>4.9444999999999997</v>
      </c>
      <c r="O696" s="9">
        <v>0.37409999999999999</v>
      </c>
      <c r="P696" s="9">
        <v>1.2183999999999999</v>
      </c>
      <c r="Q696" s="9">
        <v>19.688099999999999</v>
      </c>
      <c r="R696" s="9"/>
      <c r="S696" s="11"/>
    </row>
    <row r="697" spans="1:19" ht="15.75">
      <c r="A697" s="13">
        <v>62731</v>
      </c>
      <c r="B697" s="8">
        <f>CHOOSE( CONTROL!$C$32, 18.7963, 18.7927) * CHOOSE(CONTROL!$C$15, $D$11, 100%, $F$11)</f>
        <v>18.796299999999999</v>
      </c>
      <c r="C697" s="8">
        <f>CHOOSE( CONTROL!$C$32, 18.8043, 18.8006) * CHOOSE(CONTROL!$C$15, $D$11, 100%, $F$11)</f>
        <v>18.804300000000001</v>
      </c>
      <c r="D697" s="8">
        <f>CHOOSE( CONTROL!$C$32, 18.8424, 18.8388) * CHOOSE( CONTROL!$C$15, $D$11, 100%, $F$11)</f>
        <v>18.842400000000001</v>
      </c>
      <c r="E697" s="12">
        <f>CHOOSE( CONTROL!$C$32, 18.8274, 18.8238) * CHOOSE( CONTROL!$C$15, $D$11, 100%, $F$11)</f>
        <v>18.827400000000001</v>
      </c>
      <c r="F697" s="4">
        <f>CHOOSE( CONTROL!$C$32, 19.5393, 19.5357) * CHOOSE(CONTROL!$C$15, $D$11, 100%, $F$11)</f>
        <v>19.539300000000001</v>
      </c>
      <c r="G697" s="8">
        <f>CHOOSE( CONTROL!$C$32, 18.5827, 18.5791) * CHOOSE( CONTROL!$C$15, $D$11, 100%, $F$11)</f>
        <v>18.582699999999999</v>
      </c>
      <c r="H697" s="4">
        <f>CHOOSE( CONTROL!$C$32, 19.5571, 19.5535) * CHOOSE(CONTROL!$C$15, $D$11, 100%, $F$11)</f>
        <v>19.557099999999998</v>
      </c>
      <c r="I697" s="8">
        <f>CHOOSE( CONTROL!$C$32, 18.3837, 18.3802) * CHOOSE(CONTROL!$C$15, $D$11, 100%, $F$11)</f>
        <v>18.383700000000001</v>
      </c>
      <c r="J697" s="4">
        <f>CHOOSE( CONTROL!$C$32, 18.231, 18.2274) * CHOOSE(CONTROL!$C$15, $D$11, 100%, $F$11)</f>
        <v>18.231000000000002</v>
      </c>
      <c r="K697" s="4"/>
      <c r="L697" s="9">
        <v>29.7257</v>
      </c>
      <c r="M697" s="9">
        <v>11.6745</v>
      </c>
      <c r="N697" s="9">
        <v>4.7850000000000001</v>
      </c>
      <c r="O697" s="9">
        <v>0.36199999999999999</v>
      </c>
      <c r="P697" s="9">
        <v>1.1791</v>
      </c>
      <c r="Q697" s="9">
        <v>19.053000000000001</v>
      </c>
      <c r="R697" s="9"/>
      <c r="S697" s="11"/>
    </row>
    <row r="698" spans="1:19" ht="15.75">
      <c r="A698" s="13">
        <v>62762</v>
      </c>
      <c r="B698" s="8">
        <f>19.6253 * CHOOSE(CONTROL!$C$15, $D$11, 100%, $F$11)</f>
        <v>19.625299999999999</v>
      </c>
      <c r="C698" s="8">
        <f>19.6306 * CHOOSE(CONTROL!$C$15, $D$11, 100%, $F$11)</f>
        <v>19.630600000000001</v>
      </c>
      <c r="D698" s="8">
        <f>19.6741 * CHOOSE( CONTROL!$C$15, $D$11, 100%, $F$11)</f>
        <v>19.674099999999999</v>
      </c>
      <c r="E698" s="12">
        <f>19.6592 * CHOOSE( CONTROL!$C$15, $D$11, 100%, $F$11)</f>
        <v>19.659199999999998</v>
      </c>
      <c r="F698" s="4">
        <f>20.37 * CHOOSE(CONTROL!$C$15, $D$11, 100%, $F$11)</f>
        <v>20.37</v>
      </c>
      <c r="G698" s="8">
        <f>19.4032 * CHOOSE( CONTROL!$C$15, $D$11, 100%, $F$11)</f>
        <v>19.403199999999998</v>
      </c>
      <c r="H698" s="4">
        <f>20.3781 * CHOOSE(CONTROL!$C$15, $D$11, 100%, $F$11)</f>
        <v>20.3781</v>
      </c>
      <c r="I698" s="8">
        <f>19.1911 * CHOOSE(CONTROL!$C$15, $D$11, 100%, $F$11)</f>
        <v>19.191099999999999</v>
      </c>
      <c r="J698" s="4">
        <f>19.0372 * CHOOSE(CONTROL!$C$15, $D$11, 100%, $F$11)</f>
        <v>19.037199999999999</v>
      </c>
      <c r="K698" s="4"/>
      <c r="L698" s="9">
        <v>31.095300000000002</v>
      </c>
      <c r="M698" s="9">
        <v>12.063700000000001</v>
      </c>
      <c r="N698" s="9">
        <v>4.9444999999999997</v>
      </c>
      <c r="O698" s="9">
        <v>0.37409999999999999</v>
      </c>
      <c r="P698" s="9">
        <v>1.2183999999999999</v>
      </c>
      <c r="Q698" s="9">
        <v>19.688099999999999</v>
      </c>
      <c r="R698" s="9"/>
      <c r="S698" s="11"/>
    </row>
    <row r="699" spans="1:19" ht="15.75">
      <c r="A699" s="13">
        <v>62792</v>
      </c>
      <c r="B699" s="8">
        <f>21.1649 * CHOOSE(CONTROL!$C$15, $D$11, 100%, $F$11)</f>
        <v>21.164899999999999</v>
      </c>
      <c r="C699" s="8">
        <f>21.17 * CHOOSE(CONTROL!$C$15, $D$11, 100%, $F$11)</f>
        <v>21.17</v>
      </c>
      <c r="D699" s="8">
        <f>21.1536 * CHOOSE( CONTROL!$C$15, $D$11, 100%, $F$11)</f>
        <v>21.153600000000001</v>
      </c>
      <c r="E699" s="12">
        <f>21.1591 * CHOOSE( CONTROL!$C$15, $D$11, 100%, $F$11)</f>
        <v>21.159099999999999</v>
      </c>
      <c r="F699" s="4">
        <f>21.8302 * CHOOSE(CONTROL!$C$15, $D$11, 100%, $F$11)</f>
        <v>21.830200000000001</v>
      </c>
      <c r="G699" s="8">
        <f>20.9258 * CHOOSE( CONTROL!$C$15, $D$11, 100%, $F$11)</f>
        <v>20.925799999999999</v>
      </c>
      <c r="H699" s="4">
        <f>21.8212 * CHOOSE(CONTROL!$C$15, $D$11, 100%, $F$11)</f>
        <v>21.821200000000001</v>
      </c>
      <c r="I699" s="8">
        <f>20.6865 * CHOOSE(CONTROL!$C$15, $D$11, 100%, $F$11)</f>
        <v>20.686499999999999</v>
      </c>
      <c r="J699" s="4">
        <f>20.5318 * CHOOSE(CONTROL!$C$15, $D$11, 100%, $F$11)</f>
        <v>20.5318</v>
      </c>
      <c r="K699" s="4"/>
      <c r="L699" s="9">
        <v>28.360600000000002</v>
      </c>
      <c r="M699" s="9">
        <v>11.6745</v>
      </c>
      <c r="N699" s="9">
        <v>4.7850000000000001</v>
      </c>
      <c r="O699" s="9">
        <v>0.36199999999999999</v>
      </c>
      <c r="P699" s="9">
        <v>1.2509999999999999</v>
      </c>
      <c r="Q699" s="9">
        <v>19.053000000000001</v>
      </c>
      <c r="R699" s="9"/>
      <c r="S699" s="11"/>
    </row>
    <row r="700" spans="1:19" ht="15.75">
      <c r="A700" s="13">
        <v>62823</v>
      </c>
      <c r="B700" s="8">
        <f>21.1264 * CHOOSE(CONTROL!$C$15, $D$11, 100%, $F$11)</f>
        <v>21.1264</v>
      </c>
      <c r="C700" s="8">
        <f>21.1315 * CHOOSE(CONTROL!$C$15, $D$11, 100%, $F$11)</f>
        <v>21.131499999999999</v>
      </c>
      <c r="D700" s="8">
        <f>21.1169 * CHOOSE( CONTROL!$C$15, $D$11, 100%, $F$11)</f>
        <v>21.116900000000001</v>
      </c>
      <c r="E700" s="12">
        <f>21.1217 * CHOOSE( CONTROL!$C$15, $D$11, 100%, $F$11)</f>
        <v>21.121700000000001</v>
      </c>
      <c r="F700" s="4">
        <f>21.7917 * CHOOSE(CONTROL!$C$15, $D$11, 100%, $F$11)</f>
        <v>21.791699999999999</v>
      </c>
      <c r="G700" s="8">
        <f>20.889 * CHOOSE( CONTROL!$C$15, $D$11, 100%, $F$11)</f>
        <v>20.888999999999999</v>
      </c>
      <c r="H700" s="4">
        <f>21.7831 * CHOOSE(CONTROL!$C$15, $D$11, 100%, $F$11)</f>
        <v>21.783100000000001</v>
      </c>
      <c r="I700" s="8">
        <f>20.6546 * CHOOSE(CONTROL!$C$15, $D$11, 100%, $F$11)</f>
        <v>20.654599999999999</v>
      </c>
      <c r="J700" s="4">
        <f>20.4944 * CHOOSE(CONTROL!$C$15, $D$11, 100%, $F$11)</f>
        <v>20.494399999999999</v>
      </c>
      <c r="K700" s="4"/>
      <c r="L700" s="9">
        <v>29.306000000000001</v>
      </c>
      <c r="M700" s="9">
        <v>12.063700000000001</v>
      </c>
      <c r="N700" s="9">
        <v>4.9444999999999997</v>
      </c>
      <c r="O700" s="9">
        <v>0.37409999999999999</v>
      </c>
      <c r="P700" s="9">
        <v>1.2927</v>
      </c>
      <c r="Q700" s="9">
        <v>19.688099999999999</v>
      </c>
      <c r="R700" s="9"/>
      <c r="S700" s="11"/>
    </row>
    <row r="701" spans="1:19" ht="15.75">
      <c r="A701" s="13">
        <v>62854</v>
      </c>
      <c r="B701" s="8">
        <f>21.7493 * CHOOSE(CONTROL!$C$15, $D$11, 100%, $F$11)</f>
        <v>21.749300000000002</v>
      </c>
      <c r="C701" s="8">
        <f>21.7544 * CHOOSE(CONTROL!$C$15, $D$11, 100%, $F$11)</f>
        <v>21.7544</v>
      </c>
      <c r="D701" s="8">
        <f>21.7255 * CHOOSE( CONTROL!$C$15, $D$11, 100%, $F$11)</f>
        <v>21.7255</v>
      </c>
      <c r="E701" s="12">
        <f>21.7355 * CHOOSE( CONTROL!$C$15, $D$11, 100%, $F$11)</f>
        <v>21.735499999999998</v>
      </c>
      <c r="F701" s="4">
        <f>22.4146 * CHOOSE(CONTROL!$C$15, $D$11, 100%, $F$11)</f>
        <v>22.4146</v>
      </c>
      <c r="G701" s="8">
        <f>21.4943 * CHOOSE( CONTROL!$C$15, $D$11, 100%, $F$11)</f>
        <v>21.494299999999999</v>
      </c>
      <c r="H701" s="4">
        <f>22.3987 * CHOOSE(CONTROL!$C$15, $D$11, 100%, $F$11)</f>
        <v>22.398700000000002</v>
      </c>
      <c r="I701" s="8">
        <f>21.254 * CHOOSE(CONTROL!$C$15, $D$11, 100%, $F$11)</f>
        <v>21.254000000000001</v>
      </c>
      <c r="J701" s="4">
        <f>21.0989 * CHOOSE(CONTROL!$C$15, $D$11, 100%, $F$11)</f>
        <v>21.0989</v>
      </c>
      <c r="K701" s="4"/>
      <c r="L701" s="9">
        <v>29.306000000000001</v>
      </c>
      <c r="M701" s="9">
        <v>12.063700000000001</v>
      </c>
      <c r="N701" s="9">
        <v>4.9444999999999997</v>
      </c>
      <c r="O701" s="9">
        <v>0.37409999999999999</v>
      </c>
      <c r="P701" s="9">
        <v>1.2927</v>
      </c>
      <c r="Q701" s="9">
        <v>19.688099999999999</v>
      </c>
      <c r="R701" s="9"/>
      <c r="S701" s="11"/>
    </row>
    <row r="702" spans="1:19" ht="15.75">
      <c r="A702" s="13">
        <v>62883</v>
      </c>
      <c r="B702" s="8">
        <f>20.3438 * CHOOSE(CONTROL!$C$15, $D$11, 100%, $F$11)</f>
        <v>20.343800000000002</v>
      </c>
      <c r="C702" s="8">
        <f>20.3489 * CHOOSE(CONTROL!$C$15, $D$11, 100%, $F$11)</f>
        <v>20.3489</v>
      </c>
      <c r="D702" s="8">
        <f>20.32 * CHOOSE( CONTROL!$C$15, $D$11, 100%, $F$11)</f>
        <v>20.32</v>
      </c>
      <c r="E702" s="12">
        <f>20.33 * CHOOSE( CONTROL!$C$15, $D$11, 100%, $F$11)</f>
        <v>20.329999999999998</v>
      </c>
      <c r="F702" s="4">
        <f>21.0091 * CHOOSE(CONTROL!$C$15, $D$11, 100%, $F$11)</f>
        <v>21.0091</v>
      </c>
      <c r="G702" s="8">
        <f>20.1053 * CHOOSE( CONTROL!$C$15, $D$11, 100%, $F$11)</f>
        <v>20.1053</v>
      </c>
      <c r="H702" s="4">
        <f>21.0097 * CHOOSE(CONTROL!$C$15, $D$11, 100%, $F$11)</f>
        <v>21.009699999999999</v>
      </c>
      <c r="I702" s="8">
        <f>19.8893 * CHOOSE(CONTROL!$C$15, $D$11, 100%, $F$11)</f>
        <v>19.889299999999999</v>
      </c>
      <c r="J702" s="4">
        <f>19.7349 * CHOOSE(CONTROL!$C$15, $D$11, 100%, $F$11)</f>
        <v>19.7349</v>
      </c>
      <c r="K702" s="4"/>
      <c r="L702" s="9">
        <v>27.415299999999998</v>
      </c>
      <c r="M702" s="9">
        <v>11.285299999999999</v>
      </c>
      <c r="N702" s="9">
        <v>4.6254999999999997</v>
      </c>
      <c r="O702" s="9">
        <v>0.34989999999999999</v>
      </c>
      <c r="P702" s="9">
        <v>1.2093</v>
      </c>
      <c r="Q702" s="9">
        <v>18.417899999999999</v>
      </c>
      <c r="R702" s="9"/>
      <c r="S702" s="11"/>
    </row>
    <row r="703" spans="1:19" ht="15.75">
      <c r="A703" s="13">
        <v>62914</v>
      </c>
      <c r="B703" s="8">
        <f>19.9109 * CHOOSE(CONTROL!$C$15, $D$11, 100%, $F$11)</f>
        <v>19.910900000000002</v>
      </c>
      <c r="C703" s="8">
        <f>19.916 * CHOOSE(CONTROL!$C$15, $D$11, 100%, $F$11)</f>
        <v>19.916</v>
      </c>
      <c r="D703" s="8">
        <f>19.8867 * CHOOSE( CONTROL!$C$15, $D$11, 100%, $F$11)</f>
        <v>19.886700000000001</v>
      </c>
      <c r="E703" s="12">
        <f>19.8969 * CHOOSE( CONTROL!$C$15, $D$11, 100%, $F$11)</f>
        <v>19.896899999999999</v>
      </c>
      <c r="F703" s="4">
        <f>20.5762 * CHOOSE(CONTROL!$C$15, $D$11, 100%, $F$11)</f>
        <v>20.5762</v>
      </c>
      <c r="G703" s="8">
        <f>19.6772 * CHOOSE( CONTROL!$C$15, $D$11, 100%, $F$11)</f>
        <v>19.677199999999999</v>
      </c>
      <c r="H703" s="4">
        <f>20.5819 * CHOOSE(CONTROL!$C$15, $D$11, 100%, $F$11)</f>
        <v>20.581900000000001</v>
      </c>
      <c r="I703" s="8">
        <f>19.4677 * CHOOSE(CONTROL!$C$15, $D$11, 100%, $F$11)</f>
        <v>19.467700000000001</v>
      </c>
      <c r="J703" s="4">
        <f>19.3148 * CHOOSE(CONTROL!$C$15, $D$11, 100%, $F$11)</f>
        <v>19.314800000000002</v>
      </c>
      <c r="K703" s="4"/>
      <c r="L703" s="9">
        <v>29.306000000000001</v>
      </c>
      <c r="M703" s="9">
        <v>12.063700000000001</v>
      </c>
      <c r="N703" s="9">
        <v>4.9444999999999997</v>
      </c>
      <c r="O703" s="9">
        <v>0.37409999999999999</v>
      </c>
      <c r="P703" s="9">
        <v>1.2927</v>
      </c>
      <c r="Q703" s="9">
        <v>19.688099999999999</v>
      </c>
      <c r="R703" s="9"/>
      <c r="S703" s="11"/>
    </row>
    <row r="704" spans="1:19" ht="15.75">
      <c r="A704" s="13">
        <v>62944</v>
      </c>
      <c r="B704" s="8">
        <f>20.2142 * CHOOSE(CONTROL!$C$15, $D$11, 100%, $F$11)</f>
        <v>20.214200000000002</v>
      </c>
      <c r="C704" s="8">
        <f>20.2187 * CHOOSE(CONTROL!$C$15, $D$11, 100%, $F$11)</f>
        <v>20.218699999999998</v>
      </c>
      <c r="D704" s="8">
        <f>20.2621 * CHOOSE( CONTROL!$C$15, $D$11, 100%, $F$11)</f>
        <v>20.2621</v>
      </c>
      <c r="E704" s="12">
        <f>20.2473 * CHOOSE( CONTROL!$C$15, $D$11, 100%, $F$11)</f>
        <v>20.247299999999999</v>
      </c>
      <c r="F704" s="4">
        <f>20.9586 * CHOOSE(CONTROL!$C$15, $D$11, 100%, $F$11)</f>
        <v>20.958600000000001</v>
      </c>
      <c r="G704" s="8">
        <f>19.9839 * CHOOSE( CONTROL!$C$15, $D$11, 100%, $F$11)</f>
        <v>19.983899999999998</v>
      </c>
      <c r="H704" s="4">
        <f>20.9598 * CHOOSE(CONTROL!$C$15, $D$11, 100%, $F$11)</f>
        <v>20.959800000000001</v>
      </c>
      <c r="I704" s="8">
        <f>19.7596 * CHOOSE(CONTROL!$C$15, $D$11, 100%, $F$11)</f>
        <v>19.759599999999999</v>
      </c>
      <c r="J704" s="4">
        <f>19.6084 * CHOOSE(CONTROL!$C$15, $D$11, 100%, $F$11)</f>
        <v>19.6084</v>
      </c>
      <c r="K704" s="4"/>
      <c r="L704" s="9">
        <v>30.092199999999998</v>
      </c>
      <c r="M704" s="9">
        <v>11.6745</v>
      </c>
      <c r="N704" s="9">
        <v>4.7850000000000001</v>
      </c>
      <c r="O704" s="9">
        <v>0.36199999999999999</v>
      </c>
      <c r="P704" s="9">
        <v>1.1791</v>
      </c>
      <c r="Q704" s="9">
        <v>19.053000000000001</v>
      </c>
      <c r="R704" s="9"/>
      <c r="S704" s="11"/>
    </row>
    <row r="705" spans="1:19" ht="15.75">
      <c r="A705" s="13">
        <v>62975</v>
      </c>
      <c r="B705" s="8">
        <f>CHOOSE( CONTROL!$C$32, 20.7576, 20.7539) * CHOOSE(CONTROL!$C$15, $D$11, 100%, $F$11)</f>
        <v>20.7576</v>
      </c>
      <c r="C705" s="8">
        <f>CHOOSE( CONTROL!$C$32, 20.7655, 20.7619) * CHOOSE(CONTROL!$C$15, $D$11, 100%, $F$11)</f>
        <v>20.765499999999999</v>
      </c>
      <c r="D705" s="8">
        <f>CHOOSE( CONTROL!$C$32, 20.8033, 20.7996) * CHOOSE( CONTROL!$C$15, $D$11, 100%, $F$11)</f>
        <v>20.8033</v>
      </c>
      <c r="E705" s="12">
        <f>CHOOSE( CONTROL!$C$32, 20.7884, 20.7847) * CHOOSE( CONTROL!$C$15, $D$11, 100%, $F$11)</f>
        <v>20.788399999999999</v>
      </c>
      <c r="F705" s="4">
        <f>CHOOSE( CONTROL!$C$32, 21.5006, 21.4969) * CHOOSE(CONTROL!$C$15, $D$11, 100%, $F$11)</f>
        <v>21.500599999999999</v>
      </c>
      <c r="G705" s="8">
        <f>CHOOSE( CONTROL!$C$32, 20.5204, 20.5168) * CHOOSE( CONTROL!$C$15, $D$11, 100%, $F$11)</f>
        <v>20.520399999999999</v>
      </c>
      <c r="H705" s="4">
        <f>CHOOSE( CONTROL!$C$32, 21.4954, 21.4918) * CHOOSE(CONTROL!$C$15, $D$11, 100%, $F$11)</f>
        <v>21.4954</v>
      </c>
      <c r="I705" s="8">
        <f>CHOOSE( CONTROL!$C$32, 20.286, 20.2825) * CHOOSE(CONTROL!$C$15, $D$11, 100%, $F$11)</f>
        <v>20.286000000000001</v>
      </c>
      <c r="J705" s="4">
        <f>CHOOSE( CONTROL!$C$32, 20.1344, 20.1309) * CHOOSE(CONTROL!$C$15, $D$11, 100%, $F$11)</f>
        <v>20.134399999999999</v>
      </c>
      <c r="K705" s="4"/>
      <c r="L705" s="9">
        <v>30.7165</v>
      </c>
      <c r="M705" s="9">
        <v>12.063700000000001</v>
      </c>
      <c r="N705" s="9">
        <v>4.9444999999999997</v>
      </c>
      <c r="O705" s="9">
        <v>0.37409999999999999</v>
      </c>
      <c r="P705" s="9">
        <v>1.2183999999999999</v>
      </c>
      <c r="Q705" s="9">
        <v>19.688099999999999</v>
      </c>
      <c r="R705" s="9"/>
      <c r="S705" s="11"/>
    </row>
    <row r="706" spans="1:19" ht="15.75">
      <c r="A706" s="13">
        <v>63005</v>
      </c>
      <c r="B706" s="8">
        <f>CHOOSE( CONTROL!$C$32, 20.4241, 20.4204) * CHOOSE(CONTROL!$C$15, $D$11, 100%, $F$11)</f>
        <v>20.424099999999999</v>
      </c>
      <c r="C706" s="8">
        <f>CHOOSE( CONTROL!$C$32, 20.432, 20.4284) * CHOOSE(CONTROL!$C$15, $D$11, 100%, $F$11)</f>
        <v>20.431999999999999</v>
      </c>
      <c r="D706" s="8">
        <f>CHOOSE( CONTROL!$C$32, 20.47, 20.4664) * CHOOSE( CONTROL!$C$15, $D$11, 100%, $F$11)</f>
        <v>20.47</v>
      </c>
      <c r="E706" s="12">
        <f>CHOOSE( CONTROL!$C$32, 20.455, 20.4514) * CHOOSE( CONTROL!$C$15, $D$11, 100%, $F$11)</f>
        <v>20.454999999999998</v>
      </c>
      <c r="F706" s="4">
        <f>CHOOSE( CONTROL!$C$32, 21.1671, 21.1634) * CHOOSE(CONTROL!$C$15, $D$11, 100%, $F$11)</f>
        <v>21.167100000000001</v>
      </c>
      <c r="G706" s="8">
        <f>CHOOSE( CONTROL!$C$32, 20.1911, 20.1875) * CHOOSE( CONTROL!$C$15, $D$11, 100%, $F$11)</f>
        <v>20.191099999999999</v>
      </c>
      <c r="H706" s="4">
        <f>CHOOSE( CONTROL!$C$32, 21.1658, 21.1622) * CHOOSE(CONTROL!$C$15, $D$11, 100%, $F$11)</f>
        <v>21.165800000000001</v>
      </c>
      <c r="I706" s="8">
        <f>CHOOSE( CONTROL!$C$32, 19.9632, 19.9597) * CHOOSE(CONTROL!$C$15, $D$11, 100%, $F$11)</f>
        <v>19.963200000000001</v>
      </c>
      <c r="J706" s="4">
        <f>CHOOSE( CONTROL!$C$32, 19.8107, 19.8072) * CHOOSE(CONTROL!$C$15, $D$11, 100%, $F$11)</f>
        <v>19.810700000000001</v>
      </c>
      <c r="K706" s="4"/>
      <c r="L706" s="9">
        <v>29.7257</v>
      </c>
      <c r="M706" s="9">
        <v>11.6745</v>
      </c>
      <c r="N706" s="9">
        <v>4.7850000000000001</v>
      </c>
      <c r="O706" s="9">
        <v>0.36199999999999999</v>
      </c>
      <c r="P706" s="9">
        <v>1.1791</v>
      </c>
      <c r="Q706" s="9">
        <v>19.053000000000001</v>
      </c>
      <c r="R706" s="9"/>
      <c r="S706" s="11"/>
    </row>
    <row r="707" spans="1:19" ht="15.75">
      <c r="A707" s="13">
        <v>63036</v>
      </c>
      <c r="B707" s="8">
        <f>CHOOSE( CONTROL!$C$32, 21.3023, 21.2986) * CHOOSE(CONTROL!$C$15, $D$11, 100%, $F$11)</f>
        <v>21.302299999999999</v>
      </c>
      <c r="C707" s="8">
        <f>CHOOSE( CONTROL!$C$32, 21.3103, 21.3066) * CHOOSE(CONTROL!$C$15, $D$11, 100%, $F$11)</f>
        <v>21.310300000000002</v>
      </c>
      <c r="D707" s="8">
        <f>CHOOSE( CONTROL!$C$32, 21.3485, 21.3448) * CHOOSE( CONTROL!$C$15, $D$11, 100%, $F$11)</f>
        <v>21.348500000000001</v>
      </c>
      <c r="E707" s="12">
        <f>CHOOSE( CONTROL!$C$32, 21.3334, 21.3297) * CHOOSE( CONTROL!$C$15, $D$11, 100%, $F$11)</f>
        <v>21.333400000000001</v>
      </c>
      <c r="F707" s="4">
        <f>CHOOSE( CONTROL!$C$32, 22.0453, 22.0417) * CHOOSE(CONTROL!$C$15, $D$11, 100%, $F$11)</f>
        <v>22.045300000000001</v>
      </c>
      <c r="G707" s="8">
        <f>CHOOSE( CONTROL!$C$32, 21.0594, 21.0558) * CHOOSE( CONTROL!$C$15, $D$11, 100%, $F$11)</f>
        <v>21.0594</v>
      </c>
      <c r="H707" s="4">
        <f>CHOOSE( CONTROL!$C$32, 22.0338, 22.0302) * CHOOSE(CONTROL!$C$15, $D$11, 100%, $F$11)</f>
        <v>22.033799999999999</v>
      </c>
      <c r="I707" s="8">
        <f>CHOOSE( CONTROL!$C$32, 20.8171, 20.8136) * CHOOSE(CONTROL!$C$15, $D$11, 100%, $F$11)</f>
        <v>20.8171</v>
      </c>
      <c r="J707" s="4">
        <f>CHOOSE( CONTROL!$C$32, 20.6631, 20.6595) * CHOOSE(CONTROL!$C$15, $D$11, 100%, $F$11)</f>
        <v>20.6631</v>
      </c>
      <c r="K707" s="4"/>
      <c r="L707" s="9">
        <v>30.7165</v>
      </c>
      <c r="M707" s="9">
        <v>12.063700000000001</v>
      </c>
      <c r="N707" s="9">
        <v>4.9444999999999997</v>
      </c>
      <c r="O707" s="9">
        <v>0.37409999999999999</v>
      </c>
      <c r="P707" s="9">
        <v>1.2183999999999999</v>
      </c>
      <c r="Q707" s="9">
        <v>19.688099999999999</v>
      </c>
      <c r="R707" s="9"/>
      <c r="S707" s="11"/>
    </row>
    <row r="708" spans="1:19" ht="15.75">
      <c r="A708" s="13">
        <v>63067</v>
      </c>
      <c r="B708" s="8">
        <f>CHOOSE( CONTROL!$C$32, 19.6591, 19.6554) * CHOOSE(CONTROL!$C$15, $D$11, 100%, $F$11)</f>
        <v>19.659099999999999</v>
      </c>
      <c r="C708" s="8">
        <f>CHOOSE( CONTROL!$C$32, 19.667, 19.6634) * CHOOSE(CONTROL!$C$15, $D$11, 100%, $F$11)</f>
        <v>19.667000000000002</v>
      </c>
      <c r="D708" s="8">
        <f>CHOOSE( CONTROL!$C$32, 19.7053, 19.7016) * CHOOSE( CONTROL!$C$15, $D$11, 100%, $F$11)</f>
        <v>19.705300000000001</v>
      </c>
      <c r="E708" s="12">
        <f>CHOOSE( CONTROL!$C$32, 19.6902, 19.6865) * CHOOSE( CONTROL!$C$15, $D$11, 100%, $F$11)</f>
        <v>19.690200000000001</v>
      </c>
      <c r="F708" s="4">
        <f>CHOOSE( CONTROL!$C$32, 20.4021, 20.3984) * CHOOSE(CONTROL!$C$15, $D$11, 100%, $F$11)</f>
        <v>20.402100000000001</v>
      </c>
      <c r="G708" s="8">
        <f>CHOOSE( CONTROL!$C$32, 19.4355, 19.4319) * CHOOSE( CONTROL!$C$15, $D$11, 100%, $F$11)</f>
        <v>19.435500000000001</v>
      </c>
      <c r="H708" s="4">
        <f>CHOOSE( CONTROL!$C$32, 20.4098, 20.4062) * CHOOSE(CONTROL!$C$15, $D$11, 100%, $F$11)</f>
        <v>20.409800000000001</v>
      </c>
      <c r="I708" s="8">
        <f>CHOOSE( CONTROL!$C$32, 19.2218, 19.2183) * CHOOSE(CONTROL!$C$15, $D$11, 100%, $F$11)</f>
        <v>19.221800000000002</v>
      </c>
      <c r="J708" s="4">
        <f>CHOOSE( CONTROL!$C$32, 19.0683, 19.0648) * CHOOSE(CONTROL!$C$15, $D$11, 100%, $F$11)</f>
        <v>19.068300000000001</v>
      </c>
      <c r="K708" s="4"/>
      <c r="L708" s="9">
        <v>30.7165</v>
      </c>
      <c r="M708" s="9">
        <v>12.063700000000001</v>
      </c>
      <c r="N708" s="9">
        <v>4.9444999999999997</v>
      </c>
      <c r="O708" s="9">
        <v>0.37409999999999999</v>
      </c>
      <c r="P708" s="9">
        <v>1.2183999999999999</v>
      </c>
      <c r="Q708" s="9">
        <v>19.688099999999999</v>
      </c>
      <c r="R708" s="9"/>
      <c r="S708" s="11"/>
    </row>
    <row r="709" spans="1:19" ht="15.75">
      <c r="A709" s="13">
        <v>63097</v>
      </c>
      <c r="B709" s="8">
        <f>CHOOSE( CONTROL!$C$32, 19.2476, 19.2439) * CHOOSE(CONTROL!$C$15, $D$11, 100%, $F$11)</f>
        <v>19.247599999999998</v>
      </c>
      <c r="C709" s="8">
        <f>CHOOSE( CONTROL!$C$32, 19.2555, 19.2519) * CHOOSE(CONTROL!$C$15, $D$11, 100%, $F$11)</f>
        <v>19.255500000000001</v>
      </c>
      <c r="D709" s="8">
        <f>CHOOSE( CONTROL!$C$32, 19.2937, 19.2901) * CHOOSE( CONTROL!$C$15, $D$11, 100%, $F$11)</f>
        <v>19.293700000000001</v>
      </c>
      <c r="E709" s="12">
        <f>CHOOSE( CONTROL!$C$32, 19.2787, 19.275) * CHOOSE( CONTROL!$C$15, $D$11, 100%, $F$11)</f>
        <v>19.278700000000001</v>
      </c>
      <c r="F709" s="4">
        <f>CHOOSE( CONTROL!$C$32, 19.9906, 19.9869) * CHOOSE(CONTROL!$C$15, $D$11, 100%, $F$11)</f>
        <v>19.990600000000001</v>
      </c>
      <c r="G709" s="8">
        <f>CHOOSE( CONTROL!$C$32, 19.0287, 19.0251) * CHOOSE( CONTROL!$C$15, $D$11, 100%, $F$11)</f>
        <v>19.028700000000001</v>
      </c>
      <c r="H709" s="4">
        <f>CHOOSE( CONTROL!$C$32, 20.0031, 19.9995) * CHOOSE(CONTROL!$C$15, $D$11, 100%, $F$11)</f>
        <v>20.0031</v>
      </c>
      <c r="I709" s="8">
        <f>CHOOSE( CONTROL!$C$32, 18.8219, 18.8184) * CHOOSE(CONTROL!$C$15, $D$11, 100%, $F$11)</f>
        <v>18.821899999999999</v>
      </c>
      <c r="J709" s="4">
        <f>CHOOSE( CONTROL!$C$32, 18.6689, 18.6654) * CHOOSE(CONTROL!$C$15, $D$11, 100%, $F$11)</f>
        <v>18.668900000000001</v>
      </c>
      <c r="K709" s="4"/>
      <c r="L709" s="9">
        <v>29.7257</v>
      </c>
      <c r="M709" s="9">
        <v>11.6745</v>
      </c>
      <c r="N709" s="9">
        <v>4.7850000000000001</v>
      </c>
      <c r="O709" s="9">
        <v>0.36199999999999999</v>
      </c>
      <c r="P709" s="9">
        <v>1.1791</v>
      </c>
      <c r="Q709" s="9">
        <v>19.053000000000001</v>
      </c>
      <c r="R709" s="9"/>
      <c r="S709" s="11"/>
    </row>
    <row r="710" spans="1:19" ht="15.75">
      <c r="A710" s="13">
        <v>63128</v>
      </c>
      <c r="B710" s="8">
        <f>20.0966 * CHOOSE(CONTROL!$C$15, $D$11, 100%, $F$11)</f>
        <v>20.096599999999999</v>
      </c>
      <c r="C710" s="8">
        <f>20.1019 * CHOOSE(CONTROL!$C$15, $D$11, 100%, $F$11)</f>
        <v>20.101900000000001</v>
      </c>
      <c r="D710" s="8">
        <f>20.1454 * CHOOSE( CONTROL!$C$15, $D$11, 100%, $F$11)</f>
        <v>20.145399999999999</v>
      </c>
      <c r="E710" s="12">
        <f>20.1305 * CHOOSE( CONTROL!$C$15, $D$11, 100%, $F$11)</f>
        <v>20.130500000000001</v>
      </c>
      <c r="F710" s="4">
        <f>20.8413 * CHOOSE(CONTROL!$C$15, $D$11, 100%, $F$11)</f>
        <v>20.8413</v>
      </c>
      <c r="G710" s="8">
        <f>19.869 * CHOOSE( CONTROL!$C$15, $D$11, 100%, $F$11)</f>
        <v>19.869</v>
      </c>
      <c r="H710" s="4">
        <f>20.8439 * CHOOSE(CONTROL!$C$15, $D$11, 100%, $F$11)</f>
        <v>20.843900000000001</v>
      </c>
      <c r="I710" s="8">
        <f>19.6487 * CHOOSE(CONTROL!$C$15, $D$11, 100%, $F$11)</f>
        <v>19.648700000000002</v>
      </c>
      <c r="J710" s="4">
        <f>19.4946 * CHOOSE(CONTROL!$C$15, $D$11, 100%, $F$11)</f>
        <v>19.494599999999998</v>
      </c>
      <c r="K710" s="4"/>
      <c r="L710" s="9">
        <v>31.095300000000002</v>
      </c>
      <c r="M710" s="9">
        <v>12.063700000000001</v>
      </c>
      <c r="N710" s="9">
        <v>4.9444999999999997</v>
      </c>
      <c r="O710" s="9">
        <v>0.37409999999999999</v>
      </c>
      <c r="P710" s="9">
        <v>1.2183999999999999</v>
      </c>
      <c r="Q710" s="9">
        <v>19.688099999999999</v>
      </c>
      <c r="R710" s="9"/>
      <c r="S710" s="11"/>
    </row>
    <row r="711" spans="1:19" ht="15.75">
      <c r="A711" s="13">
        <v>63158</v>
      </c>
      <c r="B711" s="8">
        <f>21.6732 * CHOOSE(CONTROL!$C$15, $D$11, 100%, $F$11)</f>
        <v>21.673200000000001</v>
      </c>
      <c r="C711" s="8">
        <f>21.6783 * CHOOSE(CONTROL!$C$15, $D$11, 100%, $F$11)</f>
        <v>21.6783</v>
      </c>
      <c r="D711" s="8">
        <f>21.6619 * CHOOSE( CONTROL!$C$15, $D$11, 100%, $F$11)</f>
        <v>21.661899999999999</v>
      </c>
      <c r="E711" s="12">
        <f>21.6674 * CHOOSE( CONTROL!$C$15, $D$11, 100%, $F$11)</f>
        <v>21.667400000000001</v>
      </c>
      <c r="F711" s="4">
        <f>22.3385 * CHOOSE(CONTROL!$C$15, $D$11, 100%, $F$11)</f>
        <v>22.3385</v>
      </c>
      <c r="G711" s="8">
        <f>21.4281 * CHOOSE( CONTROL!$C$15, $D$11, 100%, $F$11)</f>
        <v>21.428100000000001</v>
      </c>
      <c r="H711" s="4">
        <f>22.3235 * CHOOSE(CONTROL!$C$15, $D$11, 100%, $F$11)</f>
        <v>22.323499999999999</v>
      </c>
      <c r="I711" s="8">
        <f>21.1801 * CHOOSE(CONTROL!$C$15, $D$11, 100%, $F$11)</f>
        <v>21.180099999999999</v>
      </c>
      <c r="J711" s="4">
        <f>21.0251 * CHOOSE(CONTROL!$C$15, $D$11, 100%, $F$11)</f>
        <v>21.025099999999998</v>
      </c>
      <c r="K711" s="4"/>
      <c r="L711" s="9">
        <v>28.360600000000002</v>
      </c>
      <c r="M711" s="9">
        <v>11.6745</v>
      </c>
      <c r="N711" s="9">
        <v>4.7850000000000001</v>
      </c>
      <c r="O711" s="9">
        <v>0.36199999999999999</v>
      </c>
      <c r="P711" s="9">
        <v>1.2509999999999999</v>
      </c>
      <c r="Q711" s="9">
        <v>19.053000000000001</v>
      </c>
      <c r="R711" s="9"/>
      <c r="S711" s="11"/>
    </row>
    <row r="712" spans="1:19" ht="15.75">
      <c r="A712" s="13">
        <v>63189</v>
      </c>
      <c r="B712" s="8">
        <f>21.6338 * CHOOSE(CONTROL!$C$15, $D$11, 100%, $F$11)</f>
        <v>21.633800000000001</v>
      </c>
      <c r="C712" s="8">
        <f>21.6389 * CHOOSE(CONTROL!$C$15, $D$11, 100%, $F$11)</f>
        <v>21.6389</v>
      </c>
      <c r="D712" s="8">
        <f>21.6242 * CHOOSE( CONTROL!$C$15, $D$11, 100%, $F$11)</f>
        <v>21.624199999999998</v>
      </c>
      <c r="E712" s="12">
        <f>21.629 * CHOOSE( CONTROL!$C$15, $D$11, 100%, $F$11)</f>
        <v>21.629000000000001</v>
      </c>
      <c r="F712" s="4">
        <f>22.2991 * CHOOSE(CONTROL!$C$15, $D$11, 100%, $F$11)</f>
        <v>22.299099999999999</v>
      </c>
      <c r="G712" s="8">
        <f>21.3904 * CHOOSE( CONTROL!$C$15, $D$11, 100%, $F$11)</f>
        <v>21.3904</v>
      </c>
      <c r="H712" s="4">
        <f>22.2846 * CHOOSE(CONTROL!$C$15, $D$11, 100%, $F$11)</f>
        <v>22.284600000000001</v>
      </c>
      <c r="I712" s="8">
        <f>21.1472 * CHOOSE(CONTROL!$C$15, $D$11, 100%, $F$11)</f>
        <v>21.147200000000002</v>
      </c>
      <c r="J712" s="4">
        <f>20.9869 * CHOOSE(CONTROL!$C$15, $D$11, 100%, $F$11)</f>
        <v>20.986899999999999</v>
      </c>
      <c r="K712" s="4"/>
      <c r="L712" s="9">
        <v>29.306000000000001</v>
      </c>
      <c r="M712" s="9">
        <v>12.063700000000001</v>
      </c>
      <c r="N712" s="9">
        <v>4.9444999999999997</v>
      </c>
      <c r="O712" s="9">
        <v>0.37409999999999999</v>
      </c>
      <c r="P712" s="9">
        <v>1.2927</v>
      </c>
      <c r="Q712" s="9">
        <v>19.688099999999999</v>
      </c>
      <c r="R712" s="9"/>
      <c r="S712" s="11"/>
    </row>
    <row r="713" spans="1:19" ht="15.75">
      <c r="A713" s="13">
        <v>63220</v>
      </c>
      <c r="B713" s="8">
        <f>22.2717 * CHOOSE(CONTROL!$C$15, $D$11, 100%, $F$11)</f>
        <v>22.271699999999999</v>
      </c>
      <c r="C713" s="8">
        <f>22.2767 * CHOOSE(CONTROL!$C$15, $D$11, 100%, $F$11)</f>
        <v>22.276700000000002</v>
      </c>
      <c r="D713" s="8">
        <f>22.2479 * CHOOSE( CONTROL!$C$15, $D$11, 100%, $F$11)</f>
        <v>22.247900000000001</v>
      </c>
      <c r="E713" s="12">
        <f>22.2579 * CHOOSE( CONTROL!$C$15, $D$11, 100%, $F$11)</f>
        <v>22.257899999999999</v>
      </c>
      <c r="F713" s="4">
        <f>22.9369 * CHOOSE(CONTROL!$C$15, $D$11, 100%, $F$11)</f>
        <v>22.936900000000001</v>
      </c>
      <c r="G713" s="8">
        <f>22.0106 * CHOOSE( CONTROL!$C$15, $D$11, 100%, $F$11)</f>
        <v>22.0106</v>
      </c>
      <c r="H713" s="4">
        <f>22.915 * CHOOSE(CONTROL!$C$15, $D$11, 100%, $F$11)</f>
        <v>22.914999999999999</v>
      </c>
      <c r="I713" s="8">
        <f>21.7612 * CHOOSE(CONTROL!$C$15, $D$11, 100%, $F$11)</f>
        <v>21.761199999999999</v>
      </c>
      <c r="J713" s="4">
        <f>21.6059 * CHOOSE(CONTROL!$C$15, $D$11, 100%, $F$11)</f>
        <v>21.605899999999998</v>
      </c>
      <c r="K713" s="4"/>
      <c r="L713" s="9">
        <v>29.306000000000001</v>
      </c>
      <c r="M713" s="9">
        <v>12.063700000000001</v>
      </c>
      <c r="N713" s="9">
        <v>4.9444999999999997</v>
      </c>
      <c r="O713" s="9">
        <v>0.37409999999999999</v>
      </c>
      <c r="P713" s="9">
        <v>1.2927</v>
      </c>
      <c r="Q713" s="9">
        <v>19.688099999999999</v>
      </c>
      <c r="R713" s="9"/>
      <c r="S713" s="11"/>
    </row>
    <row r="714" spans="1:19" ht="15.75">
      <c r="A714" s="13">
        <v>63248</v>
      </c>
      <c r="B714" s="8">
        <f>20.8324 * CHOOSE(CONTROL!$C$15, $D$11, 100%, $F$11)</f>
        <v>20.8324</v>
      </c>
      <c r="C714" s="8">
        <f>20.8375 * CHOOSE(CONTROL!$C$15, $D$11, 100%, $F$11)</f>
        <v>20.837499999999999</v>
      </c>
      <c r="D714" s="8">
        <f>20.8086 * CHOOSE( CONTROL!$C$15, $D$11, 100%, $F$11)</f>
        <v>20.808599999999998</v>
      </c>
      <c r="E714" s="12">
        <f>20.8186 * CHOOSE( CONTROL!$C$15, $D$11, 100%, $F$11)</f>
        <v>20.8186</v>
      </c>
      <c r="F714" s="4">
        <f>21.4977 * CHOOSE(CONTROL!$C$15, $D$11, 100%, $F$11)</f>
        <v>21.497699999999998</v>
      </c>
      <c r="G714" s="8">
        <f>20.5882 * CHOOSE( CONTROL!$C$15, $D$11, 100%, $F$11)</f>
        <v>20.588200000000001</v>
      </c>
      <c r="H714" s="4">
        <f>21.4926 * CHOOSE(CONTROL!$C$15, $D$11, 100%, $F$11)</f>
        <v>21.492599999999999</v>
      </c>
      <c r="I714" s="8">
        <f>20.3637 * CHOOSE(CONTROL!$C$15, $D$11, 100%, $F$11)</f>
        <v>20.363700000000001</v>
      </c>
      <c r="J714" s="4">
        <f>20.2091 * CHOOSE(CONTROL!$C$15, $D$11, 100%, $F$11)</f>
        <v>20.209099999999999</v>
      </c>
      <c r="K714" s="4"/>
      <c r="L714" s="9">
        <v>26.469899999999999</v>
      </c>
      <c r="M714" s="9">
        <v>10.8962</v>
      </c>
      <c r="N714" s="9">
        <v>4.4660000000000002</v>
      </c>
      <c r="O714" s="9">
        <v>0.33789999999999998</v>
      </c>
      <c r="P714" s="9">
        <v>1.1676</v>
      </c>
      <c r="Q714" s="9">
        <v>17.782800000000002</v>
      </c>
      <c r="R714" s="9"/>
      <c r="S714" s="11"/>
    </row>
    <row r="715" spans="1:19" ht="15.75">
      <c r="A715" s="13">
        <v>63279</v>
      </c>
      <c r="B715" s="8">
        <f>20.3891 * CHOOSE(CONTROL!$C$15, $D$11, 100%, $F$11)</f>
        <v>20.389099999999999</v>
      </c>
      <c r="C715" s="8">
        <f>20.3942 * CHOOSE(CONTROL!$C$15, $D$11, 100%, $F$11)</f>
        <v>20.394200000000001</v>
      </c>
      <c r="D715" s="8">
        <f>20.3649 * CHOOSE( CONTROL!$C$15, $D$11, 100%, $F$11)</f>
        <v>20.364899999999999</v>
      </c>
      <c r="E715" s="12">
        <f>20.3751 * CHOOSE( CONTROL!$C$15, $D$11, 100%, $F$11)</f>
        <v>20.3751</v>
      </c>
      <c r="F715" s="4">
        <f>21.0544 * CHOOSE(CONTROL!$C$15, $D$11, 100%, $F$11)</f>
        <v>21.054400000000001</v>
      </c>
      <c r="G715" s="8">
        <f>20.1498 * CHOOSE( CONTROL!$C$15, $D$11, 100%, $F$11)</f>
        <v>20.149799999999999</v>
      </c>
      <c r="H715" s="4">
        <f>21.0545 * CHOOSE(CONTROL!$C$15, $D$11, 100%, $F$11)</f>
        <v>21.054500000000001</v>
      </c>
      <c r="I715" s="8">
        <f>19.932 * CHOOSE(CONTROL!$C$15, $D$11, 100%, $F$11)</f>
        <v>19.931999999999999</v>
      </c>
      <c r="J715" s="4">
        <f>19.7789 * CHOOSE(CONTROL!$C$15, $D$11, 100%, $F$11)</f>
        <v>19.7789</v>
      </c>
      <c r="K715" s="4"/>
      <c r="L715" s="9">
        <v>29.306000000000001</v>
      </c>
      <c r="M715" s="9">
        <v>12.063700000000001</v>
      </c>
      <c r="N715" s="9">
        <v>4.9444999999999997</v>
      </c>
      <c r="O715" s="9">
        <v>0.37409999999999999</v>
      </c>
      <c r="P715" s="9">
        <v>1.2927</v>
      </c>
      <c r="Q715" s="9">
        <v>19.688099999999999</v>
      </c>
      <c r="R715" s="9"/>
      <c r="S715" s="11"/>
    </row>
    <row r="716" spans="1:19" ht="15.75">
      <c r="A716" s="13">
        <v>63309</v>
      </c>
      <c r="B716" s="8">
        <f>20.6997 * CHOOSE(CONTROL!$C$15, $D$11, 100%, $F$11)</f>
        <v>20.6997</v>
      </c>
      <c r="C716" s="8">
        <f>20.7042 * CHOOSE(CONTROL!$C$15, $D$11, 100%, $F$11)</f>
        <v>20.7042</v>
      </c>
      <c r="D716" s="8">
        <f>20.7475 * CHOOSE( CONTROL!$C$15, $D$11, 100%, $F$11)</f>
        <v>20.747499999999999</v>
      </c>
      <c r="E716" s="12">
        <f>20.7327 * CHOOSE( CONTROL!$C$15, $D$11, 100%, $F$11)</f>
        <v>20.732700000000001</v>
      </c>
      <c r="F716" s="4">
        <f>21.444 * CHOOSE(CONTROL!$C$15, $D$11, 100%, $F$11)</f>
        <v>21.443999999999999</v>
      </c>
      <c r="G716" s="8">
        <f>20.4637 * CHOOSE( CONTROL!$C$15, $D$11, 100%, $F$11)</f>
        <v>20.463699999999999</v>
      </c>
      <c r="H716" s="4">
        <f>21.4395 * CHOOSE(CONTROL!$C$15, $D$11, 100%, $F$11)</f>
        <v>21.439499999999999</v>
      </c>
      <c r="I716" s="8">
        <f>20.231 * CHOOSE(CONTROL!$C$15, $D$11, 100%, $F$11)</f>
        <v>20.231000000000002</v>
      </c>
      <c r="J716" s="4">
        <f>20.0795 * CHOOSE(CONTROL!$C$15, $D$11, 100%, $F$11)</f>
        <v>20.079499999999999</v>
      </c>
      <c r="K716" s="4"/>
      <c r="L716" s="9">
        <v>30.092199999999998</v>
      </c>
      <c r="M716" s="9">
        <v>11.6745</v>
      </c>
      <c r="N716" s="9">
        <v>4.7850000000000001</v>
      </c>
      <c r="O716" s="9">
        <v>0.36199999999999999</v>
      </c>
      <c r="P716" s="9">
        <v>1.1791</v>
      </c>
      <c r="Q716" s="9">
        <v>19.053000000000001</v>
      </c>
      <c r="R716" s="9"/>
      <c r="S716" s="11"/>
    </row>
    <row r="717" spans="1:19" ht="15.75">
      <c r="A717" s="13">
        <v>63340</v>
      </c>
      <c r="B717" s="8">
        <f>CHOOSE( CONTROL!$C$32, 21.256, 21.2523) * CHOOSE(CONTROL!$C$15, $D$11, 100%, $F$11)</f>
        <v>21.256</v>
      </c>
      <c r="C717" s="8">
        <f>CHOOSE( CONTROL!$C$32, 21.2639, 21.2603) * CHOOSE(CONTROL!$C$15, $D$11, 100%, $F$11)</f>
        <v>21.2639</v>
      </c>
      <c r="D717" s="8">
        <f>CHOOSE( CONTROL!$C$32, 21.3017, 21.298) * CHOOSE( CONTROL!$C$15, $D$11, 100%, $F$11)</f>
        <v>21.3017</v>
      </c>
      <c r="E717" s="12">
        <f>CHOOSE( CONTROL!$C$32, 21.2868, 21.2831) * CHOOSE( CONTROL!$C$15, $D$11, 100%, $F$11)</f>
        <v>21.286799999999999</v>
      </c>
      <c r="F717" s="4">
        <f>CHOOSE( CONTROL!$C$32, 21.999, 21.9953) * CHOOSE(CONTROL!$C$15, $D$11, 100%, $F$11)</f>
        <v>21.998999999999999</v>
      </c>
      <c r="G717" s="8">
        <f>CHOOSE( CONTROL!$C$32, 21.0129, 21.0093) * CHOOSE( CONTROL!$C$15, $D$11, 100%, $F$11)</f>
        <v>21.012899999999998</v>
      </c>
      <c r="H717" s="4">
        <f>CHOOSE( CONTROL!$C$32, 21.988, 21.9844) * CHOOSE(CONTROL!$C$15, $D$11, 100%, $F$11)</f>
        <v>21.988</v>
      </c>
      <c r="I717" s="8">
        <f>CHOOSE( CONTROL!$C$32, 20.77, 20.7664) * CHOOSE(CONTROL!$C$15, $D$11, 100%, $F$11)</f>
        <v>20.77</v>
      </c>
      <c r="J717" s="4">
        <f>CHOOSE( CONTROL!$C$32, 20.6181, 20.6146) * CHOOSE(CONTROL!$C$15, $D$11, 100%, $F$11)</f>
        <v>20.618099999999998</v>
      </c>
      <c r="K717" s="4"/>
      <c r="L717" s="9">
        <v>30.7165</v>
      </c>
      <c r="M717" s="9">
        <v>12.063700000000001</v>
      </c>
      <c r="N717" s="9">
        <v>4.9444999999999997</v>
      </c>
      <c r="O717" s="9">
        <v>0.37409999999999999</v>
      </c>
      <c r="P717" s="9">
        <v>1.2183999999999999</v>
      </c>
      <c r="Q717" s="9">
        <v>19.688099999999999</v>
      </c>
      <c r="R717" s="9"/>
      <c r="S717" s="11"/>
    </row>
    <row r="718" spans="1:19" ht="15.75">
      <c r="A718" s="13">
        <v>63370</v>
      </c>
      <c r="B718" s="8">
        <f>CHOOSE( CONTROL!$C$32, 20.9145, 20.9108) * CHOOSE(CONTROL!$C$15, $D$11, 100%, $F$11)</f>
        <v>20.9145</v>
      </c>
      <c r="C718" s="8">
        <f>CHOOSE( CONTROL!$C$32, 20.9224, 20.9188) * CHOOSE(CONTROL!$C$15, $D$11, 100%, $F$11)</f>
        <v>20.9224</v>
      </c>
      <c r="D718" s="8">
        <f>CHOOSE( CONTROL!$C$32, 20.9604, 20.9567) * CHOOSE( CONTROL!$C$15, $D$11, 100%, $F$11)</f>
        <v>20.9604</v>
      </c>
      <c r="E718" s="12">
        <f>CHOOSE( CONTROL!$C$32, 20.9454, 20.9417) * CHOOSE( CONTROL!$C$15, $D$11, 100%, $F$11)</f>
        <v>20.945399999999999</v>
      </c>
      <c r="F718" s="4">
        <f>CHOOSE( CONTROL!$C$32, 21.6575, 21.6538) * CHOOSE(CONTROL!$C$15, $D$11, 100%, $F$11)</f>
        <v>21.657499999999999</v>
      </c>
      <c r="G718" s="8">
        <f>CHOOSE( CONTROL!$C$32, 20.6758, 20.6722) * CHOOSE( CONTROL!$C$15, $D$11, 100%, $F$11)</f>
        <v>20.675799999999999</v>
      </c>
      <c r="H718" s="4">
        <f>CHOOSE( CONTROL!$C$32, 21.6505, 21.6469) * CHOOSE(CONTROL!$C$15, $D$11, 100%, $F$11)</f>
        <v>21.650500000000001</v>
      </c>
      <c r="I718" s="8">
        <f>CHOOSE( CONTROL!$C$32, 20.4394, 20.4359) * CHOOSE(CONTROL!$C$15, $D$11, 100%, $F$11)</f>
        <v>20.439399999999999</v>
      </c>
      <c r="J718" s="4">
        <f>CHOOSE( CONTROL!$C$32, 20.2867, 20.2831) * CHOOSE(CONTROL!$C$15, $D$11, 100%, $F$11)</f>
        <v>20.2867</v>
      </c>
      <c r="K718" s="4"/>
      <c r="L718" s="9">
        <v>29.7257</v>
      </c>
      <c r="M718" s="9">
        <v>11.6745</v>
      </c>
      <c r="N718" s="9">
        <v>4.7850000000000001</v>
      </c>
      <c r="O718" s="9">
        <v>0.36199999999999999</v>
      </c>
      <c r="P718" s="9">
        <v>1.1791</v>
      </c>
      <c r="Q718" s="9">
        <v>19.053000000000001</v>
      </c>
      <c r="R718" s="9"/>
      <c r="S718" s="11"/>
    </row>
    <row r="719" spans="1:19" ht="15.75">
      <c r="A719" s="13">
        <v>63401</v>
      </c>
      <c r="B719" s="8">
        <f>CHOOSE( CONTROL!$C$32, 21.8138, 21.8101) * CHOOSE(CONTROL!$C$15, $D$11, 100%, $F$11)</f>
        <v>21.813800000000001</v>
      </c>
      <c r="C719" s="8">
        <f>CHOOSE( CONTROL!$C$32, 21.8217, 21.8181) * CHOOSE(CONTROL!$C$15, $D$11, 100%, $F$11)</f>
        <v>21.8217</v>
      </c>
      <c r="D719" s="8">
        <f>CHOOSE( CONTROL!$C$32, 21.8599, 21.8563) * CHOOSE( CONTROL!$C$15, $D$11, 100%, $F$11)</f>
        <v>21.8599</v>
      </c>
      <c r="E719" s="12">
        <f>CHOOSE( CONTROL!$C$32, 21.8449, 21.8412) * CHOOSE( CONTROL!$C$15, $D$11, 100%, $F$11)</f>
        <v>21.844899999999999</v>
      </c>
      <c r="F719" s="4">
        <f>CHOOSE( CONTROL!$C$32, 22.5568, 22.5531) * CHOOSE(CONTROL!$C$15, $D$11, 100%, $F$11)</f>
        <v>22.556799999999999</v>
      </c>
      <c r="G719" s="8">
        <f>CHOOSE( CONTROL!$C$32, 21.5649, 21.5613) * CHOOSE( CONTROL!$C$15, $D$11, 100%, $F$11)</f>
        <v>21.564900000000002</v>
      </c>
      <c r="H719" s="4">
        <f>CHOOSE( CONTROL!$C$32, 22.5393, 22.5357) * CHOOSE(CONTROL!$C$15, $D$11, 100%, $F$11)</f>
        <v>22.539300000000001</v>
      </c>
      <c r="I719" s="8">
        <f>CHOOSE( CONTROL!$C$32, 21.3138, 21.3102) * CHOOSE(CONTROL!$C$15, $D$11, 100%, $F$11)</f>
        <v>21.313800000000001</v>
      </c>
      <c r="J719" s="4">
        <f>CHOOSE( CONTROL!$C$32, 21.1594, 21.1559) * CHOOSE(CONTROL!$C$15, $D$11, 100%, $F$11)</f>
        <v>21.159400000000002</v>
      </c>
      <c r="K719" s="4"/>
      <c r="L719" s="9">
        <v>30.7165</v>
      </c>
      <c r="M719" s="9">
        <v>12.063700000000001</v>
      </c>
      <c r="N719" s="9">
        <v>4.9444999999999997</v>
      </c>
      <c r="O719" s="9">
        <v>0.37409999999999999</v>
      </c>
      <c r="P719" s="9">
        <v>1.2183999999999999</v>
      </c>
      <c r="Q719" s="9">
        <v>19.688099999999999</v>
      </c>
      <c r="R719" s="9"/>
      <c r="S719" s="11"/>
    </row>
    <row r="720" spans="1:19" ht="15.75">
      <c r="A720" s="13">
        <v>63432</v>
      </c>
      <c r="B720" s="8">
        <f>CHOOSE( CONTROL!$C$32, 20.1311, 20.1274) * CHOOSE(CONTROL!$C$15, $D$11, 100%, $F$11)</f>
        <v>20.1311</v>
      </c>
      <c r="C720" s="8">
        <f>CHOOSE( CONTROL!$C$32, 20.139, 20.1354) * CHOOSE(CONTROL!$C$15, $D$11, 100%, $F$11)</f>
        <v>20.138999999999999</v>
      </c>
      <c r="D720" s="8">
        <f>CHOOSE( CONTROL!$C$32, 20.1773, 20.1736) * CHOOSE( CONTROL!$C$15, $D$11, 100%, $F$11)</f>
        <v>20.177299999999999</v>
      </c>
      <c r="E720" s="12">
        <f>CHOOSE( CONTROL!$C$32, 20.1622, 20.1585) * CHOOSE( CONTROL!$C$15, $D$11, 100%, $F$11)</f>
        <v>20.162199999999999</v>
      </c>
      <c r="F720" s="4">
        <f>CHOOSE( CONTROL!$C$32, 20.8741, 20.8704) * CHOOSE(CONTROL!$C$15, $D$11, 100%, $F$11)</f>
        <v>20.874099999999999</v>
      </c>
      <c r="G720" s="8">
        <f>CHOOSE( CONTROL!$C$32, 19.902, 19.8984) * CHOOSE( CONTROL!$C$15, $D$11, 100%, $F$11)</f>
        <v>19.902000000000001</v>
      </c>
      <c r="H720" s="4">
        <f>CHOOSE( CONTROL!$C$32, 20.8762, 20.8726) * CHOOSE(CONTROL!$C$15, $D$11, 100%, $F$11)</f>
        <v>20.876200000000001</v>
      </c>
      <c r="I720" s="8">
        <f>CHOOSE( CONTROL!$C$32, 19.6801, 19.6766) * CHOOSE(CONTROL!$C$15, $D$11, 100%, $F$11)</f>
        <v>19.680099999999999</v>
      </c>
      <c r="J720" s="4">
        <f>CHOOSE( CONTROL!$C$32, 19.5264, 19.5228) * CHOOSE(CONTROL!$C$15, $D$11, 100%, $F$11)</f>
        <v>19.526399999999999</v>
      </c>
      <c r="K720" s="4"/>
      <c r="L720" s="9">
        <v>30.7165</v>
      </c>
      <c r="M720" s="9">
        <v>12.063700000000001</v>
      </c>
      <c r="N720" s="9">
        <v>4.9444999999999997</v>
      </c>
      <c r="O720" s="9">
        <v>0.37409999999999999</v>
      </c>
      <c r="P720" s="9">
        <v>1.2183999999999999</v>
      </c>
      <c r="Q720" s="9">
        <v>19.688099999999999</v>
      </c>
      <c r="R720" s="9"/>
      <c r="S720" s="11"/>
    </row>
    <row r="721" spans="1:19" ht="15.75">
      <c r="A721" s="13">
        <v>63462</v>
      </c>
      <c r="B721" s="8">
        <f>CHOOSE( CONTROL!$C$32, 19.7097, 19.706) * CHOOSE(CONTROL!$C$15, $D$11, 100%, $F$11)</f>
        <v>19.709700000000002</v>
      </c>
      <c r="C721" s="8">
        <f>CHOOSE( CONTROL!$C$32, 19.7177, 19.714) * CHOOSE(CONTROL!$C$15, $D$11, 100%, $F$11)</f>
        <v>19.717700000000001</v>
      </c>
      <c r="D721" s="8">
        <f>CHOOSE( CONTROL!$C$32, 19.7558, 19.7522) * CHOOSE( CONTROL!$C$15, $D$11, 100%, $F$11)</f>
        <v>19.755800000000001</v>
      </c>
      <c r="E721" s="12">
        <f>CHOOSE( CONTROL!$C$32, 19.7408, 19.7371) * CHOOSE( CONTROL!$C$15, $D$11, 100%, $F$11)</f>
        <v>19.7408</v>
      </c>
      <c r="F721" s="4">
        <f>CHOOSE( CONTROL!$C$32, 20.4527, 20.449) * CHOOSE(CONTROL!$C$15, $D$11, 100%, $F$11)</f>
        <v>20.4527</v>
      </c>
      <c r="G721" s="8">
        <f>CHOOSE( CONTROL!$C$32, 19.4854, 19.4818) * CHOOSE( CONTROL!$C$15, $D$11, 100%, $F$11)</f>
        <v>19.485399999999998</v>
      </c>
      <c r="H721" s="4">
        <f>CHOOSE( CONTROL!$C$32, 20.4598, 20.4562) * CHOOSE(CONTROL!$C$15, $D$11, 100%, $F$11)</f>
        <v>20.459800000000001</v>
      </c>
      <c r="I721" s="8">
        <f>CHOOSE( CONTROL!$C$32, 19.2706, 19.2671) * CHOOSE(CONTROL!$C$15, $D$11, 100%, $F$11)</f>
        <v>19.270600000000002</v>
      </c>
      <c r="J721" s="4">
        <f>CHOOSE( CONTROL!$C$32, 19.1174, 19.1139) * CHOOSE(CONTROL!$C$15, $D$11, 100%, $F$11)</f>
        <v>19.1174</v>
      </c>
      <c r="K721" s="4"/>
      <c r="L721" s="9">
        <v>29.7257</v>
      </c>
      <c r="M721" s="9">
        <v>11.6745</v>
      </c>
      <c r="N721" s="9">
        <v>4.7850000000000001</v>
      </c>
      <c r="O721" s="9">
        <v>0.36199999999999999</v>
      </c>
      <c r="P721" s="9">
        <v>1.1791</v>
      </c>
      <c r="Q721" s="9">
        <v>19.053000000000001</v>
      </c>
      <c r="R721" s="9"/>
      <c r="S721" s="11"/>
    </row>
    <row r="722" spans="1:19" ht="15.75">
      <c r="A722" s="13">
        <v>63493</v>
      </c>
      <c r="B722" s="8">
        <f>20.5792 * CHOOSE(CONTROL!$C$15, $D$11, 100%, $F$11)</f>
        <v>20.5792</v>
      </c>
      <c r="C722" s="8">
        <f>20.5846 * CHOOSE(CONTROL!$C$15, $D$11, 100%, $F$11)</f>
        <v>20.584599999999998</v>
      </c>
      <c r="D722" s="8">
        <f>20.6281 * CHOOSE( CONTROL!$C$15, $D$11, 100%, $F$11)</f>
        <v>20.6281</v>
      </c>
      <c r="E722" s="12">
        <f>20.6132 * CHOOSE( CONTROL!$C$15, $D$11, 100%, $F$11)</f>
        <v>20.613199999999999</v>
      </c>
      <c r="F722" s="4">
        <f>21.324 * CHOOSE(CONTROL!$C$15, $D$11, 100%, $F$11)</f>
        <v>21.324000000000002</v>
      </c>
      <c r="G722" s="8">
        <f>20.346 * CHOOSE( CONTROL!$C$15, $D$11, 100%, $F$11)</f>
        <v>20.346</v>
      </c>
      <c r="H722" s="4">
        <f>21.3209 * CHOOSE(CONTROL!$C$15, $D$11, 100%, $F$11)</f>
        <v>21.320900000000002</v>
      </c>
      <c r="I722" s="8">
        <f>20.1174 * CHOOSE(CONTROL!$C$15, $D$11, 100%, $F$11)</f>
        <v>20.1174</v>
      </c>
      <c r="J722" s="4">
        <f>19.963 * CHOOSE(CONTROL!$C$15, $D$11, 100%, $F$11)</f>
        <v>19.963000000000001</v>
      </c>
      <c r="K722" s="4"/>
      <c r="L722" s="9">
        <v>31.095300000000002</v>
      </c>
      <c r="M722" s="9">
        <v>12.063700000000001</v>
      </c>
      <c r="N722" s="9">
        <v>4.9444999999999997</v>
      </c>
      <c r="O722" s="9">
        <v>0.37409999999999999</v>
      </c>
      <c r="P722" s="9">
        <v>1.2183999999999999</v>
      </c>
      <c r="Q722" s="9">
        <v>19.688099999999999</v>
      </c>
      <c r="R722" s="9"/>
      <c r="S722" s="11"/>
    </row>
    <row r="723" spans="1:19" ht="15.75">
      <c r="A723" s="13">
        <v>63523</v>
      </c>
      <c r="B723" s="8">
        <f>22.1937 * CHOOSE(CONTROL!$C$15, $D$11, 100%, $F$11)</f>
        <v>22.1937</v>
      </c>
      <c r="C723" s="8">
        <f>22.1988 * CHOOSE(CONTROL!$C$15, $D$11, 100%, $F$11)</f>
        <v>22.198799999999999</v>
      </c>
      <c r="D723" s="8">
        <f>22.1825 * CHOOSE( CONTROL!$C$15, $D$11, 100%, $F$11)</f>
        <v>22.182500000000001</v>
      </c>
      <c r="E723" s="12">
        <f>22.1879 * CHOOSE( CONTROL!$C$15, $D$11, 100%, $F$11)</f>
        <v>22.187899999999999</v>
      </c>
      <c r="F723" s="4">
        <f>22.859 * CHOOSE(CONTROL!$C$15, $D$11, 100%, $F$11)</f>
        <v>22.859000000000002</v>
      </c>
      <c r="G723" s="8">
        <f>21.9426 * CHOOSE( CONTROL!$C$15, $D$11, 100%, $F$11)</f>
        <v>21.942599999999999</v>
      </c>
      <c r="H723" s="4">
        <f>22.838 * CHOOSE(CONTROL!$C$15, $D$11, 100%, $F$11)</f>
        <v>22.838000000000001</v>
      </c>
      <c r="I723" s="8">
        <f>21.6855 * CHOOSE(CONTROL!$C$15, $D$11, 100%, $F$11)</f>
        <v>21.685500000000001</v>
      </c>
      <c r="J723" s="4">
        <f>21.5303 * CHOOSE(CONTROL!$C$15, $D$11, 100%, $F$11)</f>
        <v>21.5303</v>
      </c>
      <c r="K723" s="4"/>
      <c r="L723" s="9">
        <v>28.360600000000002</v>
      </c>
      <c r="M723" s="9">
        <v>11.6745</v>
      </c>
      <c r="N723" s="9">
        <v>4.7850000000000001</v>
      </c>
      <c r="O723" s="9">
        <v>0.36199999999999999</v>
      </c>
      <c r="P723" s="9">
        <v>1.2509999999999999</v>
      </c>
      <c r="Q723" s="9">
        <v>19.053000000000001</v>
      </c>
      <c r="R723" s="9"/>
      <c r="S723" s="11"/>
    </row>
    <row r="724" spans="1:19" ht="15.75">
      <c r="A724" s="13">
        <v>63554</v>
      </c>
      <c r="B724" s="8">
        <f>22.1534 * CHOOSE(CONTROL!$C$15, $D$11, 100%, $F$11)</f>
        <v>22.153400000000001</v>
      </c>
      <c r="C724" s="8">
        <f>22.1585 * CHOOSE(CONTROL!$C$15, $D$11, 100%, $F$11)</f>
        <v>22.1585</v>
      </c>
      <c r="D724" s="8">
        <f>22.1438 * CHOOSE( CONTROL!$C$15, $D$11, 100%, $F$11)</f>
        <v>22.143799999999999</v>
      </c>
      <c r="E724" s="12">
        <f>22.1486 * CHOOSE( CONTROL!$C$15, $D$11, 100%, $F$11)</f>
        <v>22.148599999999998</v>
      </c>
      <c r="F724" s="4">
        <f>22.8187 * CHOOSE(CONTROL!$C$15, $D$11, 100%, $F$11)</f>
        <v>22.8187</v>
      </c>
      <c r="G724" s="8">
        <f>21.9039 * CHOOSE( CONTROL!$C$15, $D$11, 100%, $F$11)</f>
        <v>21.9039</v>
      </c>
      <c r="H724" s="4">
        <f>22.7981 * CHOOSE(CONTROL!$C$15, $D$11, 100%, $F$11)</f>
        <v>22.798100000000002</v>
      </c>
      <c r="I724" s="8">
        <f>21.6517 * CHOOSE(CONTROL!$C$15, $D$11, 100%, $F$11)</f>
        <v>21.651700000000002</v>
      </c>
      <c r="J724" s="4">
        <f>21.4911 * CHOOSE(CONTROL!$C$15, $D$11, 100%, $F$11)</f>
        <v>21.491099999999999</v>
      </c>
      <c r="K724" s="4"/>
      <c r="L724" s="9">
        <v>29.306000000000001</v>
      </c>
      <c r="M724" s="9">
        <v>12.063700000000001</v>
      </c>
      <c r="N724" s="9">
        <v>4.9444999999999997</v>
      </c>
      <c r="O724" s="9">
        <v>0.37409999999999999</v>
      </c>
      <c r="P724" s="9">
        <v>1.2927</v>
      </c>
      <c r="Q724" s="9">
        <v>19.688099999999999</v>
      </c>
      <c r="R724" s="9"/>
      <c r="S724" s="11"/>
    </row>
    <row r="725" spans="1:19" ht="15.75">
      <c r="A725" s="13">
        <v>63585</v>
      </c>
      <c r="B725" s="8">
        <f>22.8066 * CHOOSE(CONTROL!$C$15, $D$11, 100%, $F$11)</f>
        <v>22.8066</v>
      </c>
      <c r="C725" s="8">
        <f>22.8117 * CHOOSE(CONTROL!$C$15, $D$11, 100%, $F$11)</f>
        <v>22.811699999999998</v>
      </c>
      <c r="D725" s="8">
        <f>22.7828 * CHOOSE( CONTROL!$C$15, $D$11, 100%, $F$11)</f>
        <v>22.782800000000002</v>
      </c>
      <c r="E725" s="12">
        <f>22.7928 * CHOOSE( CONTROL!$C$15, $D$11, 100%, $F$11)</f>
        <v>22.7928</v>
      </c>
      <c r="F725" s="4">
        <f>23.4719 * CHOOSE(CONTROL!$C$15, $D$11, 100%, $F$11)</f>
        <v>23.471900000000002</v>
      </c>
      <c r="G725" s="8">
        <f>22.5392 * CHOOSE( CONTROL!$C$15, $D$11, 100%, $F$11)</f>
        <v>22.539200000000001</v>
      </c>
      <c r="H725" s="4">
        <f>23.4436 * CHOOSE(CONTROL!$C$15, $D$11, 100%, $F$11)</f>
        <v>23.4436</v>
      </c>
      <c r="I725" s="8">
        <f>22.2806 * CHOOSE(CONTROL!$C$15, $D$11, 100%, $F$11)</f>
        <v>22.2806</v>
      </c>
      <c r="J725" s="4">
        <f>22.125 * CHOOSE(CONTROL!$C$15, $D$11, 100%, $F$11)</f>
        <v>22.125</v>
      </c>
      <c r="K725" s="4"/>
      <c r="L725" s="9">
        <v>29.306000000000001</v>
      </c>
      <c r="M725" s="9">
        <v>12.063700000000001</v>
      </c>
      <c r="N725" s="9">
        <v>4.9444999999999997</v>
      </c>
      <c r="O725" s="9">
        <v>0.37409999999999999</v>
      </c>
      <c r="P725" s="9">
        <v>1.2927</v>
      </c>
      <c r="Q725" s="9">
        <v>19.688099999999999</v>
      </c>
      <c r="R725" s="9"/>
      <c r="S725" s="11"/>
    </row>
    <row r="726" spans="1:19" ht="15.75">
      <c r="A726" s="13">
        <v>63613</v>
      </c>
      <c r="B726" s="8">
        <f>21.3328 * CHOOSE(CONTROL!$C$15, $D$11, 100%, $F$11)</f>
        <v>21.332799999999999</v>
      </c>
      <c r="C726" s="8">
        <f>21.3378 * CHOOSE(CONTROL!$C$15, $D$11, 100%, $F$11)</f>
        <v>21.337800000000001</v>
      </c>
      <c r="D726" s="8">
        <f>21.3089 * CHOOSE( CONTROL!$C$15, $D$11, 100%, $F$11)</f>
        <v>21.308900000000001</v>
      </c>
      <c r="E726" s="12">
        <f>21.3189 * CHOOSE( CONTROL!$C$15, $D$11, 100%, $F$11)</f>
        <v>21.318899999999999</v>
      </c>
      <c r="F726" s="4">
        <f>21.998 * CHOOSE(CONTROL!$C$15, $D$11, 100%, $F$11)</f>
        <v>21.998000000000001</v>
      </c>
      <c r="G726" s="8">
        <f>21.0826 * CHOOSE( CONTROL!$C$15, $D$11, 100%, $F$11)</f>
        <v>21.082599999999999</v>
      </c>
      <c r="H726" s="4">
        <f>21.9871 * CHOOSE(CONTROL!$C$15, $D$11, 100%, $F$11)</f>
        <v>21.987100000000002</v>
      </c>
      <c r="I726" s="8">
        <f>20.8495 * CHOOSE(CONTROL!$C$15, $D$11, 100%, $F$11)</f>
        <v>20.849499999999999</v>
      </c>
      <c r="J726" s="4">
        <f>20.6947 * CHOOSE(CONTROL!$C$15, $D$11, 100%, $F$11)</f>
        <v>20.694700000000001</v>
      </c>
      <c r="K726" s="4"/>
      <c r="L726" s="9">
        <v>26.469899999999999</v>
      </c>
      <c r="M726" s="9">
        <v>10.8962</v>
      </c>
      <c r="N726" s="9">
        <v>4.4660000000000002</v>
      </c>
      <c r="O726" s="9">
        <v>0.33789999999999998</v>
      </c>
      <c r="P726" s="9">
        <v>1.1676</v>
      </c>
      <c r="Q726" s="9">
        <v>17.782800000000002</v>
      </c>
      <c r="R726" s="9"/>
      <c r="S726" s="11"/>
    </row>
    <row r="727" spans="1:19" ht="15.75">
      <c r="A727" s="13">
        <v>63644</v>
      </c>
      <c r="B727" s="8">
        <f>20.8788 * CHOOSE(CONTROL!$C$15, $D$11, 100%, $F$11)</f>
        <v>20.878799999999998</v>
      </c>
      <c r="C727" s="8">
        <f>20.8839 * CHOOSE(CONTROL!$C$15, $D$11, 100%, $F$11)</f>
        <v>20.883900000000001</v>
      </c>
      <c r="D727" s="8">
        <f>20.8546 * CHOOSE( CONTROL!$C$15, $D$11, 100%, $F$11)</f>
        <v>20.854600000000001</v>
      </c>
      <c r="E727" s="12">
        <f>20.8648 * CHOOSE( CONTROL!$C$15, $D$11, 100%, $F$11)</f>
        <v>20.864799999999999</v>
      </c>
      <c r="F727" s="4">
        <f>21.5441 * CHOOSE(CONTROL!$C$15, $D$11, 100%, $F$11)</f>
        <v>21.5441</v>
      </c>
      <c r="G727" s="8">
        <f>20.6337 * CHOOSE( CONTROL!$C$15, $D$11, 100%, $F$11)</f>
        <v>20.633700000000001</v>
      </c>
      <c r="H727" s="4">
        <f>21.5384 * CHOOSE(CONTROL!$C$15, $D$11, 100%, $F$11)</f>
        <v>21.538399999999999</v>
      </c>
      <c r="I727" s="8">
        <f>20.4075 * CHOOSE(CONTROL!$C$15, $D$11, 100%, $F$11)</f>
        <v>20.407499999999999</v>
      </c>
      <c r="J727" s="4">
        <f>20.2541 * CHOOSE(CONTROL!$C$15, $D$11, 100%, $F$11)</f>
        <v>20.254100000000001</v>
      </c>
      <c r="K727" s="4"/>
      <c r="L727" s="9">
        <v>29.306000000000001</v>
      </c>
      <c r="M727" s="9">
        <v>12.063700000000001</v>
      </c>
      <c r="N727" s="9">
        <v>4.9444999999999997</v>
      </c>
      <c r="O727" s="9">
        <v>0.37409999999999999</v>
      </c>
      <c r="P727" s="9">
        <v>1.2927</v>
      </c>
      <c r="Q727" s="9">
        <v>19.688099999999999</v>
      </c>
      <c r="R727" s="9"/>
      <c r="S727" s="11"/>
    </row>
    <row r="728" spans="1:19" ht="15.75">
      <c r="A728" s="13">
        <v>63674</v>
      </c>
      <c r="B728" s="8">
        <f>21.1968 * CHOOSE(CONTROL!$C$15, $D$11, 100%, $F$11)</f>
        <v>21.1968</v>
      </c>
      <c r="C728" s="8">
        <f>21.2013 * CHOOSE(CONTROL!$C$15, $D$11, 100%, $F$11)</f>
        <v>21.2013</v>
      </c>
      <c r="D728" s="8">
        <f>21.2447 * CHOOSE( CONTROL!$C$15, $D$11, 100%, $F$11)</f>
        <v>21.244700000000002</v>
      </c>
      <c r="E728" s="12">
        <f>21.2299 * CHOOSE( CONTROL!$C$15, $D$11, 100%, $F$11)</f>
        <v>21.229900000000001</v>
      </c>
      <c r="F728" s="4">
        <f>21.9412 * CHOOSE(CONTROL!$C$15, $D$11, 100%, $F$11)</f>
        <v>21.941199999999998</v>
      </c>
      <c r="G728" s="8">
        <f>20.955 * CHOOSE( CONTROL!$C$15, $D$11, 100%, $F$11)</f>
        <v>20.954999999999998</v>
      </c>
      <c r="H728" s="4">
        <f>21.9309 * CHOOSE(CONTROL!$C$15, $D$11, 100%, $F$11)</f>
        <v>21.930900000000001</v>
      </c>
      <c r="I728" s="8">
        <f>20.7137 * CHOOSE(CONTROL!$C$15, $D$11, 100%, $F$11)</f>
        <v>20.713699999999999</v>
      </c>
      <c r="J728" s="4">
        <f>20.562 * CHOOSE(CONTROL!$C$15, $D$11, 100%, $F$11)</f>
        <v>20.562000000000001</v>
      </c>
      <c r="K728" s="4"/>
      <c r="L728" s="9">
        <v>30.092199999999998</v>
      </c>
      <c r="M728" s="9">
        <v>11.6745</v>
      </c>
      <c r="N728" s="9">
        <v>4.7850000000000001</v>
      </c>
      <c r="O728" s="9">
        <v>0.36199999999999999</v>
      </c>
      <c r="P728" s="9">
        <v>1.1791</v>
      </c>
      <c r="Q728" s="9">
        <v>19.053000000000001</v>
      </c>
      <c r="R728" s="9"/>
      <c r="S728" s="11"/>
    </row>
    <row r="729" spans="1:19" ht="15.75">
      <c r="A729" s="13">
        <v>63705</v>
      </c>
      <c r="B729" s="8">
        <f>CHOOSE( CONTROL!$C$32, 21.7663, 21.7627) * CHOOSE(CONTROL!$C$15, $D$11, 100%, $F$11)</f>
        <v>21.766300000000001</v>
      </c>
      <c r="C729" s="8">
        <f>CHOOSE( CONTROL!$C$32, 21.7743, 21.7707) * CHOOSE(CONTROL!$C$15, $D$11, 100%, $F$11)</f>
        <v>21.7743</v>
      </c>
      <c r="D729" s="8">
        <f>CHOOSE( CONTROL!$C$32, 21.812, 21.8084) * CHOOSE( CONTROL!$C$15, $D$11, 100%, $F$11)</f>
        <v>21.812000000000001</v>
      </c>
      <c r="E729" s="12">
        <f>CHOOSE( CONTROL!$C$32, 21.7971, 21.7935) * CHOOSE( CONTROL!$C$15, $D$11, 100%, $F$11)</f>
        <v>21.7971</v>
      </c>
      <c r="F729" s="4">
        <f>CHOOSE( CONTROL!$C$32, 22.5093, 22.5057) * CHOOSE(CONTROL!$C$15, $D$11, 100%, $F$11)</f>
        <v>22.5093</v>
      </c>
      <c r="G729" s="8">
        <f>CHOOSE( CONTROL!$C$32, 21.5173, 21.5137) * CHOOSE( CONTROL!$C$15, $D$11, 100%, $F$11)</f>
        <v>21.517299999999999</v>
      </c>
      <c r="H729" s="4">
        <f>CHOOSE( CONTROL!$C$32, 22.4924, 22.4888) * CHOOSE(CONTROL!$C$15, $D$11, 100%, $F$11)</f>
        <v>22.4924</v>
      </c>
      <c r="I729" s="8">
        <f>CHOOSE( CONTROL!$C$32, 21.2655, 21.262) * CHOOSE(CONTROL!$C$15, $D$11, 100%, $F$11)</f>
        <v>21.265499999999999</v>
      </c>
      <c r="J729" s="4">
        <f>CHOOSE( CONTROL!$C$32, 21.1134, 21.1099) * CHOOSE(CONTROL!$C$15, $D$11, 100%, $F$11)</f>
        <v>21.113399999999999</v>
      </c>
      <c r="K729" s="4"/>
      <c r="L729" s="9">
        <v>30.7165</v>
      </c>
      <c r="M729" s="9">
        <v>12.063700000000001</v>
      </c>
      <c r="N729" s="9">
        <v>4.9444999999999997</v>
      </c>
      <c r="O729" s="9">
        <v>0.37409999999999999</v>
      </c>
      <c r="P729" s="9">
        <v>1.2183999999999999</v>
      </c>
      <c r="Q729" s="9">
        <v>19.688099999999999</v>
      </c>
      <c r="R729" s="9"/>
      <c r="S729" s="11"/>
    </row>
    <row r="730" spans="1:19" ht="15.75">
      <c r="A730" s="13">
        <v>63735</v>
      </c>
      <c r="B730" s="8">
        <f>CHOOSE( CONTROL!$C$32, 21.4166, 21.413) * CHOOSE(CONTROL!$C$15, $D$11, 100%, $F$11)</f>
        <v>21.416599999999999</v>
      </c>
      <c r="C730" s="8">
        <f>CHOOSE( CONTROL!$C$32, 21.4246, 21.421) * CHOOSE(CONTROL!$C$15, $D$11, 100%, $F$11)</f>
        <v>21.424600000000002</v>
      </c>
      <c r="D730" s="8">
        <f>CHOOSE( CONTROL!$C$32, 21.4626, 21.4589) * CHOOSE( CONTROL!$C$15, $D$11, 100%, $F$11)</f>
        <v>21.462599999999998</v>
      </c>
      <c r="E730" s="12">
        <f>CHOOSE( CONTROL!$C$32, 21.4476, 21.4439) * CHOOSE( CONTROL!$C$15, $D$11, 100%, $F$11)</f>
        <v>21.447600000000001</v>
      </c>
      <c r="F730" s="4">
        <f>CHOOSE( CONTROL!$C$32, 22.1596, 22.156) * CHOOSE(CONTROL!$C$15, $D$11, 100%, $F$11)</f>
        <v>22.159600000000001</v>
      </c>
      <c r="G730" s="8">
        <f>CHOOSE( CONTROL!$C$32, 21.172, 21.1684) * CHOOSE( CONTROL!$C$15, $D$11, 100%, $F$11)</f>
        <v>21.172000000000001</v>
      </c>
      <c r="H730" s="4">
        <f>CHOOSE( CONTROL!$C$32, 22.1468, 22.1432) * CHOOSE(CONTROL!$C$15, $D$11, 100%, $F$11)</f>
        <v>22.146799999999999</v>
      </c>
      <c r="I730" s="8">
        <f>CHOOSE( CONTROL!$C$32, 20.927, 20.9235) * CHOOSE(CONTROL!$C$15, $D$11, 100%, $F$11)</f>
        <v>20.927</v>
      </c>
      <c r="J730" s="4">
        <f>CHOOSE( CONTROL!$C$32, 20.774, 20.7705) * CHOOSE(CONTROL!$C$15, $D$11, 100%, $F$11)</f>
        <v>20.774000000000001</v>
      </c>
      <c r="K730" s="4"/>
      <c r="L730" s="9">
        <v>29.7257</v>
      </c>
      <c r="M730" s="9">
        <v>11.6745</v>
      </c>
      <c r="N730" s="9">
        <v>4.7850000000000001</v>
      </c>
      <c r="O730" s="9">
        <v>0.36199999999999999</v>
      </c>
      <c r="P730" s="9">
        <v>1.1791</v>
      </c>
      <c r="Q730" s="9">
        <v>19.053000000000001</v>
      </c>
      <c r="R730" s="9"/>
      <c r="S730" s="11"/>
    </row>
    <row r="731" spans="1:19" ht="15.75">
      <c r="A731" s="13">
        <v>63766</v>
      </c>
      <c r="B731" s="8">
        <f>CHOOSE( CONTROL!$C$32, 22.3375, 22.3339) * CHOOSE(CONTROL!$C$15, $D$11, 100%, $F$11)</f>
        <v>22.337499999999999</v>
      </c>
      <c r="C731" s="8">
        <f>CHOOSE( CONTROL!$C$32, 22.3455, 22.3419) * CHOOSE(CONTROL!$C$15, $D$11, 100%, $F$11)</f>
        <v>22.345500000000001</v>
      </c>
      <c r="D731" s="8">
        <f>CHOOSE( CONTROL!$C$32, 22.3837, 22.3801) * CHOOSE( CONTROL!$C$15, $D$11, 100%, $F$11)</f>
        <v>22.383700000000001</v>
      </c>
      <c r="E731" s="12">
        <f>CHOOSE( CONTROL!$C$32, 22.3686, 22.365) * CHOOSE( CONTROL!$C$15, $D$11, 100%, $F$11)</f>
        <v>22.368600000000001</v>
      </c>
      <c r="F731" s="4">
        <f>CHOOSE( CONTROL!$C$32, 23.0806, 23.0769) * CHOOSE(CONTROL!$C$15, $D$11, 100%, $F$11)</f>
        <v>23.0806</v>
      </c>
      <c r="G731" s="8">
        <f>CHOOSE( CONTROL!$C$32, 22.0825, 22.0789) * CHOOSE( CONTROL!$C$15, $D$11, 100%, $F$11)</f>
        <v>22.0825</v>
      </c>
      <c r="H731" s="4">
        <f>CHOOSE( CONTROL!$C$32, 23.0569, 23.0533) * CHOOSE(CONTROL!$C$15, $D$11, 100%, $F$11)</f>
        <v>23.056899999999999</v>
      </c>
      <c r="I731" s="8">
        <f>CHOOSE( CONTROL!$C$32, 21.8223, 21.8188) * CHOOSE(CONTROL!$C$15, $D$11, 100%, $F$11)</f>
        <v>21.822299999999998</v>
      </c>
      <c r="J731" s="4">
        <f>CHOOSE( CONTROL!$C$32, 21.6678, 21.6642) * CHOOSE(CONTROL!$C$15, $D$11, 100%, $F$11)</f>
        <v>21.6678</v>
      </c>
      <c r="K731" s="4"/>
      <c r="L731" s="9">
        <v>30.7165</v>
      </c>
      <c r="M731" s="9">
        <v>12.063700000000001</v>
      </c>
      <c r="N731" s="9">
        <v>4.9444999999999997</v>
      </c>
      <c r="O731" s="9">
        <v>0.37409999999999999</v>
      </c>
      <c r="P731" s="9">
        <v>1.2183999999999999</v>
      </c>
      <c r="Q731" s="9">
        <v>19.688099999999999</v>
      </c>
      <c r="R731" s="9"/>
      <c r="S731" s="11"/>
    </row>
    <row r="732" spans="1:19" ht="15.75">
      <c r="A732" s="13">
        <v>63797</v>
      </c>
      <c r="B732" s="8">
        <f>CHOOSE( CONTROL!$C$32, 20.6144, 20.6108) * CHOOSE(CONTROL!$C$15, $D$11, 100%, $F$11)</f>
        <v>20.6144</v>
      </c>
      <c r="C732" s="8">
        <f>CHOOSE( CONTROL!$C$32, 20.6224, 20.6187) * CHOOSE(CONTROL!$C$15, $D$11, 100%, $F$11)</f>
        <v>20.622399999999999</v>
      </c>
      <c r="D732" s="8">
        <f>CHOOSE( CONTROL!$C$32, 20.6606, 20.657) * CHOOSE( CONTROL!$C$15, $D$11, 100%, $F$11)</f>
        <v>20.660599999999999</v>
      </c>
      <c r="E732" s="12">
        <f>CHOOSE( CONTROL!$C$32, 20.6455, 20.6419) * CHOOSE( CONTROL!$C$15, $D$11, 100%, $F$11)</f>
        <v>20.645499999999998</v>
      </c>
      <c r="F732" s="4">
        <f>CHOOSE( CONTROL!$C$32, 21.3574, 21.3538) * CHOOSE(CONTROL!$C$15, $D$11, 100%, $F$11)</f>
        <v>21.357399999999998</v>
      </c>
      <c r="G732" s="8">
        <f>CHOOSE( CONTROL!$C$32, 20.3797, 20.3761) * CHOOSE( CONTROL!$C$15, $D$11, 100%, $F$11)</f>
        <v>20.3797</v>
      </c>
      <c r="H732" s="4">
        <f>CHOOSE( CONTROL!$C$32, 21.3539, 21.3503) * CHOOSE(CONTROL!$C$15, $D$11, 100%, $F$11)</f>
        <v>21.353899999999999</v>
      </c>
      <c r="I732" s="8">
        <f>CHOOSE( CONTROL!$C$32, 20.1495, 20.1459) * CHOOSE(CONTROL!$C$15, $D$11, 100%, $F$11)</f>
        <v>20.1495</v>
      </c>
      <c r="J732" s="4">
        <f>CHOOSE( CONTROL!$C$32, 19.9955, 19.9919) * CHOOSE(CONTROL!$C$15, $D$11, 100%, $F$11)</f>
        <v>19.9955</v>
      </c>
      <c r="K732" s="4"/>
      <c r="L732" s="9">
        <v>30.7165</v>
      </c>
      <c r="M732" s="9">
        <v>12.063700000000001</v>
      </c>
      <c r="N732" s="9">
        <v>4.9444999999999997</v>
      </c>
      <c r="O732" s="9">
        <v>0.37409999999999999</v>
      </c>
      <c r="P732" s="9">
        <v>1.2183999999999999</v>
      </c>
      <c r="Q732" s="9">
        <v>19.688099999999999</v>
      </c>
      <c r="R732" s="9"/>
      <c r="S732" s="11"/>
    </row>
    <row r="733" spans="1:19" ht="15.75">
      <c r="A733" s="13">
        <v>63827</v>
      </c>
      <c r="B733" s="8">
        <f>CHOOSE( CONTROL!$C$32, 20.1829, 20.1793) * CHOOSE(CONTROL!$C$15, $D$11, 100%, $F$11)</f>
        <v>20.1829</v>
      </c>
      <c r="C733" s="8">
        <f>CHOOSE( CONTROL!$C$32, 20.1909, 20.1872) * CHOOSE(CONTROL!$C$15, $D$11, 100%, $F$11)</f>
        <v>20.190899999999999</v>
      </c>
      <c r="D733" s="8">
        <f>CHOOSE( CONTROL!$C$32, 20.2291, 20.2254) * CHOOSE( CONTROL!$C$15, $D$11, 100%, $F$11)</f>
        <v>20.229099999999999</v>
      </c>
      <c r="E733" s="12">
        <f>CHOOSE( CONTROL!$C$32, 20.214, 20.2104) * CHOOSE( CONTROL!$C$15, $D$11, 100%, $F$11)</f>
        <v>20.213999999999999</v>
      </c>
      <c r="F733" s="4">
        <f>CHOOSE( CONTROL!$C$32, 20.9259, 20.9223) * CHOOSE(CONTROL!$C$15, $D$11, 100%, $F$11)</f>
        <v>20.925899999999999</v>
      </c>
      <c r="G733" s="8">
        <f>CHOOSE( CONTROL!$C$32, 19.9531, 19.9495) * CHOOSE( CONTROL!$C$15, $D$11, 100%, $F$11)</f>
        <v>19.953099999999999</v>
      </c>
      <c r="H733" s="4">
        <f>CHOOSE( CONTROL!$C$32, 20.9275, 20.9239) * CHOOSE(CONTROL!$C$15, $D$11, 100%, $F$11)</f>
        <v>20.927499999999998</v>
      </c>
      <c r="I733" s="8">
        <f>CHOOSE( CONTROL!$C$32, 19.7301, 19.7266) * CHOOSE(CONTROL!$C$15, $D$11, 100%, $F$11)</f>
        <v>19.7301</v>
      </c>
      <c r="J733" s="4">
        <f>CHOOSE( CONTROL!$C$32, 19.5767, 19.5731) * CHOOSE(CONTROL!$C$15, $D$11, 100%, $F$11)</f>
        <v>19.576699999999999</v>
      </c>
      <c r="K733" s="4"/>
      <c r="L733" s="9">
        <v>29.7257</v>
      </c>
      <c r="M733" s="9">
        <v>11.6745</v>
      </c>
      <c r="N733" s="9">
        <v>4.7850000000000001</v>
      </c>
      <c r="O733" s="9">
        <v>0.36199999999999999</v>
      </c>
      <c r="P733" s="9">
        <v>1.1791</v>
      </c>
      <c r="Q733" s="9">
        <v>19.053000000000001</v>
      </c>
      <c r="R733" s="9"/>
      <c r="S733" s="11"/>
    </row>
    <row r="734" spans="1:19" ht="15.75">
      <c r="A734" s="13">
        <v>63858</v>
      </c>
      <c r="B734" s="8">
        <f>21.0735 * CHOOSE(CONTROL!$C$15, $D$11, 100%, $F$11)</f>
        <v>21.073499999999999</v>
      </c>
      <c r="C734" s="8">
        <f>21.0788 * CHOOSE(CONTROL!$C$15, $D$11, 100%, $F$11)</f>
        <v>21.078800000000001</v>
      </c>
      <c r="D734" s="8">
        <f>21.1223 * CHOOSE( CONTROL!$C$15, $D$11, 100%, $F$11)</f>
        <v>21.122299999999999</v>
      </c>
      <c r="E734" s="12">
        <f>21.1074 * CHOOSE( CONTROL!$C$15, $D$11, 100%, $F$11)</f>
        <v>21.107399999999998</v>
      </c>
      <c r="F734" s="4">
        <f>21.8182 * CHOOSE(CONTROL!$C$15, $D$11, 100%, $F$11)</f>
        <v>21.818200000000001</v>
      </c>
      <c r="G734" s="8">
        <f>20.8344 * CHOOSE( CONTROL!$C$15, $D$11, 100%, $F$11)</f>
        <v>20.834399999999999</v>
      </c>
      <c r="H734" s="4">
        <f>21.8093 * CHOOSE(CONTROL!$C$15, $D$11, 100%, $F$11)</f>
        <v>21.8093</v>
      </c>
      <c r="I734" s="8">
        <f>20.5973 * CHOOSE(CONTROL!$C$15, $D$11, 100%, $F$11)</f>
        <v>20.597300000000001</v>
      </c>
      <c r="J734" s="4">
        <f>20.4427 * CHOOSE(CONTROL!$C$15, $D$11, 100%, $F$11)</f>
        <v>20.442699999999999</v>
      </c>
      <c r="K734" s="4"/>
      <c r="L734" s="9">
        <v>31.095300000000002</v>
      </c>
      <c r="M734" s="9">
        <v>12.063700000000001</v>
      </c>
      <c r="N734" s="9">
        <v>4.9444999999999997</v>
      </c>
      <c r="O734" s="9">
        <v>0.37409999999999999</v>
      </c>
      <c r="P734" s="9">
        <v>1.2183999999999999</v>
      </c>
      <c r="Q734" s="9">
        <v>19.688099999999999</v>
      </c>
      <c r="R734" s="9"/>
      <c r="S734" s="11"/>
    </row>
    <row r="735" spans="1:19" ht="15.75">
      <c r="A735" s="13">
        <v>63888</v>
      </c>
      <c r="B735" s="8">
        <f>22.7268 * CHOOSE(CONTROL!$C$15, $D$11, 100%, $F$11)</f>
        <v>22.726800000000001</v>
      </c>
      <c r="C735" s="8">
        <f>22.7319 * CHOOSE(CONTROL!$C$15, $D$11, 100%, $F$11)</f>
        <v>22.7319</v>
      </c>
      <c r="D735" s="8">
        <f>22.7155 * CHOOSE( CONTROL!$C$15, $D$11, 100%, $F$11)</f>
        <v>22.715499999999999</v>
      </c>
      <c r="E735" s="12">
        <f>22.721 * CHOOSE( CONTROL!$C$15, $D$11, 100%, $F$11)</f>
        <v>22.721</v>
      </c>
      <c r="F735" s="4">
        <f>23.3921 * CHOOSE(CONTROL!$C$15, $D$11, 100%, $F$11)</f>
        <v>23.392099999999999</v>
      </c>
      <c r="G735" s="8">
        <f>22.4694 * CHOOSE( CONTROL!$C$15, $D$11, 100%, $F$11)</f>
        <v>22.4694</v>
      </c>
      <c r="H735" s="4">
        <f>23.3648 * CHOOSE(CONTROL!$C$15, $D$11, 100%, $F$11)</f>
        <v>23.364799999999999</v>
      </c>
      <c r="I735" s="8">
        <f>22.2031 * CHOOSE(CONTROL!$C$15, $D$11, 100%, $F$11)</f>
        <v>22.203099999999999</v>
      </c>
      <c r="J735" s="4">
        <f>22.0476 * CHOOSE(CONTROL!$C$15, $D$11, 100%, $F$11)</f>
        <v>22.047599999999999</v>
      </c>
      <c r="K735" s="4"/>
      <c r="L735" s="9">
        <v>28.360600000000002</v>
      </c>
      <c r="M735" s="9">
        <v>11.6745</v>
      </c>
      <c r="N735" s="9">
        <v>4.7850000000000001</v>
      </c>
      <c r="O735" s="9">
        <v>0.36199999999999999</v>
      </c>
      <c r="P735" s="9">
        <v>1.2509999999999999</v>
      </c>
      <c r="Q735" s="9">
        <v>19.053000000000001</v>
      </c>
      <c r="R735" s="9"/>
      <c r="S735" s="11"/>
    </row>
    <row r="736" spans="1:19" ht="15.75">
      <c r="A736" s="13">
        <v>63919</v>
      </c>
      <c r="B736" s="8">
        <f>22.6855 * CHOOSE(CONTROL!$C$15, $D$11, 100%, $F$11)</f>
        <v>22.685500000000001</v>
      </c>
      <c r="C736" s="8">
        <f>22.6905 * CHOOSE(CONTROL!$C$15, $D$11, 100%, $F$11)</f>
        <v>22.6905</v>
      </c>
      <c r="D736" s="8">
        <f>22.6759 * CHOOSE( CONTROL!$C$15, $D$11, 100%, $F$11)</f>
        <v>22.675899999999999</v>
      </c>
      <c r="E736" s="12">
        <f>22.6807 * CHOOSE( CONTROL!$C$15, $D$11, 100%, $F$11)</f>
        <v>22.680700000000002</v>
      </c>
      <c r="F736" s="4">
        <f>23.3507 * CHOOSE(CONTROL!$C$15, $D$11, 100%, $F$11)</f>
        <v>23.3507</v>
      </c>
      <c r="G736" s="8">
        <f>22.4298 * CHOOSE( CONTROL!$C$15, $D$11, 100%, $F$11)</f>
        <v>22.4298</v>
      </c>
      <c r="H736" s="4">
        <f>23.3239 * CHOOSE(CONTROL!$C$15, $D$11, 100%, $F$11)</f>
        <v>23.323899999999998</v>
      </c>
      <c r="I736" s="8">
        <f>22.1684 * CHOOSE(CONTROL!$C$15, $D$11, 100%, $F$11)</f>
        <v>22.168399999999998</v>
      </c>
      <c r="J736" s="4">
        <f>22.0075 * CHOOSE(CONTROL!$C$15, $D$11, 100%, $F$11)</f>
        <v>22.0075</v>
      </c>
      <c r="K736" s="4"/>
      <c r="L736" s="9">
        <v>29.306000000000001</v>
      </c>
      <c r="M736" s="9">
        <v>12.063700000000001</v>
      </c>
      <c r="N736" s="9">
        <v>4.9444999999999997</v>
      </c>
      <c r="O736" s="9">
        <v>0.37409999999999999</v>
      </c>
      <c r="P736" s="9">
        <v>1.2927</v>
      </c>
      <c r="Q736" s="9">
        <v>19.688099999999999</v>
      </c>
      <c r="R736" s="9"/>
      <c r="S736" s="11"/>
    </row>
    <row r="737" spans="1:19" ht="15.75">
      <c r="A737" s="13">
        <v>63950</v>
      </c>
      <c r="B737" s="8">
        <f>23.3543 * CHOOSE(CONTROL!$C$15, $D$11, 100%, $F$11)</f>
        <v>23.354299999999999</v>
      </c>
      <c r="C737" s="8">
        <f>23.3594 * CHOOSE(CONTROL!$C$15, $D$11, 100%, $F$11)</f>
        <v>23.359400000000001</v>
      </c>
      <c r="D737" s="8">
        <f>23.3305 * CHOOSE( CONTROL!$C$15, $D$11, 100%, $F$11)</f>
        <v>23.330500000000001</v>
      </c>
      <c r="E737" s="12">
        <f>23.3405 * CHOOSE( CONTROL!$C$15, $D$11, 100%, $F$11)</f>
        <v>23.340499999999999</v>
      </c>
      <c r="F737" s="4">
        <f>24.0196 * CHOOSE(CONTROL!$C$15, $D$11, 100%, $F$11)</f>
        <v>24.019600000000001</v>
      </c>
      <c r="G737" s="8">
        <f>23.0806 * CHOOSE( CONTROL!$C$15, $D$11, 100%, $F$11)</f>
        <v>23.0806</v>
      </c>
      <c r="H737" s="4">
        <f>23.985 * CHOOSE(CONTROL!$C$15, $D$11, 100%, $F$11)</f>
        <v>23.984999999999999</v>
      </c>
      <c r="I737" s="8">
        <f>22.8125 * CHOOSE(CONTROL!$C$15, $D$11, 100%, $F$11)</f>
        <v>22.8125</v>
      </c>
      <c r="J737" s="4">
        <f>22.6566 * CHOOSE(CONTROL!$C$15, $D$11, 100%, $F$11)</f>
        <v>22.656600000000001</v>
      </c>
      <c r="K737" s="4"/>
      <c r="L737" s="9">
        <v>29.306000000000001</v>
      </c>
      <c r="M737" s="9">
        <v>12.063700000000001</v>
      </c>
      <c r="N737" s="9">
        <v>4.9444999999999997</v>
      </c>
      <c r="O737" s="9">
        <v>0.37409999999999999</v>
      </c>
      <c r="P737" s="9">
        <v>1.2927</v>
      </c>
      <c r="Q737" s="9">
        <v>19.688099999999999</v>
      </c>
      <c r="R737" s="9"/>
      <c r="S737" s="11"/>
    </row>
    <row r="738" spans="1:19" ht="15.75">
      <c r="A738" s="13">
        <v>63978</v>
      </c>
      <c r="B738" s="8">
        <f>21.8451 * CHOOSE(CONTROL!$C$15, $D$11, 100%, $F$11)</f>
        <v>21.845099999999999</v>
      </c>
      <c r="C738" s="8">
        <f>21.8502 * CHOOSE(CONTROL!$C$15, $D$11, 100%, $F$11)</f>
        <v>21.850200000000001</v>
      </c>
      <c r="D738" s="8">
        <f>21.8213 * CHOOSE( CONTROL!$C$15, $D$11, 100%, $F$11)</f>
        <v>21.821300000000001</v>
      </c>
      <c r="E738" s="12">
        <f>21.8313 * CHOOSE( CONTROL!$C$15, $D$11, 100%, $F$11)</f>
        <v>21.831299999999999</v>
      </c>
      <c r="F738" s="4">
        <f>22.5104 * CHOOSE(CONTROL!$C$15, $D$11, 100%, $F$11)</f>
        <v>22.510400000000001</v>
      </c>
      <c r="G738" s="8">
        <f>21.589 * CHOOSE( CONTROL!$C$15, $D$11, 100%, $F$11)</f>
        <v>21.588999999999999</v>
      </c>
      <c r="H738" s="4">
        <f>22.4934 * CHOOSE(CONTROL!$C$15, $D$11, 100%, $F$11)</f>
        <v>22.493400000000001</v>
      </c>
      <c r="I738" s="8">
        <f>21.347 * CHOOSE(CONTROL!$C$15, $D$11, 100%, $F$11)</f>
        <v>21.347000000000001</v>
      </c>
      <c r="J738" s="4">
        <f>21.1919 * CHOOSE(CONTROL!$C$15, $D$11, 100%, $F$11)</f>
        <v>21.1919</v>
      </c>
      <c r="K738" s="4"/>
      <c r="L738" s="9">
        <v>26.469899999999999</v>
      </c>
      <c r="M738" s="9">
        <v>10.8962</v>
      </c>
      <c r="N738" s="9">
        <v>4.4660000000000002</v>
      </c>
      <c r="O738" s="9">
        <v>0.33789999999999998</v>
      </c>
      <c r="P738" s="9">
        <v>1.1676</v>
      </c>
      <c r="Q738" s="9">
        <v>17.782800000000002</v>
      </c>
      <c r="R738" s="9"/>
      <c r="S738" s="11"/>
    </row>
    <row r="739" spans="1:19" ht="15.75">
      <c r="A739" s="13">
        <v>64009</v>
      </c>
      <c r="B739" s="8">
        <f>21.3803 * CHOOSE(CONTROL!$C$15, $D$11, 100%, $F$11)</f>
        <v>21.380299999999998</v>
      </c>
      <c r="C739" s="8">
        <f>21.3853 * CHOOSE(CONTROL!$C$15, $D$11, 100%, $F$11)</f>
        <v>21.385300000000001</v>
      </c>
      <c r="D739" s="8">
        <f>21.3561 * CHOOSE( CONTROL!$C$15, $D$11, 100%, $F$11)</f>
        <v>21.356100000000001</v>
      </c>
      <c r="E739" s="12">
        <f>21.3662 * CHOOSE( CONTROL!$C$15, $D$11, 100%, $F$11)</f>
        <v>21.366199999999999</v>
      </c>
      <c r="F739" s="4">
        <f>22.0456 * CHOOSE(CONTROL!$C$15, $D$11, 100%, $F$11)</f>
        <v>22.0456</v>
      </c>
      <c r="G739" s="8">
        <f>21.1293 * CHOOSE( CONTROL!$C$15, $D$11, 100%, $F$11)</f>
        <v>21.129300000000001</v>
      </c>
      <c r="H739" s="4">
        <f>22.034 * CHOOSE(CONTROL!$C$15, $D$11, 100%, $F$11)</f>
        <v>22.033999999999999</v>
      </c>
      <c r="I739" s="8">
        <f>20.8944 * CHOOSE(CONTROL!$C$15, $D$11, 100%, $F$11)</f>
        <v>20.894400000000001</v>
      </c>
      <c r="J739" s="4">
        <f>20.7408 * CHOOSE(CONTROL!$C$15, $D$11, 100%, $F$11)</f>
        <v>20.7408</v>
      </c>
      <c r="K739" s="4"/>
      <c r="L739" s="9">
        <v>29.306000000000001</v>
      </c>
      <c r="M739" s="9">
        <v>12.063700000000001</v>
      </c>
      <c r="N739" s="9">
        <v>4.9444999999999997</v>
      </c>
      <c r="O739" s="9">
        <v>0.37409999999999999</v>
      </c>
      <c r="P739" s="9">
        <v>1.2927</v>
      </c>
      <c r="Q739" s="9">
        <v>19.688099999999999</v>
      </c>
      <c r="R739" s="9"/>
      <c r="S739" s="11"/>
    </row>
    <row r="740" spans="1:19" ht="15.75">
      <c r="A740" s="13">
        <v>64039</v>
      </c>
      <c r="B740" s="8">
        <f>21.7059 * CHOOSE(CONTROL!$C$15, $D$11, 100%, $F$11)</f>
        <v>21.7059</v>
      </c>
      <c r="C740" s="8">
        <f>21.7104 * CHOOSE(CONTROL!$C$15, $D$11, 100%, $F$11)</f>
        <v>21.7104</v>
      </c>
      <c r="D740" s="8">
        <f>21.7537 * CHOOSE( CONTROL!$C$15, $D$11, 100%, $F$11)</f>
        <v>21.753699999999998</v>
      </c>
      <c r="E740" s="12">
        <f>21.7389 * CHOOSE( CONTROL!$C$15, $D$11, 100%, $F$11)</f>
        <v>21.738900000000001</v>
      </c>
      <c r="F740" s="4">
        <f>22.4502 * CHOOSE(CONTROL!$C$15, $D$11, 100%, $F$11)</f>
        <v>22.450199999999999</v>
      </c>
      <c r="G740" s="8">
        <f>21.4581 * CHOOSE( CONTROL!$C$15, $D$11, 100%, $F$11)</f>
        <v>21.458100000000002</v>
      </c>
      <c r="H740" s="4">
        <f>22.434 * CHOOSE(CONTROL!$C$15, $D$11, 100%, $F$11)</f>
        <v>22.434000000000001</v>
      </c>
      <c r="I740" s="8">
        <f>21.208 * CHOOSE(CONTROL!$C$15, $D$11, 100%, $F$11)</f>
        <v>21.207999999999998</v>
      </c>
      <c r="J740" s="4">
        <f>21.056 * CHOOSE(CONTROL!$C$15, $D$11, 100%, $F$11)</f>
        <v>21.056000000000001</v>
      </c>
      <c r="K740" s="4"/>
      <c r="L740" s="9">
        <v>30.092199999999998</v>
      </c>
      <c r="M740" s="9">
        <v>11.6745</v>
      </c>
      <c r="N740" s="9">
        <v>4.7850000000000001</v>
      </c>
      <c r="O740" s="9">
        <v>0.36199999999999999</v>
      </c>
      <c r="P740" s="9">
        <v>1.1791</v>
      </c>
      <c r="Q740" s="9">
        <v>19.053000000000001</v>
      </c>
      <c r="R740" s="9"/>
      <c r="S740" s="11"/>
    </row>
    <row r="741" spans="1:19" ht="15.75">
      <c r="A741" s="13">
        <v>64070</v>
      </c>
      <c r="B741" s="8">
        <f>CHOOSE( CONTROL!$C$32, 22.289, 22.2853) * CHOOSE(CONTROL!$C$15, $D$11, 100%, $F$11)</f>
        <v>22.289000000000001</v>
      </c>
      <c r="C741" s="8">
        <f>CHOOSE( CONTROL!$C$32, 22.2969, 22.2933) * CHOOSE(CONTROL!$C$15, $D$11, 100%, $F$11)</f>
        <v>22.296900000000001</v>
      </c>
      <c r="D741" s="8">
        <f>CHOOSE( CONTROL!$C$32, 22.3347, 22.331) * CHOOSE( CONTROL!$C$15, $D$11, 100%, $F$11)</f>
        <v>22.334700000000002</v>
      </c>
      <c r="E741" s="12">
        <f>CHOOSE( CONTROL!$C$32, 22.3198, 22.3161) * CHOOSE( CONTROL!$C$15, $D$11, 100%, $F$11)</f>
        <v>22.319800000000001</v>
      </c>
      <c r="F741" s="4">
        <f>CHOOSE( CONTROL!$C$32, 23.032, 23.0283) * CHOOSE(CONTROL!$C$15, $D$11, 100%, $F$11)</f>
        <v>23.032</v>
      </c>
      <c r="G741" s="8">
        <f>CHOOSE( CONTROL!$C$32, 22.0338, 22.0302) * CHOOSE( CONTROL!$C$15, $D$11, 100%, $F$11)</f>
        <v>22.033799999999999</v>
      </c>
      <c r="H741" s="4">
        <f>CHOOSE( CONTROL!$C$32, 23.0089, 23.0053) * CHOOSE(CONTROL!$C$15, $D$11, 100%, $F$11)</f>
        <v>23.008900000000001</v>
      </c>
      <c r="I741" s="8">
        <f>CHOOSE( CONTROL!$C$32, 21.773, 21.7695) * CHOOSE(CONTROL!$C$15, $D$11, 100%, $F$11)</f>
        <v>21.773</v>
      </c>
      <c r="J741" s="4">
        <f>CHOOSE( CONTROL!$C$32, 21.6206, 21.6171) * CHOOSE(CONTROL!$C$15, $D$11, 100%, $F$11)</f>
        <v>21.6206</v>
      </c>
      <c r="K741" s="4"/>
      <c r="L741" s="9">
        <v>30.7165</v>
      </c>
      <c r="M741" s="9">
        <v>12.063700000000001</v>
      </c>
      <c r="N741" s="9">
        <v>4.9444999999999997</v>
      </c>
      <c r="O741" s="9">
        <v>0.37409999999999999</v>
      </c>
      <c r="P741" s="9">
        <v>1.2183999999999999</v>
      </c>
      <c r="Q741" s="9">
        <v>19.688099999999999</v>
      </c>
      <c r="R741" s="9"/>
      <c r="S741" s="11"/>
    </row>
    <row r="742" spans="1:19" ht="15.75">
      <c r="A742" s="13">
        <v>64100</v>
      </c>
      <c r="B742" s="8">
        <f>CHOOSE( CONTROL!$C$32, 21.9309, 21.9272) * CHOOSE(CONTROL!$C$15, $D$11, 100%, $F$11)</f>
        <v>21.930900000000001</v>
      </c>
      <c r="C742" s="8">
        <f>CHOOSE( CONTROL!$C$32, 21.9388, 21.9352) * CHOOSE(CONTROL!$C$15, $D$11, 100%, $F$11)</f>
        <v>21.938800000000001</v>
      </c>
      <c r="D742" s="8">
        <f>CHOOSE( CONTROL!$C$32, 21.9768, 21.9731) * CHOOSE( CONTROL!$C$15, $D$11, 100%, $F$11)</f>
        <v>21.976800000000001</v>
      </c>
      <c r="E742" s="12">
        <f>CHOOSE( CONTROL!$C$32, 21.9618, 21.9581) * CHOOSE( CONTROL!$C$15, $D$11, 100%, $F$11)</f>
        <v>21.9618</v>
      </c>
      <c r="F742" s="4">
        <f>CHOOSE( CONTROL!$C$32, 22.6739, 22.6702) * CHOOSE(CONTROL!$C$15, $D$11, 100%, $F$11)</f>
        <v>22.6739</v>
      </c>
      <c r="G742" s="8">
        <f>CHOOSE( CONTROL!$C$32, 21.6803, 21.6767) * CHOOSE( CONTROL!$C$15, $D$11, 100%, $F$11)</f>
        <v>21.680299999999999</v>
      </c>
      <c r="H742" s="4">
        <f>CHOOSE( CONTROL!$C$32, 22.655, 22.6514) * CHOOSE(CONTROL!$C$15, $D$11, 100%, $F$11)</f>
        <v>22.655000000000001</v>
      </c>
      <c r="I742" s="8">
        <f>CHOOSE( CONTROL!$C$32, 21.4263, 21.4228) * CHOOSE(CONTROL!$C$15, $D$11, 100%, $F$11)</f>
        <v>21.426300000000001</v>
      </c>
      <c r="J742" s="4">
        <f>CHOOSE( CONTROL!$C$32, 21.2731, 21.2695) * CHOOSE(CONTROL!$C$15, $D$11, 100%, $F$11)</f>
        <v>21.273099999999999</v>
      </c>
      <c r="K742" s="4"/>
      <c r="L742" s="9">
        <v>29.7257</v>
      </c>
      <c r="M742" s="9">
        <v>11.6745</v>
      </c>
      <c r="N742" s="9">
        <v>4.7850000000000001</v>
      </c>
      <c r="O742" s="9">
        <v>0.36199999999999999</v>
      </c>
      <c r="P742" s="9">
        <v>1.1791</v>
      </c>
      <c r="Q742" s="9">
        <v>19.053000000000001</v>
      </c>
      <c r="R742" s="9"/>
      <c r="S742" s="11"/>
    </row>
    <row r="743" spans="1:19" ht="15.75">
      <c r="A743" s="13">
        <v>64131</v>
      </c>
      <c r="B743" s="8">
        <f>CHOOSE( CONTROL!$C$32, 22.8739, 22.8703) * CHOOSE(CONTROL!$C$15, $D$11, 100%, $F$11)</f>
        <v>22.873899999999999</v>
      </c>
      <c r="C743" s="8">
        <f>CHOOSE( CONTROL!$C$32, 22.8819, 22.8782) * CHOOSE(CONTROL!$C$15, $D$11, 100%, $F$11)</f>
        <v>22.881900000000002</v>
      </c>
      <c r="D743" s="8">
        <f>CHOOSE( CONTROL!$C$32, 22.9201, 22.9164) * CHOOSE( CONTROL!$C$15, $D$11, 100%, $F$11)</f>
        <v>22.920100000000001</v>
      </c>
      <c r="E743" s="12">
        <f>CHOOSE( CONTROL!$C$32, 22.905, 22.9014) * CHOOSE( CONTROL!$C$15, $D$11, 100%, $F$11)</f>
        <v>22.905000000000001</v>
      </c>
      <c r="F743" s="4">
        <f>CHOOSE( CONTROL!$C$32, 23.6169, 23.6133) * CHOOSE(CONTROL!$C$15, $D$11, 100%, $F$11)</f>
        <v>23.616900000000001</v>
      </c>
      <c r="G743" s="8">
        <f>CHOOSE( CONTROL!$C$32, 22.6126, 22.609) * CHOOSE( CONTROL!$C$15, $D$11, 100%, $F$11)</f>
        <v>22.6126</v>
      </c>
      <c r="H743" s="4">
        <f>CHOOSE( CONTROL!$C$32, 23.587, 23.5834) * CHOOSE(CONTROL!$C$15, $D$11, 100%, $F$11)</f>
        <v>23.587</v>
      </c>
      <c r="I743" s="8">
        <f>CHOOSE( CONTROL!$C$32, 22.3431, 22.3396) * CHOOSE(CONTROL!$C$15, $D$11, 100%, $F$11)</f>
        <v>22.3431</v>
      </c>
      <c r="J743" s="4">
        <f>CHOOSE( CONTROL!$C$32, 22.1883, 22.1848) * CHOOSE(CONTROL!$C$15, $D$11, 100%, $F$11)</f>
        <v>22.188300000000002</v>
      </c>
      <c r="K743" s="4"/>
      <c r="L743" s="9">
        <v>30.7165</v>
      </c>
      <c r="M743" s="9">
        <v>12.063700000000001</v>
      </c>
      <c r="N743" s="9">
        <v>4.9444999999999997</v>
      </c>
      <c r="O743" s="9">
        <v>0.37409999999999999</v>
      </c>
      <c r="P743" s="9">
        <v>1.2183999999999999</v>
      </c>
      <c r="Q743" s="9">
        <v>19.688099999999999</v>
      </c>
      <c r="R743" s="9"/>
      <c r="S743" s="11"/>
    </row>
    <row r="744" spans="1:19" ht="15.75">
      <c r="A744" s="13">
        <v>64162</v>
      </c>
      <c r="B744" s="8">
        <f>CHOOSE( CONTROL!$C$32, 21.1094, 21.1057) * CHOOSE(CONTROL!$C$15, $D$11, 100%, $F$11)</f>
        <v>21.109400000000001</v>
      </c>
      <c r="C744" s="8">
        <f>CHOOSE( CONTROL!$C$32, 21.1173, 21.1137) * CHOOSE(CONTROL!$C$15, $D$11, 100%, $F$11)</f>
        <v>21.1173</v>
      </c>
      <c r="D744" s="8">
        <f>CHOOSE( CONTROL!$C$32, 21.1556, 21.1519) * CHOOSE( CONTROL!$C$15, $D$11, 100%, $F$11)</f>
        <v>21.1556</v>
      </c>
      <c r="E744" s="12">
        <f>CHOOSE( CONTROL!$C$32, 21.1405, 21.1368) * CHOOSE( CONTROL!$C$15, $D$11, 100%, $F$11)</f>
        <v>21.140499999999999</v>
      </c>
      <c r="F744" s="4">
        <f>CHOOSE( CONTROL!$C$32, 21.8524, 21.8487) * CHOOSE(CONTROL!$C$15, $D$11, 100%, $F$11)</f>
        <v>21.852399999999999</v>
      </c>
      <c r="G744" s="8">
        <f>CHOOSE( CONTROL!$C$32, 20.8688, 20.8652) * CHOOSE( CONTROL!$C$15, $D$11, 100%, $F$11)</f>
        <v>20.8688</v>
      </c>
      <c r="H744" s="4">
        <f>CHOOSE( CONTROL!$C$32, 21.8431, 21.8395) * CHOOSE(CONTROL!$C$15, $D$11, 100%, $F$11)</f>
        <v>21.8431</v>
      </c>
      <c r="I744" s="8">
        <f>CHOOSE( CONTROL!$C$32, 20.6301, 20.6265) * CHOOSE(CONTROL!$C$15, $D$11, 100%, $F$11)</f>
        <v>20.630099999999999</v>
      </c>
      <c r="J744" s="4">
        <f>CHOOSE( CONTROL!$C$32, 20.4758, 20.4723) * CHOOSE(CONTROL!$C$15, $D$11, 100%, $F$11)</f>
        <v>20.4758</v>
      </c>
      <c r="K744" s="4"/>
      <c r="L744" s="9">
        <v>30.7165</v>
      </c>
      <c r="M744" s="9">
        <v>12.063700000000001</v>
      </c>
      <c r="N744" s="9">
        <v>4.9444999999999997</v>
      </c>
      <c r="O744" s="9">
        <v>0.37409999999999999</v>
      </c>
      <c r="P744" s="9">
        <v>1.2183999999999999</v>
      </c>
      <c r="Q744" s="9">
        <v>19.688099999999999</v>
      </c>
      <c r="R744" s="9"/>
      <c r="S744" s="11"/>
    </row>
    <row r="745" spans="1:19" ht="15.75">
      <c r="A745" s="13">
        <v>64192</v>
      </c>
      <c r="B745" s="8">
        <f>CHOOSE( CONTROL!$C$32, 20.6675, 20.6638) * CHOOSE(CONTROL!$C$15, $D$11, 100%, $F$11)</f>
        <v>20.6675</v>
      </c>
      <c r="C745" s="8">
        <f>CHOOSE( CONTROL!$C$32, 20.6755, 20.6718) * CHOOSE(CONTROL!$C$15, $D$11, 100%, $F$11)</f>
        <v>20.6755</v>
      </c>
      <c r="D745" s="8">
        <f>CHOOSE( CONTROL!$C$32, 20.7136, 20.71) * CHOOSE( CONTROL!$C$15, $D$11, 100%, $F$11)</f>
        <v>20.7136</v>
      </c>
      <c r="E745" s="12">
        <f>CHOOSE( CONTROL!$C$32, 20.6986, 20.6949) * CHOOSE( CONTROL!$C$15, $D$11, 100%, $F$11)</f>
        <v>20.698599999999999</v>
      </c>
      <c r="F745" s="4">
        <f>CHOOSE( CONTROL!$C$32, 21.4105, 21.4068) * CHOOSE(CONTROL!$C$15, $D$11, 100%, $F$11)</f>
        <v>21.410499999999999</v>
      </c>
      <c r="G745" s="8">
        <f>CHOOSE( CONTROL!$C$32, 20.432, 20.4284) * CHOOSE( CONTROL!$C$15, $D$11, 100%, $F$11)</f>
        <v>20.431999999999999</v>
      </c>
      <c r="H745" s="4">
        <f>CHOOSE( CONTROL!$C$32, 21.4064, 21.4028) * CHOOSE(CONTROL!$C$15, $D$11, 100%, $F$11)</f>
        <v>21.406400000000001</v>
      </c>
      <c r="I745" s="8">
        <f>CHOOSE( CONTROL!$C$32, 20.2006, 20.1971) * CHOOSE(CONTROL!$C$15, $D$11, 100%, $F$11)</f>
        <v>20.200600000000001</v>
      </c>
      <c r="J745" s="4">
        <f>CHOOSE( CONTROL!$C$32, 20.047, 20.0434) * CHOOSE(CONTROL!$C$15, $D$11, 100%, $F$11)</f>
        <v>20.047000000000001</v>
      </c>
      <c r="K745" s="4"/>
      <c r="L745" s="9">
        <v>29.7257</v>
      </c>
      <c r="M745" s="9">
        <v>11.6745</v>
      </c>
      <c r="N745" s="9">
        <v>4.7850000000000001</v>
      </c>
      <c r="O745" s="9">
        <v>0.36199999999999999</v>
      </c>
      <c r="P745" s="9">
        <v>1.1791</v>
      </c>
      <c r="Q745" s="9">
        <v>19.053000000000001</v>
      </c>
      <c r="R745" s="9"/>
      <c r="S745" s="11"/>
    </row>
    <row r="746" spans="1:19" ht="15.75">
      <c r="A746" s="13">
        <v>64223</v>
      </c>
      <c r="B746" s="8">
        <f>21.5796 * CHOOSE(CONTROL!$C$15, $D$11, 100%, $F$11)</f>
        <v>21.579599999999999</v>
      </c>
      <c r="C746" s="8">
        <f>21.5849 * CHOOSE(CONTROL!$C$15, $D$11, 100%, $F$11)</f>
        <v>21.584900000000001</v>
      </c>
      <c r="D746" s="8">
        <f>21.6284 * CHOOSE( CONTROL!$C$15, $D$11, 100%, $F$11)</f>
        <v>21.628399999999999</v>
      </c>
      <c r="E746" s="12">
        <f>21.6135 * CHOOSE( CONTROL!$C$15, $D$11, 100%, $F$11)</f>
        <v>21.613499999999998</v>
      </c>
      <c r="F746" s="4">
        <f>22.3243 * CHOOSE(CONTROL!$C$15, $D$11, 100%, $F$11)</f>
        <v>22.324300000000001</v>
      </c>
      <c r="G746" s="8">
        <f>21.3346 * CHOOSE( CONTROL!$C$15, $D$11, 100%, $F$11)</f>
        <v>21.334599999999998</v>
      </c>
      <c r="H746" s="4">
        <f>22.3095 * CHOOSE(CONTROL!$C$15, $D$11, 100%, $F$11)</f>
        <v>22.3095</v>
      </c>
      <c r="I746" s="8">
        <f>21.0887 * CHOOSE(CONTROL!$C$15, $D$11, 100%, $F$11)</f>
        <v>21.088699999999999</v>
      </c>
      <c r="J746" s="4">
        <f>20.9338 * CHOOSE(CONTROL!$C$15, $D$11, 100%, $F$11)</f>
        <v>20.933800000000002</v>
      </c>
      <c r="K746" s="4"/>
      <c r="L746" s="9">
        <v>31.095300000000002</v>
      </c>
      <c r="M746" s="9">
        <v>12.063700000000001</v>
      </c>
      <c r="N746" s="9">
        <v>4.9444999999999997</v>
      </c>
      <c r="O746" s="9">
        <v>0.37409999999999999</v>
      </c>
      <c r="P746" s="9">
        <v>1.2183999999999999</v>
      </c>
      <c r="Q746" s="9">
        <v>19.688099999999999</v>
      </c>
      <c r="R746" s="9"/>
      <c r="S746" s="11"/>
    </row>
    <row r="747" spans="1:19" ht="15.75">
      <c r="A747" s="13">
        <v>64253</v>
      </c>
      <c r="B747" s="8">
        <f>23.2726 * CHOOSE(CONTROL!$C$15, $D$11, 100%, $F$11)</f>
        <v>23.272600000000001</v>
      </c>
      <c r="C747" s="8">
        <f>23.2777 * CHOOSE(CONTROL!$C$15, $D$11, 100%, $F$11)</f>
        <v>23.277699999999999</v>
      </c>
      <c r="D747" s="8">
        <f>23.2613 * CHOOSE( CONTROL!$C$15, $D$11, 100%, $F$11)</f>
        <v>23.261299999999999</v>
      </c>
      <c r="E747" s="12">
        <f>23.2668 * CHOOSE( CONTROL!$C$15, $D$11, 100%, $F$11)</f>
        <v>23.2668</v>
      </c>
      <c r="F747" s="4">
        <f>23.9379 * CHOOSE(CONTROL!$C$15, $D$11, 100%, $F$11)</f>
        <v>23.937899999999999</v>
      </c>
      <c r="G747" s="8">
        <f>23.0088 * CHOOSE( CONTROL!$C$15, $D$11, 100%, $F$11)</f>
        <v>23.008800000000001</v>
      </c>
      <c r="H747" s="4">
        <f>23.9042 * CHOOSE(CONTROL!$C$15, $D$11, 100%, $F$11)</f>
        <v>23.904199999999999</v>
      </c>
      <c r="I747" s="8">
        <f>22.7331 * CHOOSE(CONTROL!$C$15, $D$11, 100%, $F$11)</f>
        <v>22.7331</v>
      </c>
      <c r="J747" s="4">
        <f>22.5773 * CHOOSE(CONTROL!$C$15, $D$11, 100%, $F$11)</f>
        <v>22.577300000000001</v>
      </c>
      <c r="K747" s="4"/>
      <c r="L747" s="9">
        <v>28.360600000000002</v>
      </c>
      <c r="M747" s="9">
        <v>11.6745</v>
      </c>
      <c r="N747" s="9">
        <v>4.7850000000000001</v>
      </c>
      <c r="O747" s="9">
        <v>0.36199999999999999</v>
      </c>
      <c r="P747" s="9">
        <v>1.2509999999999999</v>
      </c>
      <c r="Q747" s="9">
        <v>19.053000000000001</v>
      </c>
      <c r="R747" s="9"/>
      <c r="S747" s="11"/>
    </row>
    <row r="748" spans="1:19" ht="15.75">
      <c r="A748" s="13">
        <v>64284</v>
      </c>
      <c r="B748" s="8">
        <f>23.2303 * CHOOSE(CONTROL!$C$15, $D$11, 100%, $F$11)</f>
        <v>23.2303</v>
      </c>
      <c r="C748" s="8">
        <f>23.2354 * CHOOSE(CONTROL!$C$15, $D$11, 100%, $F$11)</f>
        <v>23.235399999999998</v>
      </c>
      <c r="D748" s="8">
        <f>23.2208 * CHOOSE( CONTROL!$C$15, $D$11, 100%, $F$11)</f>
        <v>23.220800000000001</v>
      </c>
      <c r="E748" s="12">
        <f>23.2256 * CHOOSE( CONTROL!$C$15, $D$11, 100%, $F$11)</f>
        <v>23.2256</v>
      </c>
      <c r="F748" s="4">
        <f>23.8956 * CHOOSE(CONTROL!$C$15, $D$11, 100%, $F$11)</f>
        <v>23.895600000000002</v>
      </c>
      <c r="G748" s="8">
        <f>22.9683 * CHOOSE( CONTROL!$C$15, $D$11, 100%, $F$11)</f>
        <v>22.968299999999999</v>
      </c>
      <c r="H748" s="4">
        <f>23.8624 * CHOOSE(CONTROL!$C$15, $D$11, 100%, $F$11)</f>
        <v>23.862400000000001</v>
      </c>
      <c r="I748" s="8">
        <f>22.6974 * CHOOSE(CONTROL!$C$15, $D$11, 100%, $F$11)</f>
        <v>22.697399999999998</v>
      </c>
      <c r="J748" s="4">
        <f>22.5363 * CHOOSE(CONTROL!$C$15, $D$11, 100%, $F$11)</f>
        <v>22.536300000000001</v>
      </c>
      <c r="K748" s="4"/>
      <c r="L748" s="9">
        <v>29.306000000000001</v>
      </c>
      <c r="M748" s="9">
        <v>12.063700000000001</v>
      </c>
      <c r="N748" s="9">
        <v>4.9444999999999997</v>
      </c>
      <c r="O748" s="9">
        <v>0.37409999999999999</v>
      </c>
      <c r="P748" s="9">
        <v>1.2927</v>
      </c>
      <c r="Q748" s="9">
        <v>19.688099999999999</v>
      </c>
      <c r="R748" s="9"/>
      <c r="S748" s="11"/>
    </row>
    <row r="749" spans="1:19" ht="15.75">
      <c r="A749" s="13">
        <v>64315</v>
      </c>
      <c r="B749" s="8">
        <f>23.9153 * CHOOSE(CONTROL!$C$15, $D$11, 100%, $F$11)</f>
        <v>23.915299999999998</v>
      </c>
      <c r="C749" s="8">
        <f>23.9204 * CHOOSE(CONTROL!$C$15, $D$11, 100%, $F$11)</f>
        <v>23.920400000000001</v>
      </c>
      <c r="D749" s="8">
        <f>23.8915 * CHOOSE( CONTROL!$C$15, $D$11, 100%, $F$11)</f>
        <v>23.891500000000001</v>
      </c>
      <c r="E749" s="12">
        <f>23.9015 * CHOOSE( CONTROL!$C$15, $D$11, 100%, $F$11)</f>
        <v>23.901499999999999</v>
      </c>
      <c r="F749" s="4">
        <f>24.5806 * CHOOSE(CONTROL!$C$15, $D$11, 100%, $F$11)</f>
        <v>24.5806</v>
      </c>
      <c r="G749" s="8">
        <f>23.6349 * CHOOSE( CONTROL!$C$15, $D$11, 100%, $F$11)</f>
        <v>23.634899999999998</v>
      </c>
      <c r="H749" s="4">
        <f>24.5393 * CHOOSE(CONTROL!$C$15, $D$11, 100%, $F$11)</f>
        <v>24.539300000000001</v>
      </c>
      <c r="I749" s="8">
        <f>23.3571 * CHOOSE(CONTROL!$C$15, $D$11, 100%, $F$11)</f>
        <v>23.357099999999999</v>
      </c>
      <c r="J749" s="4">
        <f>23.201 * CHOOSE(CONTROL!$C$15, $D$11, 100%, $F$11)</f>
        <v>23.201000000000001</v>
      </c>
      <c r="K749" s="4"/>
      <c r="L749" s="9">
        <v>29.306000000000001</v>
      </c>
      <c r="M749" s="9">
        <v>12.063700000000001</v>
      </c>
      <c r="N749" s="9">
        <v>4.9444999999999997</v>
      </c>
      <c r="O749" s="9">
        <v>0.37409999999999999</v>
      </c>
      <c r="P749" s="9">
        <v>1.2927</v>
      </c>
      <c r="Q749" s="9">
        <v>19.688099999999999</v>
      </c>
      <c r="R749" s="9"/>
      <c r="S749" s="11"/>
    </row>
    <row r="750" spans="1:19" ht="15.75">
      <c r="A750" s="13">
        <v>64344</v>
      </c>
      <c r="B750" s="8">
        <f>22.3698 * CHOOSE(CONTROL!$C$15, $D$11, 100%, $F$11)</f>
        <v>22.369800000000001</v>
      </c>
      <c r="C750" s="8">
        <f>22.3749 * CHOOSE(CONTROL!$C$15, $D$11, 100%, $F$11)</f>
        <v>22.3749</v>
      </c>
      <c r="D750" s="8">
        <f>22.346 * CHOOSE( CONTROL!$C$15, $D$11, 100%, $F$11)</f>
        <v>22.346</v>
      </c>
      <c r="E750" s="12">
        <f>22.356 * CHOOSE( CONTROL!$C$15, $D$11, 100%, $F$11)</f>
        <v>22.356000000000002</v>
      </c>
      <c r="F750" s="4">
        <f>23.0351 * CHOOSE(CONTROL!$C$15, $D$11, 100%, $F$11)</f>
        <v>23.0351</v>
      </c>
      <c r="G750" s="8">
        <f>22.1075 * CHOOSE( CONTROL!$C$15, $D$11, 100%, $F$11)</f>
        <v>22.107500000000002</v>
      </c>
      <c r="H750" s="4">
        <f>23.0119 * CHOOSE(CONTROL!$C$15, $D$11, 100%, $F$11)</f>
        <v>23.011900000000001</v>
      </c>
      <c r="I750" s="8">
        <f>21.8564 * CHOOSE(CONTROL!$C$15, $D$11, 100%, $F$11)</f>
        <v>21.856400000000001</v>
      </c>
      <c r="J750" s="4">
        <f>21.7011 * CHOOSE(CONTROL!$C$15, $D$11, 100%, $F$11)</f>
        <v>21.7011</v>
      </c>
      <c r="K750" s="4"/>
      <c r="L750" s="9">
        <v>27.415299999999998</v>
      </c>
      <c r="M750" s="9">
        <v>11.285299999999999</v>
      </c>
      <c r="N750" s="9">
        <v>4.6254999999999997</v>
      </c>
      <c r="O750" s="9">
        <v>0.34989999999999999</v>
      </c>
      <c r="P750" s="9">
        <v>1.2093</v>
      </c>
      <c r="Q750" s="9">
        <v>18.417899999999999</v>
      </c>
      <c r="R750" s="9"/>
      <c r="S750" s="11"/>
    </row>
    <row r="751" spans="1:19" ht="15.75">
      <c r="A751" s="13">
        <v>64375</v>
      </c>
      <c r="B751" s="8">
        <f>21.8938 * CHOOSE(CONTROL!$C$15, $D$11, 100%, $F$11)</f>
        <v>21.893799999999999</v>
      </c>
      <c r="C751" s="8">
        <f>21.8988 * CHOOSE(CONTROL!$C$15, $D$11, 100%, $F$11)</f>
        <v>21.898800000000001</v>
      </c>
      <c r="D751" s="8">
        <f>21.8696 * CHOOSE( CONTROL!$C$15, $D$11, 100%, $F$11)</f>
        <v>21.869599999999998</v>
      </c>
      <c r="E751" s="12">
        <f>21.8797 * CHOOSE( CONTROL!$C$15, $D$11, 100%, $F$11)</f>
        <v>21.8797</v>
      </c>
      <c r="F751" s="4">
        <f>22.559 * CHOOSE(CONTROL!$C$15, $D$11, 100%, $F$11)</f>
        <v>22.559000000000001</v>
      </c>
      <c r="G751" s="8">
        <f>21.6368 * CHOOSE( CONTROL!$C$15, $D$11, 100%, $F$11)</f>
        <v>21.636800000000001</v>
      </c>
      <c r="H751" s="4">
        <f>22.5415 * CHOOSE(CONTROL!$C$15, $D$11, 100%, $F$11)</f>
        <v>22.541499999999999</v>
      </c>
      <c r="I751" s="8">
        <f>21.393 * CHOOSE(CONTROL!$C$15, $D$11, 100%, $F$11)</f>
        <v>21.393000000000001</v>
      </c>
      <c r="J751" s="4">
        <f>21.2391 * CHOOSE(CONTROL!$C$15, $D$11, 100%, $F$11)</f>
        <v>21.239100000000001</v>
      </c>
      <c r="K751" s="4"/>
      <c r="L751" s="9">
        <v>29.306000000000001</v>
      </c>
      <c r="M751" s="9">
        <v>12.063700000000001</v>
      </c>
      <c r="N751" s="9">
        <v>4.9444999999999997</v>
      </c>
      <c r="O751" s="9">
        <v>0.37409999999999999</v>
      </c>
      <c r="P751" s="9">
        <v>1.2927</v>
      </c>
      <c r="Q751" s="9">
        <v>19.688099999999999</v>
      </c>
      <c r="R751" s="9"/>
      <c r="S751" s="11"/>
    </row>
    <row r="752" spans="1:19" ht="15.75">
      <c r="A752" s="13">
        <v>64405</v>
      </c>
      <c r="B752" s="8">
        <f>22.2272 * CHOOSE(CONTROL!$C$15, $D$11, 100%, $F$11)</f>
        <v>22.2272</v>
      </c>
      <c r="C752" s="8">
        <f>22.2317 * CHOOSE(CONTROL!$C$15, $D$11, 100%, $F$11)</f>
        <v>22.2317</v>
      </c>
      <c r="D752" s="8">
        <f>22.275 * CHOOSE( CONTROL!$C$15, $D$11, 100%, $F$11)</f>
        <v>22.274999999999999</v>
      </c>
      <c r="E752" s="12">
        <f>22.2602 * CHOOSE( CONTROL!$C$15, $D$11, 100%, $F$11)</f>
        <v>22.260200000000001</v>
      </c>
      <c r="F752" s="4">
        <f>22.9715 * CHOOSE(CONTROL!$C$15, $D$11, 100%, $F$11)</f>
        <v>22.971499999999999</v>
      </c>
      <c r="G752" s="8">
        <f>21.9733 * CHOOSE( CONTROL!$C$15, $D$11, 100%, $F$11)</f>
        <v>21.973299999999998</v>
      </c>
      <c r="H752" s="4">
        <f>22.9492 * CHOOSE(CONTROL!$C$15, $D$11, 100%, $F$11)</f>
        <v>22.949200000000001</v>
      </c>
      <c r="I752" s="8">
        <f>21.7142 * CHOOSE(CONTROL!$C$15, $D$11, 100%, $F$11)</f>
        <v>21.714200000000002</v>
      </c>
      <c r="J752" s="4">
        <f>21.562 * CHOOSE(CONTROL!$C$15, $D$11, 100%, $F$11)</f>
        <v>21.562000000000001</v>
      </c>
      <c r="K752" s="4"/>
      <c r="L752" s="9">
        <v>30.092199999999998</v>
      </c>
      <c r="M752" s="9">
        <v>11.6745</v>
      </c>
      <c r="N752" s="9">
        <v>4.7850000000000001</v>
      </c>
      <c r="O752" s="9">
        <v>0.36199999999999999</v>
      </c>
      <c r="P752" s="9">
        <v>1.1791</v>
      </c>
      <c r="Q752" s="9">
        <v>19.053000000000001</v>
      </c>
      <c r="R752" s="9"/>
      <c r="S752" s="11"/>
    </row>
    <row r="753" spans="1:19" ht="15.75">
      <c r="A753" s="13">
        <v>64436</v>
      </c>
      <c r="B753" s="8">
        <f>CHOOSE( CONTROL!$C$32, 22.8242, 22.8205) * CHOOSE(CONTROL!$C$15, $D$11, 100%, $F$11)</f>
        <v>22.824200000000001</v>
      </c>
      <c r="C753" s="8">
        <f>CHOOSE( CONTROL!$C$32, 22.8321, 22.8285) * CHOOSE(CONTROL!$C$15, $D$11, 100%, $F$11)</f>
        <v>22.832100000000001</v>
      </c>
      <c r="D753" s="8">
        <f>CHOOSE( CONTROL!$C$32, 22.8699, 22.8662) * CHOOSE( CONTROL!$C$15, $D$11, 100%, $F$11)</f>
        <v>22.869900000000001</v>
      </c>
      <c r="E753" s="12">
        <f>CHOOSE( CONTROL!$C$32, 22.855, 22.8513) * CHOOSE( CONTROL!$C$15, $D$11, 100%, $F$11)</f>
        <v>22.855</v>
      </c>
      <c r="F753" s="4">
        <f>CHOOSE( CONTROL!$C$32, 23.5672, 23.5635) * CHOOSE(CONTROL!$C$15, $D$11, 100%, $F$11)</f>
        <v>23.5672</v>
      </c>
      <c r="G753" s="8">
        <f>CHOOSE( CONTROL!$C$32, 22.5628, 22.5592) * CHOOSE( CONTROL!$C$15, $D$11, 100%, $F$11)</f>
        <v>22.562799999999999</v>
      </c>
      <c r="H753" s="4">
        <f>CHOOSE( CONTROL!$C$32, 23.5378, 23.5342) * CHOOSE(CONTROL!$C$15, $D$11, 100%, $F$11)</f>
        <v>23.537800000000001</v>
      </c>
      <c r="I753" s="8">
        <f>CHOOSE( CONTROL!$C$32, 22.2927, 22.2891) * CHOOSE(CONTROL!$C$15, $D$11, 100%, $F$11)</f>
        <v>22.2927</v>
      </c>
      <c r="J753" s="4">
        <f>CHOOSE( CONTROL!$C$32, 22.14, 22.1365) * CHOOSE(CONTROL!$C$15, $D$11, 100%, $F$11)</f>
        <v>22.14</v>
      </c>
      <c r="K753" s="4"/>
      <c r="L753" s="9">
        <v>30.7165</v>
      </c>
      <c r="M753" s="9">
        <v>12.063700000000001</v>
      </c>
      <c r="N753" s="9">
        <v>4.9444999999999997</v>
      </c>
      <c r="O753" s="9">
        <v>0.37409999999999999</v>
      </c>
      <c r="P753" s="9">
        <v>1.2183999999999999</v>
      </c>
      <c r="Q753" s="9">
        <v>19.688099999999999</v>
      </c>
      <c r="R753" s="9"/>
      <c r="S753" s="11"/>
    </row>
    <row r="754" spans="1:19" ht="15.75">
      <c r="A754" s="13">
        <v>64466</v>
      </c>
      <c r="B754" s="8">
        <f>CHOOSE( CONTROL!$C$32, 22.4574, 22.4538) * CHOOSE(CONTROL!$C$15, $D$11, 100%, $F$11)</f>
        <v>22.4574</v>
      </c>
      <c r="C754" s="8">
        <f>CHOOSE( CONTROL!$C$32, 22.4654, 22.4618) * CHOOSE(CONTROL!$C$15, $D$11, 100%, $F$11)</f>
        <v>22.465399999999999</v>
      </c>
      <c r="D754" s="8">
        <f>CHOOSE( CONTROL!$C$32, 22.5034, 22.4997) * CHOOSE( CONTROL!$C$15, $D$11, 100%, $F$11)</f>
        <v>22.503399999999999</v>
      </c>
      <c r="E754" s="12">
        <f>CHOOSE( CONTROL!$C$32, 22.4884, 22.4847) * CHOOSE( CONTROL!$C$15, $D$11, 100%, $F$11)</f>
        <v>22.488399999999999</v>
      </c>
      <c r="F754" s="4">
        <f>CHOOSE( CONTROL!$C$32, 23.2004, 23.1968) * CHOOSE(CONTROL!$C$15, $D$11, 100%, $F$11)</f>
        <v>23.200399999999998</v>
      </c>
      <c r="G754" s="8">
        <f>CHOOSE( CONTROL!$C$32, 22.2007, 22.1971) * CHOOSE( CONTROL!$C$15, $D$11, 100%, $F$11)</f>
        <v>22.200700000000001</v>
      </c>
      <c r="H754" s="4">
        <f>CHOOSE( CONTROL!$C$32, 23.1754, 23.1718) * CHOOSE(CONTROL!$C$15, $D$11, 100%, $F$11)</f>
        <v>23.1754</v>
      </c>
      <c r="I754" s="8">
        <f>CHOOSE( CONTROL!$C$32, 21.9376, 21.9341) * CHOOSE(CONTROL!$C$15, $D$11, 100%, $F$11)</f>
        <v>21.9376</v>
      </c>
      <c r="J754" s="4">
        <f>CHOOSE( CONTROL!$C$32, 21.7841, 21.7806) * CHOOSE(CONTROL!$C$15, $D$11, 100%, $F$11)</f>
        <v>21.784099999999999</v>
      </c>
      <c r="K754" s="4"/>
      <c r="L754" s="9">
        <v>29.7257</v>
      </c>
      <c r="M754" s="9">
        <v>11.6745</v>
      </c>
      <c r="N754" s="9">
        <v>4.7850000000000001</v>
      </c>
      <c r="O754" s="9">
        <v>0.36199999999999999</v>
      </c>
      <c r="P754" s="9">
        <v>1.1791</v>
      </c>
      <c r="Q754" s="9">
        <v>19.053000000000001</v>
      </c>
      <c r="R754" s="9"/>
      <c r="S754" s="11"/>
    </row>
    <row r="755" spans="1:19" ht="15.75">
      <c r="A755" s="13">
        <v>64497</v>
      </c>
      <c r="B755" s="8">
        <f>CHOOSE( CONTROL!$C$32, 23.4232, 23.4195) * CHOOSE(CONTROL!$C$15, $D$11, 100%, $F$11)</f>
        <v>23.423200000000001</v>
      </c>
      <c r="C755" s="8">
        <f>CHOOSE( CONTROL!$C$32, 23.4311, 23.4275) * CHOOSE(CONTROL!$C$15, $D$11, 100%, $F$11)</f>
        <v>23.431100000000001</v>
      </c>
      <c r="D755" s="8">
        <f>CHOOSE( CONTROL!$C$32, 23.4693, 23.4657) * CHOOSE( CONTROL!$C$15, $D$11, 100%, $F$11)</f>
        <v>23.4693</v>
      </c>
      <c r="E755" s="12">
        <f>CHOOSE( CONTROL!$C$32, 23.4543, 23.4506) * CHOOSE( CONTROL!$C$15, $D$11, 100%, $F$11)</f>
        <v>23.4543</v>
      </c>
      <c r="F755" s="4">
        <f>CHOOSE( CONTROL!$C$32, 24.1662, 24.1625) * CHOOSE(CONTROL!$C$15, $D$11, 100%, $F$11)</f>
        <v>24.1662</v>
      </c>
      <c r="G755" s="8">
        <f>CHOOSE( CONTROL!$C$32, 23.1554, 23.1518) * CHOOSE( CONTROL!$C$15, $D$11, 100%, $F$11)</f>
        <v>23.1554</v>
      </c>
      <c r="H755" s="4">
        <f>CHOOSE( CONTROL!$C$32, 24.1298, 24.1262) * CHOOSE(CONTROL!$C$15, $D$11, 100%, $F$11)</f>
        <v>24.129799999999999</v>
      </c>
      <c r="I755" s="8">
        <f>CHOOSE( CONTROL!$C$32, 22.8764, 22.8729) * CHOOSE(CONTROL!$C$15, $D$11, 100%, $F$11)</f>
        <v>22.8764</v>
      </c>
      <c r="J755" s="4">
        <f>CHOOSE( CONTROL!$C$32, 22.7214, 22.7178) * CHOOSE(CONTROL!$C$15, $D$11, 100%, $F$11)</f>
        <v>22.721399999999999</v>
      </c>
      <c r="K755" s="4"/>
      <c r="L755" s="9">
        <v>30.7165</v>
      </c>
      <c r="M755" s="9">
        <v>12.063700000000001</v>
      </c>
      <c r="N755" s="9">
        <v>4.9444999999999997</v>
      </c>
      <c r="O755" s="9">
        <v>0.37409999999999999</v>
      </c>
      <c r="P755" s="9">
        <v>1.2183999999999999</v>
      </c>
      <c r="Q755" s="9">
        <v>19.688099999999999</v>
      </c>
      <c r="R755" s="9"/>
      <c r="S755" s="11"/>
    </row>
    <row r="756" spans="1:19" ht="15.75">
      <c r="A756" s="13">
        <v>64528</v>
      </c>
      <c r="B756" s="8">
        <f>CHOOSE( CONTROL!$C$32, 21.6162, 21.6126) * CHOOSE(CONTROL!$C$15, $D$11, 100%, $F$11)</f>
        <v>21.616199999999999</v>
      </c>
      <c r="C756" s="8">
        <f>CHOOSE( CONTROL!$C$32, 21.6242, 21.6205) * CHOOSE(CONTROL!$C$15, $D$11, 100%, $F$11)</f>
        <v>21.624199999999998</v>
      </c>
      <c r="D756" s="8">
        <f>CHOOSE( CONTROL!$C$32, 21.6624, 21.6588) * CHOOSE( CONTROL!$C$15, $D$11, 100%, $F$11)</f>
        <v>21.662400000000002</v>
      </c>
      <c r="E756" s="12">
        <f>CHOOSE( CONTROL!$C$32, 21.6473, 21.6437) * CHOOSE( CONTROL!$C$15, $D$11, 100%, $F$11)</f>
        <v>21.647300000000001</v>
      </c>
      <c r="F756" s="4">
        <f>CHOOSE( CONTROL!$C$32, 22.3592, 22.3556) * CHOOSE(CONTROL!$C$15, $D$11, 100%, $F$11)</f>
        <v>22.359200000000001</v>
      </c>
      <c r="G756" s="8">
        <f>CHOOSE( CONTROL!$C$32, 21.3697, 21.3661) * CHOOSE( CONTROL!$C$15, $D$11, 100%, $F$11)</f>
        <v>21.369700000000002</v>
      </c>
      <c r="H756" s="4">
        <f>CHOOSE( CONTROL!$C$32, 22.344, 22.3404) * CHOOSE(CONTROL!$C$15, $D$11, 100%, $F$11)</f>
        <v>22.344000000000001</v>
      </c>
      <c r="I756" s="8">
        <f>CHOOSE( CONTROL!$C$32, 21.1222, 21.1187) * CHOOSE(CONTROL!$C$15, $D$11, 100%, $F$11)</f>
        <v>21.122199999999999</v>
      </c>
      <c r="J756" s="4">
        <f>CHOOSE( CONTROL!$C$32, 20.9677, 20.9642) * CHOOSE(CONTROL!$C$15, $D$11, 100%, $F$11)</f>
        <v>20.967700000000001</v>
      </c>
      <c r="K756" s="4"/>
      <c r="L756" s="9">
        <v>30.7165</v>
      </c>
      <c r="M756" s="9">
        <v>12.063700000000001</v>
      </c>
      <c r="N756" s="9">
        <v>4.9444999999999997</v>
      </c>
      <c r="O756" s="9">
        <v>0.37409999999999999</v>
      </c>
      <c r="P756" s="9">
        <v>1.2183999999999999</v>
      </c>
      <c r="Q756" s="9">
        <v>19.688099999999999</v>
      </c>
      <c r="R756" s="9"/>
      <c r="S756" s="11"/>
    </row>
    <row r="757" spans="1:19" ht="15.75">
      <c r="A757" s="13">
        <v>64558</v>
      </c>
      <c r="B757" s="8">
        <f>CHOOSE( CONTROL!$C$32, 21.1637, 21.1601) * CHOOSE(CONTROL!$C$15, $D$11, 100%, $F$11)</f>
        <v>21.163699999999999</v>
      </c>
      <c r="C757" s="8">
        <f>CHOOSE( CONTROL!$C$32, 21.1717, 21.168) * CHOOSE(CONTROL!$C$15, $D$11, 100%, $F$11)</f>
        <v>21.171700000000001</v>
      </c>
      <c r="D757" s="8">
        <f>CHOOSE( CONTROL!$C$32, 21.2099, 21.2062) * CHOOSE( CONTROL!$C$15, $D$11, 100%, $F$11)</f>
        <v>21.209900000000001</v>
      </c>
      <c r="E757" s="12">
        <f>CHOOSE( CONTROL!$C$32, 21.1948, 21.1912) * CHOOSE( CONTROL!$C$15, $D$11, 100%, $F$11)</f>
        <v>21.194800000000001</v>
      </c>
      <c r="F757" s="4">
        <f>CHOOSE( CONTROL!$C$32, 21.9067, 21.9031) * CHOOSE(CONTROL!$C$15, $D$11, 100%, $F$11)</f>
        <v>21.906700000000001</v>
      </c>
      <c r="G757" s="8">
        <f>CHOOSE( CONTROL!$C$32, 20.9224, 20.9188) * CHOOSE( CONTROL!$C$15, $D$11, 100%, $F$11)</f>
        <v>20.9224</v>
      </c>
      <c r="H757" s="4">
        <f>CHOOSE( CONTROL!$C$32, 21.8968, 21.8932) * CHOOSE(CONTROL!$C$15, $D$11, 100%, $F$11)</f>
        <v>21.896799999999999</v>
      </c>
      <c r="I757" s="8">
        <f>CHOOSE( CONTROL!$C$32, 20.6825, 20.6789) * CHOOSE(CONTROL!$C$15, $D$11, 100%, $F$11)</f>
        <v>20.682500000000001</v>
      </c>
      <c r="J757" s="4">
        <f>CHOOSE( CONTROL!$C$32, 20.5286, 20.525) * CHOOSE(CONTROL!$C$15, $D$11, 100%, $F$11)</f>
        <v>20.528600000000001</v>
      </c>
      <c r="K757" s="4"/>
      <c r="L757" s="9">
        <v>29.7257</v>
      </c>
      <c r="M757" s="9">
        <v>11.6745</v>
      </c>
      <c r="N757" s="9">
        <v>4.7850000000000001</v>
      </c>
      <c r="O757" s="9">
        <v>0.36199999999999999</v>
      </c>
      <c r="P757" s="9">
        <v>1.1791</v>
      </c>
      <c r="Q757" s="9">
        <v>19.053000000000001</v>
      </c>
      <c r="R757" s="9"/>
      <c r="S757" s="11"/>
    </row>
    <row r="758" spans="1:19" ht="15.75">
      <c r="A758" s="13">
        <v>64589</v>
      </c>
      <c r="B758" s="8">
        <f>22.0979 * CHOOSE(CONTROL!$C$15, $D$11, 100%, $F$11)</f>
        <v>22.097899999999999</v>
      </c>
      <c r="C758" s="8">
        <f>22.1032 * CHOOSE(CONTROL!$C$15, $D$11, 100%, $F$11)</f>
        <v>22.103200000000001</v>
      </c>
      <c r="D758" s="8">
        <f>22.1467 * CHOOSE( CONTROL!$C$15, $D$11, 100%, $F$11)</f>
        <v>22.146699999999999</v>
      </c>
      <c r="E758" s="12">
        <f>22.1318 * CHOOSE( CONTROL!$C$15, $D$11, 100%, $F$11)</f>
        <v>22.131799999999998</v>
      </c>
      <c r="F758" s="4">
        <f>22.8426 * CHOOSE(CONTROL!$C$15, $D$11, 100%, $F$11)</f>
        <v>22.842600000000001</v>
      </c>
      <c r="G758" s="8">
        <f>21.8468 * CHOOSE( CONTROL!$C$15, $D$11, 100%, $F$11)</f>
        <v>21.846800000000002</v>
      </c>
      <c r="H758" s="4">
        <f>22.8217 * CHOOSE(CONTROL!$C$15, $D$11, 100%, $F$11)</f>
        <v>22.8217</v>
      </c>
      <c r="I758" s="8">
        <f>21.5919 * CHOOSE(CONTROL!$C$15, $D$11, 100%, $F$11)</f>
        <v>21.591899999999999</v>
      </c>
      <c r="J758" s="4">
        <f>21.4368 * CHOOSE(CONTROL!$C$15, $D$11, 100%, $F$11)</f>
        <v>21.436800000000002</v>
      </c>
      <c r="K758" s="4"/>
      <c r="L758" s="9">
        <v>31.095300000000002</v>
      </c>
      <c r="M758" s="9">
        <v>12.063700000000001</v>
      </c>
      <c r="N758" s="9">
        <v>4.9444999999999997</v>
      </c>
      <c r="O758" s="9">
        <v>0.37409999999999999</v>
      </c>
      <c r="P758" s="9">
        <v>1.2183999999999999</v>
      </c>
      <c r="Q758" s="9">
        <v>19.688099999999999</v>
      </c>
      <c r="R758" s="9"/>
      <c r="S758" s="11"/>
    </row>
    <row r="759" spans="1:19" ht="15.75">
      <c r="A759" s="13">
        <v>64619</v>
      </c>
      <c r="B759" s="8">
        <f>23.8316 * CHOOSE(CONTROL!$C$15, $D$11, 100%, $F$11)</f>
        <v>23.831600000000002</v>
      </c>
      <c r="C759" s="8">
        <f>23.8367 * CHOOSE(CONTROL!$C$15, $D$11, 100%, $F$11)</f>
        <v>23.8367</v>
      </c>
      <c r="D759" s="8">
        <f>23.8203 * CHOOSE( CONTROL!$C$15, $D$11, 100%, $F$11)</f>
        <v>23.8203</v>
      </c>
      <c r="E759" s="12">
        <f>23.8258 * CHOOSE( CONTROL!$C$15, $D$11, 100%, $F$11)</f>
        <v>23.825800000000001</v>
      </c>
      <c r="F759" s="4">
        <f>24.4969 * CHOOSE(CONTROL!$C$15, $D$11, 100%, $F$11)</f>
        <v>24.4969</v>
      </c>
      <c r="G759" s="8">
        <f>23.5612 * CHOOSE( CONTROL!$C$15, $D$11, 100%, $F$11)</f>
        <v>23.561199999999999</v>
      </c>
      <c r="H759" s="4">
        <f>24.4566 * CHOOSE(CONTROL!$C$15, $D$11, 100%, $F$11)</f>
        <v>24.456600000000002</v>
      </c>
      <c r="I759" s="8">
        <f>23.2759 * CHOOSE(CONTROL!$C$15, $D$11, 100%, $F$11)</f>
        <v>23.2759</v>
      </c>
      <c r="J759" s="4">
        <f>23.1198 * CHOOSE(CONTROL!$C$15, $D$11, 100%, $F$11)</f>
        <v>23.119800000000001</v>
      </c>
      <c r="K759" s="4"/>
      <c r="L759" s="9">
        <v>28.360600000000002</v>
      </c>
      <c r="M759" s="9">
        <v>11.6745</v>
      </c>
      <c r="N759" s="9">
        <v>4.7850000000000001</v>
      </c>
      <c r="O759" s="9">
        <v>0.36199999999999999</v>
      </c>
      <c r="P759" s="9">
        <v>1.2509999999999999</v>
      </c>
      <c r="Q759" s="9">
        <v>19.053000000000001</v>
      </c>
      <c r="R759" s="9"/>
      <c r="S759" s="11"/>
    </row>
    <row r="760" spans="1:19" ht="15.75">
      <c r="A760" s="13">
        <v>64650</v>
      </c>
      <c r="B760" s="8">
        <f>23.7883 * CHOOSE(CONTROL!$C$15, $D$11, 100%, $F$11)</f>
        <v>23.7883</v>
      </c>
      <c r="C760" s="8">
        <f>23.7933 * CHOOSE(CONTROL!$C$15, $D$11, 100%, $F$11)</f>
        <v>23.793299999999999</v>
      </c>
      <c r="D760" s="8">
        <f>23.7787 * CHOOSE( CONTROL!$C$15, $D$11, 100%, $F$11)</f>
        <v>23.778700000000001</v>
      </c>
      <c r="E760" s="12">
        <f>23.7835 * CHOOSE( CONTROL!$C$15, $D$11, 100%, $F$11)</f>
        <v>23.7835</v>
      </c>
      <c r="F760" s="4">
        <f>24.4536 * CHOOSE(CONTROL!$C$15, $D$11, 100%, $F$11)</f>
        <v>24.453600000000002</v>
      </c>
      <c r="G760" s="8">
        <f>23.5197 * CHOOSE( CONTROL!$C$15, $D$11, 100%, $F$11)</f>
        <v>23.5197</v>
      </c>
      <c r="H760" s="4">
        <f>24.4138 * CHOOSE(CONTROL!$C$15, $D$11, 100%, $F$11)</f>
        <v>24.413799999999998</v>
      </c>
      <c r="I760" s="8">
        <f>23.2392 * CHOOSE(CONTROL!$C$15, $D$11, 100%, $F$11)</f>
        <v>23.2392</v>
      </c>
      <c r="J760" s="4">
        <f>23.0778 * CHOOSE(CONTROL!$C$15, $D$11, 100%, $F$11)</f>
        <v>23.0778</v>
      </c>
      <c r="K760" s="4"/>
      <c r="L760" s="9">
        <v>29.306000000000001</v>
      </c>
      <c r="M760" s="9">
        <v>12.063700000000001</v>
      </c>
      <c r="N760" s="9">
        <v>4.9444999999999997</v>
      </c>
      <c r="O760" s="9">
        <v>0.37409999999999999</v>
      </c>
      <c r="P760" s="9">
        <v>1.2927</v>
      </c>
      <c r="Q760" s="9">
        <v>19.688099999999999</v>
      </c>
      <c r="R760" s="9"/>
      <c r="S760" s="11"/>
    </row>
    <row r="761" spans="1:19" ht="15.75">
      <c r="A761" s="13">
        <v>64681</v>
      </c>
      <c r="B761" s="8">
        <f>24.4897 * CHOOSE(CONTROL!$C$15, $D$11, 100%, $F$11)</f>
        <v>24.489699999999999</v>
      </c>
      <c r="C761" s="8">
        <f>24.4948 * CHOOSE(CONTROL!$C$15, $D$11, 100%, $F$11)</f>
        <v>24.494800000000001</v>
      </c>
      <c r="D761" s="8">
        <f>24.4659 * CHOOSE( CONTROL!$C$15, $D$11, 100%, $F$11)</f>
        <v>24.465900000000001</v>
      </c>
      <c r="E761" s="12">
        <f>24.4759 * CHOOSE( CONTROL!$C$15, $D$11, 100%, $F$11)</f>
        <v>24.475899999999999</v>
      </c>
      <c r="F761" s="4">
        <f>25.155 * CHOOSE(CONTROL!$C$15, $D$11, 100%, $F$11)</f>
        <v>25.155000000000001</v>
      </c>
      <c r="G761" s="8">
        <f>24.2026 * CHOOSE( CONTROL!$C$15, $D$11, 100%, $F$11)</f>
        <v>24.2026</v>
      </c>
      <c r="H761" s="4">
        <f>25.107 * CHOOSE(CONTROL!$C$15, $D$11, 100%, $F$11)</f>
        <v>25.106999999999999</v>
      </c>
      <c r="I761" s="8">
        <f>23.9149 * CHOOSE(CONTROL!$C$15, $D$11, 100%, $F$11)</f>
        <v>23.914899999999999</v>
      </c>
      <c r="J761" s="4">
        <f>23.7585 * CHOOSE(CONTROL!$C$15, $D$11, 100%, $F$11)</f>
        <v>23.758500000000002</v>
      </c>
      <c r="K761" s="4"/>
      <c r="L761" s="9">
        <v>29.306000000000001</v>
      </c>
      <c r="M761" s="9">
        <v>12.063700000000001</v>
      </c>
      <c r="N761" s="9">
        <v>4.9444999999999997</v>
      </c>
      <c r="O761" s="9">
        <v>0.37409999999999999</v>
      </c>
      <c r="P761" s="9">
        <v>1.2927</v>
      </c>
      <c r="Q761" s="9">
        <v>19.688099999999999</v>
      </c>
      <c r="R761" s="9"/>
      <c r="S761" s="11"/>
    </row>
    <row r="762" spans="1:19" ht="15.75">
      <c r="A762" s="13">
        <v>64709</v>
      </c>
      <c r="B762" s="8">
        <f>22.907 * CHOOSE(CONTROL!$C$15, $D$11, 100%, $F$11)</f>
        <v>22.907</v>
      </c>
      <c r="C762" s="8">
        <f>22.9121 * CHOOSE(CONTROL!$C$15, $D$11, 100%, $F$11)</f>
        <v>22.912099999999999</v>
      </c>
      <c r="D762" s="8">
        <f>22.8832 * CHOOSE( CONTROL!$C$15, $D$11, 100%, $F$11)</f>
        <v>22.883199999999999</v>
      </c>
      <c r="E762" s="12">
        <f>22.8932 * CHOOSE( CONTROL!$C$15, $D$11, 100%, $F$11)</f>
        <v>22.8932</v>
      </c>
      <c r="F762" s="4">
        <f>23.5723 * CHOOSE(CONTROL!$C$15, $D$11, 100%, $F$11)</f>
        <v>23.572299999999998</v>
      </c>
      <c r="G762" s="8">
        <f>22.6385 * CHOOSE( CONTROL!$C$15, $D$11, 100%, $F$11)</f>
        <v>22.638500000000001</v>
      </c>
      <c r="H762" s="4">
        <f>23.5429 * CHOOSE(CONTROL!$C$15, $D$11, 100%, $F$11)</f>
        <v>23.542899999999999</v>
      </c>
      <c r="I762" s="8">
        <f>22.3781 * CHOOSE(CONTROL!$C$15, $D$11, 100%, $F$11)</f>
        <v>22.3781</v>
      </c>
      <c r="J762" s="4">
        <f>22.2225 * CHOOSE(CONTROL!$C$15, $D$11, 100%, $F$11)</f>
        <v>22.2225</v>
      </c>
      <c r="K762" s="4"/>
      <c r="L762" s="9">
        <v>26.469899999999999</v>
      </c>
      <c r="M762" s="9">
        <v>10.8962</v>
      </c>
      <c r="N762" s="9">
        <v>4.4660000000000002</v>
      </c>
      <c r="O762" s="9">
        <v>0.33789999999999998</v>
      </c>
      <c r="P762" s="9">
        <v>1.1676</v>
      </c>
      <c r="Q762" s="9">
        <v>17.782800000000002</v>
      </c>
      <c r="R762" s="9"/>
      <c r="S762" s="11"/>
    </row>
    <row r="763" spans="1:19" ht="15.75">
      <c r="A763" s="13">
        <v>64740</v>
      </c>
      <c r="B763" s="8">
        <f>22.4196 * CHOOSE(CONTROL!$C$15, $D$11, 100%, $F$11)</f>
        <v>22.419599999999999</v>
      </c>
      <c r="C763" s="8">
        <f>22.4247 * CHOOSE(CONTROL!$C$15, $D$11, 100%, $F$11)</f>
        <v>22.424700000000001</v>
      </c>
      <c r="D763" s="8">
        <f>22.3954 * CHOOSE( CONTROL!$C$15, $D$11, 100%, $F$11)</f>
        <v>22.395399999999999</v>
      </c>
      <c r="E763" s="12">
        <f>22.4056 * CHOOSE( CONTROL!$C$15, $D$11, 100%, $F$11)</f>
        <v>22.4056</v>
      </c>
      <c r="F763" s="4">
        <f>23.0849 * CHOOSE(CONTROL!$C$15, $D$11, 100%, $F$11)</f>
        <v>23.084900000000001</v>
      </c>
      <c r="G763" s="8">
        <f>22.1565 * CHOOSE( CONTROL!$C$15, $D$11, 100%, $F$11)</f>
        <v>22.156500000000001</v>
      </c>
      <c r="H763" s="4">
        <f>23.0612 * CHOOSE(CONTROL!$C$15, $D$11, 100%, $F$11)</f>
        <v>23.061199999999999</v>
      </c>
      <c r="I763" s="8">
        <f>21.9036 * CHOOSE(CONTROL!$C$15, $D$11, 100%, $F$11)</f>
        <v>21.903600000000001</v>
      </c>
      <c r="J763" s="4">
        <f>21.7495 * CHOOSE(CONTROL!$C$15, $D$11, 100%, $F$11)</f>
        <v>21.749500000000001</v>
      </c>
      <c r="K763" s="4"/>
      <c r="L763" s="9">
        <v>29.306000000000001</v>
      </c>
      <c r="M763" s="9">
        <v>12.063700000000001</v>
      </c>
      <c r="N763" s="9">
        <v>4.9444999999999997</v>
      </c>
      <c r="O763" s="9">
        <v>0.37409999999999999</v>
      </c>
      <c r="P763" s="9">
        <v>1.2927</v>
      </c>
      <c r="Q763" s="9">
        <v>19.688099999999999</v>
      </c>
      <c r="R763" s="9"/>
      <c r="S763" s="11"/>
    </row>
    <row r="764" spans="1:19" ht="15.75">
      <c r="A764" s="13">
        <v>64770</v>
      </c>
      <c r="B764" s="8">
        <f>22.761 * CHOOSE(CONTROL!$C$15, $D$11, 100%, $F$11)</f>
        <v>22.760999999999999</v>
      </c>
      <c r="C764" s="8">
        <f>22.7655 * CHOOSE(CONTROL!$C$15, $D$11, 100%, $F$11)</f>
        <v>22.765499999999999</v>
      </c>
      <c r="D764" s="8">
        <f>22.8089 * CHOOSE( CONTROL!$C$15, $D$11, 100%, $F$11)</f>
        <v>22.808900000000001</v>
      </c>
      <c r="E764" s="12">
        <f>22.7941 * CHOOSE( CONTROL!$C$15, $D$11, 100%, $F$11)</f>
        <v>22.7941</v>
      </c>
      <c r="F764" s="4">
        <f>23.5054 * CHOOSE(CONTROL!$C$15, $D$11, 100%, $F$11)</f>
        <v>23.505400000000002</v>
      </c>
      <c r="G764" s="8">
        <f>22.5009 * CHOOSE( CONTROL!$C$15, $D$11, 100%, $F$11)</f>
        <v>22.500900000000001</v>
      </c>
      <c r="H764" s="4">
        <f>23.4767 * CHOOSE(CONTROL!$C$15, $D$11, 100%, $F$11)</f>
        <v>23.476700000000001</v>
      </c>
      <c r="I764" s="8">
        <f>22.2325 * CHOOSE(CONTROL!$C$15, $D$11, 100%, $F$11)</f>
        <v>22.232500000000002</v>
      </c>
      <c r="J764" s="4">
        <f>22.08 * CHOOSE(CONTROL!$C$15, $D$11, 100%, $F$11)</f>
        <v>22.08</v>
      </c>
      <c r="K764" s="4"/>
      <c r="L764" s="9">
        <v>30.092199999999998</v>
      </c>
      <c r="M764" s="9">
        <v>11.6745</v>
      </c>
      <c r="N764" s="9">
        <v>4.7850000000000001</v>
      </c>
      <c r="O764" s="9">
        <v>0.36199999999999999</v>
      </c>
      <c r="P764" s="9">
        <v>1.1791</v>
      </c>
      <c r="Q764" s="9">
        <v>19.053000000000001</v>
      </c>
      <c r="R764" s="9"/>
      <c r="S764" s="11"/>
    </row>
    <row r="765" spans="1:19" ht="15.75">
      <c r="A765" s="13">
        <v>64801</v>
      </c>
      <c r="B765" s="8">
        <f>CHOOSE( CONTROL!$C$32, 23.3722, 23.3686) * CHOOSE(CONTROL!$C$15, $D$11, 100%, $F$11)</f>
        <v>23.372199999999999</v>
      </c>
      <c r="C765" s="8">
        <f>CHOOSE( CONTROL!$C$32, 23.3802, 23.3765) * CHOOSE(CONTROL!$C$15, $D$11, 100%, $F$11)</f>
        <v>23.380199999999999</v>
      </c>
      <c r="D765" s="8">
        <f>CHOOSE( CONTROL!$C$32, 23.4179, 23.4143) * CHOOSE( CONTROL!$C$15, $D$11, 100%, $F$11)</f>
        <v>23.417899999999999</v>
      </c>
      <c r="E765" s="12">
        <f>CHOOSE( CONTROL!$C$32, 23.403, 23.3994) * CHOOSE( CONTROL!$C$15, $D$11, 100%, $F$11)</f>
        <v>23.402999999999999</v>
      </c>
      <c r="F765" s="4">
        <f>CHOOSE( CONTROL!$C$32, 24.1152, 24.1116) * CHOOSE(CONTROL!$C$15, $D$11, 100%, $F$11)</f>
        <v>24.115200000000002</v>
      </c>
      <c r="G765" s="8">
        <f>CHOOSE( CONTROL!$C$32, 23.1044, 23.1008) * CHOOSE( CONTROL!$C$15, $D$11, 100%, $F$11)</f>
        <v>23.104399999999998</v>
      </c>
      <c r="H765" s="4">
        <f>CHOOSE( CONTROL!$C$32, 24.0795, 24.0759) * CHOOSE(CONTROL!$C$15, $D$11, 100%, $F$11)</f>
        <v>24.079499999999999</v>
      </c>
      <c r="I765" s="8">
        <f>CHOOSE( CONTROL!$C$32, 22.8248, 22.8213) * CHOOSE(CONTROL!$C$15, $D$11, 100%, $F$11)</f>
        <v>22.8248</v>
      </c>
      <c r="J765" s="4">
        <f>CHOOSE( CONTROL!$C$32, 22.6719, 22.6684) * CHOOSE(CONTROL!$C$15, $D$11, 100%, $F$11)</f>
        <v>22.671900000000001</v>
      </c>
      <c r="K765" s="4"/>
      <c r="L765" s="9">
        <v>30.7165</v>
      </c>
      <c r="M765" s="9">
        <v>12.063700000000001</v>
      </c>
      <c r="N765" s="9">
        <v>4.9444999999999997</v>
      </c>
      <c r="O765" s="9">
        <v>0.37409999999999999</v>
      </c>
      <c r="P765" s="9">
        <v>1.2183999999999999</v>
      </c>
      <c r="Q765" s="9">
        <v>19.688099999999999</v>
      </c>
      <c r="R765" s="9"/>
      <c r="S765" s="11"/>
    </row>
    <row r="766" spans="1:19" ht="15.75">
      <c r="A766" s="13">
        <v>64831</v>
      </c>
      <c r="B766" s="8">
        <f>CHOOSE( CONTROL!$C$32, 22.9967, 22.993) * CHOOSE(CONTROL!$C$15, $D$11, 100%, $F$11)</f>
        <v>22.996700000000001</v>
      </c>
      <c r="C766" s="8">
        <f>CHOOSE( CONTROL!$C$32, 23.0047, 23.001) * CHOOSE(CONTROL!$C$15, $D$11, 100%, $F$11)</f>
        <v>23.0047</v>
      </c>
      <c r="D766" s="8">
        <f>CHOOSE( CONTROL!$C$32, 23.0426, 23.039) * CHOOSE( CONTROL!$C$15, $D$11, 100%, $F$11)</f>
        <v>23.0426</v>
      </c>
      <c r="E766" s="12">
        <f>CHOOSE( CONTROL!$C$32, 23.0276, 23.024) * CHOOSE( CONTROL!$C$15, $D$11, 100%, $F$11)</f>
        <v>23.0276</v>
      </c>
      <c r="F766" s="4">
        <f>CHOOSE( CONTROL!$C$32, 23.7397, 23.736) * CHOOSE(CONTROL!$C$15, $D$11, 100%, $F$11)</f>
        <v>23.739699999999999</v>
      </c>
      <c r="G766" s="8">
        <f>CHOOSE( CONTROL!$C$32, 22.7336, 22.73) * CHOOSE( CONTROL!$C$15, $D$11, 100%, $F$11)</f>
        <v>22.733599999999999</v>
      </c>
      <c r="H766" s="4">
        <f>CHOOSE( CONTROL!$C$32, 23.7083, 23.7047) * CHOOSE(CONTROL!$C$15, $D$11, 100%, $F$11)</f>
        <v>23.708300000000001</v>
      </c>
      <c r="I766" s="8">
        <f>CHOOSE( CONTROL!$C$32, 22.4612, 22.4577) * CHOOSE(CONTROL!$C$15, $D$11, 100%, $F$11)</f>
        <v>22.461200000000002</v>
      </c>
      <c r="J766" s="4">
        <f>CHOOSE( CONTROL!$C$32, 22.3075, 22.3039) * CHOOSE(CONTROL!$C$15, $D$11, 100%, $F$11)</f>
        <v>22.307500000000001</v>
      </c>
      <c r="K766" s="4"/>
      <c r="L766" s="9">
        <v>29.7257</v>
      </c>
      <c r="M766" s="9">
        <v>11.6745</v>
      </c>
      <c r="N766" s="9">
        <v>4.7850000000000001</v>
      </c>
      <c r="O766" s="9">
        <v>0.36199999999999999</v>
      </c>
      <c r="P766" s="9">
        <v>1.1791</v>
      </c>
      <c r="Q766" s="9">
        <v>19.053000000000001</v>
      </c>
      <c r="R766" s="9"/>
      <c r="S766" s="11"/>
    </row>
    <row r="767" spans="1:19" ht="15.75">
      <c r="A767" s="13">
        <v>64862</v>
      </c>
      <c r="B767" s="8">
        <f>CHOOSE( CONTROL!$C$32, 23.9856, 23.982) * CHOOSE(CONTROL!$C$15, $D$11, 100%, $F$11)</f>
        <v>23.985600000000002</v>
      </c>
      <c r="C767" s="8">
        <f>CHOOSE( CONTROL!$C$32, 23.9936, 23.9899) * CHOOSE(CONTROL!$C$15, $D$11, 100%, $F$11)</f>
        <v>23.993600000000001</v>
      </c>
      <c r="D767" s="8">
        <f>CHOOSE( CONTROL!$C$32, 24.0318, 24.0281) * CHOOSE( CONTROL!$C$15, $D$11, 100%, $F$11)</f>
        <v>24.0318</v>
      </c>
      <c r="E767" s="12">
        <f>CHOOSE( CONTROL!$C$32, 24.0167, 24.0131) * CHOOSE( CONTROL!$C$15, $D$11, 100%, $F$11)</f>
        <v>24.0167</v>
      </c>
      <c r="F767" s="4">
        <f>CHOOSE( CONTROL!$C$32, 24.7286, 24.725) * CHOOSE(CONTROL!$C$15, $D$11, 100%, $F$11)</f>
        <v>24.7286</v>
      </c>
      <c r="G767" s="8">
        <f>CHOOSE( CONTROL!$C$32, 23.7113, 23.7077) * CHOOSE( CONTROL!$C$15, $D$11, 100%, $F$11)</f>
        <v>23.711300000000001</v>
      </c>
      <c r="H767" s="4">
        <f>CHOOSE( CONTROL!$C$32, 24.6857, 24.6821) * CHOOSE(CONTROL!$C$15, $D$11, 100%, $F$11)</f>
        <v>24.685700000000001</v>
      </c>
      <c r="I767" s="8">
        <f>CHOOSE( CONTROL!$C$32, 23.4226, 23.419) * CHOOSE(CONTROL!$C$15, $D$11, 100%, $F$11)</f>
        <v>23.422599999999999</v>
      </c>
      <c r="J767" s="4">
        <f>CHOOSE( CONTROL!$C$32, 23.2672, 23.2637) * CHOOSE(CONTROL!$C$15, $D$11, 100%, $F$11)</f>
        <v>23.267199999999999</v>
      </c>
      <c r="K767" s="4"/>
      <c r="L767" s="9">
        <v>30.7165</v>
      </c>
      <c r="M767" s="9">
        <v>12.063700000000001</v>
      </c>
      <c r="N767" s="9">
        <v>4.9444999999999997</v>
      </c>
      <c r="O767" s="9">
        <v>0.37409999999999999</v>
      </c>
      <c r="P767" s="9">
        <v>1.2183999999999999</v>
      </c>
      <c r="Q767" s="9">
        <v>19.688099999999999</v>
      </c>
      <c r="R767" s="9"/>
      <c r="S767" s="11"/>
    </row>
    <row r="768" spans="1:19" ht="15.75">
      <c r="A768" s="13">
        <v>64893</v>
      </c>
      <c r="B768" s="8">
        <f>CHOOSE( CONTROL!$C$32, 22.1352, 22.1316) * CHOOSE(CONTROL!$C$15, $D$11, 100%, $F$11)</f>
        <v>22.135200000000001</v>
      </c>
      <c r="C768" s="8">
        <f>CHOOSE( CONTROL!$C$32, 22.1432, 22.1396) * CHOOSE(CONTROL!$C$15, $D$11, 100%, $F$11)</f>
        <v>22.1432</v>
      </c>
      <c r="D768" s="8">
        <f>CHOOSE( CONTROL!$C$32, 22.1815, 22.1778) * CHOOSE( CONTROL!$C$15, $D$11, 100%, $F$11)</f>
        <v>22.1815</v>
      </c>
      <c r="E768" s="12">
        <f>CHOOSE( CONTROL!$C$32, 22.1664, 22.1627) * CHOOSE( CONTROL!$C$15, $D$11, 100%, $F$11)</f>
        <v>22.166399999999999</v>
      </c>
      <c r="F768" s="4">
        <f>CHOOSE( CONTROL!$C$32, 22.8782, 22.8746) * CHOOSE(CONTROL!$C$15, $D$11, 100%, $F$11)</f>
        <v>22.8782</v>
      </c>
      <c r="G768" s="8">
        <f>CHOOSE( CONTROL!$C$32, 21.8827, 21.8791) * CHOOSE( CONTROL!$C$15, $D$11, 100%, $F$11)</f>
        <v>21.8827</v>
      </c>
      <c r="H768" s="4">
        <f>CHOOSE( CONTROL!$C$32, 22.857, 22.8534) * CHOOSE(CONTROL!$C$15, $D$11, 100%, $F$11)</f>
        <v>22.856999999999999</v>
      </c>
      <c r="I768" s="8">
        <f>CHOOSE( CONTROL!$C$32, 21.6262, 21.6226) * CHOOSE(CONTROL!$C$15, $D$11, 100%, $F$11)</f>
        <v>21.626200000000001</v>
      </c>
      <c r="J768" s="4">
        <f>CHOOSE( CONTROL!$C$32, 21.4714, 21.4679) * CHOOSE(CONTROL!$C$15, $D$11, 100%, $F$11)</f>
        <v>21.471399999999999</v>
      </c>
      <c r="K768" s="4"/>
      <c r="L768" s="9">
        <v>30.7165</v>
      </c>
      <c r="M768" s="9">
        <v>12.063700000000001</v>
      </c>
      <c r="N768" s="9">
        <v>4.9444999999999997</v>
      </c>
      <c r="O768" s="9">
        <v>0.37409999999999999</v>
      </c>
      <c r="P768" s="9">
        <v>1.2183999999999999</v>
      </c>
      <c r="Q768" s="9">
        <v>19.688099999999999</v>
      </c>
      <c r="R768" s="9"/>
      <c r="S768" s="11"/>
    </row>
    <row r="769" spans="1:19" ht="15.75">
      <c r="A769" s="13">
        <v>64923</v>
      </c>
      <c r="B769" s="8">
        <f>CHOOSE( CONTROL!$C$32, 21.6719, 21.6682) * CHOOSE(CONTROL!$C$15, $D$11, 100%, $F$11)</f>
        <v>21.671900000000001</v>
      </c>
      <c r="C769" s="8">
        <f>CHOOSE( CONTROL!$C$32, 21.6798, 21.6762) * CHOOSE(CONTROL!$C$15, $D$11, 100%, $F$11)</f>
        <v>21.6798</v>
      </c>
      <c r="D769" s="8">
        <f>CHOOSE( CONTROL!$C$32, 21.718, 21.7144) * CHOOSE( CONTROL!$C$15, $D$11, 100%, $F$11)</f>
        <v>21.718</v>
      </c>
      <c r="E769" s="12">
        <f>CHOOSE( CONTROL!$C$32, 21.703, 21.6993) * CHOOSE( CONTROL!$C$15, $D$11, 100%, $F$11)</f>
        <v>21.702999999999999</v>
      </c>
      <c r="F769" s="4">
        <f>CHOOSE( CONTROL!$C$32, 22.4149, 22.4112) * CHOOSE(CONTROL!$C$15, $D$11, 100%, $F$11)</f>
        <v>22.414899999999999</v>
      </c>
      <c r="G769" s="8">
        <f>CHOOSE( CONTROL!$C$32, 21.4246, 21.421) * CHOOSE( CONTROL!$C$15, $D$11, 100%, $F$11)</f>
        <v>21.424600000000002</v>
      </c>
      <c r="H769" s="4">
        <f>CHOOSE( CONTROL!$C$32, 22.399, 22.3954) * CHOOSE(CONTROL!$C$15, $D$11, 100%, $F$11)</f>
        <v>22.399000000000001</v>
      </c>
      <c r="I769" s="8">
        <f>CHOOSE( CONTROL!$C$32, 21.1759, 21.1723) * CHOOSE(CONTROL!$C$15, $D$11, 100%, $F$11)</f>
        <v>21.175899999999999</v>
      </c>
      <c r="J769" s="4">
        <f>CHOOSE( CONTROL!$C$32, 21.0217, 21.0182) * CHOOSE(CONTROL!$C$15, $D$11, 100%, $F$11)</f>
        <v>21.021699999999999</v>
      </c>
      <c r="K769" s="4"/>
      <c r="L769" s="9">
        <v>29.7257</v>
      </c>
      <c r="M769" s="9">
        <v>11.6745</v>
      </c>
      <c r="N769" s="9">
        <v>4.7850000000000001</v>
      </c>
      <c r="O769" s="9">
        <v>0.36199999999999999</v>
      </c>
      <c r="P769" s="9">
        <v>1.1791</v>
      </c>
      <c r="Q769" s="9">
        <v>19.053000000000001</v>
      </c>
      <c r="R769" s="9"/>
      <c r="S769" s="11"/>
    </row>
    <row r="770" spans="1:19" ht="15.75">
      <c r="A770" s="13">
        <v>64954</v>
      </c>
      <c r="B770" s="8">
        <f>22.6286 * CHOOSE(CONTROL!$C$15, $D$11, 100%, $F$11)</f>
        <v>22.628599999999999</v>
      </c>
      <c r="C770" s="8">
        <f>22.6339 * CHOOSE(CONTROL!$C$15, $D$11, 100%, $F$11)</f>
        <v>22.633900000000001</v>
      </c>
      <c r="D770" s="8">
        <f>22.6774 * CHOOSE( CONTROL!$C$15, $D$11, 100%, $F$11)</f>
        <v>22.677399999999999</v>
      </c>
      <c r="E770" s="12">
        <f>22.6625 * CHOOSE( CONTROL!$C$15, $D$11, 100%, $F$11)</f>
        <v>22.662500000000001</v>
      </c>
      <c r="F770" s="4">
        <f>23.3733 * CHOOSE(CONTROL!$C$15, $D$11, 100%, $F$11)</f>
        <v>23.3733</v>
      </c>
      <c r="G770" s="8">
        <f>22.3713 * CHOOSE( CONTROL!$C$15, $D$11, 100%, $F$11)</f>
        <v>22.371300000000002</v>
      </c>
      <c r="H770" s="4">
        <f>23.3462 * CHOOSE(CONTROL!$C$15, $D$11, 100%, $F$11)</f>
        <v>23.3462</v>
      </c>
      <c r="I770" s="8">
        <f>22.1073 * CHOOSE(CONTROL!$C$15, $D$11, 100%, $F$11)</f>
        <v>22.107299999999999</v>
      </c>
      <c r="J770" s="4">
        <f>21.9519 * CHOOSE(CONTROL!$C$15, $D$11, 100%, $F$11)</f>
        <v>21.951899999999998</v>
      </c>
      <c r="K770" s="4"/>
      <c r="L770" s="9">
        <v>31.095300000000002</v>
      </c>
      <c r="M770" s="9">
        <v>12.063700000000001</v>
      </c>
      <c r="N770" s="9">
        <v>4.9444999999999997</v>
      </c>
      <c r="O770" s="9">
        <v>0.37409999999999999</v>
      </c>
      <c r="P770" s="9">
        <v>1.2183999999999999</v>
      </c>
      <c r="Q770" s="9">
        <v>19.688099999999999</v>
      </c>
      <c r="R770" s="9"/>
      <c r="S770" s="11"/>
    </row>
    <row r="771" spans="1:19" ht="15.75">
      <c r="A771" s="13">
        <v>64984</v>
      </c>
      <c r="B771" s="8">
        <f>24.404 * CHOOSE(CONTROL!$C$15, $D$11, 100%, $F$11)</f>
        <v>24.404</v>
      </c>
      <c r="C771" s="8">
        <f>24.4091 * CHOOSE(CONTROL!$C$15, $D$11, 100%, $F$11)</f>
        <v>24.409099999999999</v>
      </c>
      <c r="D771" s="8">
        <f>24.3927 * CHOOSE( CONTROL!$C$15, $D$11, 100%, $F$11)</f>
        <v>24.392700000000001</v>
      </c>
      <c r="E771" s="12">
        <f>24.3982 * CHOOSE( CONTROL!$C$15, $D$11, 100%, $F$11)</f>
        <v>24.398199999999999</v>
      </c>
      <c r="F771" s="4">
        <f>25.0693 * CHOOSE(CONTROL!$C$15, $D$11, 100%, $F$11)</f>
        <v>25.069299999999998</v>
      </c>
      <c r="G771" s="8">
        <f>24.1269 * CHOOSE( CONTROL!$C$15, $D$11, 100%, $F$11)</f>
        <v>24.126899999999999</v>
      </c>
      <c r="H771" s="4">
        <f>25.0223 * CHOOSE(CONTROL!$C$15, $D$11, 100%, $F$11)</f>
        <v>25.022300000000001</v>
      </c>
      <c r="I771" s="8">
        <f>23.8317 * CHOOSE(CONTROL!$C$15, $D$11, 100%, $F$11)</f>
        <v>23.831700000000001</v>
      </c>
      <c r="J771" s="4">
        <f>23.6753 * CHOOSE(CONTROL!$C$15, $D$11, 100%, $F$11)</f>
        <v>23.6753</v>
      </c>
      <c r="K771" s="4"/>
      <c r="L771" s="9">
        <v>28.360600000000002</v>
      </c>
      <c r="M771" s="9">
        <v>11.6745</v>
      </c>
      <c r="N771" s="9">
        <v>4.7850000000000001</v>
      </c>
      <c r="O771" s="9">
        <v>0.36199999999999999</v>
      </c>
      <c r="P771" s="9">
        <v>1.2509999999999999</v>
      </c>
      <c r="Q771" s="9">
        <v>19.053000000000001</v>
      </c>
      <c r="R771" s="9"/>
      <c r="S771" s="11"/>
    </row>
    <row r="772" spans="1:19" ht="15.75">
      <c r="A772" s="13">
        <v>65015</v>
      </c>
      <c r="B772" s="8">
        <f>24.3596 * CHOOSE(CONTROL!$C$15, $D$11, 100%, $F$11)</f>
        <v>24.3596</v>
      </c>
      <c r="C772" s="8">
        <f>24.3647 * CHOOSE(CONTROL!$C$15, $D$11, 100%, $F$11)</f>
        <v>24.364699999999999</v>
      </c>
      <c r="D772" s="8">
        <f>24.3501 * CHOOSE( CONTROL!$C$15, $D$11, 100%, $F$11)</f>
        <v>24.350100000000001</v>
      </c>
      <c r="E772" s="12">
        <f>24.3549 * CHOOSE( CONTROL!$C$15, $D$11, 100%, $F$11)</f>
        <v>24.354900000000001</v>
      </c>
      <c r="F772" s="4">
        <f>25.0249 * CHOOSE(CONTROL!$C$15, $D$11, 100%, $F$11)</f>
        <v>25.024899999999999</v>
      </c>
      <c r="G772" s="8">
        <f>24.0843 * CHOOSE( CONTROL!$C$15, $D$11, 100%, $F$11)</f>
        <v>24.084299999999999</v>
      </c>
      <c r="H772" s="4">
        <f>24.9785 * CHOOSE(CONTROL!$C$15, $D$11, 100%, $F$11)</f>
        <v>24.9785</v>
      </c>
      <c r="I772" s="8">
        <f>23.794 * CHOOSE(CONTROL!$C$15, $D$11, 100%, $F$11)</f>
        <v>23.794</v>
      </c>
      <c r="J772" s="4">
        <f>23.6323 * CHOOSE(CONTROL!$C$15, $D$11, 100%, $F$11)</f>
        <v>23.632300000000001</v>
      </c>
      <c r="K772" s="4"/>
      <c r="L772" s="9">
        <v>29.306000000000001</v>
      </c>
      <c r="M772" s="9">
        <v>12.063700000000001</v>
      </c>
      <c r="N772" s="9">
        <v>4.9444999999999997</v>
      </c>
      <c r="O772" s="9">
        <v>0.37409999999999999</v>
      </c>
      <c r="P772" s="9">
        <v>1.2927</v>
      </c>
      <c r="Q772" s="9">
        <v>19.688099999999999</v>
      </c>
      <c r="R772" s="9"/>
      <c r="S772" s="11"/>
    </row>
    <row r="773" spans="1:19" ht="15.75">
      <c r="A773" s="13">
        <v>65046</v>
      </c>
      <c r="B773" s="8">
        <f>25.0779 * CHOOSE(CONTROL!$C$15, $D$11, 100%, $F$11)</f>
        <v>25.0779</v>
      </c>
      <c r="C773" s="8">
        <f>25.083 * CHOOSE(CONTROL!$C$15, $D$11, 100%, $F$11)</f>
        <v>25.082999999999998</v>
      </c>
      <c r="D773" s="8">
        <f>25.0541 * CHOOSE( CONTROL!$C$15, $D$11, 100%, $F$11)</f>
        <v>25.054099999999998</v>
      </c>
      <c r="E773" s="12">
        <f>25.0641 * CHOOSE( CONTROL!$C$15, $D$11, 100%, $F$11)</f>
        <v>25.0641</v>
      </c>
      <c r="F773" s="4">
        <f>25.7432 * CHOOSE(CONTROL!$C$15, $D$11, 100%, $F$11)</f>
        <v>25.743200000000002</v>
      </c>
      <c r="G773" s="8">
        <f>24.7839 * CHOOSE( CONTROL!$C$15, $D$11, 100%, $F$11)</f>
        <v>24.783899999999999</v>
      </c>
      <c r="H773" s="4">
        <f>25.6883 * CHOOSE(CONTROL!$C$15, $D$11, 100%, $F$11)</f>
        <v>25.688300000000002</v>
      </c>
      <c r="I773" s="8">
        <f>24.486 * CHOOSE(CONTROL!$C$15, $D$11, 100%, $F$11)</f>
        <v>24.486000000000001</v>
      </c>
      <c r="J773" s="4">
        <f>24.3293 * CHOOSE(CONTROL!$C$15, $D$11, 100%, $F$11)</f>
        <v>24.3293</v>
      </c>
      <c r="K773" s="4"/>
      <c r="L773" s="9">
        <v>29.306000000000001</v>
      </c>
      <c r="M773" s="9">
        <v>12.063700000000001</v>
      </c>
      <c r="N773" s="9">
        <v>4.9444999999999997</v>
      </c>
      <c r="O773" s="9">
        <v>0.37409999999999999</v>
      </c>
      <c r="P773" s="9">
        <v>1.2927</v>
      </c>
      <c r="Q773" s="9">
        <v>19.688099999999999</v>
      </c>
      <c r="R773" s="9"/>
      <c r="S773" s="11"/>
    </row>
    <row r="774" spans="1:19" ht="15.75">
      <c r="A774" s="13">
        <v>65074</v>
      </c>
      <c r="B774" s="8">
        <f>23.4572 * CHOOSE(CONTROL!$C$15, $D$11, 100%, $F$11)</f>
        <v>23.4572</v>
      </c>
      <c r="C774" s="8">
        <f>23.4623 * CHOOSE(CONTROL!$C$15, $D$11, 100%, $F$11)</f>
        <v>23.462299999999999</v>
      </c>
      <c r="D774" s="8">
        <f>23.4334 * CHOOSE( CONTROL!$C$15, $D$11, 100%, $F$11)</f>
        <v>23.433399999999999</v>
      </c>
      <c r="E774" s="12">
        <f>23.4434 * CHOOSE( CONTROL!$C$15, $D$11, 100%, $F$11)</f>
        <v>23.4434</v>
      </c>
      <c r="F774" s="4">
        <f>24.1225 * CHOOSE(CONTROL!$C$15, $D$11, 100%, $F$11)</f>
        <v>24.122499999999999</v>
      </c>
      <c r="G774" s="8">
        <f>23.1822 * CHOOSE( CONTROL!$C$15, $D$11, 100%, $F$11)</f>
        <v>23.182200000000002</v>
      </c>
      <c r="H774" s="4">
        <f>24.0867 * CHOOSE(CONTROL!$C$15, $D$11, 100%, $F$11)</f>
        <v>24.0867</v>
      </c>
      <c r="I774" s="8">
        <f>22.9123 * CHOOSE(CONTROL!$C$15, $D$11, 100%, $F$11)</f>
        <v>22.912299999999998</v>
      </c>
      <c r="J774" s="4">
        <f>22.7565 * CHOOSE(CONTROL!$C$15, $D$11, 100%, $F$11)</f>
        <v>22.756499999999999</v>
      </c>
      <c r="K774" s="4"/>
      <c r="L774" s="9">
        <v>26.469899999999999</v>
      </c>
      <c r="M774" s="9">
        <v>10.8962</v>
      </c>
      <c r="N774" s="9">
        <v>4.4660000000000002</v>
      </c>
      <c r="O774" s="9">
        <v>0.33789999999999998</v>
      </c>
      <c r="P774" s="9">
        <v>1.1676</v>
      </c>
      <c r="Q774" s="9">
        <v>17.782800000000002</v>
      </c>
      <c r="R774" s="9"/>
      <c r="S774" s="11"/>
    </row>
    <row r="775" spans="1:19" ht="15.75">
      <c r="A775" s="13">
        <v>65105</v>
      </c>
      <c r="B775" s="8">
        <f>22.9581 * CHOOSE(CONTROL!$C$15, $D$11, 100%, $F$11)</f>
        <v>22.958100000000002</v>
      </c>
      <c r="C775" s="8">
        <f>22.9631 * CHOOSE(CONTROL!$C$15, $D$11, 100%, $F$11)</f>
        <v>22.963100000000001</v>
      </c>
      <c r="D775" s="8">
        <f>22.9339 * CHOOSE( CONTROL!$C$15, $D$11, 100%, $F$11)</f>
        <v>22.933900000000001</v>
      </c>
      <c r="E775" s="12">
        <f>22.944 * CHOOSE( CONTROL!$C$15, $D$11, 100%, $F$11)</f>
        <v>22.943999999999999</v>
      </c>
      <c r="F775" s="4">
        <f>23.6234 * CHOOSE(CONTROL!$C$15, $D$11, 100%, $F$11)</f>
        <v>23.6234</v>
      </c>
      <c r="G775" s="8">
        <f>22.6886 * CHOOSE( CONTROL!$C$15, $D$11, 100%, $F$11)</f>
        <v>22.688600000000001</v>
      </c>
      <c r="H775" s="4">
        <f>23.5933 * CHOOSE(CONTROL!$C$15, $D$11, 100%, $F$11)</f>
        <v>23.593299999999999</v>
      </c>
      <c r="I775" s="8">
        <f>22.4264 * CHOOSE(CONTROL!$C$15, $D$11, 100%, $F$11)</f>
        <v>22.426400000000001</v>
      </c>
      <c r="J775" s="4">
        <f>22.2721 * CHOOSE(CONTROL!$C$15, $D$11, 100%, $F$11)</f>
        <v>22.272099999999998</v>
      </c>
      <c r="K775" s="4"/>
      <c r="L775" s="9">
        <v>29.306000000000001</v>
      </c>
      <c r="M775" s="9">
        <v>12.063700000000001</v>
      </c>
      <c r="N775" s="9">
        <v>4.9444999999999997</v>
      </c>
      <c r="O775" s="9">
        <v>0.37409999999999999</v>
      </c>
      <c r="P775" s="9">
        <v>1.2927</v>
      </c>
      <c r="Q775" s="9">
        <v>19.688099999999999</v>
      </c>
      <c r="R775" s="9"/>
      <c r="S775" s="11"/>
    </row>
    <row r="776" spans="1:19" ht="15.75">
      <c r="A776" s="13">
        <v>65135</v>
      </c>
      <c r="B776" s="8">
        <f>23.3076 * CHOOSE(CONTROL!$C$15, $D$11, 100%, $F$11)</f>
        <v>23.307600000000001</v>
      </c>
      <c r="C776" s="8">
        <f>23.3121 * CHOOSE(CONTROL!$C$15, $D$11, 100%, $F$11)</f>
        <v>23.312100000000001</v>
      </c>
      <c r="D776" s="8">
        <f>23.3555 * CHOOSE( CONTROL!$C$15, $D$11, 100%, $F$11)</f>
        <v>23.355499999999999</v>
      </c>
      <c r="E776" s="12">
        <f>23.3407 * CHOOSE( CONTROL!$C$15, $D$11, 100%, $F$11)</f>
        <v>23.340699999999998</v>
      </c>
      <c r="F776" s="4">
        <f>24.052 * CHOOSE(CONTROL!$C$15, $D$11, 100%, $F$11)</f>
        <v>24.052</v>
      </c>
      <c r="G776" s="8">
        <f>23.0411 * CHOOSE( CONTROL!$C$15, $D$11, 100%, $F$11)</f>
        <v>23.0411</v>
      </c>
      <c r="H776" s="4">
        <f>24.017 * CHOOSE(CONTROL!$C$15, $D$11, 100%, $F$11)</f>
        <v>24.016999999999999</v>
      </c>
      <c r="I776" s="8">
        <f>22.7633 * CHOOSE(CONTROL!$C$15, $D$11, 100%, $F$11)</f>
        <v>22.763300000000001</v>
      </c>
      <c r="J776" s="4">
        <f>22.6106 * CHOOSE(CONTROL!$C$15, $D$11, 100%, $F$11)</f>
        <v>22.610600000000002</v>
      </c>
      <c r="K776" s="4"/>
      <c r="L776" s="9">
        <v>30.092199999999998</v>
      </c>
      <c r="M776" s="9">
        <v>11.6745</v>
      </c>
      <c r="N776" s="9">
        <v>4.7850000000000001</v>
      </c>
      <c r="O776" s="9">
        <v>0.36199999999999999</v>
      </c>
      <c r="P776" s="9">
        <v>1.1791</v>
      </c>
      <c r="Q776" s="9">
        <v>19.053000000000001</v>
      </c>
      <c r="R776" s="9"/>
      <c r="S776" s="11"/>
    </row>
    <row r="777" spans="1:19" ht="15.75">
      <c r="A777" s="13">
        <v>65166</v>
      </c>
      <c r="B777" s="8">
        <f>CHOOSE( CONTROL!$C$32, 23.9334, 23.9298) * CHOOSE(CONTROL!$C$15, $D$11, 100%, $F$11)</f>
        <v>23.933399999999999</v>
      </c>
      <c r="C777" s="8">
        <f>CHOOSE( CONTROL!$C$32, 23.9414, 23.9378) * CHOOSE(CONTROL!$C$15, $D$11, 100%, $F$11)</f>
        <v>23.941400000000002</v>
      </c>
      <c r="D777" s="8">
        <f>CHOOSE( CONTROL!$C$32, 23.9791, 23.9755) * CHOOSE( CONTROL!$C$15, $D$11, 100%, $F$11)</f>
        <v>23.979099999999999</v>
      </c>
      <c r="E777" s="12">
        <f>CHOOSE( CONTROL!$C$32, 23.9642, 23.9606) * CHOOSE( CONTROL!$C$15, $D$11, 100%, $F$11)</f>
        <v>23.964200000000002</v>
      </c>
      <c r="F777" s="4">
        <f>CHOOSE( CONTROL!$C$32, 24.6764, 24.6728) * CHOOSE(CONTROL!$C$15, $D$11, 100%, $F$11)</f>
        <v>24.676400000000001</v>
      </c>
      <c r="G777" s="8">
        <f>CHOOSE( CONTROL!$C$32, 23.6591, 23.6555) * CHOOSE( CONTROL!$C$15, $D$11, 100%, $F$11)</f>
        <v>23.659099999999999</v>
      </c>
      <c r="H777" s="4">
        <f>CHOOSE( CONTROL!$C$32, 24.6341, 24.6305) * CHOOSE(CONTROL!$C$15, $D$11, 100%, $F$11)</f>
        <v>24.6341</v>
      </c>
      <c r="I777" s="8">
        <f>CHOOSE( CONTROL!$C$32, 23.3697, 23.3662) * CHOOSE(CONTROL!$C$15, $D$11, 100%, $F$11)</f>
        <v>23.369700000000002</v>
      </c>
      <c r="J777" s="4">
        <f>CHOOSE( CONTROL!$C$32, 23.2166, 23.213) * CHOOSE(CONTROL!$C$15, $D$11, 100%, $F$11)</f>
        <v>23.2166</v>
      </c>
      <c r="K777" s="4"/>
      <c r="L777" s="9">
        <v>30.7165</v>
      </c>
      <c r="M777" s="9">
        <v>12.063700000000001</v>
      </c>
      <c r="N777" s="9">
        <v>4.9444999999999997</v>
      </c>
      <c r="O777" s="9">
        <v>0.37409999999999999</v>
      </c>
      <c r="P777" s="9">
        <v>1.2183999999999999</v>
      </c>
      <c r="Q777" s="9">
        <v>19.688099999999999</v>
      </c>
      <c r="R777" s="9"/>
      <c r="S777" s="11"/>
    </row>
    <row r="778" spans="1:19" ht="15.75">
      <c r="A778" s="13">
        <v>65196</v>
      </c>
      <c r="B778" s="8">
        <f>CHOOSE( CONTROL!$C$32, 23.5489, 23.5452) * CHOOSE(CONTROL!$C$15, $D$11, 100%, $F$11)</f>
        <v>23.5489</v>
      </c>
      <c r="C778" s="8">
        <f>CHOOSE( CONTROL!$C$32, 23.5569, 23.5532) * CHOOSE(CONTROL!$C$15, $D$11, 100%, $F$11)</f>
        <v>23.556899999999999</v>
      </c>
      <c r="D778" s="8">
        <f>CHOOSE( CONTROL!$C$32, 23.5948, 23.5912) * CHOOSE( CONTROL!$C$15, $D$11, 100%, $F$11)</f>
        <v>23.594799999999999</v>
      </c>
      <c r="E778" s="12">
        <f>CHOOSE( CONTROL!$C$32, 23.5798, 23.5762) * CHOOSE( CONTROL!$C$15, $D$11, 100%, $F$11)</f>
        <v>23.579799999999999</v>
      </c>
      <c r="F778" s="4">
        <f>CHOOSE( CONTROL!$C$32, 24.2919, 24.2882) * CHOOSE(CONTROL!$C$15, $D$11, 100%, $F$11)</f>
        <v>24.291899999999998</v>
      </c>
      <c r="G778" s="8">
        <f>CHOOSE( CONTROL!$C$32, 23.2793, 23.2757) * CHOOSE( CONTROL!$C$15, $D$11, 100%, $F$11)</f>
        <v>23.279299999999999</v>
      </c>
      <c r="H778" s="4">
        <f>CHOOSE( CONTROL!$C$32, 24.254, 24.2504) * CHOOSE(CONTROL!$C$15, $D$11, 100%, $F$11)</f>
        <v>24.254000000000001</v>
      </c>
      <c r="I778" s="8">
        <f>CHOOSE( CONTROL!$C$32, 22.9974, 22.9938) * CHOOSE(CONTROL!$C$15, $D$11, 100%, $F$11)</f>
        <v>22.997399999999999</v>
      </c>
      <c r="J778" s="4">
        <f>CHOOSE( CONTROL!$C$32, 22.8434, 22.8398) * CHOOSE(CONTROL!$C$15, $D$11, 100%, $F$11)</f>
        <v>22.843399999999999</v>
      </c>
      <c r="K778" s="4"/>
      <c r="L778" s="9">
        <v>29.7257</v>
      </c>
      <c r="M778" s="9">
        <v>11.6745</v>
      </c>
      <c r="N778" s="9">
        <v>4.7850000000000001</v>
      </c>
      <c r="O778" s="9">
        <v>0.36199999999999999</v>
      </c>
      <c r="P778" s="9">
        <v>1.1791</v>
      </c>
      <c r="Q778" s="9">
        <v>19.053000000000001</v>
      </c>
      <c r="R778" s="9"/>
      <c r="S778" s="11"/>
    </row>
    <row r="779" spans="1:19" ht="15.75">
      <c r="A779" s="13">
        <v>65227</v>
      </c>
      <c r="B779" s="8">
        <f>CHOOSE( CONTROL!$C$32, 24.5616, 24.5579) * CHOOSE(CONTROL!$C$15, $D$11, 100%, $F$11)</f>
        <v>24.561599999999999</v>
      </c>
      <c r="C779" s="8">
        <f>CHOOSE( CONTROL!$C$32, 24.5695, 24.5659) * CHOOSE(CONTROL!$C$15, $D$11, 100%, $F$11)</f>
        <v>24.569500000000001</v>
      </c>
      <c r="D779" s="8">
        <f>CHOOSE( CONTROL!$C$32, 24.6077, 24.6041) * CHOOSE( CONTROL!$C$15, $D$11, 100%, $F$11)</f>
        <v>24.607700000000001</v>
      </c>
      <c r="E779" s="12">
        <f>CHOOSE( CONTROL!$C$32, 24.5927, 24.589) * CHOOSE( CONTROL!$C$15, $D$11, 100%, $F$11)</f>
        <v>24.592700000000001</v>
      </c>
      <c r="F779" s="4">
        <f>CHOOSE( CONTROL!$C$32, 25.3046, 25.3009) * CHOOSE(CONTROL!$C$15, $D$11, 100%, $F$11)</f>
        <v>25.304600000000001</v>
      </c>
      <c r="G779" s="8">
        <f>CHOOSE( CONTROL!$C$32, 24.2805, 24.2769) * CHOOSE( CONTROL!$C$15, $D$11, 100%, $F$11)</f>
        <v>24.2805</v>
      </c>
      <c r="H779" s="4">
        <f>CHOOSE( CONTROL!$C$32, 25.2549, 25.2513) * CHOOSE(CONTROL!$C$15, $D$11, 100%, $F$11)</f>
        <v>25.254899999999999</v>
      </c>
      <c r="I779" s="8">
        <f>CHOOSE( CONTROL!$C$32, 23.9818, 23.9783) * CHOOSE(CONTROL!$C$15, $D$11, 100%, $F$11)</f>
        <v>23.9818</v>
      </c>
      <c r="J779" s="4">
        <f>CHOOSE( CONTROL!$C$32, 23.8262, 23.8226) * CHOOSE(CONTROL!$C$15, $D$11, 100%, $F$11)</f>
        <v>23.8262</v>
      </c>
      <c r="K779" s="4"/>
      <c r="L779" s="9">
        <v>30.7165</v>
      </c>
      <c r="M779" s="9">
        <v>12.063700000000001</v>
      </c>
      <c r="N779" s="9">
        <v>4.9444999999999997</v>
      </c>
      <c r="O779" s="9">
        <v>0.37409999999999999</v>
      </c>
      <c r="P779" s="9">
        <v>1.2183999999999999</v>
      </c>
      <c r="Q779" s="9">
        <v>19.688099999999999</v>
      </c>
      <c r="R779" s="9"/>
      <c r="S779" s="11"/>
    </row>
    <row r="780" spans="1:19" ht="15.75">
      <c r="A780" s="13">
        <v>65258</v>
      </c>
      <c r="B780" s="8">
        <f>CHOOSE( CONTROL!$C$32, 22.6667, 22.6631) * CHOOSE(CONTROL!$C$15, $D$11, 100%, $F$11)</f>
        <v>22.666699999999999</v>
      </c>
      <c r="C780" s="8">
        <f>CHOOSE( CONTROL!$C$32, 22.6747, 22.6711) * CHOOSE(CONTROL!$C$15, $D$11, 100%, $F$11)</f>
        <v>22.674700000000001</v>
      </c>
      <c r="D780" s="8">
        <f>CHOOSE( CONTROL!$C$32, 22.713, 22.7093) * CHOOSE( CONTROL!$C$15, $D$11, 100%, $F$11)</f>
        <v>22.713000000000001</v>
      </c>
      <c r="E780" s="12">
        <f>CHOOSE( CONTROL!$C$32, 22.6979, 22.6942) * CHOOSE( CONTROL!$C$15, $D$11, 100%, $F$11)</f>
        <v>22.697900000000001</v>
      </c>
      <c r="F780" s="4">
        <f>CHOOSE( CONTROL!$C$32, 23.4097, 23.4061) * CHOOSE(CONTROL!$C$15, $D$11, 100%, $F$11)</f>
        <v>23.409700000000001</v>
      </c>
      <c r="G780" s="8">
        <f>CHOOSE( CONTROL!$C$32, 22.408, 22.4044) * CHOOSE( CONTROL!$C$15, $D$11, 100%, $F$11)</f>
        <v>22.408000000000001</v>
      </c>
      <c r="H780" s="4">
        <f>CHOOSE( CONTROL!$C$32, 23.3822, 23.3786) * CHOOSE(CONTROL!$C$15, $D$11, 100%, $F$11)</f>
        <v>23.382200000000001</v>
      </c>
      <c r="I780" s="8">
        <f>CHOOSE( CONTROL!$C$32, 22.1422, 22.1387) * CHOOSE(CONTROL!$C$15, $D$11, 100%, $F$11)</f>
        <v>22.142199999999999</v>
      </c>
      <c r="J780" s="4">
        <f>CHOOSE( CONTROL!$C$32, 21.9872, 21.9837) * CHOOSE(CONTROL!$C$15, $D$11, 100%, $F$11)</f>
        <v>21.987200000000001</v>
      </c>
      <c r="K780" s="4"/>
      <c r="L780" s="9">
        <v>30.7165</v>
      </c>
      <c r="M780" s="9">
        <v>12.063700000000001</v>
      </c>
      <c r="N780" s="9">
        <v>4.9444999999999997</v>
      </c>
      <c r="O780" s="9">
        <v>0.37409999999999999</v>
      </c>
      <c r="P780" s="9">
        <v>1.2183999999999999</v>
      </c>
      <c r="Q780" s="9">
        <v>19.688099999999999</v>
      </c>
      <c r="R780" s="9"/>
      <c r="S780" s="11"/>
    </row>
    <row r="781" spans="1:19" ht="15.75">
      <c r="A781" s="13">
        <v>65288</v>
      </c>
      <c r="B781" s="8">
        <f>CHOOSE( CONTROL!$C$32, 22.1922, 22.1886) * CHOOSE(CONTROL!$C$15, $D$11, 100%, $F$11)</f>
        <v>22.1922</v>
      </c>
      <c r="C781" s="8">
        <f>CHOOSE( CONTROL!$C$32, 22.2002, 22.1966) * CHOOSE(CONTROL!$C$15, $D$11, 100%, $F$11)</f>
        <v>22.200199999999999</v>
      </c>
      <c r="D781" s="8">
        <f>CHOOSE( CONTROL!$C$32, 22.2384, 22.2347) * CHOOSE( CONTROL!$C$15, $D$11, 100%, $F$11)</f>
        <v>22.238399999999999</v>
      </c>
      <c r="E781" s="12">
        <f>CHOOSE( CONTROL!$C$32, 22.2233, 22.2197) * CHOOSE( CONTROL!$C$15, $D$11, 100%, $F$11)</f>
        <v>22.223299999999998</v>
      </c>
      <c r="F781" s="4">
        <f>CHOOSE( CONTROL!$C$32, 22.9352, 22.9316) * CHOOSE(CONTROL!$C$15, $D$11, 100%, $F$11)</f>
        <v>22.935199999999998</v>
      </c>
      <c r="G781" s="8">
        <f>CHOOSE( CONTROL!$C$32, 21.9389, 21.9353) * CHOOSE( CONTROL!$C$15, $D$11, 100%, $F$11)</f>
        <v>21.9389</v>
      </c>
      <c r="H781" s="4">
        <f>CHOOSE( CONTROL!$C$32, 22.9133, 22.9097) * CHOOSE(CONTROL!$C$15, $D$11, 100%, $F$11)</f>
        <v>22.9133</v>
      </c>
      <c r="I781" s="8">
        <f>CHOOSE( CONTROL!$C$32, 21.6811, 21.6776) * CHOOSE(CONTROL!$C$15, $D$11, 100%, $F$11)</f>
        <v>21.681100000000001</v>
      </c>
      <c r="J781" s="4">
        <f>CHOOSE( CONTROL!$C$32, 21.5267, 21.5232) * CHOOSE(CONTROL!$C$15, $D$11, 100%, $F$11)</f>
        <v>21.526700000000002</v>
      </c>
      <c r="K781" s="4"/>
      <c r="L781" s="9">
        <v>29.7257</v>
      </c>
      <c r="M781" s="9">
        <v>11.6745</v>
      </c>
      <c r="N781" s="9">
        <v>4.7850000000000001</v>
      </c>
      <c r="O781" s="9">
        <v>0.36199999999999999</v>
      </c>
      <c r="P781" s="9">
        <v>1.1791</v>
      </c>
      <c r="Q781" s="9">
        <v>19.053000000000001</v>
      </c>
      <c r="R781" s="9"/>
      <c r="S781" s="11"/>
    </row>
    <row r="782" spans="1:19" ht="15.75">
      <c r="A782" s="13">
        <v>65319</v>
      </c>
      <c r="B782" s="8">
        <f>23.1721 * CHOOSE(CONTROL!$C$15, $D$11, 100%, $F$11)</f>
        <v>23.1721</v>
      </c>
      <c r="C782" s="8">
        <f>23.1774 * CHOOSE(CONTROL!$C$15, $D$11, 100%, $F$11)</f>
        <v>23.177399999999999</v>
      </c>
      <c r="D782" s="8">
        <f>23.2209 * CHOOSE( CONTROL!$C$15, $D$11, 100%, $F$11)</f>
        <v>23.2209</v>
      </c>
      <c r="E782" s="12">
        <f>23.206 * CHOOSE( CONTROL!$C$15, $D$11, 100%, $F$11)</f>
        <v>23.206</v>
      </c>
      <c r="F782" s="4">
        <f>23.9168 * CHOOSE(CONTROL!$C$15, $D$11, 100%, $F$11)</f>
        <v>23.916799999999999</v>
      </c>
      <c r="G782" s="8">
        <f>22.9085 * CHOOSE( CONTROL!$C$15, $D$11, 100%, $F$11)</f>
        <v>22.9085</v>
      </c>
      <c r="H782" s="4">
        <f>23.8834 * CHOOSE(CONTROL!$C$15, $D$11, 100%, $F$11)</f>
        <v>23.883400000000002</v>
      </c>
      <c r="I782" s="8">
        <f>22.635 * CHOOSE(CONTROL!$C$15, $D$11, 100%, $F$11)</f>
        <v>22.635000000000002</v>
      </c>
      <c r="J782" s="4">
        <f>22.4793 * CHOOSE(CONTROL!$C$15, $D$11, 100%, $F$11)</f>
        <v>22.479299999999999</v>
      </c>
      <c r="K782" s="4"/>
      <c r="L782" s="9">
        <v>31.095300000000002</v>
      </c>
      <c r="M782" s="9">
        <v>12.063700000000001</v>
      </c>
      <c r="N782" s="9">
        <v>4.9444999999999997</v>
      </c>
      <c r="O782" s="9">
        <v>0.37409999999999999</v>
      </c>
      <c r="P782" s="9">
        <v>1.2183999999999999</v>
      </c>
      <c r="Q782" s="9">
        <v>19.688099999999999</v>
      </c>
      <c r="R782" s="9"/>
      <c r="S782" s="11"/>
    </row>
    <row r="783" spans="1:19" ht="15.75">
      <c r="A783" s="13">
        <v>65349</v>
      </c>
      <c r="B783" s="8">
        <f>24.9901 * CHOOSE(CONTROL!$C$15, $D$11, 100%, $F$11)</f>
        <v>24.990100000000002</v>
      </c>
      <c r="C783" s="8">
        <f>24.9952 * CHOOSE(CONTROL!$C$15, $D$11, 100%, $F$11)</f>
        <v>24.995200000000001</v>
      </c>
      <c r="D783" s="8">
        <f>24.9789 * CHOOSE( CONTROL!$C$15, $D$11, 100%, $F$11)</f>
        <v>24.978899999999999</v>
      </c>
      <c r="E783" s="12">
        <f>24.9843 * CHOOSE( CONTROL!$C$15, $D$11, 100%, $F$11)</f>
        <v>24.984300000000001</v>
      </c>
      <c r="F783" s="4">
        <f>25.6554 * CHOOSE(CONTROL!$C$15, $D$11, 100%, $F$11)</f>
        <v>25.6554</v>
      </c>
      <c r="G783" s="8">
        <f>24.7062 * CHOOSE( CONTROL!$C$15, $D$11, 100%, $F$11)</f>
        <v>24.706199999999999</v>
      </c>
      <c r="H783" s="4">
        <f>25.6016 * CHOOSE(CONTROL!$C$15, $D$11, 100%, $F$11)</f>
        <v>25.601600000000001</v>
      </c>
      <c r="I783" s="8">
        <f>24.4008 * CHOOSE(CONTROL!$C$15, $D$11, 100%, $F$11)</f>
        <v>24.4008</v>
      </c>
      <c r="J783" s="4">
        <f>24.2442 * CHOOSE(CONTROL!$C$15, $D$11, 100%, $F$11)</f>
        <v>24.244199999999999</v>
      </c>
      <c r="K783" s="4"/>
      <c r="L783" s="9">
        <v>28.360600000000002</v>
      </c>
      <c r="M783" s="9">
        <v>11.6745</v>
      </c>
      <c r="N783" s="9">
        <v>4.7850000000000001</v>
      </c>
      <c r="O783" s="9">
        <v>0.36199999999999999</v>
      </c>
      <c r="P783" s="9">
        <v>1.2509999999999999</v>
      </c>
      <c r="Q783" s="9">
        <v>19.053000000000001</v>
      </c>
      <c r="R783" s="9"/>
      <c r="S783" s="11"/>
    </row>
    <row r="784" spans="1:19" ht="15.75">
      <c r="A784" s="13">
        <v>65380</v>
      </c>
      <c r="B784" s="8">
        <f>24.9447 * CHOOSE(CONTROL!$C$15, $D$11, 100%, $F$11)</f>
        <v>24.944700000000001</v>
      </c>
      <c r="C784" s="8">
        <f>24.9498 * CHOOSE(CONTROL!$C$15, $D$11, 100%, $F$11)</f>
        <v>24.9498</v>
      </c>
      <c r="D784" s="8">
        <f>24.9352 * CHOOSE( CONTROL!$C$15, $D$11, 100%, $F$11)</f>
        <v>24.935199999999998</v>
      </c>
      <c r="E784" s="12">
        <f>24.94 * CHOOSE( CONTROL!$C$15, $D$11, 100%, $F$11)</f>
        <v>24.94</v>
      </c>
      <c r="F784" s="4">
        <f>25.61 * CHOOSE(CONTROL!$C$15, $D$11, 100%, $F$11)</f>
        <v>25.61</v>
      </c>
      <c r="G784" s="8">
        <f>24.6626 * CHOOSE( CONTROL!$C$15, $D$11, 100%, $F$11)</f>
        <v>24.662600000000001</v>
      </c>
      <c r="H784" s="4">
        <f>25.5567 * CHOOSE(CONTROL!$C$15, $D$11, 100%, $F$11)</f>
        <v>25.556699999999999</v>
      </c>
      <c r="I784" s="8">
        <f>24.3621 * CHOOSE(CONTROL!$C$15, $D$11, 100%, $F$11)</f>
        <v>24.362100000000002</v>
      </c>
      <c r="J784" s="4">
        <f>24.2001 * CHOOSE(CONTROL!$C$15, $D$11, 100%, $F$11)</f>
        <v>24.200099999999999</v>
      </c>
      <c r="K784" s="4"/>
      <c r="L784" s="9">
        <v>29.306000000000001</v>
      </c>
      <c r="M784" s="9">
        <v>12.063700000000001</v>
      </c>
      <c r="N784" s="9">
        <v>4.9444999999999997</v>
      </c>
      <c r="O784" s="9">
        <v>0.37409999999999999</v>
      </c>
      <c r="P784" s="9">
        <v>1.2927</v>
      </c>
      <c r="Q784" s="9">
        <v>19.688099999999999</v>
      </c>
      <c r="R784" s="9"/>
      <c r="S784" s="11"/>
    </row>
    <row r="785" spans="1:19" ht="15.75">
      <c r="A785" s="13">
        <v>65411</v>
      </c>
      <c r="B785" s="8">
        <f>25.6802 * CHOOSE(CONTROL!$C$15, $D$11, 100%, $F$11)</f>
        <v>25.680199999999999</v>
      </c>
      <c r="C785" s="8">
        <f>25.6853 * CHOOSE(CONTROL!$C$15, $D$11, 100%, $F$11)</f>
        <v>25.685300000000002</v>
      </c>
      <c r="D785" s="8">
        <f>25.6564 * CHOOSE( CONTROL!$C$15, $D$11, 100%, $F$11)</f>
        <v>25.656400000000001</v>
      </c>
      <c r="E785" s="12">
        <f>25.6664 * CHOOSE( CONTROL!$C$15, $D$11, 100%, $F$11)</f>
        <v>25.666399999999999</v>
      </c>
      <c r="F785" s="4">
        <f>26.3455 * CHOOSE(CONTROL!$C$15, $D$11, 100%, $F$11)</f>
        <v>26.345500000000001</v>
      </c>
      <c r="G785" s="8">
        <f>25.3792 * CHOOSE( CONTROL!$C$15, $D$11, 100%, $F$11)</f>
        <v>25.379200000000001</v>
      </c>
      <c r="H785" s="4">
        <f>26.2836 * CHOOSE(CONTROL!$C$15, $D$11, 100%, $F$11)</f>
        <v>26.2836</v>
      </c>
      <c r="I785" s="8">
        <f>25.0709 * CHOOSE(CONTROL!$C$15, $D$11, 100%, $F$11)</f>
        <v>25.070900000000002</v>
      </c>
      <c r="J785" s="4">
        <f>24.9139 * CHOOSE(CONTROL!$C$15, $D$11, 100%, $F$11)</f>
        <v>24.913900000000002</v>
      </c>
      <c r="K785" s="4"/>
      <c r="L785" s="9">
        <v>29.306000000000001</v>
      </c>
      <c r="M785" s="9">
        <v>12.063700000000001</v>
      </c>
      <c r="N785" s="9">
        <v>4.9444999999999997</v>
      </c>
      <c r="O785" s="9">
        <v>0.37409999999999999</v>
      </c>
      <c r="P785" s="9">
        <v>1.2927</v>
      </c>
      <c r="Q785" s="9">
        <v>19.688099999999999</v>
      </c>
      <c r="R785" s="9"/>
      <c r="S785" s="11"/>
    </row>
    <row r="786" spans="1:19" ht="15.75">
      <c r="A786" s="13">
        <v>65439</v>
      </c>
      <c r="B786" s="8">
        <f>24.0206 * CHOOSE(CONTROL!$C$15, $D$11, 100%, $F$11)</f>
        <v>24.020600000000002</v>
      </c>
      <c r="C786" s="8">
        <f>24.0257 * CHOOSE(CONTROL!$C$15, $D$11, 100%, $F$11)</f>
        <v>24.025700000000001</v>
      </c>
      <c r="D786" s="8">
        <f>23.9968 * CHOOSE( CONTROL!$C$15, $D$11, 100%, $F$11)</f>
        <v>23.9968</v>
      </c>
      <c r="E786" s="12">
        <f>24.0068 * CHOOSE( CONTROL!$C$15, $D$11, 100%, $F$11)</f>
        <v>24.006799999999998</v>
      </c>
      <c r="F786" s="4">
        <f>24.6859 * CHOOSE(CONTROL!$C$15, $D$11, 100%, $F$11)</f>
        <v>24.6859</v>
      </c>
      <c r="G786" s="8">
        <f>23.739 * CHOOSE( CONTROL!$C$15, $D$11, 100%, $F$11)</f>
        <v>23.739000000000001</v>
      </c>
      <c r="H786" s="4">
        <f>24.6435 * CHOOSE(CONTROL!$C$15, $D$11, 100%, $F$11)</f>
        <v>24.6435</v>
      </c>
      <c r="I786" s="8">
        <f>23.4594 * CHOOSE(CONTROL!$C$15, $D$11, 100%, $F$11)</f>
        <v>23.459399999999999</v>
      </c>
      <c r="J786" s="4">
        <f>23.3033 * CHOOSE(CONTROL!$C$15, $D$11, 100%, $F$11)</f>
        <v>23.3033</v>
      </c>
      <c r="K786" s="4"/>
      <c r="L786" s="9">
        <v>26.469899999999999</v>
      </c>
      <c r="M786" s="9">
        <v>10.8962</v>
      </c>
      <c r="N786" s="9">
        <v>4.4660000000000002</v>
      </c>
      <c r="O786" s="9">
        <v>0.33789999999999998</v>
      </c>
      <c r="P786" s="9">
        <v>1.1676</v>
      </c>
      <c r="Q786" s="9">
        <v>17.782800000000002</v>
      </c>
      <c r="R786" s="9"/>
      <c r="S786" s="11"/>
    </row>
    <row r="787" spans="1:19" ht="15.75">
      <c r="A787" s="13">
        <v>65470</v>
      </c>
      <c r="B787" s="8">
        <f>23.5095 * CHOOSE(CONTROL!$C$15, $D$11, 100%, $F$11)</f>
        <v>23.509499999999999</v>
      </c>
      <c r="C787" s="8">
        <f>23.5146 * CHOOSE(CONTROL!$C$15, $D$11, 100%, $F$11)</f>
        <v>23.514600000000002</v>
      </c>
      <c r="D787" s="8">
        <f>23.4853 * CHOOSE( CONTROL!$C$15, $D$11, 100%, $F$11)</f>
        <v>23.485299999999999</v>
      </c>
      <c r="E787" s="12">
        <f>23.4955 * CHOOSE( CONTROL!$C$15, $D$11, 100%, $F$11)</f>
        <v>23.4955</v>
      </c>
      <c r="F787" s="4">
        <f>24.1748 * CHOOSE(CONTROL!$C$15, $D$11, 100%, $F$11)</f>
        <v>24.174800000000001</v>
      </c>
      <c r="G787" s="8">
        <f>23.2336 * CHOOSE( CONTROL!$C$15, $D$11, 100%, $F$11)</f>
        <v>23.233599999999999</v>
      </c>
      <c r="H787" s="4">
        <f>24.1383 * CHOOSE(CONTROL!$C$15, $D$11, 100%, $F$11)</f>
        <v>24.138300000000001</v>
      </c>
      <c r="I787" s="8">
        <f>22.9618 * CHOOSE(CONTROL!$C$15, $D$11, 100%, $F$11)</f>
        <v>22.9618</v>
      </c>
      <c r="J787" s="4">
        <f>22.8072 * CHOOSE(CONTROL!$C$15, $D$11, 100%, $F$11)</f>
        <v>22.807200000000002</v>
      </c>
      <c r="K787" s="4"/>
      <c r="L787" s="9">
        <v>29.306000000000001</v>
      </c>
      <c r="M787" s="9">
        <v>12.063700000000001</v>
      </c>
      <c r="N787" s="9">
        <v>4.9444999999999997</v>
      </c>
      <c r="O787" s="9">
        <v>0.37409999999999999</v>
      </c>
      <c r="P787" s="9">
        <v>1.2927</v>
      </c>
      <c r="Q787" s="9">
        <v>19.688099999999999</v>
      </c>
      <c r="R787" s="9"/>
      <c r="S787" s="11"/>
    </row>
    <row r="788" spans="1:19" ht="15.75">
      <c r="A788" s="13">
        <v>65500</v>
      </c>
      <c r="B788" s="8">
        <f>23.8674 * CHOOSE(CONTROL!$C$15, $D$11, 100%, $F$11)</f>
        <v>23.8674</v>
      </c>
      <c r="C788" s="8">
        <f>23.8719 * CHOOSE(CONTROL!$C$15, $D$11, 100%, $F$11)</f>
        <v>23.8719</v>
      </c>
      <c r="D788" s="8">
        <f>23.9153 * CHOOSE( CONTROL!$C$15, $D$11, 100%, $F$11)</f>
        <v>23.915299999999998</v>
      </c>
      <c r="E788" s="12">
        <f>23.9005 * CHOOSE( CONTROL!$C$15, $D$11, 100%, $F$11)</f>
        <v>23.900500000000001</v>
      </c>
      <c r="F788" s="4">
        <f>24.6118 * CHOOSE(CONTROL!$C$15, $D$11, 100%, $F$11)</f>
        <v>24.611799999999999</v>
      </c>
      <c r="G788" s="8">
        <f>23.5944 * CHOOSE( CONTROL!$C$15, $D$11, 100%, $F$11)</f>
        <v>23.5944</v>
      </c>
      <c r="H788" s="4">
        <f>24.5702 * CHOOSE(CONTROL!$C$15, $D$11, 100%, $F$11)</f>
        <v>24.5702</v>
      </c>
      <c r="I788" s="8">
        <f>23.3068 * CHOOSE(CONTROL!$C$15, $D$11, 100%, $F$11)</f>
        <v>23.306799999999999</v>
      </c>
      <c r="J788" s="4">
        <f>23.1538 * CHOOSE(CONTROL!$C$15, $D$11, 100%, $F$11)</f>
        <v>23.1538</v>
      </c>
      <c r="K788" s="4"/>
      <c r="L788" s="9">
        <v>30.092199999999998</v>
      </c>
      <c r="M788" s="9">
        <v>11.6745</v>
      </c>
      <c r="N788" s="9">
        <v>4.7850000000000001</v>
      </c>
      <c r="O788" s="9">
        <v>0.36199999999999999</v>
      </c>
      <c r="P788" s="9">
        <v>1.1791</v>
      </c>
      <c r="Q788" s="9">
        <v>19.053000000000001</v>
      </c>
      <c r="R788" s="9"/>
      <c r="S788" s="11"/>
    </row>
    <row r="789" spans="1:19" ht="15.75">
      <c r="A789" s="13">
        <v>65531</v>
      </c>
      <c r="B789" s="8">
        <f>CHOOSE( CONTROL!$C$32, 24.5081, 24.5045) * CHOOSE(CONTROL!$C$15, $D$11, 100%, $F$11)</f>
        <v>24.508099999999999</v>
      </c>
      <c r="C789" s="8">
        <f>CHOOSE( CONTROL!$C$32, 24.5161, 24.5125) * CHOOSE(CONTROL!$C$15, $D$11, 100%, $F$11)</f>
        <v>24.516100000000002</v>
      </c>
      <c r="D789" s="8">
        <f>CHOOSE( CONTROL!$C$32, 24.5538, 24.5502) * CHOOSE( CONTROL!$C$15, $D$11, 100%, $F$11)</f>
        <v>24.553799999999999</v>
      </c>
      <c r="E789" s="12">
        <f>CHOOSE( CONTROL!$C$32, 24.5389, 24.5353) * CHOOSE( CONTROL!$C$15, $D$11, 100%, $F$11)</f>
        <v>24.538900000000002</v>
      </c>
      <c r="F789" s="4">
        <f>CHOOSE( CONTROL!$C$32, 25.2511, 25.2475) * CHOOSE(CONTROL!$C$15, $D$11, 100%, $F$11)</f>
        <v>25.251100000000001</v>
      </c>
      <c r="G789" s="8">
        <f>CHOOSE( CONTROL!$C$32, 24.227, 24.2234) * CHOOSE( CONTROL!$C$15, $D$11, 100%, $F$11)</f>
        <v>24.227</v>
      </c>
      <c r="H789" s="4">
        <f>CHOOSE( CONTROL!$C$32, 25.2021, 25.1985) * CHOOSE(CONTROL!$C$15, $D$11, 100%, $F$11)</f>
        <v>25.202100000000002</v>
      </c>
      <c r="I789" s="8">
        <f>CHOOSE( CONTROL!$C$32, 23.9278, 23.9242) * CHOOSE(CONTROL!$C$15, $D$11, 100%, $F$11)</f>
        <v>23.927800000000001</v>
      </c>
      <c r="J789" s="4">
        <f>CHOOSE( CONTROL!$C$32, 23.7743, 23.7708) * CHOOSE(CONTROL!$C$15, $D$11, 100%, $F$11)</f>
        <v>23.7743</v>
      </c>
      <c r="K789" s="4"/>
      <c r="L789" s="9">
        <v>30.7165</v>
      </c>
      <c r="M789" s="9">
        <v>12.063700000000001</v>
      </c>
      <c r="N789" s="9">
        <v>4.9444999999999997</v>
      </c>
      <c r="O789" s="9">
        <v>0.37409999999999999</v>
      </c>
      <c r="P789" s="9">
        <v>1.2183999999999999</v>
      </c>
      <c r="Q789" s="9">
        <v>19.688099999999999</v>
      </c>
      <c r="R789" s="9"/>
      <c r="S789" s="11"/>
    </row>
    <row r="790" spans="1:19" ht="15.75">
      <c r="A790" s="13">
        <v>65561</v>
      </c>
      <c r="B790" s="8">
        <f>CHOOSE( CONTROL!$C$32, 24.1143, 24.1107) * CHOOSE(CONTROL!$C$15, $D$11, 100%, $F$11)</f>
        <v>24.1143</v>
      </c>
      <c r="C790" s="8">
        <f>CHOOSE( CONTROL!$C$32, 24.1223, 24.1187) * CHOOSE(CONTROL!$C$15, $D$11, 100%, $F$11)</f>
        <v>24.122299999999999</v>
      </c>
      <c r="D790" s="8">
        <f>CHOOSE( CONTROL!$C$32, 24.1603, 24.1566) * CHOOSE( CONTROL!$C$15, $D$11, 100%, $F$11)</f>
        <v>24.160299999999999</v>
      </c>
      <c r="E790" s="12">
        <f>CHOOSE( CONTROL!$C$32, 24.1453, 24.1416) * CHOOSE( CONTROL!$C$15, $D$11, 100%, $F$11)</f>
        <v>24.145299999999999</v>
      </c>
      <c r="F790" s="4">
        <f>CHOOSE( CONTROL!$C$32, 24.8573, 24.8537) * CHOOSE(CONTROL!$C$15, $D$11, 100%, $F$11)</f>
        <v>24.857299999999999</v>
      </c>
      <c r="G790" s="8">
        <f>CHOOSE( CONTROL!$C$32, 23.8382, 23.8346) * CHOOSE( CONTROL!$C$15, $D$11, 100%, $F$11)</f>
        <v>23.838200000000001</v>
      </c>
      <c r="H790" s="4">
        <f>CHOOSE( CONTROL!$C$32, 24.8129, 24.8093) * CHOOSE(CONTROL!$C$15, $D$11, 100%, $F$11)</f>
        <v>24.812899999999999</v>
      </c>
      <c r="I790" s="8">
        <f>CHOOSE( CONTROL!$C$32, 23.5464, 23.5429) * CHOOSE(CONTROL!$C$15, $D$11, 100%, $F$11)</f>
        <v>23.546399999999998</v>
      </c>
      <c r="J790" s="4">
        <f>CHOOSE( CONTROL!$C$32, 23.3921, 23.3886) * CHOOSE(CONTROL!$C$15, $D$11, 100%, $F$11)</f>
        <v>23.392099999999999</v>
      </c>
      <c r="K790" s="4"/>
      <c r="L790" s="9">
        <v>29.7257</v>
      </c>
      <c r="M790" s="9">
        <v>11.6745</v>
      </c>
      <c r="N790" s="9">
        <v>4.7850000000000001</v>
      </c>
      <c r="O790" s="9">
        <v>0.36199999999999999</v>
      </c>
      <c r="P790" s="9">
        <v>1.1791</v>
      </c>
      <c r="Q790" s="9">
        <v>19.053000000000001</v>
      </c>
      <c r="R790" s="9"/>
      <c r="S790" s="11"/>
    </row>
    <row r="791" spans="1:19" ht="15.75">
      <c r="A791" s="13">
        <v>65592</v>
      </c>
      <c r="B791" s="8">
        <f>CHOOSE( CONTROL!$C$32, 25.1514, 25.1477) * CHOOSE(CONTROL!$C$15, $D$11, 100%, $F$11)</f>
        <v>25.151399999999999</v>
      </c>
      <c r="C791" s="8">
        <f>CHOOSE( CONTROL!$C$32, 25.1593, 25.1557) * CHOOSE(CONTROL!$C$15, $D$11, 100%, $F$11)</f>
        <v>25.159300000000002</v>
      </c>
      <c r="D791" s="8">
        <f>CHOOSE( CONTROL!$C$32, 25.1975, 25.1939) * CHOOSE( CONTROL!$C$15, $D$11, 100%, $F$11)</f>
        <v>25.197500000000002</v>
      </c>
      <c r="E791" s="12">
        <f>CHOOSE( CONTROL!$C$32, 25.1825, 25.1788) * CHOOSE( CONTROL!$C$15, $D$11, 100%, $F$11)</f>
        <v>25.182500000000001</v>
      </c>
      <c r="F791" s="4">
        <f>CHOOSE( CONTROL!$C$32, 25.8944, 25.8907) * CHOOSE(CONTROL!$C$15, $D$11, 100%, $F$11)</f>
        <v>25.894400000000001</v>
      </c>
      <c r="G791" s="8">
        <f>CHOOSE( CONTROL!$C$32, 24.8634, 24.8598) * CHOOSE( CONTROL!$C$15, $D$11, 100%, $F$11)</f>
        <v>24.863399999999999</v>
      </c>
      <c r="H791" s="4">
        <f>CHOOSE( CONTROL!$C$32, 25.8378, 25.8342) * CHOOSE(CONTROL!$C$15, $D$11, 100%, $F$11)</f>
        <v>25.837800000000001</v>
      </c>
      <c r="I791" s="8">
        <f>CHOOSE( CONTROL!$C$32, 24.5545, 24.551) * CHOOSE(CONTROL!$C$15, $D$11, 100%, $F$11)</f>
        <v>24.554500000000001</v>
      </c>
      <c r="J791" s="4">
        <f>CHOOSE( CONTROL!$C$32, 24.3986, 24.395) * CHOOSE(CONTROL!$C$15, $D$11, 100%, $F$11)</f>
        <v>24.398599999999998</v>
      </c>
      <c r="K791" s="4"/>
      <c r="L791" s="9">
        <v>30.7165</v>
      </c>
      <c r="M791" s="9">
        <v>12.063700000000001</v>
      </c>
      <c r="N791" s="9">
        <v>4.9444999999999997</v>
      </c>
      <c r="O791" s="9">
        <v>0.37409999999999999</v>
      </c>
      <c r="P791" s="9">
        <v>1.2183999999999999</v>
      </c>
      <c r="Q791" s="9">
        <v>19.688099999999999</v>
      </c>
      <c r="R791" s="9"/>
      <c r="S791" s="11"/>
    </row>
    <row r="792" spans="1:19" ht="15.75">
      <c r="A792" s="13">
        <v>65623</v>
      </c>
      <c r="B792" s="8">
        <f>CHOOSE( CONTROL!$C$32, 23.211, 23.2074) * CHOOSE(CONTROL!$C$15, $D$11, 100%, $F$11)</f>
        <v>23.210999999999999</v>
      </c>
      <c r="C792" s="8">
        <f>CHOOSE( CONTROL!$C$32, 23.219, 23.2153) * CHOOSE(CONTROL!$C$15, $D$11, 100%, $F$11)</f>
        <v>23.219000000000001</v>
      </c>
      <c r="D792" s="8">
        <f>CHOOSE( CONTROL!$C$32, 23.2572, 23.2536) * CHOOSE( CONTROL!$C$15, $D$11, 100%, $F$11)</f>
        <v>23.257200000000001</v>
      </c>
      <c r="E792" s="12">
        <f>CHOOSE( CONTROL!$C$32, 23.2421, 23.2385) * CHOOSE( CONTROL!$C$15, $D$11, 100%, $F$11)</f>
        <v>23.242100000000001</v>
      </c>
      <c r="F792" s="4">
        <f>CHOOSE( CONTROL!$C$32, 23.954, 23.9504) * CHOOSE(CONTROL!$C$15, $D$11, 100%, $F$11)</f>
        <v>23.954000000000001</v>
      </c>
      <c r="G792" s="8">
        <f>CHOOSE( CONTROL!$C$32, 22.9459, 22.9423) * CHOOSE( CONTROL!$C$15, $D$11, 100%, $F$11)</f>
        <v>22.945900000000002</v>
      </c>
      <c r="H792" s="4">
        <f>CHOOSE( CONTROL!$C$32, 23.9201, 23.9165) * CHOOSE(CONTROL!$C$15, $D$11, 100%, $F$11)</f>
        <v>23.920100000000001</v>
      </c>
      <c r="I792" s="8">
        <f>CHOOSE( CONTROL!$C$32, 22.6707, 22.6672) * CHOOSE(CONTROL!$C$15, $D$11, 100%, $F$11)</f>
        <v>22.6707</v>
      </c>
      <c r="J792" s="4">
        <f>CHOOSE( CONTROL!$C$32, 22.5154, 22.5119) * CHOOSE(CONTROL!$C$15, $D$11, 100%, $F$11)</f>
        <v>22.5154</v>
      </c>
      <c r="K792" s="4"/>
      <c r="L792" s="9">
        <v>30.7165</v>
      </c>
      <c r="M792" s="9">
        <v>12.063700000000001</v>
      </c>
      <c r="N792" s="9">
        <v>4.9444999999999997</v>
      </c>
      <c r="O792" s="9">
        <v>0.37409999999999999</v>
      </c>
      <c r="P792" s="9">
        <v>1.2183999999999999</v>
      </c>
      <c r="Q792" s="9">
        <v>19.688099999999999</v>
      </c>
      <c r="R792" s="9"/>
      <c r="S792" s="11"/>
    </row>
    <row r="793" spans="1:19" ht="15.75">
      <c r="A793" s="13">
        <v>65653</v>
      </c>
      <c r="B793" s="8">
        <f>CHOOSE( CONTROL!$C$32, 22.7251, 22.7215) * CHOOSE(CONTROL!$C$15, $D$11, 100%, $F$11)</f>
        <v>22.725100000000001</v>
      </c>
      <c r="C793" s="8">
        <f>CHOOSE( CONTROL!$C$32, 22.7331, 22.7294) * CHOOSE(CONTROL!$C$15, $D$11, 100%, $F$11)</f>
        <v>22.7331</v>
      </c>
      <c r="D793" s="8">
        <f>CHOOSE( CONTROL!$C$32, 22.7713, 22.7676) * CHOOSE( CONTROL!$C$15, $D$11, 100%, $F$11)</f>
        <v>22.7713</v>
      </c>
      <c r="E793" s="12">
        <f>CHOOSE( CONTROL!$C$32, 22.7562, 22.7526) * CHOOSE( CONTROL!$C$15, $D$11, 100%, $F$11)</f>
        <v>22.7562</v>
      </c>
      <c r="F793" s="4">
        <f>CHOOSE( CONTROL!$C$32, 23.4681, 23.4645) * CHOOSE(CONTROL!$C$15, $D$11, 100%, $F$11)</f>
        <v>23.4681</v>
      </c>
      <c r="G793" s="8">
        <f>CHOOSE( CONTROL!$C$32, 22.4655, 22.4619) * CHOOSE( CONTROL!$C$15, $D$11, 100%, $F$11)</f>
        <v>22.465499999999999</v>
      </c>
      <c r="H793" s="4">
        <f>CHOOSE( CONTROL!$C$32, 23.4399, 23.4363) * CHOOSE(CONTROL!$C$15, $D$11, 100%, $F$11)</f>
        <v>23.439900000000002</v>
      </c>
      <c r="I793" s="8">
        <f>CHOOSE( CONTROL!$C$32, 22.1986, 22.195) * CHOOSE(CONTROL!$C$15, $D$11, 100%, $F$11)</f>
        <v>22.198599999999999</v>
      </c>
      <c r="J793" s="4">
        <f>CHOOSE( CONTROL!$C$32, 22.0439, 22.0404) * CHOOSE(CONTROL!$C$15, $D$11, 100%, $F$11)</f>
        <v>22.043900000000001</v>
      </c>
      <c r="K793" s="4"/>
      <c r="L793" s="9">
        <v>29.7257</v>
      </c>
      <c r="M793" s="9">
        <v>11.6745</v>
      </c>
      <c r="N793" s="9">
        <v>4.7850000000000001</v>
      </c>
      <c r="O793" s="9">
        <v>0.36199999999999999</v>
      </c>
      <c r="P793" s="9">
        <v>1.1791</v>
      </c>
      <c r="Q793" s="9">
        <v>19.053000000000001</v>
      </c>
      <c r="R793" s="9"/>
      <c r="S793" s="11"/>
    </row>
    <row r="794" spans="1:19" ht="15.75">
      <c r="A794" s="13">
        <v>65684</v>
      </c>
      <c r="B794" s="8">
        <f>23.7286 * CHOOSE(CONTROL!$C$15, $D$11, 100%, $F$11)</f>
        <v>23.7286</v>
      </c>
      <c r="C794" s="8">
        <f>23.7339 * CHOOSE(CONTROL!$C$15, $D$11, 100%, $F$11)</f>
        <v>23.733899999999998</v>
      </c>
      <c r="D794" s="8">
        <f>23.7775 * CHOOSE( CONTROL!$C$15, $D$11, 100%, $F$11)</f>
        <v>23.7775</v>
      </c>
      <c r="E794" s="12">
        <f>23.7625 * CHOOSE( CONTROL!$C$15, $D$11, 100%, $F$11)</f>
        <v>23.762499999999999</v>
      </c>
      <c r="F794" s="4">
        <f>24.4733 * CHOOSE(CONTROL!$C$15, $D$11, 100%, $F$11)</f>
        <v>24.473299999999998</v>
      </c>
      <c r="G794" s="8">
        <f>23.4585 * CHOOSE( CONTROL!$C$15, $D$11, 100%, $F$11)</f>
        <v>23.458500000000001</v>
      </c>
      <c r="H794" s="4">
        <f>24.4334 * CHOOSE(CONTROL!$C$15, $D$11, 100%, $F$11)</f>
        <v>24.433399999999999</v>
      </c>
      <c r="I794" s="8">
        <f>23.1754 * CHOOSE(CONTROL!$C$15, $D$11, 100%, $F$11)</f>
        <v>23.1754</v>
      </c>
      <c r="J794" s="4">
        <f>23.0195 * CHOOSE(CONTROL!$C$15, $D$11, 100%, $F$11)</f>
        <v>23.019500000000001</v>
      </c>
      <c r="K794" s="4"/>
      <c r="L794" s="9">
        <v>31.095300000000002</v>
      </c>
      <c r="M794" s="9">
        <v>12.063700000000001</v>
      </c>
      <c r="N794" s="9">
        <v>4.9444999999999997</v>
      </c>
      <c r="O794" s="9">
        <v>0.37409999999999999</v>
      </c>
      <c r="P794" s="9">
        <v>1.2183999999999999</v>
      </c>
      <c r="Q794" s="9">
        <v>19.688099999999999</v>
      </c>
      <c r="R794" s="9"/>
      <c r="S794" s="11"/>
    </row>
    <row r="795" spans="1:19" ht="15.75">
      <c r="A795" s="13">
        <v>65714</v>
      </c>
      <c r="B795" s="8">
        <f>25.5904 * CHOOSE(CONTROL!$C$15, $D$11, 100%, $F$11)</f>
        <v>25.590399999999999</v>
      </c>
      <c r="C795" s="8">
        <f>25.5955 * CHOOSE(CONTROL!$C$15, $D$11, 100%, $F$11)</f>
        <v>25.595500000000001</v>
      </c>
      <c r="D795" s="8">
        <f>25.5791 * CHOOSE( CONTROL!$C$15, $D$11, 100%, $F$11)</f>
        <v>25.5791</v>
      </c>
      <c r="E795" s="12">
        <f>25.5846 * CHOOSE( CONTROL!$C$15, $D$11, 100%, $F$11)</f>
        <v>25.584599999999998</v>
      </c>
      <c r="F795" s="4">
        <f>26.2557 * CHOOSE(CONTROL!$C$15, $D$11, 100%, $F$11)</f>
        <v>26.255700000000001</v>
      </c>
      <c r="G795" s="8">
        <f>25.2994 * CHOOSE( CONTROL!$C$15, $D$11, 100%, $F$11)</f>
        <v>25.299399999999999</v>
      </c>
      <c r="H795" s="4">
        <f>26.1948 * CHOOSE(CONTROL!$C$15, $D$11, 100%, $F$11)</f>
        <v>26.194800000000001</v>
      </c>
      <c r="I795" s="8">
        <f>24.9836 * CHOOSE(CONTROL!$C$15, $D$11, 100%, $F$11)</f>
        <v>24.983599999999999</v>
      </c>
      <c r="J795" s="4">
        <f>24.8267 * CHOOSE(CONTROL!$C$15, $D$11, 100%, $F$11)</f>
        <v>24.826699999999999</v>
      </c>
      <c r="K795" s="4"/>
      <c r="L795" s="9">
        <v>28.360600000000002</v>
      </c>
      <c r="M795" s="9">
        <v>11.6745</v>
      </c>
      <c r="N795" s="9">
        <v>4.7850000000000001</v>
      </c>
      <c r="O795" s="9">
        <v>0.36199999999999999</v>
      </c>
      <c r="P795" s="9">
        <v>1.2509999999999999</v>
      </c>
      <c r="Q795" s="9">
        <v>19.053000000000001</v>
      </c>
      <c r="R795" s="9"/>
      <c r="S795" s="11"/>
    </row>
    <row r="796" spans="1:19" ht="15.75">
      <c r="A796" s="13">
        <v>65745</v>
      </c>
      <c r="B796" s="8">
        <f>25.5439 * CHOOSE(CONTROL!$C$15, $D$11, 100%, $F$11)</f>
        <v>25.543900000000001</v>
      </c>
      <c r="C796" s="8">
        <f>25.5489 * CHOOSE(CONTROL!$C$15, $D$11, 100%, $F$11)</f>
        <v>25.5489</v>
      </c>
      <c r="D796" s="8">
        <f>25.5343 * CHOOSE( CONTROL!$C$15, $D$11, 100%, $F$11)</f>
        <v>25.534300000000002</v>
      </c>
      <c r="E796" s="12">
        <f>25.5391 * CHOOSE( CONTROL!$C$15, $D$11, 100%, $F$11)</f>
        <v>25.539100000000001</v>
      </c>
      <c r="F796" s="4">
        <f>26.2091 * CHOOSE(CONTROL!$C$15, $D$11, 100%, $F$11)</f>
        <v>26.209099999999999</v>
      </c>
      <c r="G796" s="8">
        <f>25.2547 * CHOOSE( CONTROL!$C$15, $D$11, 100%, $F$11)</f>
        <v>25.2547</v>
      </c>
      <c r="H796" s="4">
        <f>26.1488 * CHOOSE(CONTROL!$C$15, $D$11, 100%, $F$11)</f>
        <v>26.148800000000001</v>
      </c>
      <c r="I796" s="8">
        <f>24.9438 * CHOOSE(CONTROL!$C$15, $D$11, 100%, $F$11)</f>
        <v>24.9438</v>
      </c>
      <c r="J796" s="4">
        <f>24.7816 * CHOOSE(CONTROL!$C$15, $D$11, 100%, $F$11)</f>
        <v>24.781600000000001</v>
      </c>
      <c r="K796" s="4"/>
      <c r="L796" s="9">
        <v>29.306000000000001</v>
      </c>
      <c r="M796" s="9">
        <v>12.063700000000001</v>
      </c>
      <c r="N796" s="9">
        <v>4.9444999999999997</v>
      </c>
      <c r="O796" s="9">
        <v>0.37409999999999999</v>
      </c>
      <c r="P796" s="9">
        <v>1.2927</v>
      </c>
      <c r="Q796" s="9">
        <v>19.688099999999999</v>
      </c>
      <c r="R796" s="9"/>
      <c r="S796" s="11"/>
    </row>
    <row r="797" spans="1:19" ht="15.75">
      <c r="A797" s="13">
        <v>65776</v>
      </c>
      <c r="B797" s="8">
        <f>26.297 * CHOOSE(CONTROL!$C$15, $D$11, 100%, $F$11)</f>
        <v>26.297000000000001</v>
      </c>
      <c r="C797" s="8">
        <f>26.3021 * CHOOSE(CONTROL!$C$15, $D$11, 100%, $F$11)</f>
        <v>26.302099999999999</v>
      </c>
      <c r="D797" s="8">
        <f>26.2732 * CHOOSE( CONTROL!$C$15, $D$11, 100%, $F$11)</f>
        <v>26.273199999999999</v>
      </c>
      <c r="E797" s="12">
        <f>26.2832 * CHOOSE( CONTROL!$C$15, $D$11, 100%, $F$11)</f>
        <v>26.283200000000001</v>
      </c>
      <c r="F797" s="4">
        <f>26.9623 * CHOOSE(CONTROL!$C$15, $D$11, 100%, $F$11)</f>
        <v>26.962299999999999</v>
      </c>
      <c r="G797" s="8">
        <f>25.9888 * CHOOSE( CONTROL!$C$15, $D$11, 100%, $F$11)</f>
        <v>25.988800000000001</v>
      </c>
      <c r="H797" s="4">
        <f>26.8932 * CHOOSE(CONTROL!$C$15, $D$11, 100%, $F$11)</f>
        <v>26.8932</v>
      </c>
      <c r="I797" s="8">
        <f>25.6698 * CHOOSE(CONTROL!$C$15, $D$11, 100%, $F$11)</f>
        <v>25.669799999999999</v>
      </c>
      <c r="J797" s="4">
        <f>25.5125 * CHOOSE(CONTROL!$C$15, $D$11, 100%, $F$11)</f>
        <v>25.512499999999999</v>
      </c>
      <c r="K797" s="4"/>
      <c r="L797" s="9">
        <v>29.306000000000001</v>
      </c>
      <c r="M797" s="9">
        <v>12.063700000000001</v>
      </c>
      <c r="N797" s="9">
        <v>4.9444999999999997</v>
      </c>
      <c r="O797" s="9">
        <v>0.37409999999999999</v>
      </c>
      <c r="P797" s="9">
        <v>1.2927</v>
      </c>
      <c r="Q797" s="9">
        <v>19.688099999999999</v>
      </c>
      <c r="R797" s="9"/>
      <c r="S797" s="11"/>
    </row>
    <row r="798" spans="1:19" ht="15.75">
      <c r="A798" s="13">
        <v>65805</v>
      </c>
      <c r="B798" s="8">
        <f>24.5976 * CHOOSE(CONTROL!$C$15, $D$11, 100%, $F$11)</f>
        <v>24.5976</v>
      </c>
      <c r="C798" s="8">
        <f>24.6026 * CHOOSE(CONTROL!$C$15, $D$11, 100%, $F$11)</f>
        <v>24.602599999999999</v>
      </c>
      <c r="D798" s="8">
        <f>24.5738 * CHOOSE( CONTROL!$C$15, $D$11, 100%, $F$11)</f>
        <v>24.573799999999999</v>
      </c>
      <c r="E798" s="12">
        <f>24.5838 * CHOOSE( CONTROL!$C$15, $D$11, 100%, $F$11)</f>
        <v>24.5838</v>
      </c>
      <c r="F798" s="4">
        <f>25.2628 * CHOOSE(CONTROL!$C$15, $D$11, 100%, $F$11)</f>
        <v>25.262799999999999</v>
      </c>
      <c r="G798" s="8">
        <f>24.3092 * CHOOSE( CONTROL!$C$15, $D$11, 100%, $F$11)</f>
        <v>24.309200000000001</v>
      </c>
      <c r="H798" s="4">
        <f>25.2136 * CHOOSE(CONTROL!$C$15, $D$11, 100%, $F$11)</f>
        <v>25.2136</v>
      </c>
      <c r="I798" s="8">
        <f>24.0196 * CHOOSE(CONTROL!$C$15, $D$11, 100%, $F$11)</f>
        <v>24.019600000000001</v>
      </c>
      <c r="J798" s="4">
        <f>23.8632 * CHOOSE(CONTROL!$C$15, $D$11, 100%, $F$11)</f>
        <v>23.863199999999999</v>
      </c>
      <c r="K798" s="4"/>
      <c r="L798" s="9">
        <v>27.415299999999998</v>
      </c>
      <c r="M798" s="9">
        <v>11.285299999999999</v>
      </c>
      <c r="N798" s="9">
        <v>4.6254999999999997</v>
      </c>
      <c r="O798" s="9">
        <v>0.34989999999999999</v>
      </c>
      <c r="P798" s="9">
        <v>1.2093</v>
      </c>
      <c r="Q798" s="9">
        <v>18.417899999999999</v>
      </c>
      <c r="R798" s="9"/>
      <c r="S798" s="11"/>
    </row>
    <row r="799" spans="1:19" ht="15.75">
      <c r="A799" s="13">
        <v>65836</v>
      </c>
      <c r="B799" s="8">
        <f>24.0741 * CHOOSE(CONTROL!$C$15, $D$11, 100%, $F$11)</f>
        <v>24.074100000000001</v>
      </c>
      <c r="C799" s="8">
        <f>24.0792 * CHOOSE(CONTROL!$C$15, $D$11, 100%, $F$11)</f>
        <v>24.0792</v>
      </c>
      <c r="D799" s="8">
        <f>24.0499 * CHOOSE( CONTROL!$C$15, $D$11, 100%, $F$11)</f>
        <v>24.049900000000001</v>
      </c>
      <c r="E799" s="12">
        <f>24.0601 * CHOOSE( CONTROL!$C$15, $D$11, 100%, $F$11)</f>
        <v>24.060099999999998</v>
      </c>
      <c r="F799" s="4">
        <f>24.7394 * CHOOSE(CONTROL!$C$15, $D$11, 100%, $F$11)</f>
        <v>24.7394</v>
      </c>
      <c r="G799" s="8">
        <f>23.7916 * CHOOSE( CONTROL!$C$15, $D$11, 100%, $F$11)</f>
        <v>23.791599999999999</v>
      </c>
      <c r="H799" s="4">
        <f>24.6963 * CHOOSE(CONTROL!$C$15, $D$11, 100%, $F$11)</f>
        <v>24.696300000000001</v>
      </c>
      <c r="I799" s="8">
        <f>23.5101 * CHOOSE(CONTROL!$C$15, $D$11, 100%, $F$11)</f>
        <v>23.510100000000001</v>
      </c>
      <c r="J799" s="4">
        <f>23.3552 * CHOOSE(CONTROL!$C$15, $D$11, 100%, $F$11)</f>
        <v>23.3552</v>
      </c>
      <c r="K799" s="4"/>
      <c r="L799" s="9">
        <v>29.306000000000001</v>
      </c>
      <c r="M799" s="9">
        <v>12.063700000000001</v>
      </c>
      <c r="N799" s="9">
        <v>4.9444999999999997</v>
      </c>
      <c r="O799" s="9">
        <v>0.37409999999999999</v>
      </c>
      <c r="P799" s="9">
        <v>1.2927</v>
      </c>
      <c r="Q799" s="9">
        <v>19.688099999999999</v>
      </c>
      <c r="R799" s="9"/>
      <c r="S799" s="11"/>
    </row>
    <row r="800" spans="1:19" ht="15.75">
      <c r="A800" s="13">
        <v>65866</v>
      </c>
      <c r="B800" s="8">
        <f>24.4407 * CHOOSE(CONTROL!$C$15, $D$11, 100%, $F$11)</f>
        <v>24.4407</v>
      </c>
      <c r="C800" s="8">
        <f>24.4452 * CHOOSE(CONTROL!$C$15, $D$11, 100%, $F$11)</f>
        <v>24.4452</v>
      </c>
      <c r="D800" s="8">
        <f>24.4885 * CHOOSE( CONTROL!$C$15, $D$11, 100%, $F$11)</f>
        <v>24.488499999999998</v>
      </c>
      <c r="E800" s="12">
        <f>24.4737 * CHOOSE( CONTROL!$C$15, $D$11, 100%, $F$11)</f>
        <v>24.473700000000001</v>
      </c>
      <c r="F800" s="4">
        <f>25.185 * CHOOSE(CONTROL!$C$15, $D$11, 100%, $F$11)</f>
        <v>25.184999999999999</v>
      </c>
      <c r="G800" s="8">
        <f>24.1609 * CHOOSE( CONTROL!$C$15, $D$11, 100%, $F$11)</f>
        <v>24.160900000000002</v>
      </c>
      <c r="H800" s="4">
        <f>25.1367 * CHOOSE(CONTROL!$C$15, $D$11, 100%, $F$11)</f>
        <v>25.136700000000001</v>
      </c>
      <c r="I800" s="8">
        <f>23.8634 * CHOOSE(CONTROL!$C$15, $D$11, 100%, $F$11)</f>
        <v>23.863399999999999</v>
      </c>
      <c r="J800" s="4">
        <f>23.7102 * CHOOSE(CONTROL!$C$15, $D$11, 100%, $F$11)</f>
        <v>23.7102</v>
      </c>
      <c r="K800" s="4"/>
      <c r="L800" s="9">
        <v>30.092199999999998</v>
      </c>
      <c r="M800" s="9">
        <v>11.6745</v>
      </c>
      <c r="N800" s="9">
        <v>4.7850000000000001</v>
      </c>
      <c r="O800" s="9">
        <v>0.36199999999999999</v>
      </c>
      <c r="P800" s="9">
        <v>1.1791</v>
      </c>
      <c r="Q800" s="9">
        <v>19.053000000000001</v>
      </c>
      <c r="R800" s="9"/>
      <c r="S800" s="11"/>
    </row>
    <row r="801" spans="1:19" ht="15.75">
      <c r="A801" s="13">
        <v>65897</v>
      </c>
      <c r="B801" s="8">
        <f>CHOOSE( CONTROL!$C$32, 25.0966, 25.093) * CHOOSE(CONTROL!$C$15, $D$11, 100%, $F$11)</f>
        <v>25.096599999999999</v>
      </c>
      <c r="C801" s="8">
        <f>CHOOSE( CONTROL!$C$32, 25.1046, 25.101) * CHOOSE(CONTROL!$C$15, $D$11, 100%, $F$11)</f>
        <v>25.104600000000001</v>
      </c>
      <c r="D801" s="8">
        <f>CHOOSE( CONTROL!$C$32, 25.1424, 25.1387) * CHOOSE( CONTROL!$C$15, $D$11, 100%, $F$11)</f>
        <v>25.142399999999999</v>
      </c>
      <c r="E801" s="12">
        <f>CHOOSE( CONTROL!$C$32, 25.1275, 25.1238) * CHOOSE( CONTROL!$C$15, $D$11, 100%, $F$11)</f>
        <v>25.127500000000001</v>
      </c>
      <c r="F801" s="4">
        <f>CHOOSE( CONTROL!$C$32, 25.8397, 25.836) * CHOOSE(CONTROL!$C$15, $D$11, 100%, $F$11)</f>
        <v>25.839700000000001</v>
      </c>
      <c r="G801" s="8">
        <f>CHOOSE( CONTROL!$C$32, 24.8086, 24.805) * CHOOSE( CONTROL!$C$15, $D$11, 100%, $F$11)</f>
        <v>24.808599999999998</v>
      </c>
      <c r="H801" s="4">
        <f>CHOOSE( CONTROL!$C$32, 25.7837, 25.7801) * CHOOSE(CONTROL!$C$15, $D$11, 100%, $F$11)</f>
        <v>25.7837</v>
      </c>
      <c r="I801" s="8">
        <f>CHOOSE( CONTROL!$C$32, 24.4992, 24.4957) * CHOOSE(CONTROL!$C$15, $D$11, 100%, $F$11)</f>
        <v>24.499199999999998</v>
      </c>
      <c r="J801" s="4">
        <f>CHOOSE( CONTROL!$C$32, 24.3455, 24.3419) * CHOOSE(CONTROL!$C$15, $D$11, 100%, $F$11)</f>
        <v>24.345500000000001</v>
      </c>
      <c r="K801" s="4"/>
      <c r="L801" s="9">
        <v>30.7165</v>
      </c>
      <c r="M801" s="9">
        <v>12.063700000000001</v>
      </c>
      <c r="N801" s="9">
        <v>4.9444999999999997</v>
      </c>
      <c r="O801" s="9">
        <v>0.37409999999999999</v>
      </c>
      <c r="P801" s="9">
        <v>1.2183999999999999</v>
      </c>
      <c r="Q801" s="9">
        <v>19.688099999999999</v>
      </c>
      <c r="R801" s="9"/>
      <c r="S801" s="11"/>
    </row>
    <row r="802" spans="1:19" ht="15.75">
      <c r="A802" s="13">
        <v>65927</v>
      </c>
      <c r="B802" s="8">
        <f>CHOOSE( CONTROL!$C$32, 24.6934, 24.6897) * CHOOSE(CONTROL!$C$15, $D$11, 100%, $F$11)</f>
        <v>24.6934</v>
      </c>
      <c r="C802" s="8">
        <f>CHOOSE( CONTROL!$C$32, 24.7014, 24.6977) * CHOOSE(CONTROL!$C$15, $D$11, 100%, $F$11)</f>
        <v>24.7014</v>
      </c>
      <c r="D802" s="8">
        <f>CHOOSE( CONTROL!$C$32, 24.7393, 24.7357) * CHOOSE( CONTROL!$C$15, $D$11, 100%, $F$11)</f>
        <v>24.7393</v>
      </c>
      <c r="E802" s="12">
        <f>CHOOSE( CONTROL!$C$32, 24.7243, 24.7207) * CHOOSE( CONTROL!$C$15, $D$11, 100%, $F$11)</f>
        <v>24.724299999999999</v>
      </c>
      <c r="F802" s="4">
        <f>CHOOSE( CONTROL!$C$32, 25.4364, 25.4328) * CHOOSE(CONTROL!$C$15, $D$11, 100%, $F$11)</f>
        <v>25.436399999999999</v>
      </c>
      <c r="G802" s="8">
        <f>CHOOSE( CONTROL!$C$32, 24.4104, 24.4068) * CHOOSE( CONTROL!$C$15, $D$11, 100%, $F$11)</f>
        <v>24.410399999999999</v>
      </c>
      <c r="H802" s="4">
        <f>CHOOSE( CONTROL!$C$32, 25.3852, 25.3816) * CHOOSE(CONTROL!$C$15, $D$11, 100%, $F$11)</f>
        <v>25.385200000000001</v>
      </c>
      <c r="I802" s="8">
        <f>CHOOSE( CONTROL!$C$32, 24.1087, 24.1052) * CHOOSE(CONTROL!$C$15, $D$11, 100%, $F$11)</f>
        <v>24.108699999999999</v>
      </c>
      <c r="J802" s="4">
        <f>CHOOSE( CONTROL!$C$32, 23.9541, 23.9506) * CHOOSE(CONTROL!$C$15, $D$11, 100%, $F$11)</f>
        <v>23.9541</v>
      </c>
      <c r="K802" s="4"/>
      <c r="L802" s="9">
        <v>29.7257</v>
      </c>
      <c r="M802" s="9">
        <v>11.6745</v>
      </c>
      <c r="N802" s="9">
        <v>4.7850000000000001</v>
      </c>
      <c r="O802" s="9">
        <v>0.36199999999999999</v>
      </c>
      <c r="P802" s="9">
        <v>1.1791</v>
      </c>
      <c r="Q802" s="9">
        <v>19.053000000000001</v>
      </c>
      <c r="R802" s="9"/>
      <c r="S802" s="11"/>
    </row>
    <row r="803" spans="1:19" ht="15.75">
      <c r="A803" s="13">
        <v>65958</v>
      </c>
      <c r="B803" s="8">
        <f>CHOOSE( CONTROL!$C$32, 25.7553, 25.7517) * CHOOSE(CONTROL!$C$15, $D$11, 100%, $F$11)</f>
        <v>25.755299999999998</v>
      </c>
      <c r="C803" s="8">
        <f>CHOOSE( CONTROL!$C$32, 25.7633, 25.7597) * CHOOSE(CONTROL!$C$15, $D$11, 100%, $F$11)</f>
        <v>25.763300000000001</v>
      </c>
      <c r="D803" s="8">
        <f>CHOOSE( CONTROL!$C$32, 25.8015, 25.7978) * CHOOSE( CONTROL!$C$15, $D$11, 100%, $F$11)</f>
        <v>25.801500000000001</v>
      </c>
      <c r="E803" s="12">
        <f>CHOOSE( CONTROL!$C$32, 25.7864, 25.7828) * CHOOSE( CONTROL!$C$15, $D$11, 100%, $F$11)</f>
        <v>25.7864</v>
      </c>
      <c r="F803" s="4">
        <f>CHOOSE( CONTROL!$C$32, 26.4983, 26.4947) * CHOOSE(CONTROL!$C$15, $D$11, 100%, $F$11)</f>
        <v>26.4983</v>
      </c>
      <c r="G803" s="8">
        <f>CHOOSE( CONTROL!$C$32, 25.4603, 25.4567) * CHOOSE( CONTROL!$C$15, $D$11, 100%, $F$11)</f>
        <v>25.4603</v>
      </c>
      <c r="H803" s="4">
        <f>CHOOSE( CONTROL!$C$32, 26.4347, 26.4311) * CHOOSE(CONTROL!$C$15, $D$11, 100%, $F$11)</f>
        <v>26.434699999999999</v>
      </c>
      <c r="I803" s="8">
        <f>CHOOSE( CONTROL!$C$32, 25.1409, 25.1374) * CHOOSE(CONTROL!$C$15, $D$11, 100%, $F$11)</f>
        <v>25.140899999999998</v>
      </c>
      <c r="J803" s="4">
        <f>CHOOSE( CONTROL!$C$32, 24.9847, 24.9812) * CHOOSE(CONTROL!$C$15, $D$11, 100%, $F$11)</f>
        <v>24.9847</v>
      </c>
      <c r="K803" s="4"/>
      <c r="L803" s="9">
        <v>30.7165</v>
      </c>
      <c r="M803" s="9">
        <v>12.063700000000001</v>
      </c>
      <c r="N803" s="9">
        <v>4.9444999999999997</v>
      </c>
      <c r="O803" s="9">
        <v>0.37409999999999999</v>
      </c>
      <c r="P803" s="9">
        <v>1.2183999999999999</v>
      </c>
      <c r="Q803" s="9">
        <v>19.688099999999999</v>
      </c>
      <c r="R803" s="9"/>
      <c r="S803" s="11"/>
    </row>
    <row r="804" spans="1:19" ht="15.75">
      <c r="A804" s="13">
        <v>65989</v>
      </c>
      <c r="B804" s="8">
        <f>CHOOSE( CONTROL!$C$32, 23.7683, 23.7647) * CHOOSE(CONTROL!$C$15, $D$11, 100%, $F$11)</f>
        <v>23.7683</v>
      </c>
      <c r="C804" s="8">
        <f>CHOOSE( CONTROL!$C$32, 23.7763, 23.7727) * CHOOSE(CONTROL!$C$15, $D$11, 100%, $F$11)</f>
        <v>23.776299999999999</v>
      </c>
      <c r="D804" s="8">
        <f>CHOOSE( CONTROL!$C$32, 23.8146, 23.8109) * CHOOSE( CONTROL!$C$15, $D$11, 100%, $F$11)</f>
        <v>23.814599999999999</v>
      </c>
      <c r="E804" s="12">
        <f>CHOOSE( CONTROL!$C$32, 23.7995, 23.7958) * CHOOSE( CONTROL!$C$15, $D$11, 100%, $F$11)</f>
        <v>23.799499999999998</v>
      </c>
      <c r="F804" s="4">
        <f>CHOOSE( CONTROL!$C$32, 24.5113, 24.5077) * CHOOSE(CONTROL!$C$15, $D$11, 100%, $F$11)</f>
        <v>24.511299999999999</v>
      </c>
      <c r="G804" s="8">
        <f>CHOOSE( CONTROL!$C$32, 23.4967, 23.4931) * CHOOSE( CONTROL!$C$15, $D$11, 100%, $F$11)</f>
        <v>23.496700000000001</v>
      </c>
      <c r="H804" s="4">
        <f>CHOOSE( CONTROL!$C$32, 24.4709, 24.4673) * CHOOSE(CONTROL!$C$15, $D$11, 100%, $F$11)</f>
        <v>24.4709</v>
      </c>
      <c r="I804" s="8">
        <f>CHOOSE( CONTROL!$C$32, 23.2119, 23.2084) * CHOOSE(CONTROL!$C$15, $D$11, 100%, $F$11)</f>
        <v>23.2119</v>
      </c>
      <c r="J804" s="4">
        <f>CHOOSE( CONTROL!$C$32, 23.0564, 23.0528) * CHOOSE(CONTROL!$C$15, $D$11, 100%, $F$11)</f>
        <v>23.0564</v>
      </c>
      <c r="K804" s="4"/>
      <c r="L804" s="9">
        <v>30.7165</v>
      </c>
      <c r="M804" s="9">
        <v>12.063700000000001</v>
      </c>
      <c r="N804" s="9">
        <v>4.9444999999999997</v>
      </c>
      <c r="O804" s="9">
        <v>0.37409999999999999</v>
      </c>
      <c r="P804" s="9">
        <v>1.2183999999999999</v>
      </c>
      <c r="Q804" s="9">
        <v>19.688099999999999</v>
      </c>
      <c r="R804" s="9"/>
      <c r="S804" s="11"/>
    </row>
    <row r="805" spans="1:19" ht="15.75">
      <c r="A805" s="13">
        <v>66019</v>
      </c>
      <c r="B805" s="8">
        <f>CHOOSE( CONTROL!$C$32, 23.2708, 23.2671) * CHOOSE(CONTROL!$C$15, $D$11, 100%, $F$11)</f>
        <v>23.270800000000001</v>
      </c>
      <c r="C805" s="8">
        <f>CHOOSE( CONTROL!$C$32, 23.2787, 23.2751) * CHOOSE(CONTROL!$C$15, $D$11, 100%, $F$11)</f>
        <v>23.278700000000001</v>
      </c>
      <c r="D805" s="8">
        <f>CHOOSE( CONTROL!$C$32, 23.3169, 23.3133) * CHOOSE( CONTROL!$C$15, $D$11, 100%, $F$11)</f>
        <v>23.3169</v>
      </c>
      <c r="E805" s="12">
        <f>CHOOSE( CONTROL!$C$32, 23.3019, 23.2982) * CHOOSE( CONTROL!$C$15, $D$11, 100%, $F$11)</f>
        <v>23.3019</v>
      </c>
      <c r="F805" s="4">
        <f>CHOOSE( CONTROL!$C$32, 24.0138, 24.0101) * CHOOSE(CONTROL!$C$15, $D$11, 100%, $F$11)</f>
        <v>24.0138</v>
      </c>
      <c r="G805" s="8">
        <f>CHOOSE( CONTROL!$C$32, 23.0048, 23.0012) * CHOOSE( CONTROL!$C$15, $D$11, 100%, $F$11)</f>
        <v>23.004799999999999</v>
      </c>
      <c r="H805" s="4">
        <f>CHOOSE( CONTROL!$C$32, 23.9792, 23.9756) * CHOOSE(CONTROL!$C$15, $D$11, 100%, $F$11)</f>
        <v>23.979199999999999</v>
      </c>
      <c r="I805" s="8">
        <f>CHOOSE( CONTROL!$C$32, 22.7284, 22.7249) * CHOOSE(CONTROL!$C$15, $D$11, 100%, $F$11)</f>
        <v>22.728400000000001</v>
      </c>
      <c r="J805" s="4">
        <f>CHOOSE( CONTROL!$C$32, 22.5735, 22.5699) * CHOOSE(CONTROL!$C$15, $D$11, 100%, $F$11)</f>
        <v>22.573499999999999</v>
      </c>
      <c r="K805" s="4"/>
      <c r="L805" s="9">
        <v>29.7257</v>
      </c>
      <c r="M805" s="9">
        <v>11.6745</v>
      </c>
      <c r="N805" s="9">
        <v>4.7850000000000001</v>
      </c>
      <c r="O805" s="9">
        <v>0.36199999999999999</v>
      </c>
      <c r="P805" s="9">
        <v>1.1791</v>
      </c>
      <c r="Q805" s="9">
        <v>19.053000000000001</v>
      </c>
      <c r="R805" s="9"/>
      <c r="S805" s="11"/>
    </row>
    <row r="806" spans="1:19" ht="15.75">
      <c r="A806" s="13">
        <v>66050</v>
      </c>
      <c r="B806" s="8">
        <f>24.2985 * CHOOSE(CONTROL!$C$15, $D$11, 100%, $F$11)</f>
        <v>24.298500000000001</v>
      </c>
      <c r="C806" s="8">
        <f>24.3038 * CHOOSE(CONTROL!$C$15, $D$11, 100%, $F$11)</f>
        <v>24.303799999999999</v>
      </c>
      <c r="D806" s="8">
        <f>24.3474 * CHOOSE( CONTROL!$C$15, $D$11, 100%, $F$11)</f>
        <v>24.3474</v>
      </c>
      <c r="E806" s="12">
        <f>24.3324 * CHOOSE( CONTROL!$C$15, $D$11, 100%, $F$11)</f>
        <v>24.3324</v>
      </c>
      <c r="F806" s="4">
        <f>25.0433 * CHOOSE(CONTROL!$C$15, $D$11, 100%, $F$11)</f>
        <v>25.043299999999999</v>
      </c>
      <c r="G806" s="8">
        <f>24.0217 * CHOOSE( CONTROL!$C$15, $D$11, 100%, $F$11)</f>
        <v>24.021699999999999</v>
      </c>
      <c r="H806" s="4">
        <f>24.9966 * CHOOSE(CONTROL!$C$15, $D$11, 100%, $F$11)</f>
        <v>24.996600000000001</v>
      </c>
      <c r="I806" s="8">
        <f>23.7287 * CHOOSE(CONTROL!$C$15, $D$11, 100%, $F$11)</f>
        <v>23.7287</v>
      </c>
      <c r="J806" s="4">
        <f>23.5726 * CHOOSE(CONTROL!$C$15, $D$11, 100%, $F$11)</f>
        <v>23.572600000000001</v>
      </c>
      <c r="K806" s="4"/>
      <c r="L806" s="9">
        <v>31.095300000000002</v>
      </c>
      <c r="M806" s="9">
        <v>12.063700000000001</v>
      </c>
      <c r="N806" s="9">
        <v>4.9444999999999997</v>
      </c>
      <c r="O806" s="9">
        <v>0.37409999999999999</v>
      </c>
      <c r="P806" s="9">
        <v>1.2183999999999999</v>
      </c>
      <c r="Q806" s="9">
        <v>19.688099999999999</v>
      </c>
      <c r="R806" s="9"/>
      <c r="S806" s="11"/>
    </row>
    <row r="807" spans="1:19" ht="15.75">
      <c r="A807" s="13">
        <v>66080</v>
      </c>
      <c r="B807" s="8">
        <f>26.205 * CHOOSE(CONTROL!$C$15, $D$11, 100%, $F$11)</f>
        <v>26.204999999999998</v>
      </c>
      <c r="C807" s="8">
        <f>26.2101 * CHOOSE(CONTROL!$C$15, $D$11, 100%, $F$11)</f>
        <v>26.210100000000001</v>
      </c>
      <c r="D807" s="8">
        <f>26.1937 * CHOOSE( CONTROL!$C$15, $D$11, 100%, $F$11)</f>
        <v>26.1937</v>
      </c>
      <c r="E807" s="12">
        <f>26.1992 * CHOOSE( CONTROL!$C$15, $D$11, 100%, $F$11)</f>
        <v>26.199200000000001</v>
      </c>
      <c r="F807" s="4">
        <f>26.8703 * CHOOSE(CONTROL!$C$15, $D$11, 100%, $F$11)</f>
        <v>26.8703</v>
      </c>
      <c r="G807" s="8">
        <f>25.9069 * CHOOSE( CONTROL!$C$15, $D$11, 100%, $F$11)</f>
        <v>25.9069</v>
      </c>
      <c r="H807" s="4">
        <f>26.8023 * CHOOSE(CONTROL!$C$15, $D$11, 100%, $F$11)</f>
        <v>26.802299999999999</v>
      </c>
      <c r="I807" s="8">
        <f>25.5804 * CHOOSE(CONTROL!$C$15, $D$11, 100%, $F$11)</f>
        <v>25.580400000000001</v>
      </c>
      <c r="J807" s="4">
        <f>25.4232 * CHOOSE(CONTROL!$C$15, $D$11, 100%, $F$11)</f>
        <v>25.423200000000001</v>
      </c>
      <c r="K807" s="4"/>
      <c r="L807" s="9">
        <v>28.360600000000002</v>
      </c>
      <c r="M807" s="9">
        <v>11.6745</v>
      </c>
      <c r="N807" s="9">
        <v>4.7850000000000001</v>
      </c>
      <c r="O807" s="9">
        <v>0.36199999999999999</v>
      </c>
      <c r="P807" s="9">
        <v>1.2509999999999999</v>
      </c>
      <c r="Q807" s="9">
        <v>19.053000000000001</v>
      </c>
      <c r="R807" s="9"/>
      <c r="S807" s="11"/>
    </row>
    <row r="808" spans="1:19" ht="15.75">
      <c r="A808" s="13">
        <v>66111</v>
      </c>
      <c r="B808" s="8">
        <f>26.1574 * CHOOSE(CONTROL!$C$15, $D$11, 100%, $F$11)</f>
        <v>26.157399999999999</v>
      </c>
      <c r="C808" s="8">
        <f>26.1625 * CHOOSE(CONTROL!$C$15, $D$11, 100%, $F$11)</f>
        <v>26.162500000000001</v>
      </c>
      <c r="D808" s="8">
        <f>26.1478 * CHOOSE( CONTROL!$C$15, $D$11, 100%, $F$11)</f>
        <v>26.1478</v>
      </c>
      <c r="E808" s="12">
        <f>26.1526 * CHOOSE( CONTROL!$C$15, $D$11, 100%, $F$11)</f>
        <v>26.1526</v>
      </c>
      <c r="F808" s="4">
        <f>26.8227 * CHOOSE(CONTROL!$C$15, $D$11, 100%, $F$11)</f>
        <v>26.822700000000001</v>
      </c>
      <c r="G808" s="8">
        <f>25.861 * CHOOSE( CONTROL!$C$15, $D$11, 100%, $F$11)</f>
        <v>25.861000000000001</v>
      </c>
      <c r="H808" s="4">
        <f>26.7552 * CHOOSE(CONTROL!$C$15, $D$11, 100%, $F$11)</f>
        <v>26.755199999999999</v>
      </c>
      <c r="I808" s="8">
        <f>25.5396 * CHOOSE(CONTROL!$C$15, $D$11, 100%, $F$11)</f>
        <v>25.5396</v>
      </c>
      <c r="J808" s="4">
        <f>25.377 * CHOOSE(CONTROL!$C$15, $D$11, 100%, $F$11)</f>
        <v>25.376999999999999</v>
      </c>
      <c r="K808" s="4"/>
      <c r="L808" s="9">
        <v>29.306000000000001</v>
      </c>
      <c r="M808" s="9">
        <v>12.063700000000001</v>
      </c>
      <c r="N808" s="9">
        <v>4.9444999999999997</v>
      </c>
      <c r="O808" s="9">
        <v>0.37409999999999999</v>
      </c>
      <c r="P808" s="9">
        <v>1.2927</v>
      </c>
      <c r="Q808" s="9">
        <v>19.688099999999999</v>
      </c>
      <c r="R808" s="9"/>
      <c r="S808" s="11"/>
    </row>
    <row r="809" spans="1:19" ht="15.75">
      <c r="A809" s="13">
        <v>66142</v>
      </c>
      <c r="B809" s="8">
        <f>26.9287 * CHOOSE(CONTROL!$C$15, $D$11, 100%, $F$11)</f>
        <v>26.928699999999999</v>
      </c>
      <c r="C809" s="8">
        <f>26.9338 * CHOOSE(CONTROL!$C$15, $D$11, 100%, $F$11)</f>
        <v>26.933800000000002</v>
      </c>
      <c r="D809" s="8">
        <f>26.9049 * CHOOSE( CONTROL!$C$15, $D$11, 100%, $F$11)</f>
        <v>26.904900000000001</v>
      </c>
      <c r="E809" s="12">
        <f>26.9149 * CHOOSE( CONTROL!$C$15, $D$11, 100%, $F$11)</f>
        <v>26.914899999999999</v>
      </c>
      <c r="F809" s="4">
        <f>27.594 * CHOOSE(CONTROL!$C$15, $D$11, 100%, $F$11)</f>
        <v>27.594000000000001</v>
      </c>
      <c r="G809" s="8">
        <f>26.613 * CHOOSE( CONTROL!$C$15, $D$11, 100%, $F$11)</f>
        <v>26.613</v>
      </c>
      <c r="H809" s="4">
        <f>27.5175 * CHOOSE(CONTROL!$C$15, $D$11, 100%, $F$11)</f>
        <v>27.517499999999998</v>
      </c>
      <c r="I809" s="8">
        <f>26.2831 * CHOOSE(CONTROL!$C$15, $D$11, 100%, $F$11)</f>
        <v>26.283100000000001</v>
      </c>
      <c r="J809" s="4">
        <f>26.1255 * CHOOSE(CONTROL!$C$15, $D$11, 100%, $F$11)</f>
        <v>26.125499999999999</v>
      </c>
      <c r="K809" s="4"/>
      <c r="L809" s="9">
        <v>29.306000000000001</v>
      </c>
      <c r="M809" s="9">
        <v>12.063700000000001</v>
      </c>
      <c r="N809" s="9">
        <v>4.9444999999999997</v>
      </c>
      <c r="O809" s="9">
        <v>0.37409999999999999</v>
      </c>
      <c r="P809" s="9">
        <v>1.2927</v>
      </c>
      <c r="Q809" s="9">
        <v>19.688099999999999</v>
      </c>
      <c r="R809" s="9"/>
      <c r="S809" s="11"/>
    </row>
    <row r="810" spans="1:19" ht="15.75">
      <c r="A810" s="13">
        <v>66170</v>
      </c>
      <c r="B810" s="8">
        <f>25.1884 * CHOOSE(CONTROL!$C$15, $D$11, 100%, $F$11)</f>
        <v>25.188400000000001</v>
      </c>
      <c r="C810" s="8">
        <f>25.1934 * CHOOSE(CONTROL!$C$15, $D$11, 100%, $F$11)</f>
        <v>25.1934</v>
      </c>
      <c r="D810" s="8">
        <f>25.1646 * CHOOSE( CONTROL!$C$15, $D$11, 100%, $F$11)</f>
        <v>25.1646</v>
      </c>
      <c r="E810" s="12">
        <f>25.1746 * CHOOSE( CONTROL!$C$15, $D$11, 100%, $F$11)</f>
        <v>25.174600000000002</v>
      </c>
      <c r="F810" s="4">
        <f>25.8537 * CHOOSE(CONTROL!$C$15, $D$11, 100%, $F$11)</f>
        <v>25.8537</v>
      </c>
      <c r="G810" s="8">
        <f>24.8931 * CHOOSE( CONTROL!$C$15, $D$11, 100%, $F$11)</f>
        <v>24.8931</v>
      </c>
      <c r="H810" s="4">
        <f>25.7975 * CHOOSE(CONTROL!$C$15, $D$11, 100%, $F$11)</f>
        <v>25.797499999999999</v>
      </c>
      <c r="I810" s="8">
        <f>24.5932 * CHOOSE(CONTROL!$C$15, $D$11, 100%, $F$11)</f>
        <v>24.5932</v>
      </c>
      <c r="J810" s="4">
        <f>24.4366 * CHOOSE(CONTROL!$C$15, $D$11, 100%, $F$11)</f>
        <v>24.436599999999999</v>
      </c>
      <c r="K810" s="4"/>
      <c r="L810" s="9">
        <v>26.469899999999999</v>
      </c>
      <c r="M810" s="9">
        <v>10.8962</v>
      </c>
      <c r="N810" s="9">
        <v>4.4660000000000002</v>
      </c>
      <c r="O810" s="9">
        <v>0.33789999999999998</v>
      </c>
      <c r="P810" s="9">
        <v>1.1676</v>
      </c>
      <c r="Q810" s="9">
        <v>17.782800000000002</v>
      </c>
      <c r="R810" s="9"/>
      <c r="S810" s="11"/>
    </row>
    <row r="811" spans="1:19" ht="15.75">
      <c r="A811" s="13">
        <v>66201</v>
      </c>
      <c r="B811" s="8">
        <f>24.6524 * CHOOSE(CONTROL!$C$15, $D$11, 100%, $F$11)</f>
        <v>24.6524</v>
      </c>
      <c r="C811" s="8">
        <f>24.6574 * CHOOSE(CONTROL!$C$15, $D$11, 100%, $F$11)</f>
        <v>24.657399999999999</v>
      </c>
      <c r="D811" s="8">
        <f>24.6281 * CHOOSE( CONTROL!$C$15, $D$11, 100%, $F$11)</f>
        <v>24.6281</v>
      </c>
      <c r="E811" s="12">
        <f>24.6383 * CHOOSE( CONTROL!$C$15, $D$11, 100%, $F$11)</f>
        <v>24.638300000000001</v>
      </c>
      <c r="F811" s="4">
        <f>25.3176 * CHOOSE(CONTROL!$C$15, $D$11, 100%, $F$11)</f>
        <v>25.317599999999999</v>
      </c>
      <c r="G811" s="8">
        <f>24.3631 * CHOOSE( CONTROL!$C$15, $D$11, 100%, $F$11)</f>
        <v>24.363099999999999</v>
      </c>
      <c r="H811" s="4">
        <f>25.2678 * CHOOSE(CONTROL!$C$15, $D$11, 100%, $F$11)</f>
        <v>25.267800000000001</v>
      </c>
      <c r="I811" s="8">
        <f>24.0715 * CHOOSE(CONTROL!$C$15, $D$11, 100%, $F$11)</f>
        <v>24.0715</v>
      </c>
      <c r="J811" s="4">
        <f>23.9164 * CHOOSE(CONTROL!$C$15, $D$11, 100%, $F$11)</f>
        <v>23.916399999999999</v>
      </c>
      <c r="K811" s="4"/>
      <c r="L811" s="9">
        <v>29.306000000000001</v>
      </c>
      <c r="M811" s="9">
        <v>12.063700000000001</v>
      </c>
      <c r="N811" s="9">
        <v>4.9444999999999997</v>
      </c>
      <c r="O811" s="9">
        <v>0.37409999999999999</v>
      </c>
      <c r="P811" s="9">
        <v>1.2927</v>
      </c>
      <c r="Q811" s="9">
        <v>19.688099999999999</v>
      </c>
      <c r="R811" s="9"/>
      <c r="S811" s="11"/>
    </row>
    <row r="812" spans="1:19" ht="15.75">
      <c r="A812" s="13">
        <v>66231</v>
      </c>
      <c r="B812" s="8">
        <f>25.0277 * CHOOSE(CONTROL!$C$15, $D$11, 100%, $F$11)</f>
        <v>25.027699999999999</v>
      </c>
      <c r="C812" s="8">
        <f>25.0322 * CHOOSE(CONTROL!$C$15, $D$11, 100%, $F$11)</f>
        <v>25.0322</v>
      </c>
      <c r="D812" s="8">
        <f>25.0756 * CHOOSE( CONTROL!$C$15, $D$11, 100%, $F$11)</f>
        <v>25.075600000000001</v>
      </c>
      <c r="E812" s="12">
        <f>25.0608 * CHOOSE( CONTROL!$C$15, $D$11, 100%, $F$11)</f>
        <v>25.0608</v>
      </c>
      <c r="F812" s="4">
        <f>25.772 * CHOOSE(CONTROL!$C$15, $D$11, 100%, $F$11)</f>
        <v>25.771999999999998</v>
      </c>
      <c r="G812" s="8">
        <f>24.741 * CHOOSE( CONTROL!$C$15, $D$11, 100%, $F$11)</f>
        <v>24.741</v>
      </c>
      <c r="H812" s="4">
        <f>25.7169 * CHOOSE(CONTROL!$C$15, $D$11, 100%, $F$11)</f>
        <v>25.716899999999999</v>
      </c>
      <c r="I812" s="8">
        <f>24.4334 * CHOOSE(CONTROL!$C$15, $D$11, 100%, $F$11)</f>
        <v>24.433399999999999</v>
      </c>
      <c r="J812" s="4">
        <f>24.2799 * CHOOSE(CONTROL!$C$15, $D$11, 100%, $F$11)</f>
        <v>24.279900000000001</v>
      </c>
      <c r="K812" s="4"/>
      <c r="L812" s="9">
        <v>30.092199999999998</v>
      </c>
      <c r="M812" s="9">
        <v>11.6745</v>
      </c>
      <c r="N812" s="9">
        <v>4.7850000000000001</v>
      </c>
      <c r="O812" s="9">
        <v>0.36199999999999999</v>
      </c>
      <c r="P812" s="9">
        <v>1.1791</v>
      </c>
      <c r="Q812" s="9">
        <v>19.053000000000001</v>
      </c>
      <c r="R812" s="9"/>
      <c r="S812" s="11"/>
    </row>
    <row r="813" spans="1:19" ht="15.75">
      <c r="A813" s="13">
        <v>66262</v>
      </c>
      <c r="B813" s="8">
        <f>CHOOSE( CONTROL!$C$32, 25.6993, 25.6957) * CHOOSE(CONTROL!$C$15, $D$11, 100%, $F$11)</f>
        <v>25.699300000000001</v>
      </c>
      <c r="C813" s="8">
        <f>CHOOSE( CONTROL!$C$32, 25.7073, 25.7036) * CHOOSE(CONTROL!$C$15, $D$11, 100%, $F$11)</f>
        <v>25.7073</v>
      </c>
      <c r="D813" s="8">
        <f>CHOOSE( CONTROL!$C$32, 25.745, 25.7414) * CHOOSE( CONTROL!$C$15, $D$11, 100%, $F$11)</f>
        <v>25.745000000000001</v>
      </c>
      <c r="E813" s="12">
        <f>CHOOSE( CONTROL!$C$32, 25.7301, 25.7265) * CHOOSE( CONTROL!$C$15, $D$11, 100%, $F$11)</f>
        <v>25.7301</v>
      </c>
      <c r="F813" s="4">
        <f>CHOOSE( CONTROL!$C$32, 26.4423, 26.4387) * CHOOSE(CONTROL!$C$15, $D$11, 100%, $F$11)</f>
        <v>26.442299999999999</v>
      </c>
      <c r="G813" s="8">
        <f>CHOOSE( CONTROL!$C$32, 25.4042, 25.4006) * CHOOSE( CONTROL!$C$15, $D$11, 100%, $F$11)</f>
        <v>25.404199999999999</v>
      </c>
      <c r="H813" s="4">
        <f>CHOOSE( CONTROL!$C$32, 26.3793, 26.3757) * CHOOSE(CONTROL!$C$15, $D$11, 100%, $F$11)</f>
        <v>26.379300000000001</v>
      </c>
      <c r="I813" s="8">
        <f>CHOOSE( CONTROL!$C$32, 25.0844, 25.0808) * CHOOSE(CONTROL!$C$15, $D$11, 100%, $F$11)</f>
        <v>25.084399999999999</v>
      </c>
      <c r="J813" s="4">
        <f>CHOOSE( CONTROL!$C$32, 24.9304, 24.9268) * CHOOSE(CONTROL!$C$15, $D$11, 100%, $F$11)</f>
        <v>24.930399999999999</v>
      </c>
      <c r="K813" s="4"/>
      <c r="L813" s="9">
        <v>30.7165</v>
      </c>
      <c r="M813" s="9">
        <v>12.063700000000001</v>
      </c>
      <c r="N813" s="9">
        <v>4.9444999999999997</v>
      </c>
      <c r="O813" s="9">
        <v>0.37409999999999999</v>
      </c>
      <c r="P813" s="9">
        <v>1.2183999999999999</v>
      </c>
      <c r="Q813" s="9">
        <v>19.688099999999999</v>
      </c>
      <c r="R813" s="9"/>
      <c r="S813" s="11"/>
    </row>
    <row r="814" spans="1:19" ht="15.75">
      <c r="A814" s="13">
        <v>66292</v>
      </c>
      <c r="B814" s="8">
        <f>CHOOSE( CONTROL!$C$32, 25.2864, 25.2827) * CHOOSE(CONTROL!$C$15, $D$11, 100%, $F$11)</f>
        <v>25.2864</v>
      </c>
      <c r="C814" s="8">
        <f>CHOOSE( CONTROL!$C$32, 25.2943, 25.2907) * CHOOSE(CONTROL!$C$15, $D$11, 100%, $F$11)</f>
        <v>25.2943</v>
      </c>
      <c r="D814" s="8">
        <f>CHOOSE( CONTROL!$C$32, 25.3323, 25.3286) * CHOOSE( CONTROL!$C$15, $D$11, 100%, $F$11)</f>
        <v>25.3323</v>
      </c>
      <c r="E814" s="12">
        <f>CHOOSE( CONTROL!$C$32, 25.3173, 25.3136) * CHOOSE( CONTROL!$C$15, $D$11, 100%, $F$11)</f>
        <v>25.317299999999999</v>
      </c>
      <c r="F814" s="4">
        <f>CHOOSE( CONTROL!$C$32, 26.0294, 26.0257) * CHOOSE(CONTROL!$C$15, $D$11, 100%, $F$11)</f>
        <v>26.029399999999999</v>
      </c>
      <c r="G814" s="8">
        <f>CHOOSE( CONTROL!$C$32, 24.9965, 24.9929) * CHOOSE( CONTROL!$C$15, $D$11, 100%, $F$11)</f>
        <v>24.996500000000001</v>
      </c>
      <c r="H814" s="4">
        <f>CHOOSE( CONTROL!$C$32, 25.9712, 25.9676) * CHOOSE(CONTROL!$C$15, $D$11, 100%, $F$11)</f>
        <v>25.9712</v>
      </c>
      <c r="I814" s="8">
        <f>CHOOSE( CONTROL!$C$32, 24.6845, 24.6809) * CHOOSE(CONTROL!$C$15, $D$11, 100%, $F$11)</f>
        <v>24.6845</v>
      </c>
      <c r="J814" s="4">
        <f>CHOOSE( CONTROL!$C$32, 24.5296, 24.5261) * CHOOSE(CONTROL!$C$15, $D$11, 100%, $F$11)</f>
        <v>24.529599999999999</v>
      </c>
      <c r="K814" s="4"/>
      <c r="L814" s="9">
        <v>29.7257</v>
      </c>
      <c r="M814" s="9">
        <v>11.6745</v>
      </c>
      <c r="N814" s="9">
        <v>4.7850000000000001</v>
      </c>
      <c r="O814" s="9">
        <v>0.36199999999999999</v>
      </c>
      <c r="P814" s="9">
        <v>1.1791</v>
      </c>
      <c r="Q814" s="9">
        <v>19.053000000000001</v>
      </c>
      <c r="R814" s="9"/>
      <c r="S814" s="11"/>
    </row>
    <row r="815" spans="1:19" ht="15.75">
      <c r="A815" s="13">
        <v>66323</v>
      </c>
      <c r="B815" s="8">
        <f>CHOOSE( CONTROL!$C$32, 26.3738, 26.3702) * CHOOSE(CONTROL!$C$15, $D$11, 100%, $F$11)</f>
        <v>26.373799999999999</v>
      </c>
      <c r="C815" s="8">
        <f>CHOOSE( CONTROL!$C$32, 26.3818, 26.3781) * CHOOSE(CONTROL!$C$15, $D$11, 100%, $F$11)</f>
        <v>26.381799999999998</v>
      </c>
      <c r="D815" s="8">
        <f>CHOOSE( CONTROL!$C$32, 26.42, 26.4163) * CHOOSE( CONTROL!$C$15, $D$11, 100%, $F$11)</f>
        <v>26.42</v>
      </c>
      <c r="E815" s="12">
        <f>CHOOSE( CONTROL!$C$32, 26.4049, 26.4013) * CHOOSE( CONTROL!$C$15, $D$11, 100%, $F$11)</f>
        <v>26.404900000000001</v>
      </c>
      <c r="F815" s="4">
        <f>CHOOSE( CONTROL!$C$32, 27.1168, 27.1132) * CHOOSE(CONTROL!$C$15, $D$11, 100%, $F$11)</f>
        <v>27.116800000000001</v>
      </c>
      <c r="G815" s="8">
        <f>CHOOSE( CONTROL!$C$32, 26.0715, 26.0679) * CHOOSE( CONTROL!$C$15, $D$11, 100%, $F$11)</f>
        <v>26.0715</v>
      </c>
      <c r="H815" s="4">
        <f>CHOOSE( CONTROL!$C$32, 27.0459, 27.0423) * CHOOSE(CONTROL!$C$15, $D$11, 100%, $F$11)</f>
        <v>27.0459</v>
      </c>
      <c r="I815" s="8">
        <f>CHOOSE( CONTROL!$C$32, 25.7415, 25.7379) * CHOOSE(CONTROL!$C$15, $D$11, 100%, $F$11)</f>
        <v>25.741499999999998</v>
      </c>
      <c r="J815" s="4">
        <f>CHOOSE( CONTROL!$C$32, 25.585, 25.5814) * CHOOSE(CONTROL!$C$15, $D$11, 100%, $F$11)</f>
        <v>25.585000000000001</v>
      </c>
      <c r="K815" s="4"/>
      <c r="L815" s="9">
        <v>30.7165</v>
      </c>
      <c r="M815" s="9">
        <v>12.063700000000001</v>
      </c>
      <c r="N815" s="9">
        <v>4.9444999999999997</v>
      </c>
      <c r="O815" s="9">
        <v>0.37409999999999999</v>
      </c>
      <c r="P815" s="9">
        <v>1.2183999999999999</v>
      </c>
      <c r="Q815" s="9">
        <v>19.688099999999999</v>
      </c>
      <c r="R815" s="9"/>
      <c r="S815" s="11"/>
    </row>
    <row r="816" spans="1:19" ht="15.75">
      <c r="A816" s="13">
        <v>66354</v>
      </c>
      <c r="B816" s="8">
        <f>CHOOSE( CONTROL!$C$32, 24.3391, 24.3354) * CHOOSE(CONTROL!$C$15, $D$11, 100%, $F$11)</f>
        <v>24.339099999999998</v>
      </c>
      <c r="C816" s="8">
        <f>CHOOSE( CONTROL!$C$32, 24.3471, 24.3434) * CHOOSE(CONTROL!$C$15, $D$11, 100%, $F$11)</f>
        <v>24.347100000000001</v>
      </c>
      <c r="D816" s="8">
        <f>CHOOSE( CONTROL!$C$32, 24.3853, 24.3817) * CHOOSE( CONTROL!$C$15, $D$11, 100%, $F$11)</f>
        <v>24.385300000000001</v>
      </c>
      <c r="E816" s="12">
        <f>CHOOSE( CONTROL!$C$32, 24.3702, 24.3666) * CHOOSE( CONTROL!$C$15, $D$11, 100%, $F$11)</f>
        <v>24.370200000000001</v>
      </c>
      <c r="F816" s="4">
        <f>CHOOSE( CONTROL!$C$32, 25.0821, 25.0784) * CHOOSE(CONTROL!$C$15, $D$11, 100%, $F$11)</f>
        <v>25.082100000000001</v>
      </c>
      <c r="G816" s="8">
        <f>CHOOSE( CONTROL!$C$32, 24.0607, 24.0571) * CHOOSE( CONTROL!$C$15, $D$11, 100%, $F$11)</f>
        <v>24.060700000000001</v>
      </c>
      <c r="H816" s="4">
        <f>CHOOSE( CONTROL!$C$32, 25.035, 25.0314) * CHOOSE(CONTROL!$C$15, $D$11, 100%, $F$11)</f>
        <v>25.035</v>
      </c>
      <c r="I816" s="8">
        <f>CHOOSE( CONTROL!$C$32, 23.7661, 23.7625) * CHOOSE(CONTROL!$C$15, $D$11, 100%, $F$11)</f>
        <v>23.766100000000002</v>
      </c>
      <c r="J816" s="4">
        <f>CHOOSE( CONTROL!$C$32, 23.6103, 23.6067) * CHOOSE(CONTROL!$C$15, $D$11, 100%, $F$11)</f>
        <v>23.610299999999999</v>
      </c>
      <c r="K816" s="4"/>
      <c r="L816" s="9">
        <v>30.7165</v>
      </c>
      <c r="M816" s="9">
        <v>12.063700000000001</v>
      </c>
      <c r="N816" s="9">
        <v>4.9444999999999997</v>
      </c>
      <c r="O816" s="9">
        <v>0.37409999999999999</v>
      </c>
      <c r="P816" s="9">
        <v>1.2183999999999999</v>
      </c>
      <c r="Q816" s="9">
        <v>19.688099999999999</v>
      </c>
      <c r="R816" s="9"/>
      <c r="S816" s="11"/>
    </row>
    <row r="817" spans="1:19" ht="15.75">
      <c r="A817" s="13">
        <v>66384</v>
      </c>
      <c r="B817" s="8">
        <f>CHOOSE( CONTROL!$C$32, 23.8296, 23.8259) * CHOOSE(CONTROL!$C$15, $D$11, 100%, $F$11)</f>
        <v>23.829599999999999</v>
      </c>
      <c r="C817" s="8">
        <f>CHOOSE( CONTROL!$C$32, 23.8375, 23.8339) * CHOOSE(CONTROL!$C$15, $D$11, 100%, $F$11)</f>
        <v>23.837499999999999</v>
      </c>
      <c r="D817" s="8">
        <f>CHOOSE( CONTROL!$C$32, 23.8757, 23.8721) * CHOOSE( CONTROL!$C$15, $D$11, 100%, $F$11)</f>
        <v>23.875699999999998</v>
      </c>
      <c r="E817" s="12">
        <f>CHOOSE( CONTROL!$C$32, 23.8607, 23.857) * CHOOSE( CONTROL!$C$15, $D$11, 100%, $F$11)</f>
        <v>23.860700000000001</v>
      </c>
      <c r="F817" s="4">
        <f>CHOOSE( CONTROL!$C$32, 24.5726, 24.5689) * CHOOSE(CONTROL!$C$15, $D$11, 100%, $F$11)</f>
        <v>24.572600000000001</v>
      </c>
      <c r="G817" s="8">
        <f>CHOOSE( CONTROL!$C$32, 23.5571, 23.5535) * CHOOSE( CONTROL!$C$15, $D$11, 100%, $F$11)</f>
        <v>23.557099999999998</v>
      </c>
      <c r="H817" s="4">
        <f>CHOOSE( CONTROL!$C$32, 24.5314, 24.5278) * CHOOSE(CONTROL!$C$15, $D$11, 100%, $F$11)</f>
        <v>24.531400000000001</v>
      </c>
      <c r="I817" s="8">
        <f>CHOOSE( CONTROL!$C$32, 23.271, 23.2674) * CHOOSE(CONTROL!$C$15, $D$11, 100%, $F$11)</f>
        <v>23.271000000000001</v>
      </c>
      <c r="J817" s="4">
        <f>CHOOSE( CONTROL!$C$32, 23.1158, 23.1122) * CHOOSE(CONTROL!$C$15, $D$11, 100%, $F$11)</f>
        <v>23.1158</v>
      </c>
      <c r="K817" s="4"/>
      <c r="L817" s="9">
        <v>29.7257</v>
      </c>
      <c r="M817" s="9">
        <v>11.6745</v>
      </c>
      <c r="N817" s="9">
        <v>4.7850000000000001</v>
      </c>
      <c r="O817" s="9">
        <v>0.36199999999999999</v>
      </c>
      <c r="P817" s="9">
        <v>1.1791</v>
      </c>
      <c r="Q817" s="9">
        <v>19.053000000000001</v>
      </c>
      <c r="R817" s="9"/>
      <c r="S817" s="11"/>
    </row>
    <row r="818" spans="1:19" ht="15.75">
      <c r="A818" s="13">
        <v>66415</v>
      </c>
      <c r="B818" s="8">
        <f>24.8821 * CHOOSE(CONTROL!$C$15, $D$11, 100%, $F$11)</f>
        <v>24.882100000000001</v>
      </c>
      <c r="C818" s="8">
        <f>24.8875 * CHOOSE(CONTROL!$C$15, $D$11, 100%, $F$11)</f>
        <v>24.887499999999999</v>
      </c>
      <c r="D818" s="8">
        <f>24.931 * CHOOSE( CONTROL!$C$15, $D$11, 100%, $F$11)</f>
        <v>24.931000000000001</v>
      </c>
      <c r="E818" s="12">
        <f>24.9161 * CHOOSE( CONTROL!$C$15, $D$11, 100%, $F$11)</f>
        <v>24.9161</v>
      </c>
      <c r="F818" s="4">
        <f>25.6269 * CHOOSE(CONTROL!$C$15, $D$11, 100%, $F$11)</f>
        <v>25.626899999999999</v>
      </c>
      <c r="G818" s="8">
        <f>24.5985 * CHOOSE( CONTROL!$C$15, $D$11, 100%, $F$11)</f>
        <v>24.598500000000001</v>
      </c>
      <c r="H818" s="4">
        <f>25.5734 * CHOOSE(CONTROL!$C$15, $D$11, 100%, $F$11)</f>
        <v>25.573399999999999</v>
      </c>
      <c r="I818" s="8">
        <f>24.2954 * CHOOSE(CONTROL!$C$15, $D$11, 100%, $F$11)</f>
        <v>24.295400000000001</v>
      </c>
      <c r="J818" s="4">
        <f>24.139 * CHOOSE(CONTROL!$C$15, $D$11, 100%, $F$11)</f>
        <v>24.138999999999999</v>
      </c>
      <c r="K818" s="4"/>
      <c r="L818" s="9">
        <v>31.095300000000002</v>
      </c>
      <c r="M818" s="9">
        <v>12.063700000000001</v>
      </c>
      <c r="N818" s="9">
        <v>4.9444999999999997</v>
      </c>
      <c r="O818" s="9">
        <v>0.37409999999999999</v>
      </c>
      <c r="P818" s="9">
        <v>1.2183999999999999</v>
      </c>
      <c r="Q818" s="9">
        <v>19.688099999999999</v>
      </c>
      <c r="R818" s="9"/>
      <c r="S818" s="11"/>
    </row>
    <row r="819" spans="1:19" ht="15.75">
      <c r="A819" s="13">
        <v>66445</v>
      </c>
      <c r="B819" s="8">
        <f>26.8345 * CHOOSE(CONTROL!$C$15, $D$11, 100%, $F$11)</f>
        <v>26.834499999999998</v>
      </c>
      <c r="C819" s="8">
        <f>26.8395 * CHOOSE(CONTROL!$C$15, $D$11, 100%, $F$11)</f>
        <v>26.839500000000001</v>
      </c>
      <c r="D819" s="8">
        <f>26.8232 * CHOOSE( CONTROL!$C$15, $D$11, 100%, $F$11)</f>
        <v>26.8232</v>
      </c>
      <c r="E819" s="12">
        <f>26.8286 * CHOOSE( CONTROL!$C$15, $D$11, 100%, $F$11)</f>
        <v>26.828600000000002</v>
      </c>
      <c r="F819" s="4">
        <f>27.4997 * CHOOSE(CONTROL!$C$15, $D$11, 100%, $F$11)</f>
        <v>27.499700000000001</v>
      </c>
      <c r="G819" s="8">
        <f>26.5289 * CHOOSE( CONTROL!$C$15, $D$11, 100%, $F$11)</f>
        <v>26.5289</v>
      </c>
      <c r="H819" s="4">
        <f>27.4243 * CHOOSE(CONTROL!$C$15, $D$11, 100%, $F$11)</f>
        <v>27.424299999999999</v>
      </c>
      <c r="I819" s="8">
        <f>26.1916 * CHOOSE(CONTROL!$C$15, $D$11, 100%, $F$11)</f>
        <v>26.191600000000001</v>
      </c>
      <c r="J819" s="4">
        <f>26.0341 * CHOOSE(CONTROL!$C$15, $D$11, 100%, $F$11)</f>
        <v>26.034099999999999</v>
      </c>
      <c r="K819" s="4"/>
      <c r="L819" s="9">
        <v>28.360600000000002</v>
      </c>
      <c r="M819" s="9">
        <v>11.6745</v>
      </c>
      <c r="N819" s="9">
        <v>4.7850000000000001</v>
      </c>
      <c r="O819" s="9">
        <v>0.36199999999999999</v>
      </c>
      <c r="P819" s="9">
        <v>1.2509999999999999</v>
      </c>
      <c r="Q819" s="9">
        <v>19.053000000000001</v>
      </c>
      <c r="R819" s="9"/>
      <c r="S819" s="11"/>
    </row>
    <row r="820" spans="1:19" ht="15.75">
      <c r="A820" s="13">
        <v>66476</v>
      </c>
      <c r="B820" s="8">
        <f>26.7857 * CHOOSE(CONTROL!$C$15, $D$11, 100%, $F$11)</f>
        <v>26.785699999999999</v>
      </c>
      <c r="C820" s="8">
        <f>26.7907 * CHOOSE(CONTROL!$C$15, $D$11, 100%, $F$11)</f>
        <v>26.790700000000001</v>
      </c>
      <c r="D820" s="8">
        <f>26.7761 * CHOOSE( CONTROL!$C$15, $D$11, 100%, $F$11)</f>
        <v>26.7761</v>
      </c>
      <c r="E820" s="12">
        <f>26.7809 * CHOOSE( CONTROL!$C$15, $D$11, 100%, $F$11)</f>
        <v>26.780899999999999</v>
      </c>
      <c r="F820" s="4">
        <f>27.4509 * CHOOSE(CONTROL!$C$15, $D$11, 100%, $F$11)</f>
        <v>27.450900000000001</v>
      </c>
      <c r="G820" s="8">
        <f>26.482 * CHOOSE( CONTROL!$C$15, $D$11, 100%, $F$11)</f>
        <v>26.481999999999999</v>
      </c>
      <c r="H820" s="4">
        <f>27.3761 * CHOOSE(CONTROL!$C$15, $D$11, 100%, $F$11)</f>
        <v>27.376100000000001</v>
      </c>
      <c r="I820" s="8">
        <f>26.1496 * CHOOSE(CONTROL!$C$15, $D$11, 100%, $F$11)</f>
        <v>26.1496</v>
      </c>
      <c r="J820" s="4">
        <f>25.9867 * CHOOSE(CONTROL!$C$15, $D$11, 100%, $F$11)</f>
        <v>25.986699999999999</v>
      </c>
      <c r="K820" s="4"/>
      <c r="L820" s="9">
        <v>29.306000000000001</v>
      </c>
      <c r="M820" s="9">
        <v>12.063700000000001</v>
      </c>
      <c r="N820" s="9">
        <v>4.9444999999999997</v>
      </c>
      <c r="O820" s="9">
        <v>0.37409999999999999</v>
      </c>
      <c r="P820" s="9">
        <v>1.2927</v>
      </c>
      <c r="Q820" s="9">
        <v>19.688099999999999</v>
      </c>
      <c r="R820" s="9"/>
      <c r="S820" s="11"/>
    </row>
    <row r="821" spans="1:19" ht="15.75">
      <c r="A821" s="13">
        <v>66507</v>
      </c>
      <c r="B821" s="8">
        <f>27.5755 * CHOOSE(CONTROL!$C$15, $D$11, 100%, $F$11)</f>
        <v>27.575500000000002</v>
      </c>
      <c r="C821" s="8">
        <f>27.5806 * CHOOSE(CONTROL!$C$15, $D$11, 100%, $F$11)</f>
        <v>27.5806</v>
      </c>
      <c r="D821" s="8">
        <f>27.5517 * CHOOSE( CONTROL!$C$15, $D$11, 100%, $F$11)</f>
        <v>27.5517</v>
      </c>
      <c r="E821" s="12">
        <f>27.5617 * CHOOSE( CONTROL!$C$15, $D$11, 100%, $F$11)</f>
        <v>27.561699999999998</v>
      </c>
      <c r="F821" s="4">
        <f>28.2408 * CHOOSE(CONTROL!$C$15, $D$11, 100%, $F$11)</f>
        <v>28.2408</v>
      </c>
      <c r="G821" s="8">
        <f>27.2523 * CHOOSE( CONTROL!$C$15, $D$11, 100%, $F$11)</f>
        <v>27.252300000000002</v>
      </c>
      <c r="H821" s="4">
        <f>28.1567 * CHOOSE(CONTROL!$C$15, $D$11, 100%, $F$11)</f>
        <v>28.156700000000001</v>
      </c>
      <c r="I821" s="8">
        <f>26.9111 * CHOOSE(CONTROL!$C$15, $D$11, 100%, $F$11)</f>
        <v>26.911100000000001</v>
      </c>
      <c r="J821" s="4">
        <f>26.7533 * CHOOSE(CONTROL!$C$15, $D$11, 100%, $F$11)</f>
        <v>26.753299999999999</v>
      </c>
      <c r="K821" s="4"/>
      <c r="L821" s="9">
        <v>29.306000000000001</v>
      </c>
      <c r="M821" s="9">
        <v>12.063700000000001</v>
      </c>
      <c r="N821" s="9">
        <v>4.9444999999999997</v>
      </c>
      <c r="O821" s="9">
        <v>0.37409999999999999</v>
      </c>
      <c r="P821" s="9">
        <v>1.2927</v>
      </c>
      <c r="Q821" s="9">
        <v>19.688099999999999</v>
      </c>
      <c r="R821" s="9"/>
      <c r="S821" s="11"/>
    </row>
    <row r="822" spans="1:19" ht="15.75">
      <c r="A822" s="13">
        <v>66535</v>
      </c>
      <c r="B822" s="8">
        <f>25.7934 * CHOOSE(CONTROL!$C$15, $D$11, 100%, $F$11)</f>
        <v>25.793399999999998</v>
      </c>
      <c r="C822" s="8">
        <f>25.7984 * CHOOSE(CONTROL!$C$15, $D$11, 100%, $F$11)</f>
        <v>25.798400000000001</v>
      </c>
      <c r="D822" s="8">
        <f>25.7695 * CHOOSE( CONTROL!$C$15, $D$11, 100%, $F$11)</f>
        <v>25.769500000000001</v>
      </c>
      <c r="E822" s="12">
        <f>25.7795 * CHOOSE( CONTROL!$C$15, $D$11, 100%, $F$11)</f>
        <v>25.779499999999999</v>
      </c>
      <c r="F822" s="4">
        <f>26.4586 * CHOOSE(CONTROL!$C$15, $D$11, 100%, $F$11)</f>
        <v>26.458600000000001</v>
      </c>
      <c r="G822" s="8">
        <f>25.491 * CHOOSE( CONTROL!$C$15, $D$11, 100%, $F$11)</f>
        <v>25.491</v>
      </c>
      <c r="H822" s="4">
        <f>26.3954 * CHOOSE(CONTROL!$C$15, $D$11, 100%, $F$11)</f>
        <v>26.395399999999999</v>
      </c>
      <c r="I822" s="8">
        <f>25.1807 * CHOOSE(CONTROL!$C$15, $D$11, 100%, $F$11)</f>
        <v>25.180700000000002</v>
      </c>
      <c r="J822" s="4">
        <f>25.0237 * CHOOSE(CONTROL!$C$15, $D$11, 100%, $F$11)</f>
        <v>25.023700000000002</v>
      </c>
      <c r="K822" s="4"/>
      <c r="L822" s="9">
        <v>26.469899999999999</v>
      </c>
      <c r="M822" s="9">
        <v>10.8962</v>
      </c>
      <c r="N822" s="9">
        <v>4.4660000000000002</v>
      </c>
      <c r="O822" s="9">
        <v>0.33789999999999998</v>
      </c>
      <c r="P822" s="9">
        <v>1.1676</v>
      </c>
      <c r="Q822" s="9">
        <v>17.782800000000002</v>
      </c>
      <c r="R822" s="9"/>
      <c r="S822" s="11"/>
    </row>
    <row r="823" spans="1:19" ht="15.75">
      <c r="A823" s="13">
        <v>66566</v>
      </c>
      <c r="B823" s="8">
        <f>25.2445 * CHOOSE(CONTROL!$C$15, $D$11, 100%, $F$11)</f>
        <v>25.244499999999999</v>
      </c>
      <c r="C823" s="8">
        <f>25.2496 * CHOOSE(CONTROL!$C$15, $D$11, 100%, $F$11)</f>
        <v>25.249600000000001</v>
      </c>
      <c r="D823" s="8">
        <f>25.2203 * CHOOSE( CONTROL!$C$15, $D$11, 100%, $F$11)</f>
        <v>25.220300000000002</v>
      </c>
      <c r="E823" s="12">
        <f>25.2305 * CHOOSE( CONTROL!$C$15, $D$11, 100%, $F$11)</f>
        <v>25.230499999999999</v>
      </c>
      <c r="F823" s="4">
        <f>25.9098 * CHOOSE(CONTROL!$C$15, $D$11, 100%, $F$11)</f>
        <v>25.909800000000001</v>
      </c>
      <c r="G823" s="8">
        <f>24.9483 * CHOOSE( CONTROL!$C$15, $D$11, 100%, $F$11)</f>
        <v>24.9483</v>
      </c>
      <c r="H823" s="4">
        <f>25.853 * CHOOSE(CONTROL!$C$15, $D$11, 100%, $F$11)</f>
        <v>25.853000000000002</v>
      </c>
      <c r="I823" s="8">
        <f>24.6465 * CHOOSE(CONTROL!$C$15, $D$11, 100%, $F$11)</f>
        <v>24.6465</v>
      </c>
      <c r="J823" s="4">
        <f>24.491 * CHOOSE(CONTROL!$C$15, $D$11, 100%, $F$11)</f>
        <v>24.491</v>
      </c>
      <c r="K823" s="4"/>
      <c r="L823" s="9">
        <v>29.306000000000001</v>
      </c>
      <c r="M823" s="9">
        <v>12.063700000000001</v>
      </c>
      <c r="N823" s="9">
        <v>4.9444999999999997</v>
      </c>
      <c r="O823" s="9">
        <v>0.37409999999999999</v>
      </c>
      <c r="P823" s="9">
        <v>1.2927</v>
      </c>
      <c r="Q823" s="9">
        <v>19.688099999999999</v>
      </c>
      <c r="R823" s="9"/>
      <c r="S823" s="11"/>
    </row>
    <row r="824" spans="1:19" ht="15.75">
      <c r="A824" s="13">
        <v>66596</v>
      </c>
      <c r="B824" s="8">
        <f>25.6288 * CHOOSE(CONTROL!$C$15, $D$11, 100%, $F$11)</f>
        <v>25.628799999999998</v>
      </c>
      <c r="C824" s="8">
        <f>25.6333 * CHOOSE(CONTROL!$C$15, $D$11, 100%, $F$11)</f>
        <v>25.633299999999998</v>
      </c>
      <c r="D824" s="8">
        <f>25.6767 * CHOOSE( CONTROL!$C$15, $D$11, 100%, $F$11)</f>
        <v>25.6767</v>
      </c>
      <c r="E824" s="12">
        <f>25.6619 * CHOOSE( CONTROL!$C$15, $D$11, 100%, $F$11)</f>
        <v>25.661899999999999</v>
      </c>
      <c r="F824" s="4">
        <f>26.3732 * CHOOSE(CONTROL!$C$15, $D$11, 100%, $F$11)</f>
        <v>26.373200000000001</v>
      </c>
      <c r="G824" s="8">
        <f>25.3351 * CHOOSE( CONTROL!$C$15, $D$11, 100%, $F$11)</f>
        <v>25.335100000000001</v>
      </c>
      <c r="H824" s="4">
        <f>26.311 * CHOOSE(CONTROL!$C$15, $D$11, 100%, $F$11)</f>
        <v>26.311</v>
      </c>
      <c r="I824" s="8">
        <f>25.0171 * CHOOSE(CONTROL!$C$15, $D$11, 100%, $F$11)</f>
        <v>25.017099999999999</v>
      </c>
      <c r="J824" s="4">
        <f>24.8632 * CHOOSE(CONTROL!$C$15, $D$11, 100%, $F$11)</f>
        <v>24.863199999999999</v>
      </c>
      <c r="K824" s="4"/>
      <c r="L824" s="9">
        <v>30.092199999999998</v>
      </c>
      <c r="M824" s="9">
        <v>11.6745</v>
      </c>
      <c r="N824" s="9">
        <v>4.7850000000000001</v>
      </c>
      <c r="O824" s="9">
        <v>0.36199999999999999</v>
      </c>
      <c r="P824" s="9">
        <v>1.1791</v>
      </c>
      <c r="Q824" s="9">
        <v>19.053000000000001</v>
      </c>
      <c r="R824" s="9"/>
      <c r="S824" s="11"/>
    </row>
    <row r="825" spans="1:19" ht="15.75">
      <c r="A825" s="13">
        <v>66627</v>
      </c>
      <c r="B825" s="8">
        <f>CHOOSE( CONTROL!$C$32, 26.3164, 26.3128) * CHOOSE(CONTROL!$C$15, $D$11, 100%, $F$11)</f>
        <v>26.316400000000002</v>
      </c>
      <c r="C825" s="8">
        <f>CHOOSE( CONTROL!$C$32, 26.3244, 26.3208) * CHOOSE(CONTROL!$C$15, $D$11, 100%, $F$11)</f>
        <v>26.324400000000001</v>
      </c>
      <c r="D825" s="8">
        <f>CHOOSE( CONTROL!$C$32, 26.3621, 26.3585) * CHOOSE( CONTROL!$C$15, $D$11, 100%, $F$11)</f>
        <v>26.362100000000002</v>
      </c>
      <c r="E825" s="12">
        <f>CHOOSE( CONTROL!$C$32, 26.3472, 26.3436) * CHOOSE( CONTROL!$C$15, $D$11, 100%, $F$11)</f>
        <v>26.347200000000001</v>
      </c>
      <c r="F825" s="4">
        <f>CHOOSE( CONTROL!$C$32, 27.0594, 27.0558) * CHOOSE(CONTROL!$C$15, $D$11, 100%, $F$11)</f>
        <v>27.0594</v>
      </c>
      <c r="G825" s="8">
        <f>CHOOSE( CONTROL!$C$32, 26.0141, 26.0105) * CHOOSE( CONTROL!$C$15, $D$11, 100%, $F$11)</f>
        <v>26.014099999999999</v>
      </c>
      <c r="H825" s="4">
        <f>CHOOSE( CONTROL!$C$32, 26.9892, 26.9856) * CHOOSE(CONTROL!$C$15, $D$11, 100%, $F$11)</f>
        <v>26.9892</v>
      </c>
      <c r="I825" s="8">
        <f>CHOOSE( CONTROL!$C$32, 25.6836, 25.6801) * CHOOSE(CONTROL!$C$15, $D$11, 100%, $F$11)</f>
        <v>25.683599999999998</v>
      </c>
      <c r="J825" s="4">
        <f>CHOOSE( CONTROL!$C$32, 25.5293, 25.5257) * CHOOSE(CONTROL!$C$15, $D$11, 100%, $F$11)</f>
        <v>25.529299999999999</v>
      </c>
      <c r="K825" s="4"/>
      <c r="L825" s="9">
        <v>30.7165</v>
      </c>
      <c r="M825" s="9">
        <v>12.063700000000001</v>
      </c>
      <c r="N825" s="9">
        <v>4.9444999999999997</v>
      </c>
      <c r="O825" s="9">
        <v>0.37409999999999999</v>
      </c>
      <c r="P825" s="9">
        <v>1.2183999999999999</v>
      </c>
      <c r="Q825" s="9">
        <v>19.688099999999999</v>
      </c>
      <c r="R825" s="9"/>
      <c r="S825" s="11"/>
    </row>
    <row r="826" spans="1:19" ht="15.75">
      <c r="A826" s="13">
        <v>66657</v>
      </c>
      <c r="B826" s="8">
        <f>CHOOSE( CONTROL!$C$32, 25.8936, 25.8899) * CHOOSE(CONTROL!$C$15, $D$11, 100%, $F$11)</f>
        <v>25.893599999999999</v>
      </c>
      <c r="C826" s="8">
        <f>CHOOSE( CONTROL!$C$32, 25.9015, 25.8979) * CHOOSE(CONTROL!$C$15, $D$11, 100%, $F$11)</f>
        <v>25.901499999999999</v>
      </c>
      <c r="D826" s="8">
        <f>CHOOSE( CONTROL!$C$32, 25.9395, 25.9359) * CHOOSE( CONTROL!$C$15, $D$11, 100%, $F$11)</f>
        <v>25.939499999999999</v>
      </c>
      <c r="E826" s="12">
        <f>CHOOSE( CONTROL!$C$32, 25.9245, 25.9209) * CHOOSE( CONTROL!$C$15, $D$11, 100%, $F$11)</f>
        <v>25.924499999999998</v>
      </c>
      <c r="F826" s="4">
        <f>CHOOSE( CONTROL!$C$32, 26.6366, 26.6329) * CHOOSE(CONTROL!$C$15, $D$11, 100%, $F$11)</f>
        <v>26.636600000000001</v>
      </c>
      <c r="G826" s="8">
        <f>CHOOSE( CONTROL!$C$32, 25.5966, 25.593) * CHOOSE( CONTROL!$C$15, $D$11, 100%, $F$11)</f>
        <v>25.596599999999999</v>
      </c>
      <c r="H826" s="4">
        <f>CHOOSE( CONTROL!$C$32, 26.5713, 26.5677) * CHOOSE(CONTROL!$C$15, $D$11, 100%, $F$11)</f>
        <v>26.571300000000001</v>
      </c>
      <c r="I826" s="8">
        <f>CHOOSE( CONTROL!$C$32, 25.274, 25.2705) * CHOOSE(CONTROL!$C$15, $D$11, 100%, $F$11)</f>
        <v>25.274000000000001</v>
      </c>
      <c r="J826" s="4">
        <f>CHOOSE( CONTROL!$C$32, 25.1189, 25.1154) * CHOOSE(CONTROL!$C$15, $D$11, 100%, $F$11)</f>
        <v>25.1189</v>
      </c>
      <c r="K826" s="4"/>
      <c r="L826" s="9">
        <v>29.7257</v>
      </c>
      <c r="M826" s="9">
        <v>11.6745</v>
      </c>
      <c r="N826" s="9">
        <v>4.7850000000000001</v>
      </c>
      <c r="O826" s="9">
        <v>0.36199999999999999</v>
      </c>
      <c r="P826" s="9">
        <v>1.1791</v>
      </c>
      <c r="Q826" s="9">
        <v>19.053000000000001</v>
      </c>
      <c r="R826" s="9"/>
      <c r="S826" s="11"/>
    </row>
    <row r="827" spans="1:19" ht="15.75">
      <c r="A827" s="13">
        <v>66688</v>
      </c>
      <c r="B827" s="8">
        <f>CHOOSE( CONTROL!$C$32, 27.0071, 27.0035) * CHOOSE(CONTROL!$C$15, $D$11, 100%, $F$11)</f>
        <v>27.007100000000001</v>
      </c>
      <c r="C827" s="8">
        <f>CHOOSE( CONTROL!$C$32, 27.0151, 27.0115) * CHOOSE(CONTROL!$C$15, $D$11, 100%, $F$11)</f>
        <v>27.0151</v>
      </c>
      <c r="D827" s="8">
        <f>CHOOSE( CONTROL!$C$32, 27.0533, 27.0497) * CHOOSE( CONTROL!$C$15, $D$11, 100%, $F$11)</f>
        <v>27.0533</v>
      </c>
      <c r="E827" s="12">
        <f>CHOOSE( CONTROL!$C$32, 27.0382, 27.0346) * CHOOSE( CONTROL!$C$15, $D$11, 100%, $F$11)</f>
        <v>27.0382</v>
      </c>
      <c r="F827" s="4">
        <f>CHOOSE( CONTROL!$C$32, 27.7501, 27.7465) * CHOOSE(CONTROL!$C$15, $D$11, 100%, $F$11)</f>
        <v>27.7501</v>
      </c>
      <c r="G827" s="8">
        <f>CHOOSE( CONTROL!$C$32, 26.6974, 26.6938) * CHOOSE( CONTROL!$C$15, $D$11, 100%, $F$11)</f>
        <v>26.697399999999998</v>
      </c>
      <c r="H827" s="4">
        <f>CHOOSE( CONTROL!$C$32, 27.6718, 27.6682) * CHOOSE(CONTROL!$C$15, $D$11, 100%, $F$11)</f>
        <v>27.671800000000001</v>
      </c>
      <c r="I827" s="8">
        <f>CHOOSE( CONTROL!$C$32, 26.3564, 26.3529) * CHOOSE(CONTROL!$C$15, $D$11, 100%, $F$11)</f>
        <v>26.356400000000001</v>
      </c>
      <c r="J827" s="4">
        <f>CHOOSE( CONTROL!$C$32, 26.1996, 26.1961) * CHOOSE(CONTROL!$C$15, $D$11, 100%, $F$11)</f>
        <v>26.1996</v>
      </c>
      <c r="K827" s="4"/>
      <c r="L827" s="9">
        <v>30.7165</v>
      </c>
      <c r="M827" s="9">
        <v>12.063700000000001</v>
      </c>
      <c r="N827" s="9">
        <v>4.9444999999999997</v>
      </c>
      <c r="O827" s="9">
        <v>0.37409999999999999</v>
      </c>
      <c r="P827" s="9">
        <v>1.2183999999999999</v>
      </c>
      <c r="Q827" s="9">
        <v>19.688099999999999</v>
      </c>
      <c r="R827" s="9"/>
      <c r="S827" s="11"/>
    </row>
    <row r="828" spans="1:19" ht="15.75">
      <c r="A828" s="13">
        <v>66719</v>
      </c>
      <c r="B828" s="8">
        <f>CHOOSE( CONTROL!$C$32, 24.9235, 24.9199) * CHOOSE(CONTROL!$C$15, $D$11, 100%, $F$11)</f>
        <v>24.923500000000001</v>
      </c>
      <c r="C828" s="8">
        <f>CHOOSE( CONTROL!$C$32, 24.9315, 24.9279) * CHOOSE(CONTROL!$C$15, $D$11, 100%, $F$11)</f>
        <v>24.9315</v>
      </c>
      <c r="D828" s="8">
        <f>CHOOSE( CONTROL!$C$32, 24.9698, 24.9661) * CHOOSE( CONTROL!$C$15, $D$11, 100%, $F$11)</f>
        <v>24.969799999999999</v>
      </c>
      <c r="E828" s="12">
        <f>CHOOSE( CONTROL!$C$32, 24.9547, 24.951) * CHOOSE( CONTROL!$C$15, $D$11, 100%, $F$11)</f>
        <v>24.954699999999999</v>
      </c>
      <c r="F828" s="4">
        <f>CHOOSE( CONTROL!$C$32, 25.6665, 25.6629) * CHOOSE(CONTROL!$C$15, $D$11, 100%, $F$11)</f>
        <v>25.666499999999999</v>
      </c>
      <c r="G828" s="8">
        <f>CHOOSE( CONTROL!$C$32, 24.6383, 24.6347) * CHOOSE( CONTROL!$C$15, $D$11, 100%, $F$11)</f>
        <v>24.638300000000001</v>
      </c>
      <c r="H828" s="4">
        <f>CHOOSE( CONTROL!$C$32, 25.6126, 25.609) * CHOOSE(CONTROL!$C$15, $D$11, 100%, $F$11)</f>
        <v>25.6126</v>
      </c>
      <c r="I828" s="8">
        <f>CHOOSE( CONTROL!$C$32, 24.3336, 24.33) * CHOOSE(CONTROL!$C$15, $D$11, 100%, $F$11)</f>
        <v>24.333600000000001</v>
      </c>
      <c r="J828" s="4">
        <f>CHOOSE( CONTROL!$C$32, 24.1775, 24.1739) * CHOOSE(CONTROL!$C$15, $D$11, 100%, $F$11)</f>
        <v>24.177499999999998</v>
      </c>
      <c r="K828" s="4"/>
      <c r="L828" s="9">
        <v>30.7165</v>
      </c>
      <c r="M828" s="9">
        <v>12.063700000000001</v>
      </c>
      <c r="N828" s="9">
        <v>4.9444999999999997</v>
      </c>
      <c r="O828" s="9">
        <v>0.37409999999999999</v>
      </c>
      <c r="P828" s="9">
        <v>1.2183999999999999</v>
      </c>
      <c r="Q828" s="9">
        <v>19.688099999999999</v>
      </c>
      <c r="R828" s="9"/>
      <c r="S828" s="11"/>
    </row>
    <row r="829" spans="1:19" ht="15.75">
      <c r="A829" s="13">
        <v>66749</v>
      </c>
      <c r="B829" s="8">
        <f>CHOOSE( CONTROL!$C$32, 24.4018, 24.3981) * CHOOSE(CONTROL!$C$15, $D$11, 100%, $F$11)</f>
        <v>24.401800000000001</v>
      </c>
      <c r="C829" s="8">
        <f>CHOOSE( CONTROL!$C$32, 24.4097, 24.4061) * CHOOSE(CONTROL!$C$15, $D$11, 100%, $F$11)</f>
        <v>24.409700000000001</v>
      </c>
      <c r="D829" s="8">
        <f>CHOOSE( CONTROL!$C$32, 24.4479, 24.4443) * CHOOSE( CONTROL!$C$15, $D$11, 100%, $F$11)</f>
        <v>24.447900000000001</v>
      </c>
      <c r="E829" s="12">
        <f>CHOOSE( CONTROL!$C$32, 24.4329, 24.4292) * CHOOSE( CONTROL!$C$15, $D$11, 100%, $F$11)</f>
        <v>24.4329</v>
      </c>
      <c r="F829" s="4">
        <f>CHOOSE( CONTROL!$C$32, 25.1448, 25.1411) * CHOOSE(CONTROL!$C$15, $D$11, 100%, $F$11)</f>
        <v>25.1448</v>
      </c>
      <c r="G829" s="8">
        <f>CHOOSE( CONTROL!$C$32, 24.1226, 24.119) * CHOOSE( CONTROL!$C$15, $D$11, 100%, $F$11)</f>
        <v>24.122599999999998</v>
      </c>
      <c r="H829" s="4">
        <f>CHOOSE( CONTROL!$C$32, 25.0969, 25.0933) * CHOOSE(CONTROL!$C$15, $D$11, 100%, $F$11)</f>
        <v>25.096900000000002</v>
      </c>
      <c r="I829" s="8">
        <f>CHOOSE( CONTROL!$C$32, 23.8266, 23.823) * CHOOSE(CONTROL!$C$15, $D$11, 100%, $F$11)</f>
        <v>23.826599999999999</v>
      </c>
      <c r="J829" s="4">
        <f>CHOOSE( CONTROL!$C$32, 23.6711, 23.6676) * CHOOSE(CONTROL!$C$15, $D$11, 100%, $F$11)</f>
        <v>23.671099999999999</v>
      </c>
      <c r="K829" s="4"/>
      <c r="L829" s="9">
        <v>29.7257</v>
      </c>
      <c r="M829" s="9">
        <v>11.6745</v>
      </c>
      <c r="N829" s="9">
        <v>4.7850000000000001</v>
      </c>
      <c r="O829" s="9">
        <v>0.36199999999999999</v>
      </c>
      <c r="P829" s="9">
        <v>1.1791</v>
      </c>
      <c r="Q829" s="9">
        <v>19.053000000000001</v>
      </c>
      <c r="R829" s="9"/>
      <c r="S829" s="11"/>
    </row>
    <row r="830" spans="1:19" ht="15.75">
      <c r="A830" s="13">
        <v>66780</v>
      </c>
      <c r="B830" s="8">
        <f>25.4798 * CHOOSE(CONTROL!$C$15, $D$11, 100%, $F$11)</f>
        <v>25.479800000000001</v>
      </c>
      <c r="C830" s="8">
        <f>25.4851 * CHOOSE(CONTROL!$C$15, $D$11, 100%, $F$11)</f>
        <v>25.485099999999999</v>
      </c>
      <c r="D830" s="8">
        <f>25.5286 * CHOOSE( CONTROL!$C$15, $D$11, 100%, $F$11)</f>
        <v>25.528600000000001</v>
      </c>
      <c r="E830" s="12">
        <f>25.5137 * CHOOSE( CONTROL!$C$15, $D$11, 100%, $F$11)</f>
        <v>25.5137</v>
      </c>
      <c r="F830" s="4">
        <f>26.2245 * CHOOSE(CONTROL!$C$15, $D$11, 100%, $F$11)</f>
        <v>26.224499999999999</v>
      </c>
      <c r="G830" s="8">
        <f>25.1891 * CHOOSE( CONTROL!$C$15, $D$11, 100%, $F$11)</f>
        <v>25.1891</v>
      </c>
      <c r="H830" s="4">
        <f>26.164 * CHOOSE(CONTROL!$C$15, $D$11, 100%, $F$11)</f>
        <v>26.164000000000001</v>
      </c>
      <c r="I830" s="8">
        <f>24.8757 * CHOOSE(CONTROL!$C$15, $D$11, 100%, $F$11)</f>
        <v>24.875699999999998</v>
      </c>
      <c r="J830" s="4">
        <f>24.719 * CHOOSE(CONTROL!$C$15, $D$11, 100%, $F$11)</f>
        <v>24.719000000000001</v>
      </c>
      <c r="K830" s="4"/>
      <c r="L830" s="9">
        <v>31.095300000000002</v>
      </c>
      <c r="M830" s="9">
        <v>12.063700000000001</v>
      </c>
      <c r="N830" s="9">
        <v>4.9444999999999997</v>
      </c>
      <c r="O830" s="9">
        <v>0.37409999999999999</v>
      </c>
      <c r="P830" s="9">
        <v>1.2183999999999999</v>
      </c>
      <c r="Q830" s="9">
        <v>19.688099999999999</v>
      </c>
      <c r="R830" s="9"/>
      <c r="S830" s="11"/>
    </row>
    <row r="831" spans="1:19" ht="15.75">
      <c r="A831" s="13">
        <v>66810</v>
      </c>
      <c r="B831" s="8">
        <f>27.479 * CHOOSE(CONTROL!$C$15, $D$11, 100%, $F$11)</f>
        <v>27.478999999999999</v>
      </c>
      <c r="C831" s="8">
        <f>27.4841 * CHOOSE(CONTROL!$C$15, $D$11, 100%, $F$11)</f>
        <v>27.484100000000002</v>
      </c>
      <c r="D831" s="8">
        <f>27.4677 * CHOOSE( CONTROL!$C$15, $D$11, 100%, $F$11)</f>
        <v>27.467700000000001</v>
      </c>
      <c r="E831" s="12">
        <f>27.4732 * CHOOSE( CONTROL!$C$15, $D$11, 100%, $F$11)</f>
        <v>27.473199999999999</v>
      </c>
      <c r="F831" s="4">
        <f>28.1443 * CHOOSE(CONTROL!$C$15, $D$11, 100%, $F$11)</f>
        <v>28.144300000000001</v>
      </c>
      <c r="G831" s="8">
        <f>27.1659 * CHOOSE( CONTROL!$C$15, $D$11, 100%, $F$11)</f>
        <v>27.165900000000001</v>
      </c>
      <c r="H831" s="4">
        <f>28.0613 * CHOOSE(CONTROL!$C$15, $D$11, 100%, $F$11)</f>
        <v>28.061299999999999</v>
      </c>
      <c r="I831" s="8">
        <f>26.8174 * CHOOSE(CONTROL!$C$15, $D$11, 100%, $F$11)</f>
        <v>26.817399999999999</v>
      </c>
      <c r="J831" s="4">
        <f>26.6596 * CHOOSE(CONTROL!$C$15, $D$11, 100%, $F$11)</f>
        <v>26.659600000000001</v>
      </c>
      <c r="K831" s="4"/>
      <c r="L831" s="9">
        <v>28.360600000000002</v>
      </c>
      <c r="M831" s="9">
        <v>11.6745</v>
      </c>
      <c r="N831" s="9">
        <v>4.7850000000000001</v>
      </c>
      <c r="O831" s="9">
        <v>0.36199999999999999</v>
      </c>
      <c r="P831" s="9">
        <v>1.2509999999999999</v>
      </c>
      <c r="Q831" s="9">
        <v>19.053000000000001</v>
      </c>
      <c r="R831" s="9"/>
      <c r="S831" s="11"/>
    </row>
    <row r="832" spans="1:19" ht="15.75">
      <c r="A832" s="13">
        <v>66841</v>
      </c>
      <c r="B832" s="8">
        <f>27.429 * CHOOSE(CONTROL!$C$15, $D$11, 100%, $F$11)</f>
        <v>27.428999999999998</v>
      </c>
      <c r="C832" s="8">
        <f>27.4341 * CHOOSE(CONTROL!$C$15, $D$11, 100%, $F$11)</f>
        <v>27.434100000000001</v>
      </c>
      <c r="D832" s="8">
        <f>27.4195 * CHOOSE( CONTROL!$C$15, $D$11, 100%, $F$11)</f>
        <v>27.419499999999999</v>
      </c>
      <c r="E832" s="12">
        <f>27.4243 * CHOOSE( CONTROL!$C$15, $D$11, 100%, $F$11)</f>
        <v>27.424299999999999</v>
      </c>
      <c r="F832" s="4">
        <f>28.0943 * CHOOSE(CONTROL!$C$15, $D$11, 100%, $F$11)</f>
        <v>28.0943</v>
      </c>
      <c r="G832" s="8">
        <f>27.1178 * CHOOSE( CONTROL!$C$15, $D$11, 100%, $F$11)</f>
        <v>27.117799999999999</v>
      </c>
      <c r="H832" s="4">
        <f>28.012 * CHOOSE(CONTROL!$C$15, $D$11, 100%, $F$11)</f>
        <v>28.012</v>
      </c>
      <c r="I832" s="8">
        <f>26.7743 * CHOOSE(CONTROL!$C$15, $D$11, 100%, $F$11)</f>
        <v>26.7743</v>
      </c>
      <c r="J832" s="4">
        <f>26.6111 * CHOOSE(CONTROL!$C$15, $D$11, 100%, $F$11)</f>
        <v>26.6111</v>
      </c>
      <c r="K832" s="4"/>
      <c r="L832" s="9">
        <v>29.306000000000001</v>
      </c>
      <c r="M832" s="9">
        <v>12.063700000000001</v>
      </c>
      <c r="N832" s="9">
        <v>4.9444999999999997</v>
      </c>
      <c r="O832" s="9">
        <v>0.37409999999999999</v>
      </c>
      <c r="P832" s="9">
        <v>1.2927</v>
      </c>
      <c r="Q832" s="9">
        <v>19.688099999999999</v>
      </c>
      <c r="R832" s="9"/>
      <c r="S832" s="11"/>
    </row>
    <row r="833" spans="1:19" ht="15.75">
      <c r="A833" s="13">
        <v>66872</v>
      </c>
      <c r="B833" s="8">
        <f>28.2378 * CHOOSE(CONTROL!$C$15, $D$11, 100%, $F$11)</f>
        <v>28.2378</v>
      </c>
      <c r="C833" s="8">
        <f>28.2429 * CHOOSE(CONTROL!$C$15, $D$11, 100%, $F$11)</f>
        <v>28.242899999999999</v>
      </c>
      <c r="D833" s="8">
        <f>28.214 * CHOOSE( CONTROL!$C$15, $D$11, 100%, $F$11)</f>
        <v>28.213999999999999</v>
      </c>
      <c r="E833" s="12">
        <f>28.224 * CHOOSE( CONTROL!$C$15, $D$11, 100%, $F$11)</f>
        <v>28.224</v>
      </c>
      <c r="F833" s="4">
        <f>28.9031 * CHOOSE(CONTROL!$C$15, $D$11, 100%, $F$11)</f>
        <v>28.903099999999998</v>
      </c>
      <c r="G833" s="8">
        <f>27.9069 * CHOOSE( CONTROL!$C$15, $D$11, 100%, $F$11)</f>
        <v>27.9069</v>
      </c>
      <c r="H833" s="4">
        <f>28.8113 * CHOOSE(CONTROL!$C$15, $D$11, 100%, $F$11)</f>
        <v>28.811299999999999</v>
      </c>
      <c r="I833" s="8">
        <f>27.5543 * CHOOSE(CONTROL!$C$15, $D$11, 100%, $F$11)</f>
        <v>27.554300000000001</v>
      </c>
      <c r="J833" s="4">
        <f>27.3961 * CHOOSE(CONTROL!$C$15, $D$11, 100%, $F$11)</f>
        <v>27.396100000000001</v>
      </c>
      <c r="K833" s="4"/>
      <c r="L833" s="9">
        <v>29.306000000000001</v>
      </c>
      <c r="M833" s="9">
        <v>12.063700000000001</v>
      </c>
      <c r="N833" s="9">
        <v>4.9444999999999997</v>
      </c>
      <c r="O833" s="9">
        <v>0.37409999999999999</v>
      </c>
      <c r="P833" s="9">
        <v>1.2927</v>
      </c>
      <c r="Q833" s="9">
        <v>19.688099999999999</v>
      </c>
      <c r="R833" s="9"/>
      <c r="S833" s="11"/>
    </row>
    <row r="834" spans="1:19" ht="15.75">
      <c r="A834" s="13">
        <v>66900</v>
      </c>
      <c r="B834" s="8">
        <f>26.4129 * CHOOSE(CONTROL!$C$15, $D$11, 100%, $F$11)</f>
        <v>26.4129</v>
      </c>
      <c r="C834" s="8">
        <f>26.418 * CHOOSE(CONTROL!$C$15, $D$11, 100%, $F$11)</f>
        <v>26.417999999999999</v>
      </c>
      <c r="D834" s="8">
        <f>26.3891 * CHOOSE( CONTROL!$C$15, $D$11, 100%, $F$11)</f>
        <v>26.389099999999999</v>
      </c>
      <c r="E834" s="12">
        <f>26.3991 * CHOOSE( CONTROL!$C$15, $D$11, 100%, $F$11)</f>
        <v>26.399100000000001</v>
      </c>
      <c r="F834" s="4">
        <f>27.0782 * CHOOSE(CONTROL!$C$15, $D$11, 100%, $F$11)</f>
        <v>27.078199999999999</v>
      </c>
      <c r="G834" s="8">
        <f>26.1033 * CHOOSE( CONTROL!$C$15, $D$11, 100%, $F$11)</f>
        <v>26.103300000000001</v>
      </c>
      <c r="H834" s="4">
        <f>27.0077 * CHOOSE(CONTROL!$C$15, $D$11, 100%, $F$11)</f>
        <v>27.0077</v>
      </c>
      <c r="I834" s="8">
        <f>25.7822 * CHOOSE(CONTROL!$C$15, $D$11, 100%, $F$11)</f>
        <v>25.7822</v>
      </c>
      <c r="J834" s="4">
        <f>25.625 * CHOOSE(CONTROL!$C$15, $D$11, 100%, $F$11)</f>
        <v>25.625</v>
      </c>
      <c r="K834" s="4"/>
      <c r="L834" s="9">
        <v>26.469899999999999</v>
      </c>
      <c r="M834" s="9">
        <v>10.8962</v>
      </c>
      <c r="N834" s="9">
        <v>4.4660000000000002</v>
      </c>
      <c r="O834" s="9">
        <v>0.33789999999999998</v>
      </c>
      <c r="P834" s="9">
        <v>1.1676</v>
      </c>
      <c r="Q834" s="9">
        <v>17.782800000000002</v>
      </c>
      <c r="R834" s="9"/>
      <c r="S834" s="11"/>
    </row>
    <row r="835" spans="1:19" ht="15.75">
      <c r="A835" s="13">
        <v>66931</v>
      </c>
      <c r="B835" s="8">
        <f>25.8508 * CHOOSE(CONTROL!$C$15, $D$11, 100%, $F$11)</f>
        <v>25.8508</v>
      </c>
      <c r="C835" s="8">
        <f>25.8559 * CHOOSE(CONTROL!$C$15, $D$11, 100%, $F$11)</f>
        <v>25.855899999999998</v>
      </c>
      <c r="D835" s="8">
        <f>25.8266 * CHOOSE( CONTROL!$C$15, $D$11, 100%, $F$11)</f>
        <v>25.826599999999999</v>
      </c>
      <c r="E835" s="12">
        <f>25.8368 * CHOOSE( CONTROL!$C$15, $D$11, 100%, $F$11)</f>
        <v>25.8368</v>
      </c>
      <c r="F835" s="4">
        <f>26.5161 * CHOOSE(CONTROL!$C$15, $D$11, 100%, $F$11)</f>
        <v>26.516100000000002</v>
      </c>
      <c r="G835" s="8">
        <f>25.5475 * CHOOSE( CONTROL!$C$15, $D$11, 100%, $F$11)</f>
        <v>25.547499999999999</v>
      </c>
      <c r="H835" s="4">
        <f>26.4522 * CHOOSE(CONTROL!$C$15, $D$11, 100%, $F$11)</f>
        <v>26.452200000000001</v>
      </c>
      <c r="I835" s="8">
        <f>25.2352 * CHOOSE(CONTROL!$C$15, $D$11, 100%, $F$11)</f>
        <v>25.235199999999999</v>
      </c>
      <c r="J835" s="4">
        <f>25.0795 * CHOOSE(CONTROL!$C$15, $D$11, 100%, $F$11)</f>
        <v>25.079499999999999</v>
      </c>
      <c r="K835" s="4"/>
      <c r="L835" s="9">
        <v>29.306000000000001</v>
      </c>
      <c r="M835" s="9">
        <v>12.063700000000001</v>
      </c>
      <c r="N835" s="9">
        <v>4.9444999999999997</v>
      </c>
      <c r="O835" s="9">
        <v>0.37409999999999999</v>
      </c>
      <c r="P835" s="9">
        <v>1.2927</v>
      </c>
      <c r="Q835" s="9">
        <v>19.688099999999999</v>
      </c>
      <c r="R835" s="9"/>
      <c r="S835" s="11"/>
    </row>
    <row r="836" spans="1:19" ht="15.75">
      <c r="A836" s="13">
        <v>66961</v>
      </c>
      <c r="B836" s="8">
        <f>26.2444 * CHOOSE(CONTROL!$C$15, $D$11, 100%, $F$11)</f>
        <v>26.244399999999999</v>
      </c>
      <c r="C836" s="8">
        <f>26.2489 * CHOOSE(CONTROL!$C$15, $D$11, 100%, $F$11)</f>
        <v>26.248899999999999</v>
      </c>
      <c r="D836" s="8">
        <f>26.2922 * CHOOSE( CONTROL!$C$15, $D$11, 100%, $F$11)</f>
        <v>26.292200000000001</v>
      </c>
      <c r="E836" s="12">
        <f>26.2774 * CHOOSE( CONTROL!$C$15, $D$11, 100%, $F$11)</f>
        <v>26.2774</v>
      </c>
      <c r="F836" s="4">
        <f>26.9887 * CHOOSE(CONTROL!$C$15, $D$11, 100%, $F$11)</f>
        <v>26.988700000000001</v>
      </c>
      <c r="G836" s="8">
        <f>25.9435 * CHOOSE( CONTROL!$C$15, $D$11, 100%, $F$11)</f>
        <v>25.9435</v>
      </c>
      <c r="H836" s="4">
        <f>26.9193 * CHOOSE(CONTROL!$C$15, $D$11, 100%, $F$11)</f>
        <v>26.9193</v>
      </c>
      <c r="I836" s="8">
        <f>25.6148 * CHOOSE(CONTROL!$C$15, $D$11, 100%, $F$11)</f>
        <v>25.614799999999999</v>
      </c>
      <c r="J836" s="4">
        <f>25.4606 * CHOOSE(CONTROL!$C$15, $D$11, 100%, $F$11)</f>
        <v>25.460599999999999</v>
      </c>
      <c r="K836" s="4"/>
      <c r="L836" s="9">
        <v>30.092199999999998</v>
      </c>
      <c r="M836" s="9">
        <v>11.6745</v>
      </c>
      <c r="N836" s="9">
        <v>4.7850000000000001</v>
      </c>
      <c r="O836" s="9">
        <v>0.36199999999999999</v>
      </c>
      <c r="P836" s="9">
        <v>1.1791</v>
      </c>
      <c r="Q836" s="9">
        <v>19.053000000000001</v>
      </c>
      <c r="R836" s="9"/>
      <c r="S836" s="11"/>
    </row>
    <row r="837" spans="1:19" ht="15.75">
      <c r="A837" s="13">
        <v>66992</v>
      </c>
      <c r="B837" s="8">
        <f>CHOOSE( CONTROL!$C$32, 26.9484, 26.9448) * CHOOSE(CONTROL!$C$15, $D$11, 100%, $F$11)</f>
        <v>26.948399999999999</v>
      </c>
      <c r="C837" s="8">
        <f>CHOOSE( CONTROL!$C$32, 26.9564, 26.9527) * CHOOSE(CONTROL!$C$15, $D$11, 100%, $F$11)</f>
        <v>26.956399999999999</v>
      </c>
      <c r="D837" s="8">
        <f>CHOOSE( CONTROL!$C$32, 26.9941, 26.9905) * CHOOSE( CONTROL!$C$15, $D$11, 100%, $F$11)</f>
        <v>26.9941</v>
      </c>
      <c r="E837" s="12">
        <f>CHOOSE( CONTROL!$C$32, 26.9792, 26.9756) * CHOOSE( CONTROL!$C$15, $D$11, 100%, $F$11)</f>
        <v>26.979199999999999</v>
      </c>
      <c r="F837" s="4">
        <f>CHOOSE( CONTROL!$C$32, 27.6914, 27.6878) * CHOOSE(CONTROL!$C$15, $D$11, 100%, $F$11)</f>
        <v>27.691400000000002</v>
      </c>
      <c r="G837" s="8">
        <f>CHOOSE( CONTROL!$C$32, 26.6387, 26.6351) * CHOOSE( CONTROL!$C$15, $D$11, 100%, $F$11)</f>
        <v>26.6387</v>
      </c>
      <c r="H837" s="4">
        <f>CHOOSE( CONTROL!$C$32, 27.6138, 27.6102) * CHOOSE(CONTROL!$C$15, $D$11, 100%, $F$11)</f>
        <v>27.613800000000001</v>
      </c>
      <c r="I837" s="8">
        <f>CHOOSE( CONTROL!$C$32, 26.2972, 26.2937) * CHOOSE(CONTROL!$C$15, $D$11, 100%, $F$11)</f>
        <v>26.2972</v>
      </c>
      <c r="J837" s="4">
        <f>CHOOSE( CONTROL!$C$32, 26.1426, 26.1391) * CHOOSE(CONTROL!$C$15, $D$11, 100%, $F$11)</f>
        <v>26.142600000000002</v>
      </c>
      <c r="K837" s="4"/>
      <c r="L837" s="9">
        <v>30.7165</v>
      </c>
      <c r="M837" s="9">
        <v>12.063700000000001</v>
      </c>
      <c r="N837" s="9">
        <v>4.9444999999999997</v>
      </c>
      <c r="O837" s="9">
        <v>0.37409999999999999</v>
      </c>
      <c r="P837" s="9">
        <v>1.2183999999999999</v>
      </c>
      <c r="Q837" s="9">
        <v>19.688099999999999</v>
      </c>
      <c r="R837" s="9"/>
      <c r="S837" s="11"/>
    </row>
    <row r="838" spans="1:19" ht="15.75">
      <c r="A838" s="13">
        <v>67022</v>
      </c>
      <c r="B838" s="8">
        <f>CHOOSE( CONTROL!$C$32, 26.5154, 26.5117) * CHOOSE(CONTROL!$C$15, $D$11, 100%, $F$11)</f>
        <v>26.5154</v>
      </c>
      <c r="C838" s="8">
        <f>CHOOSE( CONTROL!$C$32, 26.5233, 26.5197) * CHOOSE(CONTROL!$C$15, $D$11, 100%, $F$11)</f>
        <v>26.523299999999999</v>
      </c>
      <c r="D838" s="8">
        <f>CHOOSE( CONTROL!$C$32, 26.5613, 26.5577) * CHOOSE( CONTROL!$C$15, $D$11, 100%, $F$11)</f>
        <v>26.561299999999999</v>
      </c>
      <c r="E838" s="12">
        <f>CHOOSE( CONTROL!$C$32, 26.5463, 26.5427) * CHOOSE( CONTROL!$C$15, $D$11, 100%, $F$11)</f>
        <v>26.546299999999999</v>
      </c>
      <c r="F838" s="4">
        <f>CHOOSE( CONTROL!$C$32, 27.2584, 27.2547) * CHOOSE(CONTROL!$C$15, $D$11, 100%, $F$11)</f>
        <v>27.258400000000002</v>
      </c>
      <c r="G838" s="8">
        <f>CHOOSE( CONTROL!$C$32, 26.2111, 26.2075) * CHOOSE( CONTROL!$C$15, $D$11, 100%, $F$11)</f>
        <v>26.211099999999998</v>
      </c>
      <c r="H838" s="4">
        <f>CHOOSE( CONTROL!$C$32, 27.1858, 27.1822) * CHOOSE(CONTROL!$C$15, $D$11, 100%, $F$11)</f>
        <v>27.1858</v>
      </c>
      <c r="I838" s="8">
        <f>CHOOSE( CONTROL!$C$32, 25.8778, 25.8743) * CHOOSE(CONTROL!$C$15, $D$11, 100%, $F$11)</f>
        <v>25.877800000000001</v>
      </c>
      <c r="J838" s="4">
        <f>CHOOSE( CONTROL!$C$32, 25.7223, 25.7188) * CHOOSE(CONTROL!$C$15, $D$11, 100%, $F$11)</f>
        <v>25.722300000000001</v>
      </c>
      <c r="K838" s="4"/>
      <c r="L838" s="9">
        <v>29.7257</v>
      </c>
      <c r="M838" s="9">
        <v>11.6745</v>
      </c>
      <c r="N838" s="9">
        <v>4.7850000000000001</v>
      </c>
      <c r="O838" s="9">
        <v>0.36199999999999999</v>
      </c>
      <c r="P838" s="9">
        <v>1.1791</v>
      </c>
      <c r="Q838" s="9">
        <v>19.053000000000001</v>
      </c>
      <c r="R838" s="9"/>
      <c r="S838" s="11"/>
    </row>
    <row r="839" spans="1:19" ht="15.75">
      <c r="A839" s="13">
        <v>67053</v>
      </c>
      <c r="B839" s="8">
        <f>CHOOSE( CONTROL!$C$32, 27.6557, 27.6521) * CHOOSE(CONTROL!$C$15, $D$11, 100%, $F$11)</f>
        <v>27.6557</v>
      </c>
      <c r="C839" s="8">
        <f>CHOOSE( CONTROL!$C$32, 27.6637, 27.66) * CHOOSE(CONTROL!$C$15, $D$11, 100%, $F$11)</f>
        <v>27.663699999999999</v>
      </c>
      <c r="D839" s="8">
        <f>CHOOSE( CONTROL!$C$32, 27.7019, 27.6982) * CHOOSE( CONTROL!$C$15, $D$11, 100%, $F$11)</f>
        <v>27.701899999999998</v>
      </c>
      <c r="E839" s="12">
        <f>CHOOSE( CONTROL!$C$32, 27.6868, 27.6832) * CHOOSE( CONTROL!$C$15, $D$11, 100%, $F$11)</f>
        <v>27.686800000000002</v>
      </c>
      <c r="F839" s="4">
        <f>CHOOSE( CONTROL!$C$32, 28.3987, 28.3951) * CHOOSE(CONTROL!$C$15, $D$11, 100%, $F$11)</f>
        <v>28.398700000000002</v>
      </c>
      <c r="G839" s="8">
        <f>CHOOSE( CONTROL!$C$32, 27.3384, 27.3348) * CHOOSE( CONTROL!$C$15, $D$11, 100%, $F$11)</f>
        <v>27.3384</v>
      </c>
      <c r="H839" s="4">
        <f>CHOOSE( CONTROL!$C$32, 28.3128, 28.3092) * CHOOSE(CONTROL!$C$15, $D$11, 100%, $F$11)</f>
        <v>28.312799999999999</v>
      </c>
      <c r="I839" s="8">
        <f>CHOOSE( CONTROL!$C$32, 26.9862, 26.9826) * CHOOSE(CONTROL!$C$15, $D$11, 100%, $F$11)</f>
        <v>26.9862</v>
      </c>
      <c r="J839" s="4">
        <f>CHOOSE( CONTROL!$C$32, 26.829, 26.8255) * CHOOSE(CONTROL!$C$15, $D$11, 100%, $F$11)</f>
        <v>26.829000000000001</v>
      </c>
      <c r="K839" s="4"/>
      <c r="L839" s="9">
        <v>30.7165</v>
      </c>
      <c r="M839" s="9">
        <v>12.063700000000001</v>
      </c>
      <c r="N839" s="9">
        <v>4.9444999999999997</v>
      </c>
      <c r="O839" s="9">
        <v>0.37409999999999999</v>
      </c>
      <c r="P839" s="9">
        <v>1.2183999999999999</v>
      </c>
      <c r="Q839" s="9">
        <v>19.688099999999999</v>
      </c>
      <c r="R839" s="9"/>
      <c r="S839" s="11"/>
    </row>
    <row r="840" spans="1:19" ht="15.75">
      <c r="A840" s="13">
        <v>67084</v>
      </c>
      <c r="B840" s="8">
        <f>CHOOSE( CONTROL!$C$32, 25.522, 25.5184) * CHOOSE(CONTROL!$C$15, $D$11, 100%, $F$11)</f>
        <v>25.521999999999998</v>
      </c>
      <c r="C840" s="8">
        <f>CHOOSE( CONTROL!$C$32, 25.53, 25.5264) * CHOOSE(CONTROL!$C$15, $D$11, 100%, $F$11)</f>
        <v>25.53</v>
      </c>
      <c r="D840" s="8">
        <f>CHOOSE( CONTROL!$C$32, 25.5683, 25.5646) * CHOOSE( CONTROL!$C$15, $D$11, 100%, $F$11)</f>
        <v>25.568300000000001</v>
      </c>
      <c r="E840" s="12">
        <f>CHOOSE( CONTROL!$C$32, 25.5532, 25.5495) * CHOOSE( CONTROL!$C$15, $D$11, 100%, $F$11)</f>
        <v>25.5532</v>
      </c>
      <c r="F840" s="4">
        <f>CHOOSE( CONTROL!$C$32, 26.265, 26.2614) * CHOOSE(CONTROL!$C$15, $D$11, 100%, $F$11)</f>
        <v>26.265000000000001</v>
      </c>
      <c r="G840" s="8">
        <f>CHOOSE( CONTROL!$C$32, 25.2298, 25.2262) * CHOOSE( CONTROL!$C$15, $D$11, 100%, $F$11)</f>
        <v>25.229800000000001</v>
      </c>
      <c r="H840" s="4">
        <f>CHOOSE( CONTROL!$C$32, 26.2041, 26.2005) * CHOOSE(CONTROL!$C$15, $D$11, 100%, $F$11)</f>
        <v>26.2041</v>
      </c>
      <c r="I840" s="8">
        <f>CHOOSE( CONTROL!$C$32, 24.9147, 24.9112) * CHOOSE(CONTROL!$C$15, $D$11, 100%, $F$11)</f>
        <v>24.9147</v>
      </c>
      <c r="J840" s="4">
        <f>CHOOSE( CONTROL!$C$32, 24.7583, 24.7548) * CHOOSE(CONTROL!$C$15, $D$11, 100%, $F$11)</f>
        <v>24.758299999999998</v>
      </c>
      <c r="K840" s="4"/>
      <c r="L840" s="9">
        <v>30.7165</v>
      </c>
      <c r="M840" s="9">
        <v>12.063700000000001</v>
      </c>
      <c r="N840" s="9">
        <v>4.9444999999999997</v>
      </c>
      <c r="O840" s="9">
        <v>0.37409999999999999</v>
      </c>
      <c r="P840" s="9">
        <v>1.2183999999999999</v>
      </c>
      <c r="Q840" s="9">
        <v>19.688099999999999</v>
      </c>
      <c r="R840" s="9"/>
      <c r="S840" s="11"/>
    </row>
    <row r="841" spans="1:19" ht="15.75">
      <c r="A841" s="13">
        <v>67114</v>
      </c>
      <c r="B841" s="8">
        <f>CHOOSE( CONTROL!$C$32, 24.9877, 24.9841) * CHOOSE(CONTROL!$C$15, $D$11, 100%, $F$11)</f>
        <v>24.9877</v>
      </c>
      <c r="C841" s="8">
        <f>CHOOSE( CONTROL!$C$32, 24.9957, 24.9921) * CHOOSE(CONTROL!$C$15, $D$11, 100%, $F$11)</f>
        <v>24.995699999999999</v>
      </c>
      <c r="D841" s="8">
        <f>CHOOSE( CONTROL!$C$32, 25.0339, 25.0302) * CHOOSE( CONTROL!$C$15, $D$11, 100%, $F$11)</f>
        <v>25.033899999999999</v>
      </c>
      <c r="E841" s="12">
        <f>CHOOSE( CONTROL!$C$32, 25.0188, 25.0152) * CHOOSE( CONTROL!$C$15, $D$11, 100%, $F$11)</f>
        <v>25.018799999999999</v>
      </c>
      <c r="F841" s="4">
        <f>CHOOSE( CONTROL!$C$32, 25.7307, 25.7271) * CHOOSE(CONTROL!$C$15, $D$11, 100%, $F$11)</f>
        <v>25.730699999999999</v>
      </c>
      <c r="G841" s="8">
        <f>CHOOSE( CONTROL!$C$32, 24.7017, 24.6981) * CHOOSE( CONTROL!$C$15, $D$11, 100%, $F$11)</f>
        <v>24.701699999999999</v>
      </c>
      <c r="H841" s="4">
        <f>CHOOSE( CONTROL!$C$32, 25.676, 25.6724) * CHOOSE(CONTROL!$C$15, $D$11, 100%, $F$11)</f>
        <v>25.675999999999998</v>
      </c>
      <c r="I841" s="8">
        <f>CHOOSE( CONTROL!$C$32, 24.3955, 24.392) * CHOOSE(CONTROL!$C$15, $D$11, 100%, $F$11)</f>
        <v>24.395499999999998</v>
      </c>
      <c r="J841" s="4">
        <f>CHOOSE( CONTROL!$C$32, 24.2398, 24.2362) * CHOOSE(CONTROL!$C$15, $D$11, 100%, $F$11)</f>
        <v>24.239799999999999</v>
      </c>
      <c r="K841" s="4"/>
      <c r="L841" s="9">
        <v>29.7257</v>
      </c>
      <c r="M841" s="9">
        <v>11.6745</v>
      </c>
      <c r="N841" s="9">
        <v>4.7850000000000001</v>
      </c>
      <c r="O841" s="9">
        <v>0.36199999999999999</v>
      </c>
      <c r="P841" s="9">
        <v>1.1791</v>
      </c>
      <c r="Q841" s="9">
        <v>19.053000000000001</v>
      </c>
      <c r="R841" s="9"/>
      <c r="S841" s="11"/>
    </row>
    <row r="842" spans="1:19" ht="15.75">
      <c r="A842" s="13">
        <v>67145</v>
      </c>
      <c r="B842" s="8">
        <f>26.0917 * CHOOSE(CONTROL!$C$15, $D$11, 100%, $F$11)</f>
        <v>26.091699999999999</v>
      </c>
      <c r="C842" s="8">
        <f>26.0971 * CHOOSE(CONTROL!$C$15, $D$11, 100%, $F$11)</f>
        <v>26.097100000000001</v>
      </c>
      <c r="D842" s="8">
        <f>26.1406 * CHOOSE( CONTROL!$C$15, $D$11, 100%, $F$11)</f>
        <v>26.140599999999999</v>
      </c>
      <c r="E842" s="12">
        <f>26.1257 * CHOOSE( CONTROL!$C$15, $D$11, 100%, $F$11)</f>
        <v>26.125699999999998</v>
      </c>
      <c r="F842" s="4">
        <f>26.8365 * CHOOSE(CONTROL!$C$15, $D$11, 100%, $F$11)</f>
        <v>26.836500000000001</v>
      </c>
      <c r="G842" s="8">
        <f>25.7939 * CHOOSE( CONTROL!$C$15, $D$11, 100%, $F$11)</f>
        <v>25.793900000000001</v>
      </c>
      <c r="H842" s="4">
        <f>26.7688 * CHOOSE(CONTROL!$C$15, $D$11, 100%, $F$11)</f>
        <v>26.768799999999999</v>
      </c>
      <c r="I842" s="8">
        <f>25.4699 * CHOOSE(CONTROL!$C$15, $D$11, 100%, $F$11)</f>
        <v>25.469899999999999</v>
      </c>
      <c r="J842" s="4">
        <f>25.3129 * CHOOSE(CONTROL!$C$15, $D$11, 100%, $F$11)</f>
        <v>25.312899999999999</v>
      </c>
      <c r="K842" s="4"/>
      <c r="L842" s="9">
        <v>31.095300000000002</v>
      </c>
      <c r="M842" s="9">
        <v>12.063700000000001</v>
      </c>
      <c r="N842" s="9">
        <v>4.9444999999999997</v>
      </c>
      <c r="O842" s="9">
        <v>0.37409999999999999</v>
      </c>
      <c r="P842" s="9">
        <v>1.2183999999999999</v>
      </c>
      <c r="Q842" s="9">
        <v>19.688099999999999</v>
      </c>
      <c r="R842" s="9"/>
      <c r="S842" s="11"/>
    </row>
    <row r="843" spans="1:19" ht="15.75">
      <c r="A843" s="13">
        <v>67175</v>
      </c>
      <c r="B843" s="8">
        <f>28.139 * CHOOSE(CONTROL!$C$15, $D$11, 100%, $F$11)</f>
        <v>28.138999999999999</v>
      </c>
      <c r="C843" s="8">
        <f>28.1441 * CHOOSE(CONTROL!$C$15, $D$11, 100%, $F$11)</f>
        <v>28.144100000000002</v>
      </c>
      <c r="D843" s="8">
        <f>28.1278 * CHOOSE( CONTROL!$C$15, $D$11, 100%, $F$11)</f>
        <v>28.127800000000001</v>
      </c>
      <c r="E843" s="12">
        <f>28.1332 * CHOOSE( CONTROL!$C$15, $D$11, 100%, $F$11)</f>
        <v>28.133199999999999</v>
      </c>
      <c r="F843" s="4">
        <f>28.8043 * CHOOSE(CONTROL!$C$15, $D$11, 100%, $F$11)</f>
        <v>28.804300000000001</v>
      </c>
      <c r="G843" s="8">
        <f>27.8182 * CHOOSE( CONTROL!$C$15, $D$11, 100%, $F$11)</f>
        <v>27.818200000000001</v>
      </c>
      <c r="H843" s="4">
        <f>28.7136 * CHOOSE(CONTROL!$C$15, $D$11, 100%, $F$11)</f>
        <v>28.7136</v>
      </c>
      <c r="I843" s="8">
        <f>27.4583 * CHOOSE(CONTROL!$C$15, $D$11, 100%, $F$11)</f>
        <v>27.458300000000001</v>
      </c>
      <c r="J843" s="4">
        <f>27.3002 * CHOOSE(CONTROL!$C$15, $D$11, 100%, $F$11)</f>
        <v>27.3002</v>
      </c>
      <c r="K843" s="4"/>
      <c r="L843" s="9">
        <v>28.360600000000002</v>
      </c>
      <c r="M843" s="9">
        <v>11.6745</v>
      </c>
      <c r="N843" s="9">
        <v>4.7850000000000001</v>
      </c>
      <c r="O843" s="9">
        <v>0.36199999999999999</v>
      </c>
      <c r="P843" s="9">
        <v>1.2509999999999999</v>
      </c>
      <c r="Q843" s="9">
        <v>19.053000000000001</v>
      </c>
      <c r="R843" s="9"/>
      <c r="S843" s="11"/>
    </row>
    <row r="844" spans="1:19" ht="15.75">
      <c r="A844" s="13">
        <v>67206</v>
      </c>
      <c r="B844" s="8">
        <f>28.0879 * CHOOSE(CONTROL!$C$15, $D$11, 100%, $F$11)</f>
        <v>28.087900000000001</v>
      </c>
      <c r="C844" s="8">
        <f>28.093 * CHOOSE(CONTROL!$C$15, $D$11, 100%, $F$11)</f>
        <v>28.093</v>
      </c>
      <c r="D844" s="8">
        <f>28.0783 * CHOOSE( CONTROL!$C$15, $D$11, 100%, $F$11)</f>
        <v>28.078299999999999</v>
      </c>
      <c r="E844" s="12">
        <f>28.0831 * CHOOSE( CONTROL!$C$15, $D$11, 100%, $F$11)</f>
        <v>28.083100000000002</v>
      </c>
      <c r="F844" s="4">
        <f>28.7532 * CHOOSE(CONTROL!$C$15, $D$11, 100%, $F$11)</f>
        <v>28.7532</v>
      </c>
      <c r="G844" s="8">
        <f>27.7689 * CHOOSE( CONTROL!$C$15, $D$11, 100%, $F$11)</f>
        <v>27.768899999999999</v>
      </c>
      <c r="H844" s="4">
        <f>28.6631 * CHOOSE(CONTROL!$C$15, $D$11, 100%, $F$11)</f>
        <v>28.6631</v>
      </c>
      <c r="I844" s="8">
        <f>27.414 * CHOOSE(CONTROL!$C$15, $D$11, 100%, $F$11)</f>
        <v>27.414000000000001</v>
      </c>
      <c r="J844" s="4">
        <f>27.2505 * CHOOSE(CONTROL!$C$15, $D$11, 100%, $F$11)</f>
        <v>27.250499999999999</v>
      </c>
      <c r="K844" s="4"/>
      <c r="L844" s="9">
        <v>29.306000000000001</v>
      </c>
      <c r="M844" s="9">
        <v>12.063700000000001</v>
      </c>
      <c r="N844" s="9">
        <v>4.9444999999999997</v>
      </c>
      <c r="O844" s="9">
        <v>0.37409999999999999</v>
      </c>
      <c r="P844" s="9">
        <v>1.2927</v>
      </c>
      <c r="Q844" s="9">
        <v>19.688099999999999</v>
      </c>
      <c r="R844" s="9"/>
      <c r="S844" s="11"/>
    </row>
    <row r="845" spans="1:19" ht="15.75">
      <c r="A845" s="13">
        <v>67237</v>
      </c>
      <c r="B845" s="8">
        <f>28.9161 * CHOOSE(CONTROL!$C$15, $D$11, 100%, $F$11)</f>
        <v>28.9161</v>
      </c>
      <c r="C845" s="8">
        <f>28.9212 * CHOOSE(CONTROL!$C$15, $D$11, 100%, $F$11)</f>
        <v>28.921199999999999</v>
      </c>
      <c r="D845" s="8">
        <f>28.8923 * CHOOSE( CONTROL!$C$15, $D$11, 100%, $F$11)</f>
        <v>28.892299999999999</v>
      </c>
      <c r="E845" s="12">
        <f>28.9023 * CHOOSE( CONTROL!$C$15, $D$11, 100%, $F$11)</f>
        <v>28.9023</v>
      </c>
      <c r="F845" s="4">
        <f>29.5814 * CHOOSE(CONTROL!$C$15, $D$11, 100%, $F$11)</f>
        <v>29.581399999999999</v>
      </c>
      <c r="G845" s="8">
        <f>28.5772 * CHOOSE( CONTROL!$C$15, $D$11, 100%, $F$11)</f>
        <v>28.577200000000001</v>
      </c>
      <c r="H845" s="4">
        <f>29.4816 * CHOOSE(CONTROL!$C$15, $D$11, 100%, $F$11)</f>
        <v>29.4816</v>
      </c>
      <c r="I845" s="8">
        <f>28.2129 * CHOOSE(CONTROL!$C$15, $D$11, 100%, $F$11)</f>
        <v>28.212900000000001</v>
      </c>
      <c r="J845" s="4">
        <f>28.0543 * CHOOSE(CONTROL!$C$15, $D$11, 100%, $F$11)</f>
        <v>28.054300000000001</v>
      </c>
      <c r="K845" s="4"/>
      <c r="L845" s="9">
        <v>29.306000000000001</v>
      </c>
      <c r="M845" s="9">
        <v>12.063700000000001</v>
      </c>
      <c r="N845" s="9">
        <v>4.9444999999999997</v>
      </c>
      <c r="O845" s="9">
        <v>0.37409999999999999</v>
      </c>
      <c r="P845" s="9">
        <v>1.2927</v>
      </c>
      <c r="Q845" s="9">
        <v>19.688099999999999</v>
      </c>
      <c r="R845" s="9"/>
      <c r="S845" s="11"/>
    </row>
    <row r="846" spans="1:19" ht="15.75">
      <c r="A846" s="13">
        <v>67266</v>
      </c>
      <c r="B846" s="8">
        <f>27.0473 * CHOOSE(CONTROL!$C$15, $D$11, 100%, $F$11)</f>
        <v>27.0473</v>
      </c>
      <c r="C846" s="8">
        <f>27.0524 * CHOOSE(CONTROL!$C$15, $D$11, 100%, $F$11)</f>
        <v>27.052399999999999</v>
      </c>
      <c r="D846" s="8">
        <f>27.0235 * CHOOSE( CONTROL!$C$15, $D$11, 100%, $F$11)</f>
        <v>27.023499999999999</v>
      </c>
      <c r="E846" s="12">
        <f>27.0335 * CHOOSE( CONTROL!$C$15, $D$11, 100%, $F$11)</f>
        <v>27.0335</v>
      </c>
      <c r="F846" s="4">
        <f>27.7126 * CHOOSE(CONTROL!$C$15, $D$11, 100%, $F$11)</f>
        <v>27.712599999999998</v>
      </c>
      <c r="G846" s="8">
        <f>26.7303 * CHOOSE( CONTROL!$C$15, $D$11, 100%, $F$11)</f>
        <v>26.7303</v>
      </c>
      <c r="H846" s="4">
        <f>27.6347 * CHOOSE(CONTROL!$C$15, $D$11, 100%, $F$11)</f>
        <v>27.634699999999999</v>
      </c>
      <c r="I846" s="8">
        <f>26.3983 * CHOOSE(CONTROL!$C$15, $D$11, 100%, $F$11)</f>
        <v>26.398299999999999</v>
      </c>
      <c r="J846" s="4">
        <f>26.2407 * CHOOSE(CONTROL!$C$15, $D$11, 100%, $F$11)</f>
        <v>26.2407</v>
      </c>
      <c r="K846" s="4"/>
      <c r="L846" s="9">
        <v>27.415299999999998</v>
      </c>
      <c r="M846" s="9">
        <v>11.285299999999999</v>
      </c>
      <c r="N846" s="9">
        <v>4.6254999999999997</v>
      </c>
      <c r="O846" s="9">
        <v>0.34989999999999999</v>
      </c>
      <c r="P846" s="9">
        <v>1.2093</v>
      </c>
      <c r="Q846" s="9">
        <v>18.417899999999999</v>
      </c>
      <c r="R846" s="9"/>
      <c r="S846" s="11"/>
    </row>
    <row r="847" spans="1:19" ht="15.75">
      <c r="A847" s="13">
        <v>67297</v>
      </c>
      <c r="B847" s="8">
        <f>26.4717 * CHOOSE(CONTROL!$C$15, $D$11, 100%, $F$11)</f>
        <v>26.471699999999998</v>
      </c>
      <c r="C847" s="8">
        <f>26.4768 * CHOOSE(CONTROL!$C$15, $D$11, 100%, $F$11)</f>
        <v>26.476800000000001</v>
      </c>
      <c r="D847" s="8">
        <f>26.4475 * CHOOSE( CONTROL!$C$15, $D$11, 100%, $F$11)</f>
        <v>26.447500000000002</v>
      </c>
      <c r="E847" s="12">
        <f>26.4577 * CHOOSE( CONTROL!$C$15, $D$11, 100%, $F$11)</f>
        <v>26.457699999999999</v>
      </c>
      <c r="F847" s="4">
        <f>27.137 * CHOOSE(CONTROL!$C$15, $D$11, 100%, $F$11)</f>
        <v>27.137</v>
      </c>
      <c r="G847" s="8">
        <f>26.1611 * CHOOSE( CONTROL!$C$15, $D$11, 100%, $F$11)</f>
        <v>26.161100000000001</v>
      </c>
      <c r="H847" s="4">
        <f>27.0659 * CHOOSE(CONTROL!$C$15, $D$11, 100%, $F$11)</f>
        <v>27.065899999999999</v>
      </c>
      <c r="I847" s="8">
        <f>25.8381 * CHOOSE(CONTROL!$C$15, $D$11, 100%, $F$11)</f>
        <v>25.838100000000001</v>
      </c>
      <c r="J847" s="4">
        <f>25.6821 * CHOOSE(CONTROL!$C$15, $D$11, 100%, $F$11)</f>
        <v>25.682099999999998</v>
      </c>
      <c r="K847" s="4"/>
      <c r="L847" s="9">
        <v>29.306000000000001</v>
      </c>
      <c r="M847" s="9">
        <v>12.063700000000001</v>
      </c>
      <c r="N847" s="9">
        <v>4.9444999999999997</v>
      </c>
      <c r="O847" s="9">
        <v>0.37409999999999999</v>
      </c>
      <c r="P847" s="9">
        <v>1.2927</v>
      </c>
      <c r="Q847" s="9">
        <v>19.688099999999999</v>
      </c>
      <c r="R847" s="9"/>
      <c r="S847" s="11"/>
    </row>
    <row r="848" spans="1:19" ht="15.75">
      <c r="A848" s="13">
        <v>67327</v>
      </c>
      <c r="B848" s="8">
        <f>26.8747 * CHOOSE(CONTROL!$C$15, $D$11, 100%, $F$11)</f>
        <v>26.874700000000001</v>
      </c>
      <c r="C848" s="8">
        <f>26.8792 * CHOOSE(CONTROL!$C$15, $D$11, 100%, $F$11)</f>
        <v>26.879200000000001</v>
      </c>
      <c r="D848" s="8">
        <f>26.9226 * CHOOSE( CONTROL!$C$15, $D$11, 100%, $F$11)</f>
        <v>26.922599999999999</v>
      </c>
      <c r="E848" s="12">
        <f>26.9078 * CHOOSE( CONTROL!$C$15, $D$11, 100%, $F$11)</f>
        <v>26.907800000000002</v>
      </c>
      <c r="F848" s="4">
        <f>27.6191 * CHOOSE(CONTROL!$C$15, $D$11, 100%, $F$11)</f>
        <v>27.6191</v>
      </c>
      <c r="G848" s="8">
        <f>26.5664 * CHOOSE( CONTROL!$C$15, $D$11, 100%, $F$11)</f>
        <v>26.566400000000002</v>
      </c>
      <c r="H848" s="4">
        <f>27.5423 * CHOOSE(CONTROL!$C$15, $D$11, 100%, $F$11)</f>
        <v>27.542300000000001</v>
      </c>
      <c r="I848" s="8">
        <f>26.2269 * CHOOSE(CONTROL!$C$15, $D$11, 100%, $F$11)</f>
        <v>26.226900000000001</v>
      </c>
      <c r="J848" s="4">
        <f>26.0724 * CHOOSE(CONTROL!$C$15, $D$11, 100%, $F$11)</f>
        <v>26.072399999999998</v>
      </c>
      <c r="K848" s="4"/>
      <c r="L848" s="9">
        <v>30.092199999999998</v>
      </c>
      <c r="M848" s="9">
        <v>11.6745</v>
      </c>
      <c r="N848" s="9">
        <v>4.7850000000000001</v>
      </c>
      <c r="O848" s="9">
        <v>0.36199999999999999</v>
      </c>
      <c r="P848" s="9">
        <v>1.1791</v>
      </c>
      <c r="Q848" s="9">
        <v>19.053000000000001</v>
      </c>
      <c r="R848" s="9"/>
      <c r="S848" s="11"/>
    </row>
    <row r="849" spans="1:19" ht="15.75">
      <c r="A849" s="13">
        <v>67358</v>
      </c>
      <c r="B849" s="8">
        <f>CHOOSE( CONTROL!$C$32, 27.5955, 27.5919) * CHOOSE(CONTROL!$C$15, $D$11, 100%, $F$11)</f>
        <v>27.595500000000001</v>
      </c>
      <c r="C849" s="8">
        <f>CHOOSE( CONTROL!$C$32, 27.6035, 27.5999) * CHOOSE(CONTROL!$C$15, $D$11, 100%, $F$11)</f>
        <v>27.6035</v>
      </c>
      <c r="D849" s="8">
        <f>CHOOSE( CONTROL!$C$32, 27.6413, 27.6376) * CHOOSE( CONTROL!$C$15, $D$11, 100%, $F$11)</f>
        <v>27.641300000000001</v>
      </c>
      <c r="E849" s="12">
        <f>CHOOSE( CONTROL!$C$32, 27.6264, 27.6227) * CHOOSE( CONTROL!$C$15, $D$11, 100%, $F$11)</f>
        <v>27.6264</v>
      </c>
      <c r="F849" s="4">
        <f>CHOOSE( CONTROL!$C$32, 28.3385, 28.3349) * CHOOSE(CONTROL!$C$15, $D$11, 100%, $F$11)</f>
        <v>28.3385</v>
      </c>
      <c r="G849" s="8">
        <f>CHOOSE( CONTROL!$C$32, 27.2783, 27.2747) * CHOOSE( CONTROL!$C$15, $D$11, 100%, $F$11)</f>
        <v>27.278300000000002</v>
      </c>
      <c r="H849" s="4">
        <f>CHOOSE( CONTROL!$C$32, 28.2533, 28.2497) * CHOOSE(CONTROL!$C$15, $D$11, 100%, $F$11)</f>
        <v>28.253299999999999</v>
      </c>
      <c r="I849" s="8">
        <f>CHOOSE( CONTROL!$C$32, 26.9256, 26.9221) * CHOOSE(CONTROL!$C$15, $D$11, 100%, $F$11)</f>
        <v>26.925599999999999</v>
      </c>
      <c r="J849" s="4">
        <f>CHOOSE( CONTROL!$C$32, 26.7707, 26.7671) * CHOOSE(CONTROL!$C$15, $D$11, 100%, $F$11)</f>
        <v>26.770700000000001</v>
      </c>
      <c r="K849" s="4"/>
      <c r="L849" s="9">
        <v>30.7165</v>
      </c>
      <c r="M849" s="9">
        <v>12.063700000000001</v>
      </c>
      <c r="N849" s="9">
        <v>4.9444999999999997</v>
      </c>
      <c r="O849" s="9">
        <v>0.37409999999999999</v>
      </c>
      <c r="P849" s="9">
        <v>1.2183999999999999</v>
      </c>
      <c r="Q849" s="9">
        <v>19.688099999999999</v>
      </c>
      <c r="R849" s="9"/>
      <c r="S849" s="11"/>
    </row>
    <row r="850" spans="1:19" ht="15.75">
      <c r="A850" s="13">
        <v>67388</v>
      </c>
      <c r="B850" s="8">
        <f>CHOOSE( CONTROL!$C$32, 27.1521, 27.1485) * CHOOSE(CONTROL!$C$15, $D$11, 100%, $F$11)</f>
        <v>27.152100000000001</v>
      </c>
      <c r="C850" s="8">
        <f>CHOOSE( CONTROL!$C$32, 27.1601, 27.1564) * CHOOSE(CONTROL!$C$15, $D$11, 100%, $F$11)</f>
        <v>27.1601</v>
      </c>
      <c r="D850" s="8">
        <f>CHOOSE( CONTROL!$C$32, 27.198, 27.1944) * CHOOSE( CONTROL!$C$15, $D$11, 100%, $F$11)</f>
        <v>27.198</v>
      </c>
      <c r="E850" s="12">
        <f>CHOOSE( CONTROL!$C$32, 27.183, 27.1794) * CHOOSE( CONTROL!$C$15, $D$11, 100%, $F$11)</f>
        <v>27.183</v>
      </c>
      <c r="F850" s="4">
        <f>CHOOSE( CONTROL!$C$32, 27.8951, 27.8915) * CHOOSE(CONTROL!$C$15, $D$11, 100%, $F$11)</f>
        <v>27.895099999999999</v>
      </c>
      <c r="G850" s="8">
        <f>CHOOSE( CONTROL!$C$32, 26.8404, 26.8368) * CHOOSE( CONTROL!$C$15, $D$11, 100%, $F$11)</f>
        <v>26.840399999999999</v>
      </c>
      <c r="H850" s="4">
        <f>CHOOSE( CONTROL!$C$32, 27.8151, 27.8115) * CHOOSE(CONTROL!$C$15, $D$11, 100%, $F$11)</f>
        <v>27.815100000000001</v>
      </c>
      <c r="I850" s="8">
        <f>CHOOSE( CONTROL!$C$32, 26.4961, 26.4925) * CHOOSE(CONTROL!$C$15, $D$11, 100%, $F$11)</f>
        <v>26.496099999999998</v>
      </c>
      <c r="J850" s="4">
        <f>CHOOSE( CONTROL!$C$32, 26.3403, 26.3368) * CHOOSE(CONTROL!$C$15, $D$11, 100%, $F$11)</f>
        <v>26.340299999999999</v>
      </c>
      <c r="K850" s="4"/>
      <c r="L850" s="9">
        <v>29.7257</v>
      </c>
      <c r="M850" s="9">
        <v>11.6745</v>
      </c>
      <c r="N850" s="9">
        <v>4.7850000000000001</v>
      </c>
      <c r="O850" s="9">
        <v>0.36199999999999999</v>
      </c>
      <c r="P850" s="9">
        <v>1.1791</v>
      </c>
      <c r="Q850" s="9">
        <v>19.053000000000001</v>
      </c>
      <c r="R850" s="9"/>
      <c r="S850" s="11"/>
    </row>
    <row r="851" spans="1:19" ht="15.75">
      <c r="A851" s="13">
        <v>67419</v>
      </c>
      <c r="B851" s="8">
        <f>CHOOSE( CONTROL!$C$32, 28.3198, 28.3162) * CHOOSE(CONTROL!$C$15, $D$11, 100%, $F$11)</f>
        <v>28.319800000000001</v>
      </c>
      <c r="C851" s="8">
        <f>CHOOSE( CONTROL!$C$32, 28.3278, 28.3242) * CHOOSE(CONTROL!$C$15, $D$11, 100%, $F$11)</f>
        <v>28.3278</v>
      </c>
      <c r="D851" s="8">
        <f>CHOOSE( CONTROL!$C$32, 28.366, 28.3624) * CHOOSE( CONTROL!$C$15, $D$11, 100%, $F$11)</f>
        <v>28.366</v>
      </c>
      <c r="E851" s="12">
        <f>CHOOSE( CONTROL!$C$32, 28.3509, 28.3473) * CHOOSE( CONTROL!$C$15, $D$11, 100%, $F$11)</f>
        <v>28.350899999999999</v>
      </c>
      <c r="F851" s="4">
        <f>CHOOSE( CONTROL!$C$32, 29.0628, 29.0592) * CHOOSE(CONTROL!$C$15, $D$11, 100%, $F$11)</f>
        <v>29.062799999999999</v>
      </c>
      <c r="G851" s="8">
        <f>CHOOSE( CONTROL!$C$32, 27.9948, 27.9912) * CHOOSE( CONTROL!$C$15, $D$11, 100%, $F$11)</f>
        <v>27.994800000000001</v>
      </c>
      <c r="H851" s="4">
        <f>CHOOSE( CONTROL!$C$32, 28.9691, 28.9655) * CHOOSE(CONTROL!$C$15, $D$11, 100%, $F$11)</f>
        <v>28.969100000000001</v>
      </c>
      <c r="I851" s="8">
        <f>CHOOSE( CONTROL!$C$32, 27.631, 27.6275) * CHOOSE(CONTROL!$C$15, $D$11, 100%, $F$11)</f>
        <v>27.631</v>
      </c>
      <c r="J851" s="4">
        <f>CHOOSE( CONTROL!$C$32, 27.4736, 27.47) * CHOOSE(CONTROL!$C$15, $D$11, 100%, $F$11)</f>
        <v>27.473600000000001</v>
      </c>
      <c r="K851" s="4"/>
      <c r="L851" s="9">
        <v>30.7165</v>
      </c>
      <c r="M851" s="9">
        <v>12.063700000000001</v>
      </c>
      <c r="N851" s="9">
        <v>4.9444999999999997</v>
      </c>
      <c r="O851" s="9">
        <v>0.37409999999999999</v>
      </c>
      <c r="P851" s="9">
        <v>1.2183999999999999</v>
      </c>
      <c r="Q851" s="9">
        <v>19.688099999999999</v>
      </c>
      <c r="R851" s="9"/>
      <c r="S851" s="11"/>
    </row>
    <row r="852" spans="1:19" ht="15.75">
      <c r="A852" s="13">
        <v>67450</v>
      </c>
      <c r="B852" s="8">
        <f>CHOOSE( CONTROL!$C$32, 26.1349, 26.1313) * CHOOSE(CONTROL!$C$15, $D$11, 100%, $F$11)</f>
        <v>26.134899999999998</v>
      </c>
      <c r="C852" s="8">
        <f>CHOOSE( CONTROL!$C$32, 26.1429, 26.1392) * CHOOSE(CONTROL!$C$15, $D$11, 100%, $F$11)</f>
        <v>26.142900000000001</v>
      </c>
      <c r="D852" s="8">
        <f>CHOOSE( CONTROL!$C$32, 26.1811, 26.1775) * CHOOSE( CONTROL!$C$15, $D$11, 100%, $F$11)</f>
        <v>26.181100000000001</v>
      </c>
      <c r="E852" s="12">
        <f>CHOOSE( CONTROL!$C$32, 26.166, 26.1624) * CHOOSE( CONTROL!$C$15, $D$11, 100%, $F$11)</f>
        <v>26.166</v>
      </c>
      <c r="F852" s="4">
        <f>CHOOSE( CONTROL!$C$32, 26.8779, 26.8743) * CHOOSE(CONTROL!$C$15, $D$11, 100%, $F$11)</f>
        <v>26.8779</v>
      </c>
      <c r="G852" s="8">
        <f>CHOOSE( CONTROL!$C$32, 25.8355, 25.8319) * CHOOSE( CONTROL!$C$15, $D$11, 100%, $F$11)</f>
        <v>25.8355</v>
      </c>
      <c r="H852" s="4">
        <f>CHOOSE( CONTROL!$C$32, 26.8098, 26.8062) * CHOOSE(CONTROL!$C$15, $D$11, 100%, $F$11)</f>
        <v>26.809799999999999</v>
      </c>
      <c r="I852" s="8">
        <f>CHOOSE( CONTROL!$C$32, 25.5098, 25.5062) * CHOOSE(CONTROL!$C$15, $D$11, 100%, $F$11)</f>
        <v>25.509799999999998</v>
      </c>
      <c r="J852" s="4">
        <f>CHOOSE( CONTROL!$C$32, 25.3531, 25.3496) * CHOOSE(CONTROL!$C$15, $D$11, 100%, $F$11)</f>
        <v>25.353100000000001</v>
      </c>
      <c r="K852" s="4"/>
      <c r="L852" s="9">
        <v>30.7165</v>
      </c>
      <c r="M852" s="9">
        <v>12.063700000000001</v>
      </c>
      <c r="N852" s="9">
        <v>4.9444999999999997</v>
      </c>
      <c r="O852" s="9">
        <v>0.37409999999999999</v>
      </c>
      <c r="P852" s="9">
        <v>1.2183999999999999</v>
      </c>
      <c r="Q852" s="9">
        <v>19.688099999999999</v>
      </c>
      <c r="R852" s="9"/>
      <c r="S852" s="11"/>
    </row>
    <row r="853" spans="1:19" ht="15.75">
      <c r="A853" s="13">
        <v>67480</v>
      </c>
      <c r="B853" s="8">
        <f>CHOOSE( CONTROL!$C$32, 25.5878, 25.5841) * CHOOSE(CONTROL!$C$15, $D$11, 100%, $F$11)</f>
        <v>25.587800000000001</v>
      </c>
      <c r="C853" s="8">
        <f>CHOOSE( CONTROL!$C$32, 25.5957, 25.5921) * CHOOSE(CONTROL!$C$15, $D$11, 100%, $F$11)</f>
        <v>25.595700000000001</v>
      </c>
      <c r="D853" s="8">
        <f>CHOOSE( CONTROL!$C$32, 25.6339, 25.6303) * CHOOSE( CONTROL!$C$15, $D$11, 100%, $F$11)</f>
        <v>25.633900000000001</v>
      </c>
      <c r="E853" s="12">
        <f>CHOOSE( CONTROL!$C$32, 25.6189, 25.6152) * CHOOSE( CONTROL!$C$15, $D$11, 100%, $F$11)</f>
        <v>25.6189</v>
      </c>
      <c r="F853" s="4">
        <f>CHOOSE( CONTROL!$C$32, 26.3308, 26.3271) * CHOOSE(CONTROL!$C$15, $D$11, 100%, $F$11)</f>
        <v>26.3308</v>
      </c>
      <c r="G853" s="8">
        <f>CHOOSE( CONTROL!$C$32, 25.2947, 25.2911) * CHOOSE( CONTROL!$C$15, $D$11, 100%, $F$11)</f>
        <v>25.294699999999999</v>
      </c>
      <c r="H853" s="4">
        <f>CHOOSE( CONTROL!$C$32, 26.2691, 26.2655) * CHOOSE(CONTROL!$C$15, $D$11, 100%, $F$11)</f>
        <v>26.269100000000002</v>
      </c>
      <c r="I853" s="8">
        <f>CHOOSE( CONTROL!$C$32, 24.9781, 24.9746) * CHOOSE(CONTROL!$C$15, $D$11, 100%, $F$11)</f>
        <v>24.978100000000001</v>
      </c>
      <c r="J853" s="4">
        <f>CHOOSE( CONTROL!$C$32, 24.8221, 24.8186) * CHOOSE(CONTROL!$C$15, $D$11, 100%, $F$11)</f>
        <v>24.822099999999999</v>
      </c>
      <c r="K853" s="4"/>
      <c r="L853" s="9">
        <v>29.7257</v>
      </c>
      <c r="M853" s="9">
        <v>11.6745</v>
      </c>
      <c r="N853" s="9">
        <v>4.7850000000000001</v>
      </c>
      <c r="O853" s="9">
        <v>0.36199999999999999</v>
      </c>
      <c r="P853" s="9">
        <v>1.1791</v>
      </c>
      <c r="Q853" s="9">
        <v>19.053000000000001</v>
      </c>
      <c r="R853" s="9"/>
      <c r="S853" s="11"/>
    </row>
    <row r="854" spans="1:19" ht="15.75">
      <c r="A854" s="13">
        <v>67511</v>
      </c>
      <c r="B854" s="8">
        <f>26.7184 * CHOOSE(CONTROL!$C$15, $D$11, 100%, $F$11)</f>
        <v>26.718399999999999</v>
      </c>
      <c r="C854" s="8">
        <f>26.7238 * CHOOSE(CONTROL!$C$15, $D$11, 100%, $F$11)</f>
        <v>26.723800000000001</v>
      </c>
      <c r="D854" s="8">
        <f>26.7673 * CHOOSE( CONTROL!$C$15, $D$11, 100%, $F$11)</f>
        <v>26.767299999999999</v>
      </c>
      <c r="E854" s="12">
        <f>26.7524 * CHOOSE( CONTROL!$C$15, $D$11, 100%, $F$11)</f>
        <v>26.752400000000002</v>
      </c>
      <c r="F854" s="4">
        <f>27.4632 * CHOOSE(CONTROL!$C$15, $D$11, 100%, $F$11)</f>
        <v>27.463200000000001</v>
      </c>
      <c r="G854" s="8">
        <f>26.4133 * CHOOSE( CONTROL!$C$15, $D$11, 100%, $F$11)</f>
        <v>26.4133</v>
      </c>
      <c r="H854" s="4">
        <f>27.3882 * CHOOSE(CONTROL!$C$15, $D$11, 100%, $F$11)</f>
        <v>27.388200000000001</v>
      </c>
      <c r="I854" s="8">
        <f>26.0784 * CHOOSE(CONTROL!$C$15, $D$11, 100%, $F$11)</f>
        <v>26.078399999999998</v>
      </c>
      <c r="J854" s="4">
        <f>25.9211 * CHOOSE(CONTROL!$C$15, $D$11, 100%, $F$11)</f>
        <v>25.921099999999999</v>
      </c>
      <c r="K854" s="4"/>
      <c r="L854" s="9">
        <v>31.095300000000002</v>
      </c>
      <c r="M854" s="9">
        <v>12.063700000000001</v>
      </c>
      <c r="N854" s="9">
        <v>4.9444999999999997</v>
      </c>
      <c r="O854" s="9">
        <v>0.37409999999999999</v>
      </c>
      <c r="P854" s="9">
        <v>1.2183999999999999</v>
      </c>
      <c r="Q854" s="9">
        <v>19.688099999999999</v>
      </c>
      <c r="R854" s="9"/>
      <c r="S854" s="11"/>
    </row>
    <row r="855" spans="1:19" ht="15.75">
      <c r="A855" s="13">
        <v>67541</v>
      </c>
      <c r="B855" s="8">
        <f>28.8149 * CHOOSE(CONTROL!$C$15, $D$11, 100%, $F$11)</f>
        <v>28.814900000000002</v>
      </c>
      <c r="C855" s="8">
        <f>28.82 * CHOOSE(CONTROL!$C$15, $D$11, 100%, $F$11)</f>
        <v>28.82</v>
      </c>
      <c r="D855" s="8">
        <f>28.8036 * CHOOSE( CONTROL!$C$15, $D$11, 100%, $F$11)</f>
        <v>28.803599999999999</v>
      </c>
      <c r="E855" s="12">
        <f>28.8091 * CHOOSE( CONTROL!$C$15, $D$11, 100%, $F$11)</f>
        <v>28.809100000000001</v>
      </c>
      <c r="F855" s="4">
        <f>29.4802 * CHOOSE(CONTROL!$C$15, $D$11, 100%, $F$11)</f>
        <v>29.4802</v>
      </c>
      <c r="G855" s="8">
        <f>28.4862 * CHOOSE( CONTROL!$C$15, $D$11, 100%, $F$11)</f>
        <v>28.4862</v>
      </c>
      <c r="H855" s="4">
        <f>29.3816 * CHOOSE(CONTROL!$C$15, $D$11, 100%, $F$11)</f>
        <v>29.381599999999999</v>
      </c>
      <c r="I855" s="8">
        <f>28.1146 * CHOOSE(CONTROL!$C$15, $D$11, 100%, $F$11)</f>
        <v>28.114599999999999</v>
      </c>
      <c r="J855" s="4">
        <f>27.9561 * CHOOSE(CONTROL!$C$15, $D$11, 100%, $F$11)</f>
        <v>27.956099999999999</v>
      </c>
      <c r="K855" s="4"/>
      <c r="L855" s="9">
        <v>28.360600000000002</v>
      </c>
      <c r="M855" s="9">
        <v>11.6745</v>
      </c>
      <c r="N855" s="9">
        <v>4.7850000000000001</v>
      </c>
      <c r="O855" s="9">
        <v>0.36199999999999999</v>
      </c>
      <c r="P855" s="9">
        <v>1.2509999999999999</v>
      </c>
      <c r="Q855" s="9">
        <v>19.053000000000001</v>
      </c>
      <c r="R855" s="9"/>
      <c r="S855" s="11"/>
    </row>
    <row r="856" spans="1:19" ht="15.75">
      <c r="A856" s="13">
        <v>67572</v>
      </c>
      <c r="B856" s="8">
        <f>28.7625 * CHOOSE(CONTROL!$C$15, $D$11, 100%, $F$11)</f>
        <v>28.762499999999999</v>
      </c>
      <c r="C856" s="8">
        <f>28.7676 * CHOOSE(CONTROL!$C$15, $D$11, 100%, $F$11)</f>
        <v>28.767600000000002</v>
      </c>
      <c r="D856" s="8">
        <f>28.753 * CHOOSE( CONTROL!$C$15, $D$11, 100%, $F$11)</f>
        <v>28.753</v>
      </c>
      <c r="E856" s="12">
        <f>28.7578 * CHOOSE( CONTROL!$C$15, $D$11, 100%, $F$11)</f>
        <v>28.7578</v>
      </c>
      <c r="F856" s="4">
        <f>29.4278 * CHOOSE(CONTROL!$C$15, $D$11, 100%, $F$11)</f>
        <v>29.427800000000001</v>
      </c>
      <c r="G856" s="8">
        <f>28.4357 * CHOOSE( CONTROL!$C$15, $D$11, 100%, $F$11)</f>
        <v>28.435700000000001</v>
      </c>
      <c r="H856" s="4">
        <f>29.3298 * CHOOSE(CONTROL!$C$15, $D$11, 100%, $F$11)</f>
        <v>29.329799999999999</v>
      </c>
      <c r="I856" s="8">
        <f>28.0691 * CHOOSE(CONTROL!$C$15, $D$11, 100%, $F$11)</f>
        <v>28.069099999999999</v>
      </c>
      <c r="J856" s="4">
        <f>27.9053 * CHOOSE(CONTROL!$C$15, $D$11, 100%, $F$11)</f>
        <v>27.9053</v>
      </c>
      <c r="K856" s="4"/>
      <c r="L856" s="9">
        <v>29.306000000000001</v>
      </c>
      <c r="M856" s="9">
        <v>12.063700000000001</v>
      </c>
      <c r="N856" s="9">
        <v>4.9444999999999997</v>
      </c>
      <c r="O856" s="9">
        <v>0.37409999999999999</v>
      </c>
      <c r="P856" s="9">
        <v>1.2927</v>
      </c>
      <c r="Q856" s="9">
        <v>19.688099999999999</v>
      </c>
      <c r="R856" s="9"/>
      <c r="S856" s="11"/>
    </row>
    <row r="857" spans="1:19" ht="15.75">
      <c r="A857" s="13">
        <v>67603</v>
      </c>
      <c r="B857" s="8">
        <f>29.6107 * CHOOSE(CONTROL!$C$15, $D$11, 100%, $F$11)</f>
        <v>29.610700000000001</v>
      </c>
      <c r="C857" s="8">
        <f>29.6157 * CHOOSE(CONTROL!$C$15, $D$11, 100%, $F$11)</f>
        <v>29.6157</v>
      </c>
      <c r="D857" s="8">
        <f>29.5869 * CHOOSE( CONTROL!$C$15, $D$11, 100%, $F$11)</f>
        <v>29.5869</v>
      </c>
      <c r="E857" s="12">
        <f>29.5969 * CHOOSE( CONTROL!$C$15, $D$11, 100%, $F$11)</f>
        <v>29.596900000000002</v>
      </c>
      <c r="F857" s="4">
        <f>30.276 * CHOOSE(CONTROL!$C$15, $D$11, 100%, $F$11)</f>
        <v>30.276</v>
      </c>
      <c r="G857" s="8">
        <f>29.2636 * CHOOSE( CONTROL!$C$15, $D$11, 100%, $F$11)</f>
        <v>29.2636</v>
      </c>
      <c r="H857" s="4">
        <f>30.168 * CHOOSE(CONTROL!$C$15, $D$11, 100%, $F$11)</f>
        <v>30.167999999999999</v>
      </c>
      <c r="I857" s="8">
        <f>28.8873 * CHOOSE(CONTROL!$C$15, $D$11, 100%, $F$11)</f>
        <v>28.8873</v>
      </c>
      <c r="J857" s="4">
        <f>28.7284 * CHOOSE(CONTROL!$C$15, $D$11, 100%, $F$11)</f>
        <v>28.728400000000001</v>
      </c>
      <c r="K857" s="4"/>
      <c r="L857" s="9">
        <v>29.306000000000001</v>
      </c>
      <c r="M857" s="9">
        <v>12.063700000000001</v>
      </c>
      <c r="N857" s="9">
        <v>4.9444999999999997</v>
      </c>
      <c r="O857" s="9">
        <v>0.37409999999999999</v>
      </c>
      <c r="P857" s="9">
        <v>1.2927</v>
      </c>
      <c r="Q857" s="9">
        <v>19.688099999999999</v>
      </c>
      <c r="R857" s="9"/>
      <c r="S857" s="11"/>
    </row>
    <row r="858" spans="1:19" ht="15.75">
      <c r="A858" s="13">
        <v>67631</v>
      </c>
      <c r="B858" s="8">
        <f>27.697 * CHOOSE(CONTROL!$C$15, $D$11, 100%, $F$11)</f>
        <v>27.696999999999999</v>
      </c>
      <c r="C858" s="8">
        <f>27.7021 * CHOOSE(CONTROL!$C$15, $D$11, 100%, $F$11)</f>
        <v>27.702100000000002</v>
      </c>
      <c r="D858" s="8">
        <f>27.6732 * CHOOSE( CONTROL!$C$15, $D$11, 100%, $F$11)</f>
        <v>27.673200000000001</v>
      </c>
      <c r="E858" s="12">
        <f>27.6832 * CHOOSE( CONTROL!$C$15, $D$11, 100%, $F$11)</f>
        <v>27.683199999999999</v>
      </c>
      <c r="F858" s="4">
        <f>28.3623 * CHOOSE(CONTROL!$C$15, $D$11, 100%, $F$11)</f>
        <v>28.362300000000001</v>
      </c>
      <c r="G858" s="8">
        <f>27.3723 * CHOOSE( CONTROL!$C$15, $D$11, 100%, $F$11)</f>
        <v>27.372299999999999</v>
      </c>
      <c r="H858" s="4">
        <f>28.2768 * CHOOSE(CONTROL!$C$15, $D$11, 100%, $F$11)</f>
        <v>28.276800000000001</v>
      </c>
      <c r="I858" s="8">
        <f>27.0291 * CHOOSE(CONTROL!$C$15, $D$11, 100%, $F$11)</f>
        <v>27.0291</v>
      </c>
      <c r="J858" s="4">
        <f>26.8712 * CHOOSE(CONTROL!$C$15, $D$11, 100%, $F$11)</f>
        <v>26.871200000000002</v>
      </c>
      <c r="K858" s="4"/>
      <c r="L858" s="9">
        <v>26.469899999999999</v>
      </c>
      <c r="M858" s="9">
        <v>10.8962</v>
      </c>
      <c r="N858" s="9">
        <v>4.4660000000000002</v>
      </c>
      <c r="O858" s="9">
        <v>0.33789999999999998</v>
      </c>
      <c r="P858" s="9">
        <v>1.1676</v>
      </c>
      <c r="Q858" s="9">
        <v>17.782800000000002</v>
      </c>
      <c r="R858" s="9"/>
      <c r="S858" s="11"/>
    </row>
    <row r="859" spans="1:19" ht="15.75">
      <c r="A859" s="13">
        <v>67662</v>
      </c>
      <c r="B859" s="8">
        <f>27.1076 * CHOOSE(CONTROL!$C$15, $D$11, 100%, $F$11)</f>
        <v>27.107600000000001</v>
      </c>
      <c r="C859" s="8">
        <f>27.1126 * CHOOSE(CONTROL!$C$15, $D$11, 100%, $F$11)</f>
        <v>27.1126</v>
      </c>
      <c r="D859" s="8">
        <f>27.0834 * CHOOSE( CONTROL!$C$15, $D$11, 100%, $F$11)</f>
        <v>27.083400000000001</v>
      </c>
      <c r="E859" s="12">
        <f>27.0935 * CHOOSE( CONTROL!$C$15, $D$11, 100%, $F$11)</f>
        <v>27.093499999999999</v>
      </c>
      <c r="F859" s="4">
        <f>27.7728 * CHOOSE(CONTROL!$C$15, $D$11, 100%, $F$11)</f>
        <v>27.7728</v>
      </c>
      <c r="G859" s="8">
        <f>26.7895 * CHOOSE( CONTROL!$C$15, $D$11, 100%, $F$11)</f>
        <v>26.7895</v>
      </c>
      <c r="H859" s="4">
        <f>27.6942 * CHOOSE(CONTROL!$C$15, $D$11, 100%, $F$11)</f>
        <v>27.694199999999999</v>
      </c>
      <c r="I859" s="8">
        <f>26.4555 * CHOOSE(CONTROL!$C$15, $D$11, 100%, $F$11)</f>
        <v>26.455500000000001</v>
      </c>
      <c r="J859" s="4">
        <f>26.2991 * CHOOSE(CONTROL!$C$15, $D$11, 100%, $F$11)</f>
        <v>26.299099999999999</v>
      </c>
      <c r="K859" s="4"/>
      <c r="L859" s="9">
        <v>29.306000000000001</v>
      </c>
      <c r="M859" s="9">
        <v>12.063700000000001</v>
      </c>
      <c r="N859" s="9">
        <v>4.9444999999999997</v>
      </c>
      <c r="O859" s="9">
        <v>0.37409999999999999</v>
      </c>
      <c r="P859" s="9">
        <v>1.2927</v>
      </c>
      <c r="Q859" s="9">
        <v>19.688099999999999</v>
      </c>
      <c r="R859" s="9"/>
      <c r="S859" s="11"/>
    </row>
    <row r="860" spans="1:19" ht="15.75">
      <c r="A860" s="13">
        <v>67692</v>
      </c>
      <c r="B860" s="8">
        <f>27.5202 * CHOOSE(CONTROL!$C$15, $D$11, 100%, $F$11)</f>
        <v>27.520199999999999</v>
      </c>
      <c r="C860" s="8">
        <f>27.5247 * CHOOSE(CONTROL!$C$15, $D$11, 100%, $F$11)</f>
        <v>27.524699999999999</v>
      </c>
      <c r="D860" s="8">
        <f>27.5681 * CHOOSE( CONTROL!$C$15, $D$11, 100%, $F$11)</f>
        <v>27.568100000000001</v>
      </c>
      <c r="E860" s="12">
        <f>27.5533 * CHOOSE( CONTROL!$C$15, $D$11, 100%, $F$11)</f>
        <v>27.5533</v>
      </c>
      <c r="F860" s="4">
        <f>28.2646 * CHOOSE(CONTROL!$C$15, $D$11, 100%, $F$11)</f>
        <v>28.264600000000002</v>
      </c>
      <c r="G860" s="8">
        <f>27.2044 * CHOOSE( CONTROL!$C$15, $D$11, 100%, $F$11)</f>
        <v>27.2044</v>
      </c>
      <c r="H860" s="4">
        <f>28.1802 * CHOOSE(CONTROL!$C$15, $D$11, 100%, $F$11)</f>
        <v>28.180199999999999</v>
      </c>
      <c r="I860" s="8">
        <f>26.8536 * CHOOSE(CONTROL!$C$15, $D$11, 100%, $F$11)</f>
        <v>26.8536</v>
      </c>
      <c r="J860" s="4">
        <f>26.6989 * CHOOSE(CONTROL!$C$15, $D$11, 100%, $F$11)</f>
        <v>26.698899999999998</v>
      </c>
      <c r="K860" s="4"/>
      <c r="L860" s="9">
        <v>30.092199999999998</v>
      </c>
      <c r="M860" s="9">
        <v>11.6745</v>
      </c>
      <c r="N860" s="9">
        <v>4.7850000000000001</v>
      </c>
      <c r="O860" s="9">
        <v>0.36199999999999999</v>
      </c>
      <c r="P860" s="9">
        <v>1.1791</v>
      </c>
      <c r="Q860" s="9">
        <v>19.053000000000001</v>
      </c>
      <c r="R860" s="9"/>
      <c r="S860" s="11"/>
    </row>
    <row r="861" spans="1:19" ht="15.75">
      <c r="A861" s="13">
        <v>67723</v>
      </c>
      <c r="B861" s="8">
        <f>CHOOSE( CONTROL!$C$32, 28.2582, 28.2546) * CHOOSE(CONTROL!$C$15, $D$11, 100%, $F$11)</f>
        <v>28.258199999999999</v>
      </c>
      <c r="C861" s="8">
        <f>CHOOSE( CONTROL!$C$32, 28.2662, 28.2626) * CHOOSE(CONTROL!$C$15, $D$11, 100%, $F$11)</f>
        <v>28.266200000000001</v>
      </c>
      <c r="D861" s="8">
        <f>CHOOSE( CONTROL!$C$32, 28.304, 28.3003) * CHOOSE( CONTROL!$C$15, $D$11, 100%, $F$11)</f>
        <v>28.303999999999998</v>
      </c>
      <c r="E861" s="12">
        <f>CHOOSE( CONTROL!$C$32, 28.2891, 28.2854) * CHOOSE( CONTROL!$C$15, $D$11, 100%, $F$11)</f>
        <v>28.289100000000001</v>
      </c>
      <c r="F861" s="4">
        <f>CHOOSE( CONTROL!$C$32, 29.0012, 28.9976) * CHOOSE(CONTROL!$C$15, $D$11, 100%, $F$11)</f>
        <v>29.001200000000001</v>
      </c>
      <c r="G861" s="8">
        <f>CHOOSE( CONTROL!$C$32, 27.9332, 27.9296) * CHOOSE( CONTROL!$C$15, $D$11, 100%, $F$11)</f>
        <v>27.933199999999999</v>
      </c>
      <c r="H861" s="4">
        <f>CHOOSE( CONTROL!$C$32, 28.9083, 28.9047) * CHOOSE(CONTROL!$C$15, $D$11, 100%, $F$11)</f>
        <v>28.908300000000001</v>
      </c>
      <c r="I861" s="8">
        <f>CHOOSE( CONTROL!$C$32, 27.5691, 27.5655) * CHOOSE(CONTROL!$C$15, $D$11, 100%, $F$11)</f>
        <v>27.569099999999999</v>
      </c>
      <c r="J861" s="4">
        <f>CHOOSE( CONTROL!$C$32, 27.4138, 27.4103) * CHOOSE(CONTROL!$C$15, $D$11, 100%, $F$11)</f>
        <v>27.413799999999998</v>
      </c>
      <c r="K861" s="4"/>
      <c r="L861" s="9">
        <v>30.7165</v>
      </c>
      <c r="M861" s="9">
        <v>12.063700000000001</v>
      </c>
      <c r="N861" s="9">
        <v>4.9444999999999997</v>
      </c>
      <c r="O861" s="9">
        <v>0.37409999999999999</v>
      </c>
      <c r="P861" s="9">
        <v>1.2183999999999999</v>
      </c>
      <c r="Q861" s="9">
        <v>19.688099999999999</v>
      </c>
      <c r="R861" s="9"/>
      <c r="S861" s="11"/>
    </row>
    <row r="862" spans="1:19" ht="15.75">
      <c r="A862" s="13">
        <v>67753</v>
      </c>
      <c r="B862" s="8">
        <f>CHOOSE( CONTROL!$C$32, 27.8041, 27.8005) * CHOOSE(CONTROL!$C$15, $D$11, 100%, $F$11)</f>
        <v>27.804099999999998</v>
      </c>
      <c r="C862" s="8">
        <f>CHOOSE( CONTROL!$C$32, 27.8121, 27.8085) * CHOOSE(CONTROL!$C$15, $D$11, 100%, $F$11)</f>
        <v>27.812100000000001</v>
      </c>
      <c r="D862" s="8">
        <f>CHOOSE( CONTROL!$C$32, 27.8501, 27.8464) * CHOOSE( CONTROL!$C$15, $D$11, 100%, $F$11)</f>
        <v>27.850100000000001</v>
      </c>
      <c r="E862" s="12">
        <f>CHOOSE( CONTROL!$C$32, 27.8351, 27.8314) * CHOOSE( CONTROL!$C$15, $D$11, 100%, $F$11)</f>
        <v>27.835100000000001</v>
      </c>
      <c r="F862" s="4">
        <f>CHOOSE( CONTROL!$C$32, 28.5472, 28.5435) * CHOOSE(CONTROL!$C$15, $D$11, 100%, $F$11)</f>
        <v>28.5472</v>
      </c>
      <c r="G862" s="8">
        <f>CHOOSE( CONTROL!$C$32, 27.4848, 27.4812) * CHOOSE( CONTROL!$C$15, $D$11, 100%, $F$11)</f>
        <v>27.4848</v>
      </c>
      <c r="H862" s="4">
        <f>CHOOSE( CONTROL!$C$32, 28.4595, 28.4559) * CHOOSE(CONTROL!$C$15, $D$11, 100%, $F$11)</f>
        <v>28.459499999999998</v>
      </c>
      <c r="I862" s="8">
        <f>CHOOSE( CONTROL!$C$32, 27.1292, 27.1257) * CHOOSE(CONTROL!$C$15, $D$11, 100%, $F$11)</f>
        <v>27.129200000000001</v>
      </c>
      <c r="J862" s="4">
        <f>CHOOSE( CONTROL!$C$32, 26.9731, 26.9696) * CHOOSE(CONTROL!$C$15, $D$11, 100%, $F$11)</f>
        <v>26.973099999999999</v>
      </c>
      <c r="K862" s="4"/>
      <c r="L862" s="9">
        <v>29.7257</v>
      </c>
      <c r="M862" s="9">
        <v>11.6745</v>
      </c>
      <c r="N862" s="9">
        <v>4.7850000000000001</v>
      </c>
      <c r="O862" s="9">
        <v>0.36199999999999999</v>
      </c>
      <c r="P862" s="9">
        <v>1.1791</v>
      </c>
      <c r="Q862" s="9">
        <v>19.053000000000001</v>
      </c>
      <c r="R862" s="9"/>
      <c r="S862" s="11"/>
    </row>
    <row r="863" spans="1:19" ht="15.75">
      <c r="A863" s="13">
        <v>67784</v>
      </c>
      <c r="B863" s="8">
        <f>CHOOSE( CONTROL!$C$32, 28.9999, 28.9963) * CHOOSE(CONTROL!$C$15, $D$11, 100%, $F$11)</f>
        <v>28.9999</v>
      </c>
      <c r="C863" s="8">
        <f>CHOOSE( CONTROL!$C$32, 29.0079, 29.0043) * CHOOSE(CONTROL!$C$15, $D$11, 100%, $F$11)</f>
        <v>29.007899999999999</v>
      </c>
      <c r="D863" s="8">
        <f>CHOOSE( CONTROL!$C$32, 29.0461, 29.0425) * CHOOSE( CONTROL!$C$15, $D$11, 100%, $F$11)</f>
        <v>29.046099999999999</v>
      </c>
      <c r="E863" s="12">
        <f>CHOOSE( CONTROL!$C$32, 29.031, 29.0274) * CHOOSE( CONTROL!$C$15, $D$11, 100%, $F$11)</f>
        <v>29.030999999999999</v>
      </c>
      <c r="F863" s="4">
        <f>CHOOSE( CONTROL!$C$32, 29.7429, 29.7393) * CHOOSE(CONTROL!$C$15, $D$11, 100%, $F$11)</f>
        <v>29.742899999999999</v>
      </c>
      <c r="G863" s="8">
        <f>CHOOSE( CONTROL!$C$32, 28.6669, 28.6633) * CHOOSE( CONTROL!$C$15, $D$11, 100%, $F$11)</f>
        <v>28.666899999999998</v>
      </c>
      <c r="H863" s="4">
        <f>CHOOSE( CONTROL!$C$32, 29.6413, 29.6377) * CHOOSE(CONTROL!$C$15, $D$11, 100%, $F$11)</f>
        <v>29.641300000000001</v>
      </c>
      <c r="I863" s="8">
        <f>CHOOSE( CONTROL!$C$32, 28.2914, 28.2879) * CHOOSE(CONTROL!$C$15, $D$11, 100%, $F$11)</f>
        <v>28.291399999999999</v>
      </c>
      <c r="J863" s="4">
        <f>CHOOSE( CONTROL!$C$32, 28.1336, 28.1301) * CHOOSE(CONTROL!$C$15, $D$11, 100%, $F$11)</f>
        <v>28.133600000000001</v>
      </c>
      <c r="K863" s="4"/>
      <c r="L863" s="9">
        <v>30.7165</v>
      </c>
      <c r="M863" s="9">
        <v>12.063700000000001</v>
      </c>
      <c r="N863" s="9">
        <v>4.9444999999999997</v>
      </c>
      <c r="O863" s="9">
        <v>0.37409999999999999</v>
      </c>
      <c r="P863" s="9">
        <v>1.2183999999999999</v>
      </c>
      <c r="Q863" s="9">
        <v>19.688099999999999</v>
      </c>
      <c r="R863" s="9"/>
      <c r="S863" s="11"/>
    </row>
    <row r="864" spans="1:19" ht="15.75">
      <c r="A864" s="13">
        <v>67815</v>
      </c>
      <c r="B864" s="8">
        <f>CHOOSE( CONTROL!$C$32, 26.7625, 26.7589) * CHOOSE(CONTROL!$C$15, $D$11, 100%, $F$11)</f>
        <v>26.762499999999999</v>
      </c>
      <c r="C864" s="8">
        <f>CHOOSE( CONTROL!$C$32, 26.7705, 26.7668) * CHOOSE(CONTROL!$C$15, $D$11, 100%, $F$11)</f>
        <v>26.770499999999998</v>
      </c>
      <c r="D864" s="8">
        <f>CHOOSE( CONTROL!$C$32, 26.8087, 26.8051) * CHOOSE( CONTROL!$C$15, $D$11, 100%, $F$11)</f>
        <v>26.808700000000002</v>
      </c>
      <c r="E864" s="12">
        <f>CHOOSE( CONTROL!$C$32, 26.7936, 26.79) * CHOOSE( CONTROL!$C$15, $D$11, 100%, $F$11)</f>
        <v>26.793600000000001</v>
      </c>
      <c r="F864" s="4">
        <f>CHOOSE( CONTROL!$C$32, 27.5055, 27.5019) * CHOOSE(CONTROL!$C$15, $D$11, 100%, $F$11)</f>
        <v>27.505500000000001</v>
      </c>
      <c r="G864" s="8">
        <f>CHOOSE( CONTROL!$C$32, 26.4558, 26.4522) * CHOOSE( CONTROL!$C$15, $D$11, 100%, $F$11)</f>
        <v>26.4558</v>
      </c>
      <c r="H864" s="4">
        <f>CHOOSE( CONTROL!$C$32, 27.43, 27.4264) * CHOOSE(CONTROL!$C$15, $D$11, 100%, $F$11)</f>
        <v>27.43</v>
      </c>
      <c r="I864" s="8">
        <f>CHOOSE( CONTROL!$C$32, 26.1192, 26.1156) * CHOOSE(CONTROL!$C$15, $D$11, 100%, $F$11)</f>
        <v>26.119199999999999</v>
      </c>
      <c r="J864" s="4">
        <f>CHOOSE( CONTROL!$C$32, 25.9622, 25.9586) * CHOOSE(CONTROL!$C$15, $D$11, 100%, $F$11)</f>
        <v>25.962199999999999</v>
      </c>
      <c r="K864" s="4"/>
      <c r="L864" s="9">
        <v>30.7165</v>
      </c>
      <c r="M864" s="9">
        <v>12.063700000000001</v>
      </c>
      <c r="N864" s="9">
        <v>4.9444999999999997</v>
      </c>
      <c r="O864" s="9">
        <v>0.37409999999999999</v>
      </c>
      <c r="P864" s="9">
        <v>1.2183999999999999</v>
      </c>
      <c r="Q864" s="9">
        <v>19.688099999999999</v>
      </c>
      <c r="R864" s="9"/>
      <c r="S864" s="11"/>
    </row>
    <row r="865" spans="1:19" ht="15.75">
      <c r="A865" s="13">
        <v>67845</v>
      </c>
      <c r="B865" s="8">
        <f>CHOOSE( CONTROL!$C$32, 26.2022, 26.1986) * CHOOSE(CONTROL!$C$15, $D$11, 100%, $F$11)</f>
        <v>26.202200000000001</v>
      </c>
      <c r="C865" s="8">
        <f>CHOOSE( CONTROL!$C$32, 26.2102, 26.2065) * CHOOSE(CONTROL!$C$15, $D$11, 100%, $F$11)</f>
        <v>26.2102</v>
      </c>
      <c r="D865" s="8">
        <f>CHOOSE( CONTROL!$C$32, 26.2484, 26.2447) * CHOOSE( CONTROL!$C$15, $D$11, 100%, $F$11)</f>
        <v>26.2484</v>
      </c>
      <c r="E865" s="12">
        <f>CHOOSE( CONTROL!$C$32, 26.2333, 26.2297) * CHOOSE( CONTROL!$C$15, $D$11, 100%, $F$11)</f>
        <v>26.2333</v>
      </c>
      <c r="F865" s="4">
        <f>CHOOSE( CONTROL!$C$32, 26.9452, 26.9416) * CHOOSE(CONTROL!$C$15, $D$11, 100%, $F$11)</f>
        <v>26.9452</v>
      </c>
      <c r="G865" s="8">
        <f>CHOOSE( CONTROL!$C$32, 25.9019, 25.8983) * CHOOSE( CONTROL!$C$15, $D$11, 100%, $F$11)</f>
        <v>25.901900000000001</v>
      </c>
      <c r="H865" s="4">
        <f>CHOOSE( CONTROL!$C$32, 26.8763, 26.8727) * CHOOSE(CONTROL!$C$15, $D$11, 100%, $F$11)</f>
        <v>26.876300000000001</v>
      </c>
      <c r="I865" s="8">
        <f>CHOOSE( CONTROL!$C$32, 25.5748, 25.5712) * CHOOSE(CONTROL!$C$15, $D$11, 100%, $F$11)</f>
        <v>25.5748</v>
      </c>
      <c r="J865" s="4">
        <f>CHOOSE( CONTROL!$C$32, 25.4184, 25.4149) * CHOOSE(CONTROL!$C$15, $D$11, 100%, $F$11)</f>
        <v>25.418399999999998</v>
      </c>
      <c r="K865" s="4"/>
      <c r="L865" s="9">
        <v>29.7257</v>
      </c>
      <c r="M865" s="9">
        <v>11.6745</v>
      </c>
      <c r="N865" s="9">
        <v>4.7850000000000001</v>
      </c>
      <c r="O865" s="9">
        <v>0.36199999999999999</v>
      </c>
      <c r="P865" s="9">
        <v>1.1791</v>
      </c>
      <c r="Q865" s="9">
        <v>19.053000000000001</v>
      </c>
      <c r="R865" s="9"/>
      <c r="S865" s="11"/>
    </row>
    <row r="866" spans="1:19" ht="15.75">
      <c r="A866" s="13">
        <v>67876</v>
      </c>
      <c r="B866" s="8">
        <f>27.3602 * CHOOSE(CONTROL!$C$15, $D$11, 100%, $F$11)</f>
        <v>27.360199999999999</v>
      </c>
      <c r="C866" s="8">
        <f>27.3655 * CHOOSE(CONTROL!$C$15, $D$11, 100%, $F$11)</f>
        <v>27.365500000000001</v>
      </c>
      <c r="D866" s="8">
        <f>27.409 * CHOOSE( CONTROL!$C$15, $D$11, 100%, $F$11)</f>
        <v>27.408999999999999</v>
      </c>
      <c r="E866" s="12">
        <f>27.3941 * CHOOSE( CONTROL!$C$15, $D$11, 100%, $F$11)</f>
        <v>27.394100000000002</v>
      </c>
      <c r="F866" s="4">
        <f>28.1049 * CHOOSE(CONTROL!$C$15, $D$11, 100%, $F$11)</f>
        <v>28.104900000000001</v>
      </c>
      <c r="G866" s="8">
        <f>27.0475 * CHOOSE( CONTROL!$C$15, $D$11, 100%, $F$11)</f>
        <v>27.047499999999999</v>
      </c>
      <c r="H866" s="4">
        <f>28.0224 * CHOOSE(CONTROL!$C$15, $D$11, 100%, $F$11)</f>
        <v>28.022400000000001</v>
      </c>
      <c r="I866" s="8">
        <f>26.7016 * CHOOSE(CONTROL!$C$15, $D$11, 100%, $F$11)</f>
        <v>26.701599999999999</v>
      </c>
      <c r="J866" s="4">
        <f>26.5439 * CHOOSE(CONTROL!$C$15, $D$11, 100%, $F$11)</f>
        <v>26.543900000000001</v>
      </c>
      <c r="K866" s="4"/>
      <c r="L866" s="9">
        <v>31.095300000000002</v>
      </c>
      <c r="M866" s="9">
        <v>12.063700000000001</v>
      </c>
      <c r="N866" s="9">
        <v>4.9444999999999997</v>
      </c>
      <c r="O866" s="9">
        <v>0.37409999999999999</v>
      </c>
      <c r="P866" s="9">
        <v>1.2183999999999999</v>
      </c>
      <c r="Q866" s="9">
        <v>19.688099999999999</v>
      </c>
      <c r="R866" s="9"/>
      <c r="S866" s="11"/>
    </row>
    <row r="867" spans="1:19" ht="15.75">
      <c r="A867" s="13">
        <v>67906</v>
      </c>
      <c r="B867" s="8">
        <f>29.5071 * CHOOSE(CONTROL!$C$15, $D$11, 100%, $F$11)</f>
        <v>29.507100000000001</v>
      </c>
      <c r="C867" s="8">
        <f>29.5121 * CHOOSE(CONTROL!$C$15, $D$11, 100%, $F$11)</f>
        <v>29.5121</v>
      </c>
      <c r="D867" s="8">
        <f>29.4958 * CHOOSE( CONTROL!$C$15, $D$11, 100%, $F$11)</f>
        <v>29.495799999999999</v>
      </c>
      <c r="E867" s="12">
        <f>29.5012 * CHOOSE( CONTROL!$C$15, $D$11, 100%, $F$11)</f>
        <v>29.501200000000001</v>
      </c>
      <c r="F867" s="4">
        <f>30.1723 * CHOOSE(CONTROL!$C$15, $D$11, 100%, $F$11)</f>
        <v>30.1723</v>
      </c>
      <c r="G867" s="8">
        <f>29.1702 * CHOOSE( CONTROL!$C$15, $D$11, 100%, $F$11)</f>
        <v>29.170200000000001</v>
      </c>
      <c r="H867" s="4">
        <f>30.0656 * CHOOSE(CONTROL!$C$15, $D$11, 100%, $F$11)</f>
        <v>30.0656</v>
      </c>
      <c r="I867" s="8">
        <f>28.7867 * CHOOSE(CONTROL!$C$15, $D$11, 100%, $F$11)</f>
        <v>28.7867</v>
      </c>
      <c r="J867" s="4">
        <f>28.6279 * CHOOSE(CONTROL!$C$15, $D$11, 100%, $F$11)</f>
        <v>28.6279</v>
      </c>
      <c r="K867" s="4"/>
      <c r="L867" s="9">
        <v>28.360600000000002</v>
      </c>
      <c r="M867" s="9">
        <v>11.6745</v>
      </c>
      <c r="N867" s="9">
        <v>4.7850000000000001</v>
      </c>
      <c r="O867" s="9">
        <v>0.36199999999999999</v>
      </c>
      <c r="P867" s="9">
        <v>1.2509999999999999</v>
      </c>
      <c r="Q867" s="9">
        <v>19.053000000000001</v>
      </c>
      <c r="R867" s="9"/>
      <c r="S867" s="11"/>
    </row>
    <row r="868" spans="1:19" ht="15.75">
      <c r="A868" s="13">
        <v>67937</v>
      </c>
      <c r="B868" s="8">
        <f>29.4534 * CHOOSE(CONTROL!$C$15, $D$11, 100%, $F$11)</f>
        <v>29.453399999999998</v>
      </c>
      <c r="C868" s="8">
        <f>29.4585 * CHOOSE(CONTROL!$C$15, $D$11, 100%, $F$11)</f>
        <v>29.458500000000001</v>
      </c>
      <c r="D868" s="8">
        <f>29.4439 * CHOOSE( CONTROL!$C$15, $D$11, 100%, $F$11)</f>
        <v>29.443899999999999</v>
      </c>
      <c r="E868" s="12">
        <f>29.4487 * CHOOSE( CONTROL!$C$15, $D$11, 100%, $F$11)</f>
        <v>29.448699999999999</v>
      </c>
      <c r="F868" s="4">
        <f>30.1187 * CHOOSE(CONTROL!$C$15, $D$11, 100%, $F$11)</f>
        <v>30.1187</v>
      </c>
      <c r="G868" s="8">
        <f>29.1185 * CHOOSE( CONTROL!$C$15, $D$11, 100%, $F$11)</f>
        <v>29.118500000000001</v>
      </c>
      <c r="H868" s="4">
        <f>30.0126 * CHOOSE(CONTROL!$C$15, $D$11, 100%, $F$11)</f>
        <v>30.012599999999999</v>
      </c>
      <c r="I868" s="8">
        <f>28.74 * CHOOSE(CONTROL!$C$15, $D$11, 100%, $F$11)</f>
        <v>28.74</v>
      </c>
      <c r="J868" s="4">
        <f>28.5758 * CHOOSE(CONTROL!$C$15, $D$11, 100%, $F$11)</f>
        <v>28.575800000000001</v>
      </c>
      <c r="K868" s="4"/>
      <c r="L868" s="9">
        <v>29.306000000000001</v>
      </c>
      <c r="M868" s="9">
        <v>12.063700000000001</v>
      </c>
      <c r="N868" s="9">
        <v>4.9444999999999997</v>
      </c>
      <c r="O868" s="9">
        <v>0.37409999999999999</v>
      </c>
      <c r="P868" s="9">
        <v>1.2927</v>
      </c>
      <c r="Q868" s="9">
        <v>19.688099999999999</v>
      </c>
      <c r="R868" s="9"/>
      <c r="S868" s="11"/>
    </row>
    <row r="869" spans="1:19" ht="15.75">
      <c r="A869" s="13">
        <v>67968</v>
      </c>
      <c r="B869" s="8">
        <f>30.3219 * CHOOSE(CONTROL!$C$15, $D$11, 100%, $F$11)</f>
        <v>30.321899999999999</v>
      </c>
      <c r="C869" s="8">
        <f>30.327 * CHOOSE(CONTROL!$C$15, $D$11, 100%, $F$11)</f>
        <v>30.327000000000002</v>
      </c>
      <c r="D869" s="8">
        <f>30.2981 * CHOOSE( CONTROL!$C$15, $D$11, 100%, $F$11)</f>
        <v>30.298100000000002</v>
      </c>
      <c r="E869" s="12">
        <f>30.3081 * CHOOSE( CONTROL!$C$15, $D$11, 100%, $F$11)</f>
        <v>30.3081</v>
      </c>
      <c r="F869" s="4">
        <f>30.9872 * CHOOSE(CONTROL!$C$15, $D$11, 100%, $F$11)</f>
        <v>30.987200000000001</v>
      </c>
      <c r="G869" s="8">
        <f>29.9665 * CHOOSE( CONTROL!$C$15, $D$11, 100%, $F$11)</f>
        <v>29.9665</v>
      </c>
      <c r="H869" s="4">
        <f>30.871 * CHOOSE(CONTROL!$C$15, $D$11, 100%, $F$11)</f>
        <v>30.870999999999999</v>
      </c>
      <c r="I869" s="8">
        <f>29.5779 * CHOOSE(CONTROL!$C$15, $D$11, 100%, $F$11)</f>
        <v>29.5779</v>
      </c>
      <c r="J869" s="4">
        <f>29.4187 * CHOOSE(CONTROL!$C$15, $D$11, 100%, $F$11)</f>
        <v>29.418700000000001</v>
      </c>
      <c r="K869" s="4"/>
      <c r="L869" s="9">
        <v>29.306000000000001</v>
      </c>
      <c r="M869" s="9">
        <v>12.063700000000001</v>
      </c>
      <c r="N869" s="9">
        <v>4.9444999999999997</v>
      </c>
      <c r="O869" s="9">
        <v>0.37409999999999999</v>
      </c>
      <c r="P869" s="9">
        <v>1.2927</v>
      </c>
      <c r="Q869" s="9">
        <v>19.688099999999999</v>
      </c>
      <c r="R869" s="9"/>
      <c r="S869" s="11"/>
    </row>
    <row r="870" spans="1:19" ht="15.75">
      <c r="A870" s="13">
        <v>67996</v>
      </c>
      <c r="B870" s="8">
        <f>28.3622 * CHOOSE(CONTROL!$C$15, $D$11, 100%, $F$11)</f>
        <v>28.362200000000001</v>
      </c>
      <c r="C870" s="8">
        <f>28.3673 * CHOOSE(CONTROL!$C$15, $D$11, 100%, $F$11)</f>
        <v>28.3673</v>
      </c>
      <c r="D870" s="8">
        <f>28.3384 * CHOOSE( CONTROL!$C$15, $D$11, 100%, $F$11)</f>
        <v>28.3384</v>
      </c>
      <c r="E870" s="12">
        <f>28.3484 * CHOOSE( CONTROL!$C$15, $D$11, 100%, $F$11)</f>
        <v>28.348400000000002</v>
      </c>
      <c r="F870" s="4">
        <f>29.0275 * CHOOSE(CONTROL!$C$15, $D$11, 100%, $F$11)</f>
        <v>29.0275</v>
      </c>
      <c r="G870" s="8">
        <f>28.0298 * CHOOSE( CONTROL!$C$15, $D$11, 100%, $F$11)</f>
        <v>28.029800000000002</v>
      </c>
      <c r="H870" s="4">
        <f>28.9342 * CHOOSE(CONTROL!$C$15, $D$11, 100%, $F$11)</f>
        <v>28.934200000000001</v>
      </c>
      <c r="I870" s="8">
        <f>27.675 * CHOOSE(CONTROL!$C$15, $D$11, 100%, $F$11)</f>
        <v>27.675000000000001</v>
      </c>
      <c r="J870" s="4">
        <f>27.5168 * CHOOSE(CONTROL!$C$15, $D$11, 100%, $F$11)</f>
        <v>27.5168</v>
      </c>
      <c r="K870" s="4"/>
      <c r="L870" s="9">
        <v>26.469899999999999</v>
      </c>
      <c r="M870" s="9">
        <v>10.8962</v>
      </c>
      <c r="N870" s="9">
        <v>4.4660000000000002</v>
      </c>
      <c r="O870" s="9">
        <v>0.33789999999999998</v>
      </c>
      <c r="P870" s="9">
        <v>1.1676</v>
      </c>
      <c r="Q870" s="9">
        <v>17.782800000000002</v>
      </c>
      <c r="R870" s="9"/>
      <c r="S870" s="11"/>
    </row>
    <row r="871" spans="1:19" ht="15.75">
      <c r="A871" s="13">
        <v>68027</v>
      </c>
      <c r="B871" s="8">
        <f>27.7587 * CHOOSE(CONTROL!$C$15, $D$11, 100%, $F$11)</f>
        <v>27.758700000000001</v>
      </c>
      <c r="C871" s="8">
        <f>27.7638 * CHOOSE(CONTROL!$C$15, $D$11, 100%, $F$11)</f>
        <v>27.7638</v>
      </c>
      <c r="D871" s="8">
        <f>27.7345 * CHOOSE( CONTROL!$C$15, $D$11, 100%, $F$11)</f>
        <v>27.734500000000001</v>
      </c>
      <c r="E871" s="12">
        <f>27.7447 * CHOOSE( CONTROL!$C$15, $D$11, 100%, $F$11)</f>
        <v>27.744700000000002</v>
      </c>
      <c r="F871" s="4">
        <f>28.424 * CHOOSE(CONTROL!$C$15, $D$11, 100%, $F$11)</f>
        <v>28.423999999999999</v>
      </c>
      <c r="G871" s="8">
        <f>27.433 * CHOOSE( CONTROL!$C$15, $D$11, 100%, $F$11)</f>
        <v>27.433</v>
      </c>
      <c r="H871" s="4">
        <f>28.3377 * CHOOSE(CONTROL!$C$15, $D$11, 100%, $F$11)</f>
        <v>28.337700000000002</v>
      </c>
      <c r="I871" s="8">
        <f>27.0877 * CHOOSE(CONTROL!$C$15, $D$11, 100%, $F$11)</f>
        <v>27.087700000000002</v>
      </c>
      <c r="J871" s="4">
        <f>26.931 * CHOOSE(CONTROL!$C$15, $D$11, 100%, $F$11)</f>
        <v>26.931000000000001</v>
      </c>
      <c r="K871" s="4"/>
      <c r="L871" s="9">
        <v>29.306000000000001</v>
      </c>
      <c r="M871" s="9">
        <v>12.063700000000001</v>
      </c>
      <c r="N871" s="9">
        <v>4.9444999999999997</v>
      </c>
      <c r="O871" s="9">
        <v>0.37409999999999999</v>
      </c>
      <c r="P871" s="9">
        <v>1.2927</v>
      </c>
      <c r="Q871" s="9">
        <v>19.688099999999999</v>
      </c>
      <c r="R871" s="9"/>
      <c r="S871" s="11"/>
    </row>
    <row r="872" spans="1:19" ht="15.75">
      <c r="A872" s="13">
        <v>68057</v>
      </c>
      <c r="B872" s="8">
        <f>28.1812 * CHOOSE(CONTROL!$C$15, $D$11, 100%, $F$11)</f>
        <v>28.1812</v>
      </c>
      <c r="C872" s="8">
        <f>28.1857 * CHOOSE(CONTROL!$C$15, $D$11, 100%, $F$11)</f>
        <v>28.185700000000001</v>
      </c>
      <c r="D872" s="8">
        <f>28.2291 * CHOOSE( CONTROL!$C$15, $D$11, 100%, $F$11)</f>
        <v>28.229099999999999</v>
      </c>
      <c r="E872" s="12">
        <f>28.2143 * CHOOSE( CONTROL!$C$15, $D$11, 100%, $F$11)</f>
        <v>28.214300000000001</v>
      </c>
      <c r="F872" s="4">
        <f>28.9256 * CHOOSE(CONTROL!$C$15, $D$11, 100%, $F$11)</f>
        <v>28.925599999999999</v>
      </c>
      <c r="G872" s="8">
        <f>27.8576 * CHOOSE( CONTROL!$C$15, $D$11, 100%, $F$11)</f>
        <v>27.857600000000001</v>
      </c>
      <c r="H872" s="4">
        <f>28.8335 * CHOOSE(CONTROL!$C$15, $D$11, 100%, $F$11)</f>
        <v>28.833500000000001</v>
      </c>
      <c r="I872" s="8">
        <f>27.4955 * CHOOSE(CONTROL!$C$15, $D$11, 100%, $F$11)</f>
        <v>27.4955</v>
      </c>
      <c r="J872" s="4">
        <f>27.3404 * CHOOSE(CONTROL!$C$15, $D$11, 100%, $F$11)</f>
        <v>27.340399999999999</v>
      </c>
      <c r="K872" s="4"/>
      <c r="L872" s="9">
        <v>30.092199999999998</v>
      </c>
      <c r="M872" s="9">
        <v>11.6745</v>
      </c>
      <c r="N872" s="9">
        <v>4.7850000000000001</v>
      </c>
      <c r="O872" s="9">
        <v>0.36199999999999999</v>
      </c>
      <c r="P872" s="9">
        <v>1.1791</v>
      </c>
      <c r="Q872" s="9">
        <v>19.053000000000001</v>
      </c>
      <c r="R872" s="9"/>
      <c r="S872" s="11"/>
    </row>
    <row r="873" spans="1:19" ht="15.75">
      <c r="A873" s="13">
        <v>68088</v>
      </c>
      <c r="B873" s="8">
        <f>CHOOSE( CONTROL!$C$32, 28.9369, 28.9332) * CHOOSE(CONTROL!$C$15, $D$11, 100%, $F$11)</f>
        <v>28.936900000000001</v>
      </c>
      <c r="C873" s="8">
        <f>CHOOSE( CONTROL!$C$32, 28.9448, 28.9412) * CHOOSE(CONTROL!$C$15, $D$11, 100%, $F$11)</f>
        <v>28.944800000000001</v>
      </c>
      <c r="D873" s="8">
        <f>CHOOSE( CONTROL!$C$32, 28.9826, 28.9789) * CHOOSE( CONTROL!$C$15, $D$11, 100%, $F$11)</f>
        <v>28.982600000000001</v>
      </c>
      <c r="E873" s="12">
        <f>CHOOSE( CONTROL!$C$32, 28.9677, 28.964) * CHOOSE( CONTROL!$C$15, $D$11, 100%, $F$11)</f>
        <v>28.967700000000001</v>
      </c>
      <c r="F873" s="4">
        <f>CHOOSE( CONTROL!$C$32, 29.6799, 29.6762) * CHOOSE(CONTROL!$C$15, $D$11, 100%, $F$11)</f>
        <v>29.6799</v>
      </c>
      <c r="G873" s="8">
        <f>CHOOSE( CONTROL!$C$32, 28.6039, 28.6003) * CHOOSE( CONTROL!$C$15, $D$11, 100%, $F$11)</f>
        <v>28.603899999999999</v>
      </c>
      <c r="H873" s="4">
        <f>CHOOSE( CONTROL!$C$32, 29.5789, 29.5753) * CHOOSE(CONTROL!$C$15, $D$11, 100%, $F$11)</f>
        <v>29.578900000000001</v>
      </c>
      <c r="I873" s="8">
        <f>CHOOSE( CONTROL!$C$32, 28.228, 28.2245) * CHOOSE(CONTROL!$C$15, $D$11, 100%, $F$11)</f>
        <v>28.228000000000002</v>
      </c>
      <c r="J873" s="4">
        <f>CHOOSE( CONTROL!$C$32, 28.0724, 28.0689) * CHOOSE(CONTROL!$C$15, $D$11, 100%, $F$11)</f>
        <v>28.072399999999998</v>
      </c>
      <c r="K873" s="4"/>
      <c r="L873" s="9">
        <v>30.7165</v>
      </c>
      <c r="M873" s="9">
        <v>12.063700000000001</v>
      </c>
      <c r="N873" s="9">
        <v>4.9444999999999997</v>
      </c>
      <c r="O873" s="9">
        <v>0.37409999999999999</v>
      </c>
      <c r="P873" s="9">
        <v>1.2183999999999999</v>
      </c>
      <c r="Q873" s="9">
        <v>19.688099999999999</v>
      </c>
      <c r="R873" s="9"/>
      <c r="S873" s="11"/>
    </row>
    <row r="874" spans="1:19" ht="15.75">
      <c r="A874" s="13">
        <v>68118</v>
      </c>
      <c r="B874" s="8">
        <f>CHOOSE( CONTROL!$C$32, 28.4719, 28.4682) * CHOOSE(CONTROL!$C$15, $D$11, 100%, $F$11)</f>
        <v>28.471900000000002</v>
      </c>
      <c r="C874" s="8">
        <f>CHOOSE( CONTROL!$C$32, 28.4798, 28.4762) * CHOOSE(CONTROL!$C$15, $D$11, 100%, $F$11)</f>
        <v>28.479800000000001</v>
      </c>
      <c r="D874" s="8">
        <f>CHOOSE( CONTROL!$C$32, 28.5178, 28.5141) * CHOOSE( CONTROL!$C$15, $D$11, 100%, $F$11)</f>
        <v>28.517800000000001</v>
      </c>
      <c r="E874" s="12">
        <f>CHOOSE( CONTROL!$C$32, 28.5028, 28.4991) * CHOOSE( CONTROL!$C$15, $D$11, 100%, $F$11)</f>
        <v>28.502800000000001</v>
      </c>
      <c r="F874" s="4">
        <f>CHOOSE( CONTROL!$C$32, 29.2149, 29.2112) * CHOOSE(CONTROL!$C$15, $D$11, 100%, $F$11)</f>
        <v>29.2149</v>
      </c>
      <c r="G874" s="8">
        <f>CHOOSE( CONTROL!$C$32, 28.1447, 28.1411) * CHOOSE( CONTROL!$C$15, $D$11, 100%, $F$11)</f>
        <v>28.1447</v>
      </c>
      <c r="H874" s="4">
        <f>CHOOSE( CONTROL!$C$32, 29.1194, 29.1158) * CHOOSE(CONTROL!$C$15, $D$11, 100%, $F$11)</f>
        <v>29.119399999999999</v>
      </c>
      <c r="I874" s="8">
        <f>CHOOSE( CONTROL!$C$32, 27.7775, 27.774) * CHOOSE(CONTROL!$C$15, $D$11, 100%, $F$11)</f>
        <v>27.7775</v>
      </c>
      <c r="J874" s="4">
        <f>CHOOSE( CONTROL!$C$32, 27.6211, 27.6176) * CHOOSE(CONTROL!$C$15, $D$11, 100%, $F$11)</f>
        <v>27.621099999999998</v>
      </c>
      <c r="K874" s="4"/>
      <c r="L874" s="9">
        <v>29.7257</v>
      </c>
      <c r="M874" s="9">
        <v>11.6745</v>
      </c>
      <c r="N874" s="9">
        <v>4.7850000000000001</v>
      </c>
      <c r="O874" s="9">
        <v>0.36199999999999999</v>
      </c>
      <c r="P874" s="9">
        <v>1.1791</v>
      </c>
      <c r="Q874" s="9">
        <v>19.053000000000001</v>
      </c>
      <c r="R874" s="9"/>
      <c r="S874" s="11"/>
    </row>
    <row r="875" spans="1:19" ht="15.75">
      <c r="A875" s="13">
        <v>68149</v>
      </c>
      <c r="B875" s="8">
        <f>CHOOSE( CONTROL!$C$32, 29.6964, 29.6927) * CHOOSE(CONTROL!$C$15, $D$11, 100%, $F$11)</f>
        <v>29.696400000000001</v>
      </c>
      <c r="C875" s="8">
        <f>CHOOSE( CONTROL!$C$32, 29.7043, 29.7007) * CHOOSE(CONTROL!$C$15, $D$11, 100%, $F$11)</f>
        <v>29.7043</v>
      </c>
      <c r="D875" s="8">
        <f>CHOOSE( CONTROL!$C$32, 29.7425, 29.7389) * CHOOSE( CONTROL!$C$15, $D$11, 100%, $F$11)</f>
        <v>29.7425</v>
      </c>
      <c r="E875" s="12">
        <f>CHOOSE( CONTROL!$C$32, 29.7275, 29.7238) * CHOOSE( CONTROL!$C$15, $D$11, 100%, $F$11)</f>
        <v>29.727499999999999</v>
      </c>
      <c r="F875" s="4">
        <f>CHOOSE( CONTROL!$C$32, 30.4394, 30.4357) * CHOOSE(CONTROL!$C$15, $D$11, 100%, $F$11)</f>
        <v>30.439399999999999</v>
      </c>
      <c r="G875" s="8">
        <f>CHOOSE( CONTROL!$C$32, 29.3552, 29.3516) * CHOOSE( CONTROL!$C$15, $D$11, 100%, $F$11)</f>
        <v>29.3552</v>
      </c>
      <c r="H875" s="4">
        <f>CHOOSE( CONTROL!$C$32, 30.3296, 30.326) * CHOOSE(CONTROL!$C$15, $D$11, 100%, $F$11)</f>
        <v>30.329599999999999</v>
      </c>
      <c r="I875" s="8">
        <f>CHOOSE( CONTROL!$C$32, 28.9676, 28.9641) * CHOOSE(CONTROL!$C$15, $D$11, 100%, $F$11)</f>
        <v>28.967600000000001</v>
      </c>
      <c r="J875" s="4">
        <f>CHOOSE( CONTROL!$C$32, 28.8095, 28.806) * CHOOSE(CONTROL!$C$15, $D$11, 100%, $F$11)</f>
        <v>28.8095</v>
      </c>
      <c r="K875" s="4"/>
      <c r="L875" s="9">
        <v>30.7165</v>
      </c>
      <c r="M875" s="9">
        <v>12.063700000000001</v>
      </c>
      <c r="N875" s="9">
        <v>4.9444999999999997</v>
      </c>
      <c r="O875" s="9">
        <v>0.37409999999999999</v>
      </c>
      <c r="P875" s="9">
        <v>1.2183999999999999</v>
      </c>
      <c r="Q875" s="9">
        <v>19.688099999999999</v>
      </c>
      <c r="R875" s="9"/>
      <c r="S875" s="11"/>
    </row>
    <row r="876" spans="1:19" ht="15.75">
      <c r="A876" s="13">
        <v>68180</v>
      </c>
      <c r="B876" s="8">
        <f>CHOOSE( CONTROL!$C$32, 27.4052, 27.4015) * CHOOSE(CONTROL!$C$15, $D$11, 100%, $F$11)</f>
        <v>27.405200000000001</v>
      </c>
      <c r="C876" s="8">
        <f>CHOOSE( CONTROL!$C$32, 27.4131, 27.4095) * CHOOSE(CONTROL!$C$15, $D$11, 100%, $F$11)</f>
        <v>27.4131</v>
      </c>
      <c r="D876" s="8">
        <f>CHOOSE( CONTROL!$C$32, 27.4514, 27.4478) * CHOOSE( CONTROL!$C$15, $D$11, 100%, $F$11)</f>
        <v>27.4514</v>
      </c>
      <c r="E876" s="12">
        <f>CHOOSE( CONTROL!$C$32, 27.4363, 27.4327) * CHOOSE( CONTROL!$C$15, $D$11, 100%, $F$11)</f>
        <v>27.436299999999999</v>
      </c>
      <c r="F876" s="4">
        <f>CHOOSE( CONTROL!$C$32, 28.1482, 28.1445) * CHOOSE(CONTROL!$C$15, $D$11, 100%, $F$11)</f>
        <v>28.148199999999999</v>
      </c>
      <c r="G876" s="8">
        <f>CHOOSE( CONTROL!$C$32, 27.0909, 27.0873) * CHOOSE( CONTROL!$C$15, $D$11, 100%, $F$11)</f>
        <v>27.090900000000001</v>
      </c>
      <c r="H876" s="4">
        <f>CHOOSE( CONTROL!$C$32, 28.0652, 28.0616) * CHOOSE(CONTROL!$C$15, $D$11, 100%, $F$11)</f>
        <v>28.065200000000001</v>
      </c>
      <c r="I876" s="8">
        <f>CHOOSE( CONTROL!$C$32, 26.7432, 26.7397) * CHOOSE(CONTROL!$C$15, $D$11, 100%, $F$11)</f>
        <v>26.743200000000002</v>
      </c>
      <c r="J876" s="4">
        <f>CHOOSE( CONTROL!$C$32, 26.5859, 26.5824) * CHOOSE(CONTROL!$C$15, $D$11, 100%, $F$11)</f>
        <v>26.585899999999999</v>
      </c>
      <c r="K876" s="4"/>
      <c r="L876" s="9">
        <v>30.7165</v>
      </c>
      <c r="M876" s="9">
        <v>12.063700000000001</v>
      </c>
      <c r="N876" s="9">
        <v>4.9444999999999997</v>
      </c>
      <c r="O876" s="9">
        <v>0.37409999999999999</v>
      </c>
      <c r="P876" s="9">
        <v>1.2183999999999999</v>
      </c>
      <c r="Q876" s="9">
        <v>19.688099999999999</v>
      </c>
      <c r="R876" s="9"/>
      <c r="S876" s="11"/>
    </row>
    <row r="877" spans="1:19" ht="15.75">
      <c r="A877" s="13">
        <v>68210</v>
      </c>
      <c r="B877" s="8">
        <f>CHOOSE( CONTROL!$C$32, 26.8314, 26.8278) * CHOOSE(CONTROL!$C$15, $D$11, 100%, $F$11)</f>
        <v>26.831399999999999</v>
      </c>
      <c r="C877" s="8">
        <f>CHOOSE( CONTROL!$C$32, 26.8394, 26.8358) * CHOOSE(CONTROL!$C$15, $D$11, 100%, $F$11)</f>
        <v>26.839400000000001</v>
      </c>
      <c r="D877" s="8">
        <f>CHOOSE( CONTROL!$C$32, 26.8776, 26.8739) * CHOOSE( CONTROL!$C$15, $D$11, 100%, $F$11)</f>
        <v>26.877600000000001</v>
      </c>
      <c r="E877" s="12">
        <f>CHOOSE( CONTROL!$C$32, 26.8625, 26.8589) * CHOOSE( CONTROL!$C$15, $D$11, 100%, $F$11)</f>
        <v>26.862500000000001</v>
      </c>
      <c r="F877" s="4">
        <f>CHOOSE( CONTROL!$C$32, 27.5744, 27.5708) * CHOOSE(CONTROL!$C$15, $D$11, 100%, $F$11)</f>
        <v>27.574400000000001</v>
      </c>
      <c r="G877" s="8">
        <f>CHOOSE( CONTROL!$C$32, 26.5238, 26.5202) * CHOOSE( CONTROL!$C$15, $D$11, 100%, $F$11)</f>
        <v>26.523800000000001</v>
      </c>
      <c r="H877" s="4">
        <f>CHOOSE( CONTROL!$C$32, 27.4982, 27.4946) * CHOOSE(CONTROL!$C$15, $D$11, 100%, $F$11)</f>
        <v>27.498200000000001</v>
      </c>
      <c r="I877" s="8">
        <f>CHOOSE( CONTROL!$C$32, 26.1857, 26.1822) * CHOOSE(CONTROL!$C$15, $D$11, 100%, $F$11)</f>
        <v>26.185700000000001</v>
      </c>
      <c r="J877" s="4">
        <f>CHOOSE( CONTROL!$C$32, 26.0291, 26.0255) * CHOOSE(CONTROL!$C$15, $D$11, 100%, $F$11)</f>
        <v>26.0291</v>
      </c>
      <c r="K877" s="4"/>
      <c r="L877" s="9">
        <v>29.7257</v>
      </c>
      <c r="M877" s="9">
        <v>11.6745</v>
      </c>
      <c r="N877" s="9">
        <v>4.7850000000000001</v>
      </c>
      <c r="O877" s="9">
        <v>0.36199999999999999</v>
      </c>
      <c r="P877" s="9">
        <v>1.1791</v>
      </c>
      <c r="Q877" s="9">
        <v>19.053000000000001</v>
      </c>
      <c r="R877" s="9"/>
      <c r="S877" s="11"/>
    </row>
    <row r="878" spans="1:19" ht="15.75">
      <c r="A878" s="13">
        <v>68241</v>
      </c>
      <c r="B878" s="8">
        <f>28.0174 * CHOOSE(CONTROL!$C$15, $D$11, 100%, $F$11)</f>
        <v>28.017399999999999</v>
      </c>
      <c r="C878" s="8">
        <f>28.0227 * CHOOSE(CONTROL!$C$15, $D$11, 100%, $F$11)</f>
        <v>28.0227</v>
      </c>
      <c r="D878" s="8">
        <f>28.0662 * CHOOSE( CONTROL!$C$15, $D$11, 100%, $F$11)</f>
        <v>28.066199999999998</v>
      </c>
      <c r="E878" s="12">
        <f>28.0513 * CHOOSE( CONTROL!$C$15, $D$11, 100%, $F$11)</f>
        <v>28.051300000000001</v>
      </c>
      <c r="F878" s="4">
        <f>28.7621 * CHOOSE(CONTROL!$C$15, $D$11, 100%, $F$11)</f>
        <v>28.7621</v>
      </c>
      <c r="G878" s="8">
        <f>27.697 * CHOOSE( CONTROL!$C$15, $D$11, 100%, $F$11)</f>
        <v>27.696999999999999</v>
      </c>
      <c r="H878" s="4">
        <f>28.6719 * CHOOSE(CONTROL!$C$15, $D$11, 100%, $F$11)</f>
        <v>28.671900000000001</v>
      </c>
      <c r="I878" s="8">
        <f>27.3397 * CHOOSE(CONTROL!$C$15, $D$11, 100%, $F$11)</f>
        <v>27.339700000000001</v>
      </c>
      <c r="J878" s="4">
        <f>27.1817 * CHOOSE(CONTROL!$C$15, $D$11, 100%, $F$11)</f>
        <v>27.181699999999999</v>
      </c>
      <c r="K878" s="4"/>
      <c r="L878" s="9">
        <v>31.095300000000002</v>
      </c>
      <c r="M878" s="9">
        <v>12.063700000000001</v>
      </c>
      <c r="N878" s="9">
        <v>4.9444999999999997</v>
      </c>
      <c r="O878" s="9">
        <v>0.37409999999999999</v>
      </c>
      <c r="P878" s="9">
        <v>1.2183999999999999</v>
      </c>
      <c r="Q878" s="9">
        <v>19.688099999999999</v>
      </c>
      <c r="R878" s="9"/>
      <c r="S878" s="11"/>
    </row>
    <row r="879" spans="1:19" ht="15.75">
      <c r="A879" s="13">
        <v>68271</v>
      </c>
      <c r="B879" s="8">
        <f>30.2158 * CHOOSE(CONTROL!$C$15, $D$11, 100%, $F$11)</f>
        <v>30.215800000000002</v>
      </c>
      <c r="C879" s="8">
        <f>30.2209 * CHOOSE(CONTROL!$C$15, $D$11, 100%, $F$11)</f>
        <v>30.2209</v>
      </c>
      <c r="D879" s="8">
        <f>30.2045 * CHOOSE( CONTROL!$C$15, $D$11, 100%, $F$11)</f>
        <v>30.204499999999999</v>
      </c>
      <c r="E879" s="12">
        <f>30.21 * CHOOSE( CONTROL!$C$15, $D$11, 100%, $F$11)</f>
        <v>30.21</v>
      </c>
      <c r="F879" s="4">
        <f>30.8811 * CHOOSE(CONTROL!$C$15, $D$11, 100%, $F$11)</f>
        <v>30.8811</v>
      </c>
      <c r="G879" s="8">
        <f>29.8707 * CHOOSE( CONTROL!$C$15, $D$11, 100%, $F$11)</f>
        <v>29.870699999999999</v>
      </c>
      <c r="H879" s="4">
        <f>30.7661 * CHOOSE(CONTROL!$C$15, $D$11, 100%, $F$11)</f>
        <v>30.766100000000002</v>
      </c>
      <c r="I879" s="8">
        <f>29.4749 * CHOOSE(CONTROL!$C$15, $D$11, 100%, $F$11)</f>
        <v>29.474900000000002</v>
      </c>
      <c r="J879" s="4">
        <f>29.3157 * CHOOSE(CONTROL!$C$15, $D$11, 100%, $F$11)</f>
        <v>29.3157</v>
      </c>
      <c r="K879" s="4"/>
      <c r="L879" s="9">
        <v>28.360600000000002</v>
      </c>
      <c r="M879" s="9">
        <v>11.6745</v>
      </c>
      <c r="N879" s="9">
        <v>4.7850000000000001</v>
      </c>
      <c r="O879" s="9">
        <v>0.36199999999999999</v>
      </c>
      <c r="P879" s="9">
        <v>1.2509999999999999</v>
      </c>
      <c r="Q879" s="9">
        <v>19.053000000000001</v>
      </c>
      <c r="R879" s="9"/>
      <c r="S879" s="11"/>
    </row>
    <row r="880" spans="1:19" ht="15.75">
      <c r="A880" s="13">
        <v>68302</v>
      </c>
      <c r="B880" s="8">
        <f>30.1609 * CHOOSE(CONTROL!$C$15, $D$11, 100%, $F$11)</f>
        <v>30.160900000000002</v>
      </c>
      <c r="C880" s="8">
        <f>30.166 * CHOOSE(CONTROL!$C$15, $D$11, 100%, $F$11)</f>
        <v>30.166</v>
      </c>
      <c r="D880" s="8">
        <f>30.1513 * CHOOSE( CONTROL!$C$15, $D$11, 100%, $F$11)</f>
        <v>30.151299999999999</v>
      </c>
      <c r="E880" s="12">
        <f>30.1561 * CHOOSE( CONTROL!$C$15, $D$11, 100%, $F$11)</f>
        <v>30.156099999999999</v>
      </c>
      <c r="F880" s="4">
        <f>30.8262 * CHOOSE(CONTROL!$C$15, $D$11, 100%, $F$11)</f>
        <v>30.8262</v>
      </c>
      <c r="G880" s="8">
        <f>29.8177 * CHOOSE( CONTROL!$C$15, $D$11, 100%, $F$11)</f>
        <v>29.817699999999999</v>
      </c>
      <c r="H880" s="4">
        <f>30.7118 * CHOOSE(CONTROL!$C$15, $D$11, 100%, $F$11)</f>
        <v>30.7118</v>
      </c>
      <c r="I880" s="8">
        <f>29.4269 * CHOOSE(CONTROL!$C$15, $D$11, 100%, $F$11)</f>
        <v>29.4269</v>
      </c>
      <c r="J880" s="4">
        <f>29.2624 * CHOOSE(CONTROL!$C$15, $D$11, 100%, $F$11)</f>
        <v>29.2624</v>
      </c>
      <c r="K880" s="4"/>
      <c r="L880" s="9">
        <v>29.306000000000001</v>
      </c>
      <c r="M880" s="9">
        <v>12.063700000000001</v>
      </c>
      <c r="N880" s="9">
        <v>4.9444999999999997</v>
      </c>
      <c r="O880" s="9">
        <v>0.37409999999999999</v>
      </c>
      <c r="P880" s="9">
        <v>1.2927</v>
      </c>
      <c r="Q880" s="9">
        <v>19.688099999999999</v>
      </c>
      <c r="R880" s="9"/>
      <c r="S880" s="11"/>
    </row>
    <row r="881" spans="1:19" ht="15.75">
      <c r="A881" s="13">
        <v>68333</v>
      </c>
      <c r="B881" s="8">
        <f>31.0503 * CHOOSE(CONTROL!$C$15, $D$11, 100%, $F$11)</f>
        <v>31.0503</v>
      </c>
      <c r="C881" s="8">
        <f>31.0553 * CHOOSE(CONTROL!$C$15, $D$11, 100%, $F$11)</f>
        <v>31.055299999999999</v>
      </c>
      <c r="D881" s="8">
        <f>31.0265 * CHOOSE( CONTROL!$C$15, $D$11, 100%, $F$11)</f>
        <v>31.026499999999999</v>
      </c>
      <c r="E881" s="12">
        <f>31.0365 * CHOOSE( CONTROL!$C$15, $D$11, 100%, $F$11)</f>
        <v>31.0365</v>
      </c>
      <c r="F881" s="4">
        <f>31.7155 * CHOOSE(CONTROL!$C$15, $D$11, 100%, $F$11)</f>
        <v>31.715499999999999</v>
      </c>
      <c r="G881" s="8">
        <f>30.6864 * CHOOSE( CONTROL!$C$15, $D$11, 100%, $F$11)</f>
        <v>30.686399999999999</v>
      </c>
      <c r="H881" s="4">
        <f>31.5908 * CHOOSE(CONTROL!$C$15, $D$11, 100%, $F$11)</f>
        <v>31.590800000000002</v>
      </c>
      <c r="I881" s="8">
        <f>30.2851 * CHOOSE(CONTROL!$C$15, $D$11, 100%, $F$11)</f>
        <v>30.2851</v>
      </c>
      <c r="J881" s="4">
        <f>30.1255 * CHOOSE(CONTROL!$C$15, $D$11, 100%, $F$11)</f>
        <v>30.125499999999999</v>
      </c>
      <c r="K881" s="4"/>
      <c r="L881" s="9">
        <v>29.306000000000001</v>
      </c>
      <c r="M881" s="9">
        <v>12.063700000000001</v>
      </c>
      <c r="N881" s="9">
        <v>4.9444999999999997</v>
      </c>
      <c r="O881" s="9">
        <v>0.37409999999999999</v>
      </c>
      <c r="P881" s="9">
        <v>1.2927</v>
      </c>
      <c r="Q881" s="9">
        <v>19.688099999999999</v>
      </c>
      <c r="R881" s="9"/>
      <c r="S881" s="11"/>
    </row>
    <row r="882" spans="1:19" ht="15.75">
      <c r="A882" s="13">
        <v>68361</v>
      </c>
      <c r="B882" s="8">
        <f>29.0435 * CHOOSE(CONTROL!$C$15, $D$11, 100%, $F$11)</f>
        <v>29.043500000000002</v>
      </c>
      <c r="C882" s="8">
        <f>29.0486 * CHOOSE(CONTROL!$C$15, $D$11, 100%, $F$11)</f>
        <v>29.0486</v>
      </c>
      <c r="D882" s="8">
        <f>29.0197 * CHOOSE( CONTROL!$C$15, $D$11, 100%, $F$11)</f>
        <v>29.0197</v>
      </c>
      <c r="E882" s="12">
        <f>29.0297 * CHOOSE( CONTROL!$C$15, $D$11, 100%, $F$11)</f>
        <v>29.029699999999998</v>
      </c>
      <c r="F882" s="4">
        <f>29.7088 * CHOOSE(CONTROL!$C$15, $D$11, 100%, $F$11)</f>
        <v>29.7088</v>
      </c>
      <c r="G882" s="8">
        <f>28.7031 * CHOOSE( CONTROL!$C$15, $D$11, 100%, $F$11)</f>
        <v>28.703099999999999</v>
      </c>
      <c r="H882" s="4">
        <f>29.6075 * CHOOSE(CONTROL!$C$15, $D$11, 100%, $F$11)</f>
        <v>29.607500000000002</v>
      </c>
      <c r="I882" s="8">
        <f>28.3365 * CHOOSE(CONTROL!$C$15, $D$11, 100%, $F$11)</f>
        <v>28.336500000000001</v>
      </c>
      <c r="J882" s="4">
        <f>28.178 * CHOOSE(CONTROL!$C$15, $D$11, 100%, $F$11)</f>
        <v>28.178000000000001</v>
      </c>
      <c r="K882" s="4"/>
      <c r="L882" s="9">
        <v>26.469899999999999</v>
      </c>
      <c r="M882" s="9">
        <v>10.8962</v>
      </c>
      <c r="N882" s="9">
        <v>4.4660000000000002</v>
      </c>
      <c r="O882" s="9">
        <v>0.33789999999999998</v>
      </c>
      <c r="P882" s="9">
        <v>1.1676</v>
      </c>
      <c r="Q882" s="9">
        <v>17.782800000000002</v>
      </c>
      <c r="R882" s="9"/>
      <c r="S882" s="11"/>
    </row>
    <row r="883" spans="1:19" ht="15.75">
      <c r="A883" s="13">
        <v>68392</v>
      </c>
      <c r="B883" s="8">
        <f>28.4254 * CHOOSE(CONTROL!$C$15, $D$11, 100%, $F$11)</f>
        <v>28.4254</v>
      </c>
      <c r="C883" s="8">
        <f>28.4305 * CHOOSE(CONTROL!$C$15, $D$11, 100%, $F$11)</f>
        <v>28.430499999999999</v>
      </c>
      <c r="D883" s="8">
        <f>28.4012 * CHOOSE( CONTROL!$C$15, $D$11, 100%, $F$11)</f>
        <v>28.401199999999999</v>
      </c>
      <c r="E883" s="12">
        <f>28.4114 * CHOOSE( CONTROL!$C$15, $D$11, 100%, $F$11)</f>
        <v>28.4114</v>
      </c>
      <c r="F883" s="4">
        <f>29.0907 * CHOOSE(CONTROL!$C$15, $D$11, 100%, $F$11)</f>
        <v>29.090699999999998</v>
      </c>
      <c r="G883" s="8">
        <f>28.092 * CHOOSE( CONTROL!$C$15, $D$11, 100%, $F$11)</f>
        <v>28.091999999999999</v>
      </c>
      <c r="H883" s="4">
        <f>28.9967 * CHOOSE(CONTROL!$C$15, $D$11, 100%, $F$11)</f>
        <v>28.996700000000001</v>
      </c>
      <c r="I883" s="8">
        <f>27.7351 * CHOOSE(CONTROL!$C$15, $D$11, 100%, $F$11)</f>
        <v>27.735099999999999</v>
      </c>
      <c r="J883" s="4">
        <f>27.5781 * CHOOSE(CONTROL!$C$15, $D$11, 100%, $F$11)</f>
        <v>27.578099999999999</v>
      </c>
      <c r="K883" s="4"/>
      <c r="L883" s="9">
        <v>29.306000000000001</v>
      </c>
      <c r="M883" s="9">
        <v>12.063700000000001</v>
      </c>
      <c r="N883" s="9">
        <v>4.9444999999999997</v>
      </c>
      <c r="O883" s="9">
        <v>0.37409999999999999</v>
      </c>
      <c r="P883" s="9">
        <v>1.2927</v>
      </c>
      <c r="Q883" s="9">
        <v>19.688099999999999</v>
      </c>
      <c r="R883" s="9"/>
      <c r="S883" s="11"/>
    </row>
    <row r="884" spans="1:19" ht="15.75">
      <c r="A884" s="13">
        <v>68422</v>
      </c>
      <c r="B884" s="8">
        <f>28.8581 * CHOOSE(CONTROL!$C$15, $D$11, 100%, $F$11)</f>
        <v>28.8581</v>
      </c>
      <c r="C884" s="8">
        <f>28.8626 * CHOOSE(CONTROL!$C$15, $D$11, 100%, $F$11)</f>
        <v>28.8626</v>
      </c>
      <c r="D884" s="8">
        <f>28.906 * CHOOSE( CONTROL!$C$15, $D$11, 100%, $F$11)</f>
        <v>28.905999999999999</v>
      </c>
      <c r="E884" s="12">
        <f>28.8912 * CHOOSE( CONTROL!$C$15, $D$11, 100%, $F$11)</f>
        <v>28.891200000000001</v>
      </c>
      <c r="F884" s="4">
        <f>29.6025 * CHOOSE(CONTROL!$C$15, $D$11, 100%, $F$11)</f>
        <v>29.602499999999999</v>
      </c>
      <c r="G884" s="8">
        <f>28.5266 * CHOOSE( CONTROL!$C$15, $D$11, 100%, $F$11)</f>
        <v>28.526599999999998</v>
      </c>
      <c r="H884" s="4">
        <f>29.5024 * CHOOSE(CONTROL!$C$15, $D$11, 100%, $F$11)</f>
        <v>29.502400000000002</v>
      </c>
      <c r="I884" s="8">
        <f>28.1527 * CHOOSE(CONTROL!$C$15, $D$11, 100%, $F$11)</f>
        <v>28.152699999999999</v>
      </c>
      <c r="J884" s="4">
        <f>27.9973 * CHOOSE(CONTROL!$C$15, $D$11, 100%, $F$11)</f>
        <v>27.997299999999999</v>
      </c>
      <c r="K884" s="4"/>
      <c r="L884" s="9">
        <v>30.092199999999998</v>
      </c>
      <c r="M884" s="9">
        <v>11.6745</v>
      </c>
      <c r="N884" s="9">
        <v>4.7850000000000001</v>
      </c>
      <c r="O884" s="9">
        <v>0.36199999999999999</v>
      </c>
      <c r="P884" s="9">
        <v>1.1791</v>
      </c>
      <c r="Q884" s="9">
        <v>19.053000000000001</v>
      </c>
      <c r="R884" s="9"/>
      <c r="S884" s="11"/>
    </row>
    <row r="885" spans="1:19" ht="15.75">
      <c r="A885" s="13">
        <v>68453</v>
      </c>
      <c r="B885" s="8">
        <f>CHOOSE( CONTROL!$C$32, 29.6318, 29.6281) * CHOOSE(CONTROL!$C$15, $D$11, 100%, $F$11)</f>
        <v>29.631799999999998</v>
      </c>
      <c r="C885" s="8">
        <f>CHOOSE( CONTROL!$C$32, 29.6398, 29.6361) * CHOOSE(CONTROL!$C$15, $D$11, 100%, $F$11)</f>
        <v>29.639800000000001</v>
      </c>
      <c r="D885" s="8">
        <f>CHOOSE( CONTROL!$C$32, 29.6775, 29.6738) * CHOOSE( CONTROL!$C$15, $D$11, 100%, $F$11)</f>
        <v>29.677499999999998</v>
      </c>
      <c r="E885" s="12">
        <f>CHOOSE( CONTROL!$C$32, 29.6626, 29.6589) * CHOOSE( CONTROL!$C$15, $D$11, 100%, $F$11)</f>
        <v>29.662600000000001</v>
      </c>
      <c r="F885" s="4">
        <f>CHOOSE( CONTROL!$C$32, 30.3748, 30.3711) * CHOOSE(CONTROL!$C$15, $D$11, 100%, $F$11)</f>
        <v>30.3748</v>
      </c>
      <c r="G885" s="8">
        <f>CHOOSE( CONTROL!$C$32, 29.2907, 29.2871) * CHOOSE( CONTROL!$C$15, $D$11, 100%, $F$11)</f>
        <v>29.290700000000001</v>
      </c>
      <c r="H885" s="4">
        <f>CHOOSE( CONTROL!$C$32, 30.2657, 30.2621) * CHOOSE(CONTROL!$C$15, $D$11, 100%, $F$11)</f>
        <v>30.265699999999999</v>
      </c>
      <c r="I885" s="8">
        <f>CHOOSE( CONTROL!$C$32, 28.9028, 28.8992) * CHOOSE(CONTROL!$C$15, $D$11, 100%, $F$11)</f>
        <v>28.902799999999999</v>
      </c>
      <c r="J885" s="4">
        <f>CHOOSE( CONTROL!$C$32, 28.7468, 28.7433) * CHOOSE(CONTROL!$C$15, $D$11, 100%, $F$11)</f>
        <v>28.7468</v>
      </c>
      <c r="K885" s="4"/>
      <c r="L885" s="9">
        <v>30.7165</v>
      </c>
      <c r="M885" s="9">
        <v>12.063700000000001</v>
      </c>
      <c r="N885" s="9">
        <v>4.9444999999999997</v>
      </c>
      <c r="O885" s="9">
        <v>0.37409999999999999</v>
      </c>
      <c r="P885" s="9">
        <v>1.2183999999999999</v>
      </c>
      <c r="Q885" s="9">
        <v>19.688099999999999</v>
      </c>
      <c r="R885" s="9"/>
      <c r="S885" s="11"/>
    </row>
    <row r="886" spans="1:19" ht="15.75">
      <c r="A886" s="13">
        <v>68483</v>
      </c>
      <c r="B886" s="8">
        <f>CHOOSE( CONTROL!$C$32, 29.1556, 29.152) * CHOOSE(CONTROL!$C$15, $D$11, 100%, $F$11)</f>
        <v>29.1556</v>
      </c>
      <c r="C886" s="8">
        <f>CHOOSE( CONTROL!$C$32, 29.1636, 29.1599) * CHOOSE(CONTROL!$C$15, $D$11, 100%, $F$11)</f>
        <v>29.163599999999999</v>
      </c>
      <c r="D886" s="8">
        <f>CHOOSE( CONTROL!$C$32, 29.2015, 29.1979) * CHOOSE( CONTROL!$C$15, $D$11, 100%, $F$11)</f>
        <v>29.201499999999999</v>
      </c>
      <c r="E886" s="12">
        <f>CHOOSE( CONTROL!$C$32, 29.1865, 29.1829) * CHOOSE( CONTROL!$C$15, $D$11, 100%, $F$11)</f>
        <v>29.186499999999999</v>
      </c>
      <c r="F886" s="4">
        <f>CHOOSE( CONTROL!$C$32, 29.8986, 29.895) * CHOOSE(CONTROL!$C$15, $D$11, 100%, $F$11)</f>
        <v>29.898599999999998</v>
      </c>
      <c r="G886" s="8">
        <f>CHOOSE( CONTROL!$C$32, 28.8204, 28.8168) * CHOOSE( CONTROL!$C$15, $D$11, 100%, $F$11)</f>
        <v>28.820399999999999</v>
      </c>
      <c r="H886" s="4">
        <f>CHOOSE( CONTROL!$C$32, 29.7951, 29.7915) * CHOOSE(CONTROL!$C$15, $D$11, 100%, $F$11)</f>
        <v>29.795100000000001</v>
      </c>
      <c r="I886" s="8">
        <f>CHOOSE( CONTROL!$C$32, 28.4414, 28.4379) * CHOOSE(CONTROL!$C$15, $D$11, 100%, $F$11)</f>
        <v>28.441400000000002</v>
      </c>
      <c r="J886" s="4">
        <f>CHOOSE( CONTROL!$C$32, 28.2847, 28.2812) * CHOOSE(CONTROL!$C$15, $D$11, 100%, $F$11)</f>
        <v>28.284700000000001</v>
      </c>
      <c r="K886" s="4"/>
      <c r="L886" s="9">
        <v>29.7257</v>
      </c>
      <c r="M886" s="9">
        <v>11.6745</v>
      </c>
      <c r="N886" s="9">
        <v>4.7850000000000001</v>
      </c>
      <c r="O886" s="9">
        <v>0.36199999999999999</v>
      </c>
      <c r="P886" s="9">
        <v>1.1791</v>
      </c>
      <c r="Q886" s="9">
        <v>19.053000000000001</v>
      </c>
      <c r="R886" s="9"/>
      <c r="S886" s="11"/>
    </row>
    <row r="887" spans="1:19" ht="15.75">
      <c r="A887" s="13">
        <v>68514</v>
      </c>
      <c r="B887" s="8">
        <f>CHOOSE( CONTROL!$C$32, 30.4095, 30.4059) * CHOOSE(CONTROL!$C$15, $D$11, 100%, $F$11)</f>
        <v>30.409500000000001</v>
      </c>
      <c r="C887" s="8">
        <f>CHOOSE( CONTROL!$C$32, 30.4175, 30.4139) * CHOOSE(CONTROL!$C$15, $D$11, 100%, $F$11)</f>
        <v>30.4175</v>
      </c>
      <c r="D887" s="8">
        <f>CHOOSE( CONTROL!$C$32, 30.4557, 30.4521) * CHOOSE( CONTROL!$C$15, $D$11, 100%, $F$11)</f>
        <v>30.4557</v>
      </c>
      <c r="E887" s="12">
        <f>CHOOSE( CONTROL!$C$32, 30.4406, 30.437) * CHOOSE( CONTROL!$C$15, $D$11, 100%, $F$11)</f>
        <v>30.4406</v>
      </c>
      <c r="F887" s="4">
        <f>CHOOSE( CONTROL!$C$32, 31.1526, 31.1489) * CHOOSE(CONTROL!$C$15, $D$11, 100%, $F$11)</f>
        <v>31.1526</v>
      </c>
      <c r="G887" s="8">
        <f>CHOOSE( CONTROL!$C$32, 30.06, 30.0564) * CHOOSE( CONTROL!$C$15, $D$11, 100%, $F$11)</f>
        <v>30.06</v>
      </c>
      <c r="H887" s="4">
        <f>CHOOSE( CONTROL!$C$32, 31.0344, 31.0308) * CHOOSE(CONTROL!$C$15, $D$11, 100%, $F$11)</f>
        <v>31.034400000000002</v>
      </c>
      <c r="I887" s="8">
        <f>CHOOSE( CONTROL!$C$32, 29.6601, 29.6566) * CHOOSE(CONTROL!$C$15, $D$11, 100%, $F$11)</f>
        <v>29.6601</v>
      </c>
      <c r="J887" s="4">
        <f>CHOOSE( CONTROL!$C$32, 29.5016, 29.4981) * CHOOSE(CONTROL!$C$15, $D$11, 100%, $F$11)</f>
        <v>29.5016</v>
      </c>
      <c r="K887" s="4"/>
      <c r="L887" s="9">
        <v>30.7165</v>
      </c>
      <c r="M887" s="9">
        <v>12.063700000000001</v>
      </c>
      <c r="N887" s="9">
        <v>4.9444999999999997</v>
      </c>
      <c r="O887" s="9">
        <v>0.37409999999999999</v>
      </c>
      <c r="P887" s="9">
        <v>1.2183999999999999</v>
      </c>
      <c r="Q887" s="9">
        <v>19.688099999999999</v>
      </c>
      <c r="R887" s="9"/>
      <c r="S887" s="11"/>
    </row>
    <row r="888" spans="1:19" ht="15.75">
      <c r="A888" s="13">
        <v>68545</v>
      </c>
      <c r="B888" s="8">
        <f>CHOOSE( CONTROL!$C$32, 28.0633, 28.0597) * CHOOSE(CONTROL!$C$15, $D$11, 100%, $F$11)</f>
        <v>28.063300000000002</v>
      </c>
      <c r="C888" s="8">
        <f>CHOOSE( CONTROL!$C$32, 28.0713, 28.0676) * CHOOSE(CONTROL!$C$15, $D$11, 100%, $F$11)</f>
        <v>28.071300000000001</v>
      </c>
      <c r="D888" s="8">
        <f>CHOOSE( CONTROL!$C$32, 28.1095, 28.1059) * CHOOSE( CONTROL!$C$15, $D$11, 100%, $F$11)</f>
        <v>28.109500000000001</v>
      </c>
      <c r="E888" s="12">
        <f>CHOOSE( CONTROL!$C$32, 28.0944, 28.0908) * CHOOSE( CONTROL!$C$15, $D$11, 100%, $F$11)</f>
        <v>28.0944</v>
      </c>
      <c r="F888" s="4">
        <f>CHOOSE( CONTROL!$C$32, 28.8063, 28.8027) * CHOOSE(CONTROL!$C$15, $D$11, 100%, $F$11)</f>
        <v>28.8063</v>
      </c>
      <c r="G888" s="8">
        <f>CHOOSE( CONTROL!$C$32, 27.7413, 27.7377) * CHOOSE( CONTROL!$C$15, $D$11, 100%, $F$11)</f>
        <v>27.741299999999999</v>
      </c>
      <c r="H888" s="4">
        <f>CHOOSE( CONTROL!$C$32, 28.7156, 28.712) * CHOOSE(CONTROL!$C$15, $D$11, 100%, $F$11)</f>
        <v>28.715599999999998</v>
      </c>
      <c r="I888" s="8">
        <f>CHOOSE( CONTROL!$C$32, 27.3822, 27.3787) * CHOOSE(CONTROL!$C$15, $D$11, 100%, $F$11)</f>
        <v>27.382200000000001</v>
      </c>
      <c r="J888" s="4">
        <f>CHOOSE( CONTROL!$C$32, 27.2246, 27.2211) * CHOOSE(CONTROL!$C$15, $D$11, 100%, $F$11)</f>
        <v>27.224599999999999</v>
      </c>
      <c r="K888" s="4"/>
      <c r="L888" s="9">
        <v>30.7165</v>
      </c>
      <c r="M888" s="9">
        <v>12.063700000000001</v>
      </c>
      <c r="N888" s="9">
        <v>4.9444999999999997</v>
      </c>
      <c r="O888" s="9">
        <v>0.37409999999999999</v>
      </c>
      <c r="P888" s="9">
        <v>1.2183999999999999</v>
      </c>
      <c r="Q888" s="9">
        <v>19.688099999999999</v>
      </c>
      <c r="R888" s="9"/>
      <c r="S888" s="11"/>
    </row>
    <row r="889" spans="1:19" ht="15.75">
      <c r="A889" s="13">
        <v>68575</v>
      </c>
      <c r="B889" s="8">
        <f>CHOOSE( CONTROL!$C$32, 27.4758, 27.4721) * CHOOSE(CONTROL!$C$15, $D$11, 100%, $F$11)</f>
        <v>27.4758</v>
      </c>
      <c r="C889" s="8">
        <f>CHOOSE( CONTROL!$C$32, 27.4837, 27.4801) * CHOOSE(CONTROL!$C$15, $D$11, 100%, $F$11)</f>
        <v>27.483699999999999</v>
      </c>
      <c r="D889" s="8">
        <f>CHOOSE( CONTROL!$C$32, 27.5219, 27.5183) * CHOOSE( CONTROL!$C$15, $D$11, 100%, $F$11)</f>
        <v>27.521899999999999</v>
      </c>
      <c r="E889" s="12">
        <f>CHOOSE( CONTROL!$C$32, 27.5069, 27.5032) * CHOOSE( CONTROL!$C$15, $D$11, 100%, $F$11)</f>
        <v>27.506900000000002</v>
      </c>
      <c r="F889" s="4">
        <f>CHOOSE( CONTROL!$C$32, 28.2188, 28.2151) * CHOOSE(CONTROL!$C$15, $D$11, 100%, $F$11)</f>
        <v>28.218800000000002</v>
      </c>
      <c r="G889" s="8">
        <f>CHOOSE( CONTROL!$C$32, 27.1606, 27.157) * CHOOSE( CONTROL!$C$15, $D$11, 100%, $F$11)</f>
        <v>27.160599999999999</v>
      </c>
      <c r="H889" s="4">
        <f>CHOOSE( CONTROL!$C$32, 28.1349, 28.1313) * CHOOSE(CONTROL!$C$15, $D$11, 100%, $F$11)</f>
        <v>28.134899999999998</v>
      </c>
      <c r="I889" s="8">
        <f>CHOOSE( CONTROL!$C$32, 26.8114, 26.8078) * CHOOSE(CONTROL!$C$15, $D$11, 100%, $F$11)</f>
        <v>26.811399999999999</v>
      </c>
      <c r="J889" s="4">
        <f>CHOOSE( CONTROL!$C$32, 26.6544, 26.6509) * CHOOSE(CONTROL!$C$15, $D$11, 100%, $F$11)</f>
        <v>26.654399999999999</v>
      </c>
      <c r="K889" s="4"/>
      <c r="L889" s="9">
        <v>29.7257</v>
      </c>
      <c r="M889" s="9">
        <v>11.6745</v>
      </c>
      <c r="N889" s="9">
        <v>4.7850000000000001</v>
      </c>
      <c r="O889" s="9">
        <v>0.36199999999999999</v>
      </c>
      <c r="P889" s="9">
        <v>1.1791</v>
      </c>
      <c r="Q889" s="9">
        <v>19.053000000000001</v>
      </c>
      <c r="R889" s="9"/>
      <c r="S889" s="11"/>
    </row>
    <row r="890" spans="1:19" ht="15.75">
      <c r="A890" s="13">
        <v>68606</v>
      </c>
      <c r="B890" s="8">
        <f>28.6903 * CHOOSE(CONTROL!$C$15, $D$11, 100%, $F$11)</f>
        <v>28.690300000000001</v>
      </c>
      <c r="C890" s="8">
        <f>28.6956 * CHOOSE(CONTROL!$C$15, $D$11, 100%, $F$11)</f>
        <v>28.695599999999999</v>
      </c>
      <c r="D890" s="8">
        <f>28.7392 * CHOOSE( CONTROL!$C$15, $D$11, 100%, $F$11)</f>
        <v>28.7392</v>
      </c>
      <c r="E890" s="12">
        <f>28.7242 * CHOOSE( CONTROL!$C$15, $D$11, 100%, $F$11)</f>
        <v>28.7242</v>
      </c>
      <c r="F890" s="4">
        <f>29.435 * CHOOSE(CONTROL!$C$15, $D$11, 100%, $F$11)</f>
        <v>29.434999999999999</v>
      </c>
      <c r="G890" s="8">
        <f>28.3621 * CHOOSE( CONTROL!$C$15, $D$11, 100%, $F$11)</f>
        <v>28.362100000000002</v>
      </c>
      <c r="H890" s="4">
        <f>29.337 * CHOOSE(CONTROL!$C$15, $D$11, 100%, $F$11)</f>
        <v>29.337</v>
      </c>
      <c r="I890" s="8">
        <f>27.9931 * CHOOSE(CONTROL!$C$15, $D$11, 100%, $F$11)</f>
        <v>27.993099999999998</v>
      </c>
      <c r="J890" s="4">
        <f>27.8348 * CHOOSE(CONTROL!$C$15, $D$11, 100%, $F$11)</f>
        <v>27.834800000000001</v>
      </c>
      <c r="K890" s="4"/>
      <c r="L890" s="9">
        <v>31.095300000000002</v>
      </c>
      <c r="M890" s="9">
        <v>12.063700000000001</v>
      </c>
      <c r="N890" s="9">
        <v>4.9444999999999997</v>
      </c>
      <c r="O890" s="9">
        <v>0.37409999999999999</v>
      </c>
      <c r="P890" s="9">
        <v>1.2183999999999999</v>
      </c>
      <c r="Q890" s="9">
        <v>19.688099999999999</v>
      </c>
      <c r="R890" s="9"/>
      <c r="S890" s="11"/>
    </row>
    <row r="891" spans="1:19" ht="15.75">
      <c r="A891" s="13">
        <v>68636</v>
      </c>
      <c r="B891" s="8">
        <f>30.9416 * CHOOSE(CONTROL!$C$15, $D$11, 100%, $F$11)</f>
        <v>30.941600000000001</v>
      </c>
      <c r="C891" s="8">
        <f>30.9467 * CHOOSE(CONTROL!$C$15, $D$11, 100%, $F$11)</f>
        <v>30.9467</v>
      </c>
      <c r="D891" s="8">
        <f>30.9303 * CHOOSE( CONTROL!$C$15, $D$11, 100%, $F$11)</f>
        <v>30.930299999999999</v>
      </c>
      <c r="E891" s="12">
        <f>30.9358 * CHOOSE( CONTROL!$C$15, $D$11, 100%, $F$11)</f>
        <v>30.9358</v>
      </c>
      <c r="F891" s="4">
        <f>31.6069 * CHOOSE(CONTROL!$C$15, $D$11, 100%, $F$11)</f>
        <v>31.6069</v>
      </c>
      <c r="G891" s="8">
        <f>30.588 * CHOOSE( CONTROL!$C$15, $D$11, 100%, $F$11)</f>
        <v>30.588000000000001</v>
      </c>
      <c r="H891" s="4">
        <f>31.4834 * CHOOSE(CONTROL!$C$15, $D$11, 100%, $F$11)</f>
        <v>31.4834</v>
      </c>
      <c r="I891" s="8">
        <f>30.1796 * CHOOSE(CONTROL!$C$15, $D$11, 100%, $F$11)</f>
        <v>30.179600000000001</v>
      </c>
      <c r="J891" s="4">
        <f>30.0201 * CHOOSE(CONTROL!$C$15, $D$11, 100%, $F$11)</f>
        <v>30.020099999999999</v>
      </c>
      <c r="K891" s="4"/>
      <c r="L891" s="9">
        <v>28.360600000000002</v>
      </c>
      <c r="M891" s="9">
        <v>11.6745</v>
      </c>
      <c r="N891" s="9">
        <v>4.7850000000000001</v>
      </c>
      <c r="O891" s="9">
        <v>0.36199999999999999</v>
      </c>
      <c r="P891" s="9">
        <v>1.2509999999999999</v>
      </c>
      <c r="Q891" s="9">
        <v>19.053000000000001</v>
      </c>
      <c r="R891" s="9"/>
      <c r="S891" s="11"/>
    </row>
    <row r="892" spans="1:19" ht="15.75">
      <c r="A892" s="13">
        <v>68667</v>
      </c>
      <c r="B892" s="8">
        <f>30.8854 * CHOOSE(CONTROL!$C$15, $D$11, 100%, $F$11)</f>
        <v>30.885400000000001</v>
      </c>
      <c r="C892" s="8">
        <f>30.8904 * CHOOSE(CONTROL!$C$15, $D$11, 100%, $F$11)</f>
        <v>30.8904</v>
      </c>
      <c r="D892" s="8">
        <f>30.8758 * CHOOSE( CONTROL!$C$15, $D$11, 100%, $F$11)</f>
        <v>30.875800000000002</v>
      </c>
      <c r="E892" s="12">
        <f>30.8806 * CHOOSE( CONTROL!$C$15, $D$11, 100%, $F$11)</f>
        <v>30.880600000000001</v>
      </c>
      <c r="F892" s="4">
        <f>31.5506 * CHOOSE(CONTROL!$C$15, $D$11, 100%, $F$11)</f>
        <v>31.550599999999999</v>
      </c>
      <c r="G892" s="8">
        <f>30.5336 * CHOOSE( CONTROL!$C$15, $D$11, 100%, $F$11)</f>
        <v>30.5336</v>
      </c>
      <c r="H892" s="4">
        <f>31.4278 * CHOOSE(CONTROL!$C$15, $D$11, 100%, $F$11)</f>
        <v>31.427800000000001</v>
      </c>
      <c r="I892" s="8">
        <f>30.1304 * CHOOSE(CONTROL!$C$15, $D$11, 100%, $F$11)</f>
        <v>30.130400000000002</v>
      </c>
      <c r="J892" s="4">
        <f>29.9655 * CHOOSE(CONTROL!$C$15, $D$11, 100%, $F$11)</f>
        <v>29.965499999999999</v>
      </c>
      <c r="K892" s="4"/>
      <c r="L892" s="9">
        <v>29.306000000000001</v>
      </c>
      <c r="M892" s="9">
        <v>12.063700000000001</v>
      </c>
      <c r="N892" s="9">
        <v>4.9444999999999997</v>
      </c>
      <c r="O892" s="9">
        <v>0.37409999999999999</v>
      </c>
      <c r="P892" s="9">
        <v>1.2927</v>
      </c>
      <c r="Q892" s="9">
        <v>19.688099999999999</v>
      </c>
      <c r="R892" s="9"/>
      <c r="S892" s="11"/>
    </row>
    <row r="893" spans="1:19" ht="15.75">
      <c r="A893" s="13">
        <v>68698</v>
      </c>
      <c r="B893" s="8">
        <f>31.7961 * CHOOSE(CONTROL!$C$15, $D$11, 100%, $F$11)</f>
        <v>31.796099999999999</v>
      </c>
      <c r="C893" s="8">
        <f>31.8012 * CHOOSE(CONTROL!$C$15, $D$11, 100%, $F$11)</f>
        <v>31.801200000000001</v>
      </c>
      <c r="D893" s="8">
        <f>31.7723 * CHOOSE( CONTROL!$C$15, $D$11, 100%, $F$11)</f>
        <v>31.772300000000001</v>
      </c>
      <c r="E893" s="12">
        <f>31.7823 * CHOOSE( CONTROL!$C$15, $D$11, 100%, $F$11)</f>
        <v>31.782299999999999</v>
      </c>
      <c r="F893" s="4">
        <f>32.4614 * CHOOSE(CONTROL!$C$15, $D$11, 100%, $F$11)</f>
        <v>32.461399999999998</v>
      </c>
      <c r="G893" s="8">
        <f>31.4235 * CHOOSE( CONTROL!$C$15, $D$11, 100%, $F$11)</f>
        <v>31.423500000000001</v>
      </c>
      <c r="H893" s="4">
        <f>32.3279 * CHOOSE(CONTROL!$C$15, $D$11, 100%, $F$11)</f>
        <v>32.3279</v>
      </c>
      <c r="I893" s="8">
        <f>31.0093 * CHOOSE(CONTROL!$C$15, $D$11, 100%, $F$11)</f>
        <v>31.0093</v>
      </c>
      <c r="J893" s="4">
        <f>30.8494 * CHOOSE(CONTROL!$C$15, $D$11, 100%, $F$11)</f>
        <v>30.849399999999999</v>
      </c>
      <c r="K893" s="4"/>
      <c r="L893" s="9">
        <v>29.306000000000001</v>
      </c>
      <c r="M893" s="9">
        <v>12.063700000000001</v>
      </c>
      <c r="N893" s="9">
        <v>4.9444999999999997</v>
      </c>
      <c r="O893" s="9">
        <v>0.37409999999999999</v>
      </c>
      <c r="P893" s="9">
        <v>1.2927</v>
      </c>
      <c r="Q893" s="9">
        <v>19.688099999999999</v>
      </c>
      <c r="R893" s="9"/>
      <c r="S893" s="11"/>
    </row>
    <row r="894" spans="1:19" ht="15.75">
      <c r="A894" s="13">
        <v>68727</v>
      </c>
      <c r="B894" s="8">
        <f>29.7411 * CHOOSE(CONTROL!$C$15, $D$11, 100%, $F$11)</f>
        <v>29.741099999999999</v>
      </c>
      <c r="C894" s="8">
        <f>29.7462 * CHOOSE(CONTROL!$C$15, $D$11, 100%, $F$11)</f>
        <v>29.746200000000002</v>
      </c>
      <c r="D894" s="8">
        <f>29.7173 * CHOOSE( CONTROL!$C$15, $D$11, 100%, $F$11)</f>
        <v>29.717300000000002</v>
      </c>
      <c r="E894" s="12">
        <f>29.7273 * CHOOSE( CONTROL!$C$15, $D$11, 100%, $F$11)</f>
        <v>29.7273</v>
      </c>
      <c r="F894" s="4">
        <f>30.4064 * CHOOSE(CONTROL!$C$15, $D$11, 100%, $F$11)</f>
        <v>30.406400000000001</v>
      </c>
      <c r="G894" s="8">
        <f>29.3925 * CHOOSE( CONTROL!$C$15, $D$11, 100%, $F$11)</f>
        <v>29.392499999999998</v>
      </c>
      <c r="H894" s="4">
        <f>30.297 * CHOOSE(CONTROL!$C$15, $D$11, 100%, $F$11)</f>
        <v>30.297000000000001</v>
      </c>
      <c r="I894" s="8">
        <f>29.0139 * CHOOSE(CONTROL!$C$15, $D$11, 100%, $F$11)</f>
        <v>29.0139</v>
      </c>
      <c r="J894" s="4">
        <f>28.855 * CHOOSE(CONTROL!$C$15, $D$11, 100%, $F$11)</f>
        <v>28.855</v>
      </c>
      <c r="K894" s="4"/>
      <c r="L894" s="9">
        <v>27.415299999999998</v>
      </c>
      <c r="M894" s="9">
        <v>11.285299999999999</v>
      </c>
      <c r="N894" s="9">
        <v>4.6254999999999997</v>
      </c>
      <c r="O894" s="9">
        <v>0.34989999999999999</v>
      </c>
      <c r="P894" s="9">
        <v>1.2093</v>
      </c>
      <c r="Q894" s="9">
        <v>18.417899999999999</v>
      </c>
      <c r="R894" s="9"/>
      <c r="S894" s="11"/>
    </row>
    <row r="895" spans="1:19" ht="15.75">
      <c r="A895" s="13">
        <v>68758</v>
      </c>
      <c r="B895" s="8">
        <f>29.1082 * CHOOSE(CONTROL!$C$15, $D$11, 100%, $F$11)</f>
        <v>29.1082</v>
      </c>
      <c r="C895" s="8">
        <f>29.1133 * CHOOSE(CONTROL!$C$15, $D$11, 100%, $F$11)</f>
        <v>29.113299999999999</v>
      </c>
      <c r="D895" s="8">
        <f>29.084 * CHOOSE( CONTROL!$C$15, $D$11, 100%, $F$11)</f>
        <v>29.084</v>
      </c>
      <c r="E895" s="12">
        <f>29.0942 * CHOOSE( CONTROL!$C$15, $D$11, 100%, $F$11)</f>
        <v>29.094200000000001</v>
      </c>
      <c r="F895" s="4">
        <f>29.7735 * CHOOSE(CONTROL!$C$15, $D$11, 100%, $F$11)</f>
        <v>29.773499999999999</v>
      </c>
      <c r="G895" s="8">
        <f>28.7667 * CHOOSE( CONTROL!$C$15, $D$11, 100%, $F$11)</f>
        <v>28.7667</v>
      </c>
      <c r="H895" s="4">
        <f>29.6715 * CHOOSE(CONTROL!$C$15, $D$11, 100%, $F$11)</f>
        <v>29.671500000000002</v>
      </c>
      <c r="I895" s="8">
        <f>28.3981 * CHOOSE(CONTROL!$C$15, $D$11, 100%, $F$11)</f>
        <v>28.398099999999999</v>
      </c>
      <c r="J895" s="4">
        <f>28.2408 * CHOOSE(CONTROL!$C$15, $D$11, 100%, $F$11)</f>
        <v>28.2408</v>
      </c>
      <c r="K895" s="4"/>
      <c r="L895" s="9">
        <v>29.306000000000001</v>
      </c>
      <c r="M895" s="9">
        <v>12.063700000000001</v>
      </c>
      <c r="N895" s="9">
        <v>4.9444999999999997</v>
      </c>
      <c r="O895" s="9">
        <v>0.37409999999999999</v>
      </c>
      <c r="P895" s="9">
        <v>1.2927</v>
      </c>
      <c r="Q895" s="9">
        <v>19.688099999999999</v>
      </c>
      <c r="R895" s="9"/>
      <c r="S895" s="11"/>
    </row>
    <row r="896" spans="1:19" ht="15.75">
      <c r="A896" s="13">
        <v>68788</v>
      </c>
      <c r="B896" s="8">
        <f>29.5512 * CHOOSE(CONTROL!$C$15, $D$11, 100%, $F$11)</f>
        <v>29.551200000000001</v>
      </c>
      <c r="C896" s="8">
        <f>29.5557 * CHOOSE(CONTROL!$C$15, $D$11, 100%, $F$11)</f>
        <v>29.555700000000002</v>
      </c>
      <c r="D896" s="8">
        <f>29.5991 * CHOOSE( CONTROL!$C$15, $D$11, 100%, $F$11)</f>
        <v>29.5991</v>
      </c>
      <c r="E896" s="12">
        <f>29.5843 * CHOOSE( CONTROL!$C$15, $D$11, 100%, $F$11)</f>
        <v>29.584299999999999</v>
      </c>
      <c r="F896" s="4">
        <f>30.2956 * CHOOSE(CONTROL!$C$15, $D$11, 100%, $F$11)</f>
        <v>30.2956</v>
      </c>
      <c r="G896" s="8">
        <f>29.2116 * CHOOSE( CONTROL!$C$15, $D$11, 100%, $F$11)</f>
        <v>29.211600000000001</v>
      </c>
      <c r="H896" s="4">
        <f>30.1875 * CHOOSE(CONTROL!$C$15, $D$11, 100%, $F$11)</f>
        <v>30.1875</v>
      </c>
      <c r="I896" s="8">
        <f>28.8257 * CHOOSE(CONTROL!$C$15, $D$11, 100%, $F$11)</f>
        <v>28.825700000000001</v>
      </c>
      <c r="J896" s="4">
        <f>28.67 * CHOOSE(CONTROL!$C$15, $D$11, 100%, $F$11)</f>
        <v>28.67</v>
      </c>
      <c r="K896" s="4"/>
      <c r="L896" s="9">
        <v>30.092199999999998</v>
      </c>
      <c r="M896" s="9">
        <v>11.6745</v>
      </c>
      <c r="N896" s="9">
        <v>4.7850000000000001</v>
      </c>
      <c r="O896" s="9">
        <v>0.36199999999999999</v>
      </c>
      <c r="P896" s="9">
        <v>1.1791</v>
      </c>
      <c r="Q896" s="9">
        <v>19.053000000000001</v>
      </c>
      <c r="R896" s="9"/>
      <c r="S896" s="11"/>
    </row>
    <row r="897" spans="1:19" ht="15.75">
      <c r="A897" s="13">
        <v>68819</v>
      </c>
      <c r="B897" s="8">
        <f>CHOOSE( CONTROL!$C$32, 30.3434, 30.3398) * CHOOSE(CONTROL!$C$15, $D$11, 100%, $F$11)</f>
        <v>30.343399999999999</v>
      </c>
      <c r="C897" s="8">
        <f>CHOOSE( CONTROL!$C$32, 30.3514, 30.3477) * CHOOSE(CONTROL!$C$15, $D$11, 100%, $F$11)</f>
        <v>30.351400000000002</v>
      </c>
      <c r="D897" s="8">
        <f>CHOOSE( CONTROL!$C$32, 30.3891, 30.3855) * CHOOSE( CONTROL!$C$15, $D$11, 100%, $F$11)</f>
        <v>30.389099999999999</v>
      </c>
      <c r="E897" s="12">
        <f>CHOOSE( CONTROL!$C$32, 30.3742, 30.3706) * CHOOSE( CONTROL!$C$15, $D$11, 100%, $F$11)</f>
        <v>30.374199999999998</v>
      </c>
      <c r="F897" s="4">
        <f>CHOOSE( CONTROL!$C$32, 31.0864, 31.0828) * CHOOSE(CONTROL!$C$15, $D$11, 100%, $F$11)</f>
        <v>31.086400000000001</v>
      </c>
      <c r="G897" s="8">
        <f>CHOOSE( CONTROL!$C$32, 29.994, 29.9904) * CHOOSE( CONTROL!$C$15, $D$11, 100%, $F$11)</f>
        <v>29.994</v>
      </c>
      <c r="H897" s="4">
        <f>CHOOSE( CONTROL!$C$32, 30.969, 30.9654) * CHOOSE(CONTROL!$C$15, $D$11, 100%, $F$11)</f>
        <v>30.969000000000001</v>
      </c>
      <c r="I897" s="8">
        <f>CHOOSE( CONTROL!$C$32, 29.5937, 29.5902) * CHOOSE(CONTROL!$C$15, $D$11, 100%, $F$11)</f>
        <v>29.593699999999998</v>
      </c>
      <c r="J897" s="4">
        <f>CHOOSE( CONTROL!$C$32, 29.4374, 29.4339) * CHOOSE(CONTROL!$C$15, $D$11, 100%, $F$11)</f>
        <v>29.4374</v>
      </c>
      <c r="K897" s="4"/>
      <c r="L897" s="9">
        <v>30.7165</v>
      </c>
      <c r="M897" s="9">
        <v>12.063700000000001</v>
      </c>
      <c r="N897" s="9">
        <v>4.9444999999999997</v>
      </c>
      <c r="O897" s="9">
        <v>0.37409999999999999</v>
      </c>
      <c r="P897" s="9">
        <v>1.2183999999999999</v>
      </c>
      <c r="Q897" s="9">
        <v>19.688099999999999</v>
      </c>
      <c r="R897" s="9"/>
      <c r="S897" s="11"/>
    </row>
    <row r="898" spans="1:19" ht="15.75">
      <c r="A898" s="13">
        <v>68849</v>
      </c>
      <c r="B898" s="8">
        <f>CHOOSE( CONTROL!$C$32, 29.8558, 29.8521) * CHOOSE(CONTROL!$C$15, $D$11, 100%, $F$11)</f>
        <v>29.855799999999999</v>
      </c>
      <c r="C898" s="8">
        <f>CHOOSE( CONTROL!$C$32, 29.8638, 29.8601) * CHOOSE(CONTROL!$C$15, $D$11, 100%, $F$11)</f>
        <v>29.863800000000001</v>
      </c>
      <c r="D898" s="8">
        <f>CHOOSE( CONTROL!$C$32, 29.9017, 29.8981) * CHOOSE( CONTROL!$C$15, $D$11, 100%, $F$11)</f>
        <v>29.901700000000002</v>
      </c>
      <c r="E898" s="12">
        <f>CHOOSE( CONTROL!$C$32, 29.8867, 29.8831) * CHOOSE( CONTROL!$C$15, $D$11, 100%, $F$11)</f>
        <v>29.886700000000001</v>
      </c>
      <c r="F898" s="4">
        <f>CHOOSE( CONTROL!$C$32, 30.5988, 30.5952) * CHOOSE(CONTROL!$C$15, $D$11, 100%, $F$11)</f>
        <v>30.598800000000001</v>
      </c>
      <c r="G898" s="8">
        <f>CHOOSE( CONTROL!$C$32, 29.5124, 29.5088) * CHOOSE( CONTROL!$C$15, $D$11, 100%, $F$11)</f>
        <v>29.5124</v>
      </c>
      <c r="H898" s="4">
        <f>CHOOSE( CONTROL!$C$32, 30.4871, 30.4835) * CHOOSE(CONTROL!$C$15, $D$11, 100%, $F$11)</f>
        <v>30.487100000000002</v>
      </c>
      <c r="I898" s="8">
        <f>CHOOSE( CONTROL!$C$32, 29.1213, 29.1178) * CHOOSE(CONTROL!$C$15, $D$11, 100%, $F$11)</f>
        <v>29.121300000000002</v>
      </c>
      <c r="J898" s="4">
        <f>CHOOSE( CONTROL!$C$32, 28.9642, 28.9607) * CHOOSE(CONTROL!$C$15, $D$11, 100%, $F$11)</f>
        <v>28.964200000000002</v>
      </c>
      <c r="K898" s="4"/>
      <c r="L898" s="9">
        <v>29.7257</v>
      </c>
      <c r="M898" s="9">
        <v>11.6745</v>
      </c>
      <c r="N898" s="9">
        <v>4.7850000000000001</v>
      </c>
      <c r="O898" s="9">
        <v>0.36199999999999999</v>
      </c>
      <c r="P898" s="9">
        <v>1.1791</v>
      </c>
      <c r="Q898" s="9">
        <v>19.053000000000001</v>
      </c>
      <c r="R898" s="9"/>
      <c r="S898" s="11"/>
    </row>
    <row r="899" spans="1:19" ht="15.75">
      <c r="A899" s="13">
        <v>68880</v>
      </c>
      <c r="B899" s="8">
        <f>CHOOSE( CONTROL!$C$32, 31.1399, 31.1362) * CHOOSE(CONTROL!$C$15, $D$11, 100%, $F$11)</f>
        <v>31.139900000000001</v>
      </c>
      <c r="C899" s="8">
        <f>CHOOSE( CONTROL!$C$32, 31.1478, 31.1442) * CHOOSE(CONTROL!$C$15, $D$11, 100%, $F$11)</f>
        <v>31.1478</v>
      </c>
      <c r="D899" s="8">
        <f>CHOOSE( CONTROL!$C$32, 31.186, 31.1824) * CHOOSE( CONTROL!$C$15, $D$11, 100%, $F$11)</f>
        <v>31.186</v>
      </c>
      <c r="E899" s="12">
        <f>CHOOSE( CONTROL!$C$32, 31.171, 31.1673) * CHOOSE( CONTROL!$C$15, $D$11, 100%, $F$11)</f>
        <v>31.170999999999999</v>
      </c>
      <c r="F899" s="4">
        <f>CHOOSE( CONTROL!$C$32, 31.8829, 31.8792) * CHOOSE(CONTROL!$C$15, $D$11, 100%, $F$11)</f>
        <v>31.882899999999999</v>
      </c>
      <c r="G899" s="8">
        <f>CHOOSE( CONTROL!$C$32, 30.7818, 30.7782) * CHOOSE( CONTROL!$C$15, $D$11, 100%, $F$11)</f>
        <v>30.7818</v>
      </c>
      <c r="H899" s="4">
        <f>CHOOSE( CONTROL!$C$32, 31.7561, 31.7525) * CHOOSE(CONTROL!$C$15, $D$11, 100%, $F$11)</f>
        <v>31.7561</v>
      </c>
      <c r="I899" s="8">
        <f>CHOOSE( CONTROL!$C$32, 30.3692, 30.3657) * CHOOSE(CONTROL!$C$15, $D$11, 100%, $F$11)</f>
        <v>30.369199999999999</v>
      </c>
      <c r="J899" s="4">
        <f>CHOOSE( CONTROL!$C$32, 30.2104, 30.2069) * CHOOSE(CONTROL!$C$15, $D$11, 100%, $F$11)</f>
        <v>30.2104</v>
      </c>
      <c r="K899" s="4"/>
      <c r="L899" s="9">
        <v>30.7165</v>
      </c>
      <c r="M899" s="9">
        <v>12.063700000000001</v>
      </c>
      <c r="N899" s="9">
        <v>4.9444999999999997</v>
      </c>
      <c r="O899" s="9">
        <v>0.37409999999999999</v>
      </c>
      <c r="P899" s="9">
        <v>1.2183999999999999</v>
      </c>
      <c r="Q899" s="9">
        <v>19.688099999999999</v>
      </c>
      <c r="R899" s="9"/>
      <c r="S899" s="11"/>
    </row>
    <row r="900" spans="1:19" ht="15.75">
      <c r="A900" s="13">
        <v>68911</v>
      </c>
      <c r="B900" s="8">
        <f>CHOOSE( CONTROL!$C$32, 28.7372, 28.7336) * CHOOSE(CONTROL!$C$15, $D$11, 100%, $F$11)</f>
        <v>28.737200000000001</v>
      </c>
      <c r="C900" s="8">
        <f>CHOOSE( CONTROL!$C$32, 28.7452, 28.7416) * CHOOSE(CONTROL!$C$15, $D$11, 100%, $F$11)</f>
        <v>28.745200000000001</v>
      </c>
      <c r="D900" s="8">
        <f>CHOOSE( CONTROL!$C$32, 28.7835, 28.7798) * CHOOSE( CONTROL!$C$15, $D$11, 100%, $F$11)</f>
        <v>28.7835</v>
      </c>
      <c r="E900" s="12">
        <f>CHOOSE( CONTROL!$C$32, 28.7684, 28.7647) * CHOOSE( CONTROL!$C$15, $D$11, 100%, $F$11)</f>
        <v>28.7684</v>
      </c>
      <c r="F900" s="4">
        <f>CHOOSE( CONTROL!$C$32, 29.4802, 29.4766) * CHOOSE(CONTROL!$C$15, $D$11, 100%, $F$11)</f>
        <v>29.4802</v>
      </c>
      <c r="G900" s="8">
        <f>CHOOSE( CONTROL!$C$32, 28.4074, 28.4038) * CHOOSE( CONTROL!$C$15, $D$11, 100%, $F$11)</f>
        <v>28.407399999999999</v>
      </c>
      <c r="H900" s="4">
        <f>CHOOSE( CONTROL!$C$32, 29.3816, 29.378) * CHOOSE(CONTROL!$C$15, $D$11, 100%, $F$11)</f>
        <v>29.381599999999999</v>
      </c>
      <c r="I900" s="8">
        <f>CHOOSE( CONTROL!$C$32, 28.0366, 28.0331) * CHOOSE(CONTROL!$C$15, $D$11, 100%, $F$11)</f>
        <v>28.0366</v>
      </c>
      <c r="J900" s="4">
        <f>CHOOSE( CONTROL!$C$32, 27.8787, 27.8751) * CHOOSE(CONTROL!$C$15, $D$11, 100%, $F$11)</f>
        <v>27.878699999999998</v>
      </c>
      <c r="K900" s="4"/>
      <c r="L900" s="9">
        <v>30.7165</v>
      </c>
      <c r="M900" s="9">
        <v>12.063700000000001</v>
      </c>
      <c r="N900" s="9">
        <v>4.9444999999999997</v>
      </c>
      <c r="O900" s="9">
        <v>0.37409999999999999</v>
      </c>
      <c r="P900" s="9">
        <v>1.2183999999999999</v>
      </c>
      <c r="Q900" s="9">
        <v>19.688099999999999</v>
      </c>
      <c r="R900" s="9"/>
      <c r="S900" s="11"/>
    </row>
    <row r="901" spans="1:19" ht="15.75">
      <c r="A901" s="13">
        <v>68941</v>
      </c>
      <c r="B901" s="8">
        <f>CHOOSE( CONTROL!$C$32, 28.1356, 28.1319) * CHOOSE(CONTROL!$C$15, $D$11, 100%, $F$11)</f>
        <v>28.1356</v>
      </c>
      <c r="C901" s="8">
        <f>CHOOSE( CONTROL!$C$32, 28.1436, 28.1399) * CHOOSE(CONTROL!$C$15, $D$11, 100%, $F$11)</f>
        <v>28.143599999999999</v>
      </c>
      <c r="D901" s="8">
        <f>CHOOSE( CONTROL!$C$32, 28.1817, 28.1781) * CHOOSE( CONTROL!$C$15, $D$11, 100%, $F$11)</f>
        <v>28.181699999999999</v>
      </c>
      <c r="E901" s="12">
        <f>CHOOSE( CONTROL!$C$32, 28.1667, 28.163) * CHOOSE( CONTROL!$C$15, $D$11, 100%, $F$11)</f>
        <v>28.166699999999999</v>
      </c>
      <c r="F901" s="4">
        <f>CHOOSE( CONTROL!$C$32, 28.8786, 28.8749) * CHOOSE(CONTROL!$C$15, $D$11, 100%, $F$11)</f>
        <v>28.878599999999999</v>
      </c>
      <c r="G901" s="8">
        <f>CHOOSE( CONTROL!$C$32, 27.8126, 27.809) * CHOOSE( CONTROL!$C$15, $D$11, 100%, $F$11)</f>
        <v>27.8126</v>
      </c>
      <c r="H901" s="4">
        <f>CHOOSE( CONTROL!$C$32, 28.787, 28.7834) * CHOOSE(CONTROL!$C$15, $D$11, 100%, $F$11)</f>
        <v>28.786999999999999</v>
      </c>
      <c r="I901" s="8">
        <f>CHOOSE( CONTROL!$C$32, 27.452, 27.4485) * CHOOSE(CONTROL!$C$15, $D$11, 100%, $F$11)</f>
        <v>27.452000000000002</v>
      </c>
      <c r="J901" s="4">
        <f>CHOOSE( CONTROL!$C$32, 27.2948, 27.2912) * CHOOSE(CONTROL!$C$15, $D$11, 100%, $F$11)</f>
        <v>27.294799999999999</v>
      </c>
      <c r="K901" s="4"/>
      <c r="L901" s="9">
        <v>29.7257</v>
      </c>
      <c r="M901" s="9">
        <v>11.6745</v>
      </c>
      <c r="N901" s="9">
        <v>4.7850000000000001</v>
      </c>
      <c r="O901" s="9">
        <v>0.36199999999999999</v>
      </c>
      <c r="P901" s="9">
        <v>1.1791</v>
      </c>
      <c r="Q901" s="9">
        <v>19.053000000000001</v>
      </c>
      <c r="R901" s="9"/>
      <c r="S901" s="11"/>
    </row>
    <row r="902" spans="1:19" ht="15.75">
      <c r="A902" s="13">
        <v>68972</v>
      </c>
      <c r="B902" s="8">
        <f>29.3794 * CHOOSE(CONTROL!$C$15, $D$11, 100%, $F$11)</f>
        <v>29.3794</v>
      </c>
      <c r="C902" s="8">
        <f>29.3848 * CHOOSE(CONTROL!$C$15, $D$11, 100%, $F$11)</f>
        <v>29.384799999999998</v>
      </c>
      <c r="D902" s="8">
        <f>29.4283 * CHOOSE( CONTROL!$C$15, $D$11, 100%, $F$11)</f>
        <v>29.4283</v>
      </c>
      <c r="E902" s="12">
        <f>29.4134 * CHOOSE( CONTROL!$C$15, $D$11, 100%, $F$11)</f>
        <v>29.413399999999999</v>
      </c>
      <c r="F902" s="4">
        <f>30.1242 * CHOOSE(CONTROL!$C$15, $D$11, 100%, $F$11)</f>
        <v>30.124199999999998</v>
      </c>
      <c r="G902" s="8">
        <f>29.0431 * CHOOSE( CONTROL!$C$15, $D$11, 100%, $F$11)</f>
        <v>29.043099999999999</v>
      </c>
      <c r="H902" s="4">
        <f>30.018 * CHOOSE(CONTROL!$C$15, $D$11, 100%, $F$11)</f>
        <v>30.018000000000001</v>
      </c>
      <c r="I902" s="8">
        <f>28.6622 * CHOOSE(CONTROL!$C$15, $D$11, 100%, $F$11)</f>
        <v>28.662199999999999</v>
      </c>
      <c r="J902" s="4">
        <f>28.5036 * CHOOSE(CONTROL!$C$15, $D$11, 100%, $F$11)</f>
        <v>28.503599999999999</v>
      </c>
      <c r="K902" s="4"/>
      <c r="L902" s="9">
        <v>31.095300000000002</v>
      </c>
      <c r="M902" s="9">
        <v>12.063700000000001</v>
      </c>
      <c r="N902" s="9">
        <v>4.9444999999999997</v>
      </c>
      <c r="O902" s="9">
        <v>0.37409999999999999</v>
      </c>
      <c r="P902" s="9">
        <v>1.2183999999999999</v>
      </c>
      <c r="Q902" s="9">
        <v>19.688099999999999</v>
      </c>
      <c r="R902" s="9"/>
      <c r="S902" s="11"/>
    </row>
    <row r="903" spans="1:19" ht="15.75">
      <c r="A903" s="13">
        <v>69002</v>
      </c>
      <c r="B903" s="8">
        <f>31.6848 * CHOOSE(CONTROL!$C$15, $D$11, 100%, $F$11)</f>
        <v>31.684799999999999</v>
      </c>
      <c r="C903" s="8">
        <f>31.6899 * CHOOSE(CONTROL!$C$15, $D$11, 100%, $F$11)</f>
        <v>31.689900000000002</v>
      </c>
      <c r="D903" s="8">
        <f>31.6736 * CHOOSE( CONTROL!$C$15, $D$11, 100%, $F$11)</f>
        <v>31.6736</v>
      </c>
      <c r="E903" s="12">
        <f>31.679 * CHOOSE( CONTROL!$C$15, $D$11, 100%, $F$11)</f>
        <v>31.678999999999998</v>
      </c>
      <c r="F903" s="4">
        <f>32.3501 * CHOOSE(CONTROL!$C$15, $D$11, 100%, $F$11)</f>
        <v>32.350099999999998</v>
      </c>
      <c r="G903" s="8">
        <f>31.3225 * CHOOSE( CONTROL!$C$15, $D$11, 100%, $F$11)</f>
        <v>31.322500000000002</v>
      </c>
      <c r="H903" s="4">
        <f>32.2179 * CHOOSE(CONTROL!$C$15, $D$11, 100%, $F$11)</f>
        <v>32.2179</v>
      </c>
      <c r="I903" s="8">
        <f>30.9013 * CHOOSE(CONTROL!$C$15, $D$11, 100%, $F$11)</f>
        <v>30.901299999999999</v>
      </c>
      <c r="J903" s="4">
        <f>30.7414 * CHOOSE(CONTROL!$C$15, $D$11, 100%, $F$11)</f>
        <v>30.741399999999999</v>
      </c>
      <c r="K903" s="4"/>
      <c r="L903" s="9">
        <v>28.360600000000002</v>
      </c>
      <c r="M903" s="9">
        <v>11.6745</v>
      </c>
      <c r="N903" s="9">
        <v>4.7850000000000001</v>
      </c>
      <c r="O903" s="9">
        <v>0.36199999999999999</v>
      </c>
      <c r="P903" s="9">
        <v>1.2509999999999999</v>
      </c>
      <c r="Q903" s="9">
        <v>19.053000000000001</v>
      </c>
      <c r="R903" s="9"/>
      <c r="S903" s="11"/>
    </row>
    <row r="904" spans="1:19" ht="15.75">
      <c r="A904" s="13">
        <v>69033</v>
      </c>
      <c r="B904" s="8">
        <f>31.6272 * CHOOSE(CONTROL!$C$15, $D$11, 100%, $F$11)</f>
        <v>31.627199999999998</v>
      </c>
      <c r="C904" s="8">
        <f>31.6323 * CHOOSE(CONTROL!$C$15, $D$11, 100%, $F$11)</f>
        <v>31.632300000000001</v>
      </c>
      <c r="D904" s="8">
        <f>31.6177 * CHOOSE( CONTROL!$C$15, $D$11, 100%, $F$11)</f>
        <v>31.617699999999999</v>
      </c>
      <c r="E904" s="12">
        <f>31.6225 * CHOOSE( CONTROL!$C$15, $D$11, 100%, $F$11)</f>
        <v>31.622499999999999</v>
      </c>
      <c r="F904" s="4">
        <f>32.2925 * CHOOSE(CONTROL!$C$15, $D$11, 100%, $F$11)</f>
        <v>32.292499999999997</v>
      </c>
      <c r="G904" s="8">
        <f>31.2668 * CHOOSE( CONTROL!$C$15, $D$11, 100%, $F$11)</f>
        <v>31.2668</v>
      </c>
      <c r="H904" s="4">
        <f>32.161 * CHOOSE(CONTROL!$C$15, $D$11, 100%, $F$11)</f>
        <v>32.161000000000001</v>
      </c>
      <c r="I904" s="8">
        <f>30.8507 * CHOOSE(CONTROL!$C$15, $D$11, 100%, $F$11)</f>
        <v>30.8507</v>
      </c>
      <c r="J904" s="4">
        <f>30.6855 * CHOOSE(CONTROL!$C$15, $D$11, 100%, $F$11)</f>
        <v>30.685500000000001</v>
      </c>
      <c r="K904" s="4"/>
      <c r="L904" s="9">
        <v>29.306000000000001</v>
      </c>
      <c r="M904" s="9">
        <v>12.063700000000001</v>
      </c>
      <c r="N904" s="9">
        <v>4.9444999999999997</v>
      </c>
      <c r="O904" s="9">
        <v>0.37409999999999999</v>
      </c>
      <c r="P904" s="9">
        <v>1.2927</v>
      </c>
      <c r="Q904" s="9">
        <v>19.688099999999999</v>
      </c>
      <c r="R904" s="9"/>
      <c r="S904" s="11"/>
    </row>
    <row r="905" spans="1:19" ht="15.75">
      <c r="A905" s="13">
        <v>69064</v>
      </c>
      <c r="B905" s="8">
        <f>32.5599 * CHOOSE(CONTROL!$C$15, $D$11, 100%, $F$11)</f>
        <v>32.559899999999999</v>
      </c>
      <c r="C905" s="8">
        <f>32.5649 * CHOOSE(CONTROL!$C$15, $D$11, 100%, $F$11)</f>
        <v>32.564900000000002</v>
      </c>
      <c r="D905" s="8">
        <f>32.5361 * CHOOSE( CONTROL!$C$15, $D$11, 100%, $F$11)</f>
        <v>32.536099999999998</v>
      </c>
      <c r="E905" s="12">
        <f>32.5461 * CHOOSE( CONTROL!$C$15, $D$11, 100%, $F$11)</f>
        <v>32.546100000000003</v>
      </c>
      <c r="F905" s="4">
        <f>33.2252 * CHOOSE(CONTROL!$C$15, $D$11, 100%, $F$11)</f>
        <v>33.225200000000001</v>
      </c>
      <c r="G905" s="8">
        <f>32.1783 * CHOOSE( CONTROL!$C$15, $D$11, 100%, $F$11)</f>
        <v>32.1783</v>
      </c>
      <c r="H905" s="4">
        <f>33.0827 * CHOOSE(CONTROL!$C$15, $D$11, 100%, $F$11)</f>
        <v>33.082700000000003</v>
      </c>
      <c r="I905" s="8">
        <f>31.7509 * CHOOSE(CONTROL!$C$15, $D$11, 100%, $F$11)</f>
        <v>31.750900000000001</v>
      </c>
      <c r="J905" s="4">
        <f>31.5906 * CHOOSE(CONTROL!$C$15, $D$11, 100%, $F$11)</f>
        <v>31.590599999999998</v>
      </c>
      <c r="K905" s="4"/>
      <c r="L905" s="9">
        <v>29.306000000000001</v>
      </c>
      <c r="M905" s="9">
        <v>12.063700000000001</v>
      </c>
      <c r="N905" s="9">
        <v>4.9444999999999997</v>
      </c>
      <c r="O905" s="9">
        <v>0.37409999999999999</v>
      </c>
      <c r="P905" s="9">
        <v>1.2927</v>
      </c>
      <c r="Q905" s="9">
        <v>19.688099999999999</v>
      </c>
      <c r="R905" s="9"/>
      <c r="S905" s="11"/>
    </row>
    <row r="906" spans="1:19" ht="15.75">
      <c r="A906" s="13">
        <v>69092</v>
      </c>
      <c r="B906" s="8">
        <f>30.4555 * CHOOSE(CONTROL!$C$15, $D$11, 100%, $F$11)</f>
        <v>30.455500000000001</v>
      </c>
      <c r="C906" s="8">
        <f>30.4606 * CHOOSE(CONTROL!$C$15, $D$11, 100%, $F$11)</f>
        <v>30.460599999999999</v>
      </c>
      <c r="D906" s="8">
        <f>30.4317 * CHOOSE( CONTROL!$C$15, $D$11, 100%, $F$11)</f>
        <v>30.431699999999999</v>
      </c>
      <c r="E906" s="12">
        <f>30.4417 * CHOOSE( CONTROL!$C$15, $D$11, 100%, $F$11)</f>
        <v>30.441700000000001</v>
      </c>
      <c r="F906" s="4">
        <f>31.1208 * CHOOSE(CONTROL!$C$15, $D$11, 100%, $F$11)</f>
        <v>31.120799999999999</v>
      </c>
      <c r="G906" s="8">
        <f>30.0986 * CHOOSE( CONTROL!$C$15, $D$11, 100%, $F$11)</f>
        <v>30.098600000000001</v>
      </c>
      <c r="H906" s="4">
        <f>31.003 * CHOOSE(CONTROL!$C$15, $D$11, 100%, $F$11)</f>
        <v>31.003</v>
      </c>
      <c r="I906" s="8">
        <f>29.7076 * CHOOSE(CONTROL!$C$15, $D$11, 100%, $F$11)</f>
        <v>29.707599999999999</v>
      </c>
      <c r="J906" s="4">
        <f>29.5483 * CHOOSE(CONTROL!$C$15, $D$11, 100%, $F$11)</f>
        <v>29.548300000000001</v>
      </c>
      <c r="K906" s="4"/>
      <c r="L906" s="9">
        <v>26.469899999999999</v>
      </c>
      <c r="M906" s="9">
        <v>10.8962</v>
      </c>
      <c r="N906" s="9">
        <v>4.4660000000000002</v>
      </c>
      <c r="O906" s="9">
        <v>0.33789999999999998</v>
      </c>
      <c r="P906" s="9">
        <v>1.1676</v>
      </c>
      <c r="Q906" s="9">
        <v>17.782800000000002</v>
      </c>
      <c r="R906" s="9"/>
      <c r="S906" s="11"/>
    </row>
    <row r="907" spans="1:19" ht="15.75">
      <c r="A907" s="13">
        <v>69123</v>
      </c>
      <c r="B907" s="8">
        <f>29.8074 * CHOOSE(CONTROL!$C$15, $D$11, 100%, $F$11)</f>
        <v>29.807400000000001</v>
      </c>
      <c r="C907" s="8">
        <f>29.8125 * CHOOSE(CONTROL!$C$15, $D$11, 100%, $F$11)</f>
        <v>29.8125</v>
      </c>
      <c r="D907" s="8">
        <f>29.7832 * CHOOSE( CONTROL!$C$15, $D$11, 100%, $F$11)</f>
        <v>29.783200000000001</v>
      </c>
      <c r="E907" s="12">
        <f>29.7934 * CHOOSE( CONTROL!$C$15, $D$11, 100%, $F$11)</f>
        <v>29.793399999999998</v>
      </c>
      <c r="F907" s="4">
        <f>30.4727 * CHOOSE(CONTROL!$C$15, $D$11, 100%, $F$11)</f>
        <v>30.4727</v>
      </c>
      <c r="G907" s="8">
        <f>29.4577 * CHOOSE( CONTROL!$C$15, $D$11, 100%, $F$11)</f>
        <v>29.457699999999999</v>
      </c>
      <c r="H907" s="4">
        <f>30.3624 * CHOOSE(CONTROL!$C$15, $D$11, 100%, $F$11)</f>
        <v>30.362400000000001</v>
      </c>
      <c r="I907" s="8">
        <f>29.077 * CHOOSE(CONTROL!$C$15, $D$11, 100%, $F$11)</f>
        <v>29.077000000000002</v>
      </c>
      <c r="J907" s="4">
        <f>28.9193 * CHOOSE(CONTROL!$C$15, $D$11, 100%, $F$11)</f>
        <v>28.9193</v>
      </c>
      <c r="K907" s="4"/>
      <c r="L907" s="9">
        <v>29.306000000000001</v>
      </c>
      <c r="M907" s="9">
        <v>12.063700000000001</v>
      </c>
      <c r="N907" s="9">
        <v>4.9444999999999997</v>
      </c>
      <c r="O907" s="9">
        <v>0.37409999999999999</v>
      </c>
      <c r="P907" s="9">
        <v>1.2927</v>
      </c>
      <c r="Q907" s="9">
        <v>19.688099999999999</v>
      </c>
      <c r="R907" s="9"/>
      <c r="S907" s="11"/>
    </row>
    <row r="908" spans="1:19" ht="15.75">
      <c r="A908" s="13">
        <v>69153</v>
      </c>
      <c r="B908" s="8">
        <f>30.261 * CHOOSE(CONTROL!$C$15, $D$11, 100%, $F$11)</f>
        <v>30.260999999999999</v>
      </c>
      <c r="C908" s="8">
        <f>30.2656 * CHOOSE(CONTROL!$C$15, $D$11, 100%, $F$11)</f>
        <v>30.265599999999999</v>
      </c>
      <c r="D908" s="8">
        <f>30.3089 * CHOOSE( CONTROL!$C$15, $D$11, 100%, $F$11)</f>
        <v>30.308900000000001</v>
      </c>
      <c r="E908" s="12">
        <f>30.2941 * CHOOSE( CONTROL!$C$15, $D$11, 100%, $F$11)</f>
        <v>30.2941</v>
      </c>
      <c r="F908" s="4">
        <f>31.0054 * CHOOSE(CONTROL!$C$15, $D$11, 100%, $F$11)</f>
        <v>31.005400000000002</v>
      </c>
      <c r="G908" s="8">
        <f>29.9131 * CHOOSE( CONTROL!$C$15, $D$11, 100%, $F$11)</f>
        <v>29.9131</v>
      </c>
      <c r="H908" s="4">
        <f>30.889 * CHOOSE(CONTROL!$C$15, $D$11, 100%, $F$11)</f>
        <v>30.888999999999999</v>
      </c>
      <c r="I908" s="8">
        <f>29.515 * CHOOSE(CONTROL!$C$15, $D$11, 100%, $F$11)</f>
        <v>29.515000000000001</v>
      </c>
      <c r="J908" s="4">
        <f>29.3589 * CHOOSE(CONTROL!$C$15, $D$11, 100%, $F$11)</f>
        <v>29.358899999999998</v>
      </c>
      <c r="K908" s="4"/>
      <c r="L908" s="9">
        <v>30.092199999999998</v>
      </c>
      <c r="M908" s="9">
        <v>11.6745</v>
      </c>
      <c r="N908" s="9">
        <v>4.7850000000000001</v>
      </c>
      <c r="O908" s="9">
        <v>0.36199999999999999</v>
      </c>
      <c r="P908" s="9">
        <v>1.1791</v>
      </c>
      <c r="Q908" s="9">
        <v>19.053000000000001</v>
      </c>
      <c r="R908" s="9"/>
      <c r="S908" s="11"/>
    </row>
    <row r="909" spans="1:19" ht="15.75">
      <c r="A909" s="13">
        <v>69184</v>
      </c>
      <c r="B909" s="8">
        <f>CHOOSE( CONTROL!$C$32, 31.0721, 31.0685) * CHOOSE(CONTROL!$C$15, $D$11, 100%, $F$11)</f>
        <v>31.072099999999999</v>
      </c>
      <c r="C909" s="8">
        <f>CHOOSE( CONTROL!$C$32, 31.0801, 31.0765) * CHOOSE(CONTROL!$C$15, $D$11, 100%, $F$11)</f>
        <v>31.080100000000002</v>
      </c>
      <c r="D909" s="8">
        <f>CHOOSE( CONTROL!$C$32, 31.1178, 31.1142) * CHOOSE( CONTROL!$C$15, $D$11, 100%, $F$11)</f>
        <v>31.117799999999999</v>
      </c>
      <c r="E909" s="12">
        <f>CHOOSE( CONTROL!$C$32, 31.1029, 31.0993) * CHOOSE( CONTROL!$C$15, $D$11, 100%, $F$11)</f>
        <v>31.102900000000002</v>
      </c>
      <c r="F909" s="4">
        <f>CHOOSE( CONTROL!$C$32, 31.8151, 31.8115) * CHOOSE(CONTROL!$C$15, $D$11, 100%, $F$11)</f>
        <v>31.815100000000001</v>
      </c>
      <c r="G909" s="8">
        <f>CHOOSE( CONTROL!$C$32, 30.7141, 30.7105) * CHOOSE( CONTROL!$C$15, $D$11, 100%, $F$11)</f>
        <v>30.714099999999998</v>
      </c>
      <c r="H909" s="4">
        <f>CHOOSE( CONTROL!$C$32, 31.6892, 31.6856) * CHOOSE(CONTROL!$C$15, $D$11, 100%, $F$11)</f>
        <v>31.6892</v>
      </c>
      <c r="I909" s="8">
        <f>CHOOSE( CONTROL!$C$32, 30.3013, 30.2978) * CHOOSE(CONTROL!$C$15, $D$11, 100%, $F$11)</f>
        <v>30.301300000000001</v>
      </c>
      <c r="J909" s="4">
        <f>CHOOSE( CONTROL!$C$32, 30.1447, 30.1411) * CHOOSE(CONTROL!$C$15, $D$11, 100%, $F$11)</f>
        <v>30.1447</v>
      </c>
      <c r="K909" s="4"/>
      <c r="L909" s="9">
        <v>30.7165</v>
      </c>
      <c r="M909" s="9">
        <v>12.063700000000001</v>
      </c>
      <c r="N909" s="9">
        <v>4.9444999999999997</v>
      </c>
      <c r="O909" s="9">
        <v>0.37409999999999999</v>
      </c>
      <c r="P909" s="9">
        <v>1.2183999999999999</v>
      </c>
      <c r="Q909" s="9">
        <v>19.688099999999999</v>
      </c>
      <c r="R909" s="9"/>
      <c r="S909" s="11"/>
    </row>
    <row r="910" spans="1:19" ht="15.75">
      <c r="A910" s="13">
        <v>69214</v>
      </c>
      <c r="B910" s="8">
        <f>CHOOSE( CONTROL!$C$32, 30.5728, 30.5691) * CHOOSE(CONTROL!$C$15, $D$11, 100%, $F$11)</f>
        <v>30.572800000000001</v>
      </c>
      <c r="C910" s="8">
        <f>CHOOSE( CONTROL!$C$32, 30.5808, 30.5771) * CHOOSE(CONTROL!$C$15, $D$11, 100%, $F$11)</f>
        <v>30.5808</v>
      </c>
      <c r="D910" s="8">
        <f>CHOOSE( CONTROL!$C$32, 30.6187, 30.6151) * CHOOSE( CONTROL!$C$15, $D$11, 100%, $F$11)</f>
        <v>30.6187</v>
      </c>
      <c r="E910" s="12">
        <f>CHOOSE( CONTROL!$C$32, 30.6037, 30.6001) * CHOOSE( CONTROL!$C$15, $D$11, 100%, $F$11)</f>
        <v>30.6037</v>
      </c>
      <c r="F910" s="4">
        <f>CHOOSE( CONTROL!$C$32, 31.3158, 31.3122) * CHOOSE(CONTROL!$C$15, $D$11, 100%, $F$11)</f>
        <v>31.315799999999999</v>
      </c>
      <c r="G910" s="8">
        <f>CHOOSE( CONTROL!$C$32, 30.221, 30.2174) * CHOOSE( CONTROL!$C$15, $D$11, 100%, $F$11)</f>
        <v>30.221</v>
      </c>
      <c r="H910" s="4">
        <f>CHOOSE( CONTROL!$C$32, 31.1957, 31.1921) * CHOOSE(CONTROL!$C$15, $D$11, 100%, $F$11)</f>
        <v>31.195699999999999</v>
      </c>
      <c r="I910" s="8">
        <f>CHOOSE( CONTROL!$C$32, 29.8175, 29.814) * CHOOSE(CONTROL!$C$15, $D$11, 100%, $F$11)</f>
        <v>29.817499999999999</v>
      </c>
      <c r="J910" s="4">
        <f>CHOOSE( CONTROL!$C$32, 29.6601, 29.6565) * CHOOSE(CONTROL!$C$15, $D$11, 100%, $F$11)</f>
        <v>29.6601</v>
      </c>
      <c r="K910" s="4"/>
      <c r="L910" s="9">
        <v>29.7257</v>
      </c>
      <c r="M910" s="9">
        <v>11.6745</v>
      </c>
      <c r="N910" s="9">
        <v>4.7850000000000001</v>
      </c>
      <c r="O910" s="9">
        <v>0.36199999999999999</v>
      </c>
      <c r="P910" s="9">
        <v>1.1791</v>
      </c>
      <c r="Q910" s="9">
        <v>19.053000000000001</v>
      </c>
      <c r="R910" s="9"/>
      <c r="S910" s="11"/>
    </row>
    <row r="911" spans="1:19" ht="15.75">
      <c r="A911" s="13">
        <v>69245</v>
      </c>
      <c r="B911" s="8">
        <f>CHOOSE( CONTROL!$C$32, 31.8877, 31.8841) * CHOOSE(CONTROL!$C$15, $D$11, 100%, $F$11)</f>
        <v>31.887699999999999</v>
      </c>
      <c r="C911" s="8">
        <f>CHOOSE( CONTROL!$C$32, 31.8957, 31.892) * CHOOSE(CONTROL!$C$15, $D$11, 100%, $F$11)</f>
        <v>31.895700000000001</v>
      </c>
      <c r="D911" s="8">
        <f>CHOOSE( CONTROL!$C$32, 31.9339, 31.9302) * CHOOSE( CONTROL!$C$15, $D$11, 100%, $F$11)</f>
        <v>31.933900000000001</v>
      </c>
      <c r="E911" s="12">
        <f>CHOOSE( CONTROL!$C$32, 31.9188, 31.9152) * CHOOSE( CONTROL!$C$15, $D$11, 100%, $F$11)</f>
        <v>31.918800000000001</v>
      </c>
      <c r="F911" s="4">
        <f>CHOOSE( CONTROL!$C$32, 32.6307, 32.6271) * CHOOSE(CONTROL!$C$15, $D$11, 100%, $F$11)</f>
        <v>32.630699999999997</v>
      </c>
      <c r="G911" s="8">
        <f>CHOOSE( CONTROL!$C$32, 31.5209, 31.5173) * CHOOSE( CONTROL!$C$15, $D$11, 100%, $F$11)</f>
        <v>31.520900000000001</v>
      </c>
      <c r="H911" s="4">
        <f>CHOOSE( CONTROL!$C$32, 32.4952, 32.4916) * CHOOSE(CONTROL!$C$15, $D$11, 100%, $F$11)</f>
        <v>32.495199999999997</v>
      </c>
      <c r="I911" s="8">
        <f>CHOOSE( CONTROL!$C$32, 31.0954, 31.0919) * CHOOSE(CONTROL!$C$15, $D$11, 100%, $F$11)</f>
        <v>31.095400000000001</v>
      </c>
      <c r="J911" s="4">
        <f>CHOOSE( CONTROL!$C$32, 30.9362, 30.9327) * CHOOSE(CONTROL!$C$15, $D$11, 100%, $F$11)</f>
        <v>30.936199999999999</v>
      </c>
      <c r="K911" s="4"/>
      <c r="L911" s="9">
        <v>30.7165</v>
      </c>
      <c r="M911" s="9">
        <v>12.063700000000001</v>
      </c>
      <c r="N911" s="9">
        <v>4.9444999999999997</v>
      </c>
      <c r="O911" s="9">
        <v>0.37409999999999999</v>
      </c>
      <c r="P911" s="9">
        <v>1.2183999999999999</v>
      </c>
      <c r="Q911" s="9">
        <v>19.688099999999999</v>
      </c>
      <c r="R911" s="9"/>
      <c r="S911" s="11"/>
    </row>
    <row r="912" spans="1:19" ht="15.75">
      <c r="A912" s="13">
        <v>69276</v>
      </c>
      <c r="B912" s="8">
        <f>CHOOSE( CONTROL!$C$32, 29.4274, 29.4237) * CHOOSE(CONTROL!$C$15, $D$11, 100%, $F$11)</f>
        <v>29.427399999999999</v>
      </c>
      <c r="C912" s="8">
        <f>CHOOSE( CONTROL!$C$32, 29.4353, 29.4317) * CHOOSE(CONTROL!$C$15, $D$11, 100%, $F$11)</f>
        <v>29.435300000000002</v>
      </c>
      <c r="D912" s="8">
        <f>CHOOSE( CONTROL!$C$32, 29.4736, 29.4699) * CHOOSE( CONTROL!$C$15, $D$11, 100%, $F$11)</f>
        <v>29.473600000000001</v>
      </c>
      <c r="E912" s="12">
        <f>CHOOSE( CONTROL!$C$32, 29.4585, 29.4548) * CHOOSE( CONTROL!$C$15, $D$11, 100%, $F$11)</f>
        <v>29.458500000000001</v>
      </c>
      <c r="F912" s="4">
        <f>CHOOSE( CONTROL!$C$32, 30.1704, 30.1667) * CHOOSE(CONTROL!$C$15, $D$11, 100%, $F$11)</f>
        <v>30.170400000000001</v>
      </c>
      <c r="G912" s="8">
        <f>CHOOSE( CONTROL!$C$32, 29.0894, 29.0858) * CHOOSE( CONTROL!$C$15, $D$11, 100%, $F$11)</f>
        <v>29.089400000000001</v>
      </c>
      <c r="H912" s="4">
        <f>CHOOSE( CONTROL!$C$32, 30.0637, 30.0601) * CHOOSE(CONTROL!$C$15, $D$11, 100%, $F$11)</f>
        <v>30.063700000000001</v>
      </c>
      <c r="I912" s="8">
        <f>CHOOSE( CONTROL!$C$32, 28.7067, 28.7032) * CHOOSE(CONTROL!$C$15, $D$11, 100%, $F$11)</f>
        <v>28.706700000000001</v>
      </c>
      <c r="J912" s="4">
        <f>CHOOSE( CONTROL!$C$32, 28.5484, 28.5449) * CHOOSE(CONTROL!$C$15, $D$11, 100%, $F$11)</f>
        <v>28.548400000000001</v>
      </c>
      <c r="K912" s="4"/>
      <c r="L912" s="9">
        <v>30.7165</v>
      </c>
      <c r="M912" s="9">
        <v>12.063700000000001</v>
      </c>
      <c r="N912" s="9">
        <v>4.9444999999999997</v>
      </c>
      <c r="O912" s="9">
        <v>0.37409999999999999</v>
      </c>
      <c r="P912" s="9">
        <v>1.2183999999999999</v>
      </c>
      <c r="Q912" s="9">
        <v>19.688099999999999</v>
      </c>
      <c r="R912" s="9"/>
      <c r="S912" s="11"/>
    </row>
    <row r="913" spans="1:19" ht="15.75">
      <c r="A913" s="13">
        <v>69306</v>
      </c>
      <c r="B913" s="8">
        <f>CHOOSE( CONTROL!$C$32, 28.8113, 28.8076) * CHOOSE(CONTROL!$C$15, $D$11, 100%, $F$11)</f>
        <v>28.811299999999999</v>
      </c>
      <c r="C913" s="8">
        <f>CHOOSE( CONTROL!$C$32, 28.8192, 28.8156) * CHOOSE(CONTROL!$C$15, $D$11, 100%, $F$11)</f>
        <v>28.819199999999999</v>
      </c>
      <c r="D913" s="8">
        <f>CHOOSE( CONTROL!$C$32, 28.8574, 28.8538) * CHOOSE( CONTROL!$C$15, $D$11, 100%, $F$11)</f>
        <v>28.857399999999998</v>
      </c>
      <c r="E913" s="12">
        <f>CHOOSE( CONTROL!$C$32, 28.8424, 28.8387) * CHOOSE( CONTROL!$C$15, $D$11, 100%, $F$11)</f>
        <v>28.842400000000001</v>
      </c>
      <c r="F913" s="4">
        <f>CHOOSE( CONTROL!$C$32, 29.5543, 29.5506) * CHOOSE(CONTROL!$C$15, $D$11, 100%, $F$11)</f>
        <v>29.554300000000001</v>
      </c>
      <c r="G913" s="8">
        <f>CHOOSE( CONTROL!$C$32, 28.4804, 28.4768) * CHOOSE( CONTROL!$C$15, $D$11, 100%, $F$11)</f>
        <v>28.480399999999999</v>
      </c>
      <c r="H913" s="4">
        <f>CHOOSE( CONTROL!$C$32, 29.4548, 29.4512) * CHOOSE(CONTROL!$C$15, $D$11, 100%, $F$11)</f>
        <v>29.454799999999999</v>
      </c>
      <c r="I913" s="8">
        <f>CHOOSE( CONTROL!$C$32, 28.1081, 28.1046) * CHOOSE(CONTROL!$C$15, $D$11, 100%, $F$11)</f>
        <v>28.1081</v>
      </c>
      <c r="J913" s="4">
        <f>CHOOSE( CONTROL!$C$32, 27.9505, 27.947) * CHOOSE(CONTROL!$C$15, $D$11, 100%, $F$11)</f>
        <v>27.950500000000002</v>
      </c>
      <c r="K913" s="4"/>
      <c r="L913" s="9">
        <v>29.7257</v>
      </c>
      <c r="M913" s="9">
        <v>11.6745</v>
      </c>
      <c r="N913" s="9">
        <v>4.7850000000000001</v>
      </c>
      <c r="O913" s="9">
        <v>0.36199999999999999</v>
      </c>
      <c r="P913" s="9">
        <v>1.1791</v>
      </c>
      <c r="Q913" s="9">
        <v>19.053000000000001</v>
      </c>
      <c r="R913" s="9"/>
      <c r="S913" s="11"/>
    </row>
    <row r="914" spans="1:19" ht="15.75">
      <c r="A914" s="13">
        <v>69337</v>
      </c>
      <c r="B914" s="8">
        <f>30.0851 * CHOOSE(CONTROL!$C$15, $D$11, 100%, $F$11)</f>
        <v>30.085100000000001</v>
      </c>
      <c r="C914" s="8">
        <f>30.0905 * CHOOSE(CONTROL!$C$15, $D$11, 100%, $F$11)</f>
        <v>30.090499999999999</v>
      </c>
      <c r="D914" s="8">
        <f>30.134 * CHOOSE( CONTROL!$C$15, $D$11, 100%, $F$11)</f>
        <v>30.134</v>
      </c>
      <c r="E914" s="12">
        <f>30.1191 * CHOOSE( CONTROL!$C$15, $D$11, 100%, $F$11)</f>
        <v>30.1191</v>
      </c>
      <c r="F914" s="4">
        <f>30.8299 * CHOOSE(CONTROL!$C$15, $D$11, 100%, $F$11)</f>
        <v>30.829899999999999</v>
      </c>
      <c r="G914" s="8">
        <f>29.7406 * CHOOSE( CONTROL!$C$15, $D$11, 100%, $F$11)</f>
        <v>29.740600000000001</v>
      </c>
      <c r="H914" s="4">
        <f>30.7155 * CHOOSE(CONTROL!$C$15, $D$11, 100%, $F$11)</f>
        <v>30.715499999999999</v>
      </c>
      <c r="I914" s="8">
        <f>29.3474 * CHOOSE(CONTROL!$C$15, $D$11, 100%, $F$11)</f>
        <v>29.3474</v>
      </c>
      <c r="J914" s="4">
        <f>29.1885 * CHOOSE(CONTROL!$C$15, $D$11, 100%, $F$11)</f>
        <v>29.188500000000001</v>
      </c>
      <c r="K914" s="4"/>
      <c r="L914" s="9">
        <v>31.095300000000002</v>
      </c>
      <c r="M914" s="9">
        <v>12.063700000000001</v>
      </c>
      <c r="N914" s="9">
        <v>4.9444999999999997</v>
      </c>
      <c r="O914" s="9">
        <v>0.37409999999999999</v>
      </c>
      <c r="P914" s="9">
        <v>1.2183999999999999</v>
      </c>
      <c r="Q914" s="9">
        <v>19.688099999999999</v>
      </c>
      <c r="R914" s="9"/>
      <c r="S914" s="11"/>
    </row>
    <row r="915" spans="1:19" ht="15.75">
      <c r="A915" s="13">
        <v>69367</v>
      </c>
      <c r="B915" s="8">
        <f>32.4459 * CHOOSE(CONTROL!$C$15, $D$11, 100%, $F$11)</f>
        <v>32.445900000000002</v>
      </c>
      <c r="C915" s="8">
        <f>32.451 * CHOOSE(CONTROL!$C$15, $D$11, 100%, $F$11)</f>
        <v>32.451000000000001</v>
      </c>
      <c r="D915" s="8">
        <f>32.4347 * CHOOSE( CONTROL!$C$15, $D$11, 100%, $F$11)</f>
        <v>32.434699999999999</v>
      </c>
      <c r="E915" s="12">
        <f>32.4401 * CHOOSE( CONTROL!$C$15, $D$11, 100%, $F$11)</f>
        <v>32.440100000000001</v>
      </c>
      <c r="F915" s="4">
        <f>33.1112 * CHOOSE(CONTROL!$C$15, $D$11, 100%, $F$11)</f>
        <v>33.111199999999997</v>
      </c>
      <c r="G915" s="8">
        <f>32.0747 * CHOOSE( CONTROL!$C$15, $D$11, 100%, $F$11)</f>
        <v>32.0747</v>
      </c>
      <c r="H915" s="4">
        <f>32.9701 * CHOOSE(CONTROL!$C$15, $D$11, 100%, $F$11)</f>
        <v>32.970100000000002</v>
      </c>
      <c r="I915" s="8">
        <f>31.6403 * CHOOSE(CONTROL!$C$15, $D$11, 100%, $F$11)</f>
        <v>31.6403</v>
      </c>
      <c r="J915" s="4">
        <f>31.48 * CHOOSE(CONTROL!$C$15, $D$11, 100%, $F$11)</f>
        <v>31.48</v>
      </c>
      <c r="K915" s="4"/>
      <c r="L915" s="9">
        <v>28.360600000000002</v>
      </c>
      <c r="M915" s="9">
        <v>11.6745</v>
      </c>
      <c r="N915" s="9">
        <v>4.7850000000000001</v>
      </c>
      <c r="O915" s="9">
        <v>0.36199999999999999</v>
      </c>
      <c r="P915" s="9">
        <v>1.2509999999999999</v>
      </c>
      <c r="Q915" s="9">
        <v>19.053000000000001</v>
      </c>
      <c r="R915" s="9"/>
      <c r="S915" s="11"/>
    </row>
    <row r="916" spans="1:19" ht="15.75">
      <c r="A916" s="13">
        <v>69398</v>
      </c>
      <c r="B916" s="8">
        <f>32.3869 * CHOOSE(CONTROL!$C$15, $D$11, 100%, $F$11)</f>
        <v>32.386899999999997</v>
      </c>
      <c r="C916" s="8">
        <f>32.392 * CHOOSE(CONTROL!$C$15, $D$11, 100%, $F$11)</f>
        <v>32.392000000000003</v>
      </c>
      <c r="D916" s="8">
        <f>32.3774 * CHOOSE( CONTROL!$C$15, $D$11, 100%, $F$11)</f>
        <v>32.377400000000002</v>
      </c>
      <c r="E916" s="12">
        <f>32.3822 * CHOOSE( CONTROL!$C$15, $D$11, 100%, $F$11)</f>
        <v>32.382199999999997</v>
      </c>
      <c r="F916" s="4">
        <f>33.0522 * CHOOSE(CONTROL!$C$15, $D$11, 100%, $F$11)</f>
        <v>33.052199999999999</v>
      </c>
      <c r="G916" s="8">
        <f>32.0176 * CHOOSE( CONTROL!$C$15, $D$11, 100%, $F$11)</f>
        <v>32.017600000000002</v>
      </c>
      <c r="H916" s="4">
        <f>32.9118 * CHOOSE(CONTROL!$C$15, $D$11, 100%, $F$11)</f>
        <v>32.911799999999999</v>
      </c>
      <c r="I916" s="8">
        <f>31.5884 * CHOOSE(CONTROL!$C$15, $D$11, 100%, $F$11)</f>
        <v>31.5884</v>
      </c>
      <c r="J916" s="4">
        <f>31.4228 * CHOOSE(CONTROL!$C$15, $D$11, 100%, $F$11)</f>
        <v>31.422799999999999</v>
      </c>
      <c r="K916" s="4"/>
      <c r="L916" s="9">
        <v>29.306000000000001</v>
      </c>
      <c r="M916" s="9">
        <v>12.063700000000001</v>
      </c>
      <c r="N916" s="9">
        <v>4.9444999999999997</v>
      </c>
      <c r="O916" s="9">
        <v>0.37409999999999999</v>
      </c>
      <c r="P916" s="9">
        <v>1.2927</v>
      </c>
      <c r="Q916" s="9">
        <v>19.688099999999999</v>
      </c>
      <c r="R916" s="9"/>
      <c r="S916" s="11"/>
    </row>
    <row r="917" spans="1:19" ht="15.75">
      <c r="A917" s="13">
        <v>69429</v>
      </c>
      <c r="B917" s="8">
        <f>33.342 * CHOOSE(CONTROL!$C$15, $D$11, 100%, $F$11)</f>
        <v>33.341999999999999</v>
      </c>
      <c r="C917" s="8">
        <f>33.3471 * CHOOSE(CONTROL!$C$15, $D$11, 100%, $F$11)</f>
        <v>33.347099999999998</v>
      </c>
      <c r="D917" s="8">
        <f>33.3182 * CHOOSE( CONTROL!$C$15, $D$11, 100%, $F$11)</f>
        <v>33.318199999999997</v>
      </c>
      <c r="E917" s="12">
        <f>33.3282 * CHOOSE( CONTROL!$C$15, $D$11, 100%, $F$11)</f>
        <v>33.328200000000002</v>
      </c>
      <c r="F917" s="4">
        <f>34.0073 * CHOOSE(CONTROL!$C$15, $D$11, 100%, $F$11)</f>
        <v>34.007300000000001</v>
      </c>
      <c r="G917" s="8">
        <f>32.9512 * CHOOSE( CONTROL!$C$15, $D$11, 100%, $F$11)</f>
        <v>32.9512</v>
      </c>
      <c r="H917" s="4">
        <f>33.8557 * CHOOSE(CONTROL!$C$15, $D$11, 100%, $F$11)</f>
        <v>33.855699999999999</v>
      </c>
      <c r="I917" s="8">
        <f>32.5103 * CHOOSE(CONTROL!$C$15, $D$11, 100%, $F$11)</f>
        <v>32.510300000000001</v>
      </c>
      <c r="J917" s="4">
        <f>32.3496 * CHOOSE(CONTROL!$C$15, $D$11, 100%, $F$11)</f>
        <v>32.349600000000002</v>
      </c>
      <c r="K917" s="4"/>
      <c r="L917" s="9">
        <v>29.306000000000001</v>
      </c>
      <c r="M917" s="9">
        <v>12.063700000000001</v>
      </c>
      <c r="N917" s="9">
        <v>4.9444999999999997</v>
      </c>
      <c r="O917" s="9">
        <v>0.37409999999999999</v>
      </c>
      <c r="P917" s="9">
        <v>1.2927</v>
      </c>
      <c r="Q917" s="9">
        <v>19.688099999999999</v>
      </c>
      <c r="R917" s="9"/>
      <c r="S917" s="11"/>
    </row>
    <row r="918" spans="1:19" ht="15.75">
      <c r="A918" s="13">
        <v>69457</v>
      </c>
      <c r="B918" s="8">
        <f>31.1871 * CHOOSE(CONTROL!$C$15, $D$11, 100%, $F$11)</f>
        <v>31.187100000000001</v>
      </c>
      <c r="C918" s="8">
        <f>31.1921 * CHOOSE(CONTROL!$C$15, $D$11, 100%, $F$11)</f>
        <v>31.1921</v>
      </c>
      <c r="D918" s="8">
        <f>31.1633 * CHOOSE( CONTROL!$C$15, $D$11, 100%, $F$11)</f>
        <v>31.1633</v>
      </c>
      <c r="E918" s="12">
        <f>31.1733 * CHOOSE( CONTROL!$C$15, $D$11, 100%, $F$11)</f>
        <v>31.173300000000001</v>
      </c>
      <c r="F918" s="4">
        <f>31.8523 * CHOOSE(CONTROL!$C$15, $D$11, 100%, $F$11)</f>
        <v>31.8523</v>
      </c>
      <c r="G918" s="8">
        <f>30.8215 * CHOOSE( CONTROL!$C$15, $D$11, 100%, $F$11)</f>
        <v>30.8215</v>
      </c>
      <c r="H918" s="4">
        <f>31.726 * CHOOSE(CONTROL!$C$15, $D$11, 100%, $F$11)</f>
        <v>31.725999999999999</v>
      </c>
      <c r="I918" s="8">
        <f>30.4179 * CHOOSE(CONTROL!$C$15, $D$11, 100%, $F$11)</f>
        <v>30.417899999999999</v>
      </c>
      <c r="J918" s="4">
        <f>30.2583 * CHOOSE(CONTROL!$C$15, $D$11, 100%, $F$11)</f>
        <v>30.258299999999998</v>
      </c>
      <c r="K918" s="4"/>
      <c r="L918" s="9">
        <v>26.469899999999999</v>
      </c>
      <c r="M918" s="9">
        <v>10.8962</v>
      </c>
      <c r="N918" s="9">
        <v>4.4660000000000002</v>
      </c>
      <c r="O918" s="9">
        <v>0.33789999999999998</v>
      </c>
      <c r="P918" s="9">
        <v>1.1676</v>
      </c>
      <c r="Q918" s="9">
        <v>17.782800000000002</v>
      </c>
      <c r="R918" s="9"/>
      <c r="S918" s="11"/>
    </row>
    <row r="919" spans="1:19" ht="15.75">
      <c r="A919" s="13">
        <v>69488</v>
      </c>
      <c r="B919" s="8">
        <f>30.5234 * CHOOSE(CONTROL!$C$15, $D$11, 100%, $F$11)</f>
        <v>30.523399999999999</v>
      </c>
      <c r="C919" s="8">
        <f>30.5284 * CHOOSE(CONTROL!$C$15, $D$11, 100%, $F$11)</f>
        <v>30.528400000000001</v>
      </c>
      <c r="D919" s="8">
        <f>30.4991 * CHOOSE( CONTROL!$C$15, $D$11, 100%, $F$11)</f>
        <v>30.499099999999999</v>
      </c>
      <c r="E919" s="12">
        <f>30.5093 * CHOOSE( CONTROL!$C$15, $D$11, 100%, $F$11)</f>
        <v>30.5093</v>
      </c>
      <c r="F919" s="4">
        <f>31.1886 * CHOOSE(CONTROL!$C$15, $D$11, 100%, $F$11)</f>
        <v>31.188600000000001</v>
      </c>
      <c r="G919" s="8">
        <f>30.1653 * CHOOSE( CONTROL!$C$15, $D$11, 100%, $F$11)</f>
        <v>30.165299999999998</v>
      </c>
      <c r="H919" s="4">
        <f>31.07 * CHOOSE(CONTROL!$C$15, $D$11, 100%, $F$11)</f>
        <v>31.07</v>
      </c>
      <c r="I919" s="8">
        <f>29.7722 * CHOOSE(CONTROL!$C$15, $D$11, 100%, $F$11)</f>
        <v>29.772200000000002</v>
      </c>
      <c r="J919" s="4">
        <f>29.6142 * CHOOSE(CONTROL!$C$15, $D$11, 100%, $F$11)</f>
        <v>29.6142</v>
      </c>
      <c r="K919" s="4"/>
      <c r="L919" s="9">
        <v>29.306000000000001</v>
      </c>
      <c r="M919" s="9">
        <v>12.063700000000001</v>
      </c>
      <c r="N919" s="9">
        <v>4.9444999999999997</v>
      </c>
      <c r="O919" s="9">
        <v>0.37409999999999999</v>
      </c>
      <c r="P919" s="9">
        <v>1.2927</v>
      </c>
      <c r="Q919" s="9">
        <v>19.688099999999999</v>
      </c>
      <c r="R919" s="9"/>
      <c r="S919" s="11"/>
    </row>
    <row r="920" spans="1:19" ht="15.75">
      <c r="A920" s="13">
        <v>69518</v>
      </c>
      <c r="B920" s="8">
        <f>30.9879 * CHOOSE(CONTROL!$C$15, $D$11, 100%, $F$11)</f>
        <v>30.9879</v>
      </c>
      <c r="C920" s="8">
        <f>30.9924 * CHOOSE(CONTROL!$C$15, $D$11, 100%, $F$11)</f>
        <v>30.9924</v>
      </c>
      <c r="D920" s="8">
        <f>31.0358 * CHOOSE( CONTROL!$C$15, $D$11, 100%, $F$11)</f>
        <v>31.035799999999998</v>
      </c>
      <c r="E920" s="12">
        <f>31.021 * CHOOSE( CONTROL!$C$15, $D$11, 100%, $F$11)</f>
        <v>31.021000000000001</v>
      </c>
      <c r="F920" s="4">
        <f>31.7323 * CHOOSE(CONTROL!$C$15, $D$11, 100%, $F$11)</f>
        <v>31.732299999999999</v>
      </c>
      <c r="G920" s="8">
        <f>30.6315 * CHOOSE( CONTROL!$C$15, $D$11, 100%, $F$11)</f>
        <v>30.631499999999999</v>
      </c>
      <c r="H920" s="4">
        <f>31.6073 * CHOOSE(CONTROL!$C$15, $D$11, 100%, $F$11)</f>
        <v>31.607299999999999</v>
      </c>
      <c r="I920" s="8">
        <f>30.2207 * CHOOSE(CONTROL!$C$15, $D$11, 100%, $F$11)</f>
        <v>30.220700000000001</v>
      </c>
      <c r="J920" s="4">
        <f>30.0643 * CHOOSE(CONTROL!$C$15, $D$11, 100%, $F$11)</f>
        <v>30.064299999999999</v>
      </c>
      <c r="K920" s="4"/>
      <c r="L920" s="9">
        <v>30.092199999999998</v>
      </c>
      <c r="M920" s="9">
        <v>11.6745</v>
      </c>
      <c r="N920" s="9">
        <v>4.7850000000000001</v>
      </c>
      <c r="O920" s="9">
        <v>0.36199999999999999</v>
      </c>
      <c r="P920" s="9">
        <v>1.1791</v>
      </c>
      <c r="Q920" s="9">
        <v>19.053000000000001</v>
      </c>
      <c r="R920" s="9"/>
      <c r="S920" s="11"/>
    </row>
    <row r="921" spans="1:19" ht="15.75">
      <c r="A921" s="13">
        <v>69549</v>
      </c>
      <c r="B921" s="8">
        <f>CHOOSE( CONTROL!$C$32, 31.8183, 31.8147) * CHOOSE(CONTROL!$C$15, $D$11, 100%, $F$11)</f>
        <v>31.818300000000001</v>
      </c>
      <c r="C921" s="8">
        <f>CHOOSE( CONTROL!$C$32, 31.8263, 31.8227) * CHOOSE(CONTROL!$C$15, $D$11, 100%, $F$11)</f>
        <v>31.8263</v>
      </c>
      <c r="D921" s="8">
        <f>CHOOSE( CONTROL!$C$32, 31.8641, 31.8604) * CHOOSE( CONTROL!$C$15, $D$11, 100%, $F$11)</f>
        <v>31.864100000000001</v>
      </c>
      <c r="E921" s="12">
        <f>CHOOSE( CONTROL!$C$32, 31.8492, 31.8455) * CHOOSE( CONTROL!$C$15, $D$11, 100%, $F$11)</f>
        <v>31.8492</v>
      </c>
      <c r="F921" s="4">
        <f>CHOOSE( CONTROL!$C$32, 32.5614, 32.5577) * CHOOSE(CONTROL!$C$15, $D$11, 100%, $F$11)</f>
        <v>32.561399999999999</v>
      </c>
      <c r="G921" s="8">
        <f>CHOOSE( CONTROL!$C$32, 31.4516, 31.448) * CHOOSE( CONTROL!$C$15, $D$11, 100%, $F$11)</f>
        <v>31.451599999999999</v>
      </c>
      <c r="H921" s="4">
        <f>CHOOSE( CONTROL!$C$32, 32.4267, 32.4231) * CHOOSE(CONTROL!$C$15, $D$11, 100%, $F$11)</f>
        <v>32.426699999999997</v>
      </c>
      <c r="I921" s="8">
        <f>CHOOSE( CONTROL!$C$32, 31.0259, 31.0223) * CHOOSE(CONTROL!$C$15, $D$11, 100%, $F$11)</f>
        <v>31.0259</v>
      </c>
      <c r="J921" s="4">
        <f>CHOOSE( CONTROL!$C$32, 30.8689, 30.8654) * CHOOSE(CONTROL!$C$15, $D$11, 100%, $F$11)</f>
        <v>30.8689</v>
      </c>
      <c r="K921" s="4"/>
      <c r="L921" s="9">
        <v>30.7165</v>
      </c>
      <c r="M921" s="9">
        <v>12.063700000000001</v>
      </c>
      <c r="N921" s="9">
        <v>4.9444999999999997</v>
      </c>
      <c r="O921" s="9">
        <v>0.37409999999999999</v>
      </c>
      <c r="P921" s="9">
        <v>1.2183999999999999</v>
      </c>
      <c r="Q921" s="9">
        <v>19.688099999999999</v>
      </c>
      <c r="R921" s="9"/>
      <c r="S921" s="11"/>
    </row>
    <row r="922" spans="1:19" ht="15.75">
      <c r="A922" s="13">
        <v>69579</v>
      </c>
      <c r="B922" s="8">
        <f>CHOOSE( CONTROL!$C$32, 31.307, 31.3034) * CHOOSE(CONTROL!$C$15, $D$11, 100%, $F$11)</f>
        <v>31.306999999999999</v>
      </c>
      <c r="C922" s="8">
        <f>CHOOSE( CONTROL!$C$32, 31.315, 31.3114) * CHOOSE(CONTROL!$C$15, $D$11, 100%, $F$11)</f>
        <v>31.315000000000001</v>
      </c>
      <c r="D922" s="8">
        <f>CHOOSE( CONTROL!$C$32, 31.353, 31.3493) * CHOOSE( CONTROL!$C$15, $D$11, 100%, $F$11)</f>
        <v>31.353000000000002</v>
      </c>
      <c r="E922" s="12">
        <f>CHOOSE( CONTROL!$C$32, 31.338, 31.3343) * CHOOSE( CONTROL!$C$15, $D$11, 100%, $F$11)</f>
        <v>31.338000000000001</v>
      </c>
      <c r="F922" s="4">
        <f>CHOOSE( CONTROL!$C$32, 32.05, 32.0464) * CHOOSE(CONTROL!$C$15, $D$11, 100%, $F$11)</f>
        <v>32.049999999999997</v>
      </c>
      <c r="G922" s="8">
        <f>CHOOSE( CONTROL!$C$32, 30.9466, 30.943) * CHOOSE( CONTROL!$C$15, $D$11, 100%, $F$11)</f>
        <v>30.9466</v>
      </c>
      <c r="H922" s="4">
        <f>CHOOSE( CONTROL!$C$32, 31.9213, 31.9177) * CHOOSE(CONTROL!$C$15, $D$11, 100%, $F$11)</f>
        <v>31.921299999999999</v>
      </c>
      <c r="I922" s="8">
        <f>CHOOSE( CONTROL!$C$32, 30.5304, 30.5269) * CHOOSE(CONTROL!$C$15, $D$11, 100%, $F$11)</f>
        <v>30.5304</v>
      </c>
      <c r="J922" s="4">
        <f>CHOOSE( CONTROL!$C$32, 30.3726, 30.3691) * CHOOSE(CONTROL!$C$15, $D$11, 100%, $F$11)</f>
        <v>30.372599999999998</v>
      </c>
      <c r="K922" s="4"/>
      <c r="L922" s="9">
        <v>29.7257</v>
      </c>
      <c r="M922" s="9">
        <v>11.6745</v>
      </c>
      <c r="N922" s="9">
        <v>4.7850000000000001</v>
      </c>
      <c r="O922" s="9">
        <v>0.36199999999999999</v>
      </c>
      <c r="P922" s="9">
        <v>1.1791</v>
      </c>
      <c r="Q922" s="9">
        <v>19.053000000000001</v>
      </c>
      <c r="R922" s="9"/>
      <c r="S922" s="11"/>
    </row>
    <row r="923" spans="1:19" ht="15.75">
      <c r="A923" s="13">
        <v>69610</v>
      </c>
      <c r="B923" s="8">
        <f>CHOOSE( CONTROL!$C$32, 32.6535, 32.6499) * CHOOSE(CONTROL!$C$15, $D$11, 100%, $F$11)</f>
        <v>32.653500000000001</v>
      </c>
      <c r="C923" s="8">
        <f>CHOOSE( CONTROL!$C$32, 32.6615, 32.6579) * CHOOSE(CONTROL!$C$15, $D$11, 100%, $F$11)</f>
        <v>32.661499999999997</v>
      </c>
      <c r="D923" s="8">
        <f>CHOOSE( CONTROL!$C$32, 32.6997, 32.6961) * CHOOSE( CONTROL!$C$15, $D$11, 100%, $F$11)</f>
        <v>32.6997</v>
      </c>
      <c r="E923" s="12">
        <f>CHOOSE( CONTROL!$C$32, 32.6846, 32.681) * CHOOSE( CONTROL!$C$15, $D$11, 100%, $F$11)</f>
        <v>32.684600000000003</v>
      </c>
      <c r="F923" s="4">
        <f>CHOOSE( CONTROL!$C$32, 33.3965, 33.3929) * CHOOSE(CONTROL!$C$15, $D$11, 100%, $F$11)</f>
        <v>33.396500000000003</v>
      </c>
      <c r="G923" s="8">
        <f>CHOOSE( CONTROL!$C$32, 32.2777, 32.2741) * CHOOSE( CONTROL!$C$15, $D$11, 100%, $F$11)</f>
        <v>32.277700000000003</v>
      </c>
      <c r="H923" s="4">
        <f>CHOOSE( CONTROL!$C$32, 33.2521, 33.2485) * CHOOSE(CONTROL!$C$15, $D$11, 100%, $F$11)</f>
        <v>33.252099999999999</v>
      </c>
      <c r="I923" s="8">
        <f>CHOOSE( CONTROL!$C$32, 31.839, 31.8355) * CHOOSE(CONTROL!$C$15, $D$11, 100%, $F$11)</f>
        <v>31.838999999999999</v>
      </c>
      <c r="J923" s="4">
        <f>CHOOSE( CONTROL!$C$32, 31.6794, 31.6759) * CHOOSE(CONTROL!$C$15, $D$11, 100%, $F$11)</f>
        <v>31.679400000000001</v>
      </c>
      <c r="K923" s="4"/>
      <c r="L923" s="9">
        <v>30.7165</v>
      </c>
      <c r="M923" s="9">
        <v>12.063700000000001</v>
      </c>
      <c r="N923" s="9">
        <v>4.9444999999999997</v>
      </c>
      <c r="O923" s="9">
        <v>0.37409999999999999</v>
      </c>
      <c r="P923" s="9">
        <v>1.2183999999999999</v>
      </c>
      <c r="Q923" s="9">
        <v>19.688099999999999</v>
      </c>
      <c r="R923" s="9"/>
      <c r="S923" s="11"/>
    </row>
    <row r="924" spans="1:19" ht="15.75">
      <c r="A924" s="13">
        <v>69641</v>
      </c>
      <c r="B924" s="8">
        <f>CHOOSE( CONTROL!$C$32, 30.1341, 30.1304) * CHOOSE(CONTROL!$C$15, $D$11, 100%, $F$11)</f>
        <v>30.1341</v>
      </c>
      <c r="C924" s="8">
        <f>CHOOSE( CONTROL!$C$32, 30.142, 30.1384) * CHOOSE(CONTROL!$C$15, $D$11, 100%, $F$11)</f>
        <v>30.141999999999999</v>
      </c>
      <c r="D924" s="8">
        <f>CHOOSE( CONTROL!$C$32, 30.1803, 30.1767) * CHOOSE( CONTROL!$C$15, $D$11, 100%, $F$11)</f>
        <v>30.180299999999999</v>
      </c>
      <c r="E924" s="12">
        <f>CHOOSE( CONTROL!$C$32, 30.1652, 30.1616) * CHOOSE( CONTROL!$C$15, $D$11, 100%, $F$11)</f>
        <v>30.165199999999999</v>
      </c>
      <c r="F924" s="4">
        <f>CHOOSE( CONTROL!$C$32, 30.8771, 30.8734) * CHOOSE(CONTROL!$C$15, $D$11, 100%, $F$11)</f>
        <v>30.877099999999999</v>
      </c>
      <c r="G924" s="8">
        <f>CHOOSE( CONTROL!$C$32, 29.7878, 29.7842) * CHOOSE( CONTROL!$C$15, $D$11, 100%, $F$11)</f>
        <v>29.787800000000001</v>
      </c>
      <c r="H924" s="4">
        <f>CHOOSE( CONTROL!$C$32, 30.7621, 30.7585) * CHOOSE(CONTROL!$C$15, $D$11, 100%, $F$11)</f>
        <v>30.7621</v>
      </c>
      <c r="I924" s="8">
        <f>CHOOSE( CONTROL!$C$32, 29.3929, 29.3894) * CHOOSE(CONTROL!$C$15, $D$11, 100%, $F$11)</f>
        <v>29.392900000000001</v>
      </c>
      <c r="J924" s="4">
        <f>CHOOSE( CONTROL!$C$32, 29.2343, 29.2308) * CHOOSE(CONTROL!$C$15, $D$11, 100%, $F$11)</f>
        <v>29.234300000000001</v>
      </c>
      <c r="K924" s="4"/>
      <c r="L924" s="9">
        <v>30.7165</v>
      </c>
      <c r="M924" s="9">
        <v>12.063700000000001</v>
      </c>
      <c r="N924" s="9">
        <v>4.9444999999999997</v>
      </c>
      <c r="O924" s="9">
        <v>0.37409999999999999</v>
      </c>
      <c r="P924" s="9">
        <v>1.2183999999999999</v>
      </c>
      <c r="Q924" s="9">
        <v>19.688099999999999</v>
      </c>
      <c r="R924" s="9"/>
      <c r="S924" s="11"/>
    </row>
    <row r="925" spans="1:19" ht="15.75">
      <c r="A925" s="13">
        <v>69671</v>
      </c>
      <c r="B925" s="8">
        <f>CHOOSE( CONTROL!$C$32, 29.5032, 29.4995) * CHOOSE(CONTROL!$C$15, $D$11, 100%, $F$11)</f>
        <v>29.5032</v>
      </c>
      <c r="C925" s="8">
        <f>CHOOSE( CONTROL!$C$32, 29.5111, 29.5075) * CHOOSE(CONTROL!$C$15, $D$11, 100%, $F$11)</f>
        <v>29.511099999999999</v>
      </c>
      <c r="D925" s="8">
        <f>CHOOSE( CONTROL!$C$32, 29.5493, 29.5457) * CHOOSE( CONTROL!$C$15, $D$11, 100%, $F$11)</f>
        <v>29.549299999999999</v>
      </c>
      <c r="E925" s="12">
        <f>CHOOSE( CONTROL!$C$32, 29.5343, 29.5306) * CHOOSE( CONTROL!$C$15, $D$11, 100%, $F$11)</f>
        <v>29.534300000000002</v>
      </c>
      <c r="F925" s="4">
        <f>CHOOSE( CONTROL!$C$32, 30.2462, 30.2425) * CHOOSE(CONTROL!$C$15, $D$11, 100%, $F$11)</f>
        <v>30.246200000000002</v>
      </c>
      <c r="G925" s="8">
        <f>CHOOSE( CONTROL!$C$32, 29.1642, 29.1606) * CHOOSE( CONTROL!$C$15, $D$11, 100%, $F$11)</f>
        <v>29.164200000000001</v>
      </c>
      <c r="H925" s="4">
        <f>CHOOSE( CONTROL!$C$32, 30.1386, 30.135) * CHOOSE(CONTROL!$C$15, $D$11, 100%, $F$11)</f>
        <v>30.1386</v>
      </c>
      <c r="I925" s="8">
        <f>CHOOSE( CONTROL!$C$32, 28.7799, 28.7764) * CHOOSE(CONTROL!$C$15, $D$11, 100%, $F$11)</f>
        <v>28.779900000000001</v>
      </c>
      <c r="J925" s="4">
        <f>CHOOSE( CONTROL!$C$32, 28.622, 28.6185) * CHOOSE(CONTROL!$C$15, $D$11, 100%, $F$11)</f>
        <v>28.622</v>
      </c>
      <c r="K925" s="4"/>
      <c r="L925" s="9">
        <v>29.7257</v>
      </c>
      <c r="M925" s="9">
        <v>11.6745</v>
      </c>
      <c r="N925" s="9">
        <v>4.7850000000000001</v>
      </c>
      <c r="O925" s="9">
        <v>0.36199999999999999</v>
      </c>
      <c r="P925" s="9">
        <v>1.1791</v>
      </c>
      <c r="Q925" s="9">
        <v>19.053000000000001</v>
      </c>
      <c r="R925" s="9"/>
      <c r="S925" s="11"/>
    </row>
    <row r="926" spans="1:19" ht="15.75">
      <c r="A926" s="13">
        <v>69702</v>
      </c>
      <c r="B926" s="8">
        <f>30.8078 * CHOOSE(CONTROL!$C$15, $D$11, 100%, $F$11)</f>
        <v>30.8078</v>
      </c>
      <c r="C926" s="8">
        <f>30.8131 * CHOOSE(CONTROL!$C$15, $D$11, 100%, $F$11)</f>
        <v>30.813099999999999</v>
      </c>
      <c r="D926" s="8">
        <f>30.8566 * CHOOSE( CONTROL!$C$15, $D$11, 100%, $F$11)</f>
        <v>30.8566</v>
      </c>
      <c r="E926" s="12">
        <f>30.8417 * CHOOSE( CONTROL!$C$15, $D$11, 100%, $F$11)</f>
        <v>30.841699999999999</v>
      </c>
      <c r="F926" s="4">
        <f>31.5525 * CHOOSE(CONTROL!$C$15, $D$11, 100%, $F$11)</f>
        <v>31.552499999999998</v>
      </c>
      <c r="G926" s="8">
        <f>30.4547 * CHOOSE( CONTROL!$C$15, $D$11, 100%, $F$11)</f>
        <v>30.454699999999999</v>
      </c>
      <c r="H926" s="4">
        <f>31.4296 * CHOOSE(CONTROL!$C$15, $D$11, 100%, $F$11)</f>
        <v>31.429600000000001</v>
      </c>
      <c r="I926" s="8">
        <f>30.0491 * CHOOSE(CONTROL!$C$15, $D$11, 100%, $F$11)</f>
        <v>30.049099999999999</v>
      </c>
      <c r="J926" s="4">
        <f>29.8898 * CHOOSE(CONTROL!$C$15, $D$11, 100%, $F$11)</f>
        <v>29.889800000000001</v>
      </c>
      <c r="K926" s="4"/>
      <c r="L926" s="9">
        <v>31.095300000000002</v>
      </c>
      <c r="M926" s="9">
        <v>12.063700000000001</v>
      </c>
      <c r="N926" s="9">
        <v>4.9444999999999997</v>
      </c>
      <c r="O926" s="9">
        <v>0.37409999999999999</v>
      </c>
      <c r="P926" s="9">
        <v>1.2183999999999999</v>
      </c>
      <c r="Q926" s="9">
        <v>19.688099999999999</v>
      </c>
      <c r="R926" s="9"/>
      <c r="S926" s="11"/>
    </row>
    <row r="927" spans="1:19" ht="15.75">
      <c r="A927" s="13">
        <v>69732</v>
      </c>
      <c r="B927" s="8">
        <f>33.2253 * CHOOSE(CONTROL!$C$15, $D$11, 100%, $F$11)</f>
        <v>33.225299999999997</v>
      </c>
      <c r="C927" s="8">
        <f>33.2304 * CHOOSE(CONTROL!$C$15, $D$11, 100%, $F$11)</f>
        <v>33.230400000000003</v>
      </c>
      <c r="D927" s="8">
        <f>33.214 * CHOOSE( CONTROL!$C$15, $D$11, 100%, $F$11)</f>
        <v>33.213999999999999</v>
      </c>
      <c r="E927" s="12">
        <f>33.2195 * CHOOSE( CONTROL!$C$15, $D$11, 100%, $F$11)</f>
        <v>33.219499999999996</v>
      </c>
      <c r="F927" s="4">
        <f>33.8906 * CHOOSE(CONTROL!$C$15, $D$11, 100%, $F$11)</f>
        <v>33.890599999999999</v>
      </c>
      <c r="G927" s="8">
        <f>32.845 * CHOOSE( CONTROL!$C$15, $D$11, 100%, $F$11)</f>
        <v>32.844999999999999</v>
      </c>
      <c r="H927" s="4">
        <f>33.7404 * CHOOSE(CONTROL!$C$15, $D$11, 100%, $F$11)</f>
        <v>33.740400000000001</v>
      </c>
      <c r="I927" s="8">
        <f>32.397 * CHOOSE(CONTROL!$C$15, $D$11, 100%, $F$11)</f>
        <v>32.396999999999998</v>
      </c>
      <c r="J927" s="4">
        <f>32.2364 * CHOOSE(CONTROL!$C$15, $D$11, 100%, $F$11)</f>
        <v>32.236400000000003</v>
      </c>
      <c r="K927" s="4"/>
      <c r="L927" s="9">
        <v>28.360600000000002</v>
      </c>
      <c r="M927" s="9">
        <v>11.6745</v>
      </c>
      <c r="N927" s="9">
        <v>4.7850000000000001</v>
      </c>
      <c r="O927" s="9">
        <v>0.36199999999999999</v>
      </c>
      <c r="P927" s="9">
        <v>1.2509999999999999</v>
      </c>
      <c r="Q927" s="9">
        <v>19.053000000000001</v>
      </c>
      <c r="R927" s="9"/>
      <c r="S927" s="11"/>
    </row>
    <row r="928" spans="1:19" ht="15.75">
      <c r="A928" s="13">
        <v>69763</v>
      </c>
      <c r="B928" s="8">
        <f>33.1649 * CHOOSE(CONTROL!$C$15, $D$11, 100%, $F$11)</f>
        <v>33.164900000000003</v>
      </c>
      <c r="C928" s="8">
        <f>33.17 * CHOOSE(CONTROL!$C$15, $D$11, 100%, $F$11)</f>
        <v>33.17</v>
      </c>
      <c r="D928" s="8">
        <f>33.1553 * CHOOSE( CONTROL!$C$15, $D$11, 100%, $F$11)</f>
        <v>33.155299999999997</v>
      </c>
      <c r="E928" s="12">
        <f>33.1601 * CHOOSE( CONTROL!$C$15, $D$11, 100%, $F$11)</f>
        <v>33.1601</v>
      </c>
      <c r="F928" s="4">
        <f>33.8302 * CHOOSE(CONTROL!$C$15, $D$11, 100%, $F$11)</f>
        <v>33.830199999999998</v>
      </c>
      <c r="G928" s="8">
        <f>32.7865 * CHOOSE( CONTROL!$C$15, $D$11, 100%, $F$11)</f>
        <v>32.786499999999997</v>
      </c>
      <c r="H928" s="4">
        <f>33.6806 * CHOOSE(CONTROL!$C$15, $D$11, 100%, $F$11)</f>
        <v>33.680599999999998</v>
      </c>
      <c r="I928" s="8">
        <f>32.3438 * CHOOSE(CONTROL!$C$15, $D$11, 100%, $F$11)</f>
        <v>32.343800000000002</v>
      </c>
      <c r="J928" s="4">
        <f>32.1778 * CHOOSE(CONTROL!$C$15, $D$11, 100%, $F$11)</f>
        <v>32.177799999999998</v>
      </c>
      <c r="K928" s="4"/>
      <c r="L928" s="9">
        <v>29.306000000000001</v>
      </c>
      <c r="M928" s="9">
        <v>12.063700000000001</v>
      </c>
      <c r="N928" s="9">
        <v>4.9444999999999997</v>
      </c>
      <c r="O928" s="9">
        <v>0.37409999999999999</v>
      </c>
      <c r="P928" s="9">
        <v>1.2927</v>
      </c>
      <c r="Q928" s="9">
        <v>19.688099999999999</v>
      </c>
      <c r="R928" s="9"/>
      <c r="S928" s="11"/>
    </row>
    <row r="929" spans="1:19" ht="15.75">
      <c r="A929" s="13">
        <v>69794</v>
      </c>
      <c r="B929" s="8">
        <f>34.1429 * CHOOSE(CONTROL!$C$15, $D$11, 100%, $F$11)</f>
        <v>34.142899999999997</v>
      </c>
      <c r="C929" s="8">
        <f>34.148 * CHOOSE(CONTROL!$C$15, $D$11, 100%, $F$11)</f>
        <v>34.148000000000003</v>
      </c>
      <c r="D929" s="8">
        <f>34.1191 * CHOOSE( CONTROL!$C$15, $D$11, 100%, $F$11)</f>
        <v>34.119100000000003</v>
      </c>
      <c r="E929" s="12">
        <f>34.1291 * CHOOSE( CONTROL!$C$15, $D$11, 100%, $F$11)</f>
        <v>34.129100000000001</v>
      </c>
      <c r="F929" s="4">
        <f>34.8082 * CHOOSE(CONTROL!$C$15, $D$11, 100%, $F$11)</f>
        <v>34.808199999999999</v>
      </c>
      <c r="G929" s="8">
        <f>33.7428 * CHOOSE( CONTROL!$C$15, $D$11, 100%, $F$11)</f>
        <v>33.742800000000003</v>
      </c>
      <c r="H929" s="4">
        <f>34.6472 * CHOOSE(CONTROL!$C$15, $D$11, 100%, $F$11)</f>
        <v>34.647199999999998</v>
      </c>
      <c r="I929" s="8">
        <f>33.288 * CHOOSE(CONTROL!$C$15, $D$11, 100%, $F$11)</f>
        <v>33.287999999999997</v>
      </c>
      <c r="J929" s="4">
        <f>33.1269 * CHOOSE(CONTROL!$C$15, $D$11, 100%, $F$11)</f>
        <v>33.126899999999999</v>
      </c>
      <c r="K929" s="4"/>
      <c r="L929" s="9">
        <v>29.306000000000001</v>
      </c>
      <c r="M929" s="9">
        <v>12.063700000000001</v>
      </c>
      <c r="N929" s="9">
        <v>4.9444999999999997</v>
      </c>
      <c r="O929" s="9">
        <v>0.37409999999999999</v>
      </c>
      <c r="P929" s="9">
        <v>1.2927</v>
      </c>
      <c r="Q929" s="9">
        <v>19.688099999999999</v>
      </c>
      <c r="R929" s="9"/>
      <c r="S929" s="11"/>
    </row>
    <row r="930" spans="1:19" ht="15.75">
      <c r="A930" s="13">
        <v>69822</v>
      </c>
      <c r="B930" s="8">
        <f>31.9362 * CHOOSE(CONTROL!$C$15, $D$11, 100%, $F$11)</f>
        <v>31.936199999999999</v>
      </c>
      <c r="C930" s="8">
        <f>31.9413 * CHOOSE(CONTROL!$C$15, $D$11, 100%, $F$11)</f>
        <v>31.941299999999998</v>
      </c>
      <c r="D930" s="8">
        <f>31.9124 * CHOOSE( CONTROL!$C$15, $D$11, 100%, $F$11)</f>
        <v>31.912400000000002</v>
      </c>
      <c r="E930" s="12">
        <f>31.9224 * CHOOSE( CONTROL!$C$15, $D$11, 100%, $F$11)</f>
        <v>31.9224</v>
      </c>
      <c r="F930" s="4">
        <f>32.6015 * CHOOSE(CONTROL!$C$15, $D$11, 100%, $F$11)</f>
        <v>32.601500000000001</v>
      </c>
      <c r="G930" s="8">
        <f>31.5619 * CHOOSE( CONTROL!$C$15, $D$11, 100%, $F$11)</f>
        <v>31.561900000000001</v>
      </c>
      <c r="H930" s="4">
        <f>32.4663 * CHOOSE(CONTROL!$C$15, $D$11, 100%, $F$11)</f>
        <v>32.466299999999997</v>
      </c>
      <c r="I930" s="8">
        <f>31.1453 * CHOOSE(CONTROL!$C$15, $D$11, 100%, $F$11)</f>
        <v>31.145299999999999</v>
      </c>
      <c r="J930" s="4">
        <f>30.9853 * CHOOSE(CONTROL!$C$15, $D$11, 100%, $F$11)</f>
        <v>30.985299999999999</v>
      </c>
      <c r="K930" s="4"/>
      <c r="L930" s="9">
        <v>26.469899999999999</v>
      </c>
      <c r="M930" s="9">
        <v>10.8962</v>
      </c>
      <c r="N930" s="9">
        <v>4.4660000000000002</v>
      </c>
      <c r="O930" s="9">
        <v>0.33789999999999998</v>
      </c>
      <c r="P930" s="9">
        <v>1.1676</v>
      </c>
      <c r="Q930" s="9">
        <v>17.782800000000002</v>
      </c>
      <c r="R930" s="9"/>
      <c r="S930" s="11"/>
    </row>
    <row r="931" spans="1:19" ht="15.75">
      <c r="A931" s="13">
        <v>69853</v>
      </c>
      <c r="B931" s="8">
        <f>31.2565 * CHOOSE(CONTROL!$C$15, $D$11, 100%, $F$11)</f>
        <v>31.256499999999999</v>
      </c>
      <c r="C931" s="8">
        <f>31.2616 * CHOOSE(CONTROL!$C$15, $D$11, 100%, $F$11)</f>
        <v>31.261600000000001</v>
      </c>
      <c r="D931" s="8">
        <f>31.2323 * CHOOSE( CONTROL!$C$15, $D$11, 100%, $F$11)</f>
        <v>31.232299999999999</v>
      </c>
      <c r="E931" s="12">
        <f>31.2425 * CHOOSE( CONTROL!$C$15, $D$11, 100%, $F$11)</f>
        <v>31.2425</v>
      </c>
      <c r="F931" s="4">
        <f>31.9218 * CHOOSE(CONTROL!$C$15, $D$11, 100%, $F$11)</f>
        <v>31.921800000000001</v>
      </c>
      <c r="G931" s="8">
        <f>30.8899 * CHOOSE( CONTROL!$C$15, $D$11, 100%, $F$11)</f>
        <v>30.889900000000001</v>
      </c>
      <c r="H931" s="4">
        <f>31.7946 * CHOOSE(CONTROL!$C$15, $D$11, 100%, $F$11)</f>
        <v>31.794599999999999</v>
      </c>
      <c r="I931" s="8">
        <f>30.4841 * CHOOSE(CONTROL!$C$15, $D$11, 100%, $F$11)</f>
        <v>30.484100000000002</v>
      </c>
      <c r="J931" s="4">
        <f>30.3257 * CHOOSE(CONTROL!$C$15, $D$11, 100%, $F$11)</f>
        <v>30.325700000000001</v>
      </c>
      <c r="K931" s="4"/>
      <c r="L931" s="9">
        <v>29.306000000000001</v>
      </c>
      <c r="M931" s="9">
        <v>12.063700000000001</v>
      </c>
      <c r="N931" s="9">
        <v>4.9444999999999997</v>
      </c>
      <c r="O931" s="9">
        <v>0.37409999999999999</v>
      </c>
      <c r="P931" s="9">
        <v>1.2927</v>
      </c>
      <c r="Q931" s="9">
        <v>19.688099999999999</v>
      </c>
      <c r="R931" s="9"/>
      <c r="S931" s="11"/>
    </row>
    <row r="932" spans="1:19" ht="15.75">
      <c r="A932" s="13">
        <v>69883</v>
      </c>
      <c r="B932" s="8">
        <f>31.7322 * CHOOSE(CONTROL!$C$15, $D$11, 100%, $F$11)</f>
        <v>31.732199999999999</v>
      </c>
      <c r="C932" s="8">
        <f>31.7367 * CHOOSE(CONTROL!$C$15, $D$11, 100%, $F$11)</f>
        <v>31.736699999999999</v>
      </c>
      <c r="D932" s="8">
        <f>31.7801 * CHOOSE( CONTROL!$C$15, $D$11, 100%, $F$11)</f>
        <v>31.780100000000001</v>
      </c>
      <c r="E932" s="12">
        <f>31.7653 * CHOOSE( CONTROL!$C$15, $D$11, 100%, $F$11)</f>
        <v>31.7653</v>
      </c>
      <c r="F932" s="4">
        <f>32.4766 * CHOOSE(CONTROL!$C$15, $D$11, 100%, $F$11)</f>
        <v>32.476599999999998</v>
      </c>
      <c r="G932" s="8">
        <f>31.3671 * CHOOSE( CONTROL!$C$15, $D$11, 100%, $F$11)</f>
        <v>31.367100000000001</v>
      </c>
      <c r="H932" s="4">
        <f>32.3429 * CHOOSE(CONTROL!$C$15, $D$11, 100%, $F$11)</f>
        <v>32.3429</v>
      </c>
      <c r="I932" s="8">
        <f>30.9435 * CHOOSE(CONTROL!$C$15, $D$11, 100%, $F$11)</f>
        <v>30.9435</v>
      </c>
      <c r="J932" s="4">
        <f>30.7866 * CHOOSE(CONTROL!$C$15, $D$11, 100%, $F$11)</f>
        <v>30.7866</v>
      </c>
      <c r="K932" s="4"/>
      <c r="L932" s="9">
        <v>30.092199999999998</v>
      </c>
      <c r="M932" s="9">
        <v>11.6745</v>
      </c>
      <c r="N932" s="9">
        <v>4.7850000000000001</v>
      </c>
      <c r="O932" s="9">
        <v>0.36199999999999999</v>
      </c>
      <c r="P932" s="9">
        <v>1.1791</v>
      </c>
      <c r="Q932" s="9">
        <v>19.053000000000001</v>
      </c>
      <c r="R932" s="9"/>
      <c r="S932" s="11"/>
    </row>
    <row r="933" spans="1:19" ht="15.75">
      <c r="A933" s="13">
        <v>69914</v>
      </c>
      <c r="B933" s="8">
        <f>CHOOSE( CONTROL!$C$32, 32.5825, 32.5789) * CHOOSE(CONTROL!$C$15, $D$11, 100%, $F$11)</f>
        <v>32.582500000000003</v>
      </c>
      <c r="C933" s="8">
        <f>CHOOSE( CONTROL!$C$32, 32.5905, 32.5868) * CHOOSE(CONTROL!$C$15, $D$11, 100%, $F$11)</f>
        <v>32.590499999999999</v>
      </c>
      <c r="D933" s="8">
        <f>CHOOSE( CONTROL!$C$32, 32.6282, 32.6246) * CHOOSE( CONTROL!$C$15, $D$11, 100%, $F$11)</f>
        <v>32.6282</v>
      </c>
      <c r="E933" s="12">
        <f>CHOOSE( CONTROL!$C$32, 32.6133, 32.6097) * CHOOSE( CONTROL!$C$15, $D$11, 100%, $F$11)</f>
        <v>32.613300000000002</v>
      </c>
      <c r="F933" s="4">
        <f>CHOOSE( CONTROL!$C$32, 33.3255, 33.3219) * CHOOSE(CONTROL!$C$15, $D$11, 100%, $F$11)</f>
        <v>33.325499999999998</v>
      </c>
      <c r="G933" s="8">
        <f>CHOOSE( CONTROL!$C$32, 32.2068, 32.2032) * CHOOSE( CONTROL!$C$15, $D$11, 100%, $F$11)</f>
        <v>32.206800000000001</v>
      </c>
      <c r="H933" s="4">
        <f>CHOOSE( CONTROL!$C$32, 33.1819, 33.1783) * CHOOSE(CONTROL!$C$15, $D$11, 100%, $F$11)</f>
        <v>33.181899999999999</v>
      </c>
      <c r="I933" s="8">
        <f>CHOOSE( CONTROL!$C$32, 31.7679, 31.7643) * CHOOSE(CONTROL!$C$15, $D$11, 100%, $F$11)</f>
        <v>31.767900000000001</v>
      </c>
      <c r="J933" s="4">
        <f>CHOOSE( CONTROL!$C$32, 31.6105, 31.607) * CHOOSE(CONTROL!$C$15, $D$11, 100%, $F$11)</f>
        <v>31.610499999999998</v>
      </c>
      <c r="K933" s="4"/>
      <c r="L933" s="9">
        <v>30.7165</v>
      </c>
      <c r="M933" s="9">
        <v>12.063700000000001</v>
      </c>
      <c r="N933" s="9">
        <v>4.9444999999999997</v>
      </c>
      <c r="O933" s="9">
        <v>0.37409999999999999</v>
      </c>
      <c r="P933" s="9">
        <v>1.2183999999999999</v>
      </c>
      <c r="Q933" s="9">
        <v>19.688099999999999</v>
      </c>
      <c r="R933" s="9"/>
      <c r="S933" s="11"/>
    </row>
    <row r="934" spans="1:19" ht="15.75">
      <c r="A934" s="13">
        <v>69944</v>
      </c>
      <c r="B934" s="8">
        <f>CHOOSE( CONTROL!$C$32, 32.0589, 32.0553) * CHOOSE(CONTROL!$C$15, $D$11, 100%, $F$11)</f>
        <v>32.058900000000001</v>
      </c>
      <c r="C934" s="8">
        <f>CHOOSE( CONTROL!$C$32, 32.0669, 32.0632) * CHOOSE(CONTROL!$C$15, $D$11, 100%, $F$11)</f>
        <v>32.066899999999997</v>
      </c>
      <c r="D934" s="8">
        <f>CHOOSE( CONTROL!$C$32, 32.1048, 32.1012) * CHOOSE( CONTROL!$C$15, $D$11, 100%, $F$11)</f>
        <v>32.104799999999997</v>
      </c>
      <c r="E934" s="12">
        <f>CHOOSE( CONTROL!$C$32, 32.0898, 32.0862) * CHOOSE( CONTROL!$C$15, $D$11, 100%, $F$11)</f>
        <v>32.089799999999997</v>
      </c>
      <c r="F934" s="4">
        <f>CHOOSE( CONTROL!$C$32, 32.8019, 32.7983) * CHOOSE(CONTROL!$C$15, $D$11, 100%, $F$11)</f>
        <v>32.801900000000003</v>
      </c>
      <c r="G934" s="8">
        <f>CHOOSE( CONTROL!$C$32, 31.6897, 31.6861) * CHOOSE( CONTROL!$C$15, $D$11, 100%, $F$11)</f>
        <v>31.689699999999998</v>
      </c>
      <c r="H934" s="4">
        <f>CHOOSE( CONTROL!$C$32, 32.6644, 32.6608) * CHOOSE(CONTROL!$C$15, $D$11, 100%, $F$11)</f>
        <v>32.664400000000001</v>
      </c>
      <c r="I934" s="8">
        <f>CHOOSE( CONTROL!$C$32, 31.2605, 31.257) * CHOOSE(CONTROL!$C$15, $D$11, 100%, $F$11)</f>
        <v>31.2605</v>
      </c>
      <c r="J934" s="4">
        <f>CHOOSE( CONTROL!$C$32, 31.1023, 31.0988) * CHOOSE(CONTROL!$C$15, $D$11, 100%, $F$11)</f>
        <v>31.1023</v>
      </c>
      <c r="K934" s="4"/>
      <c r="L934" s="9">
        <v>29.7257</v>
      </c>
      <c r="M934" s="9">
        <v>11.6745</v>
      </c>
      <c r="N934" s="9">
        <v>4.7850000000000001</v>
      </c>
      <c r="O934" s="9">
        <v>0.36199999999999999</v>
      </c>
      <c r="P934" s="9">
        <v>1.1791</v>
      </c>
      <c r="Q934" s="9">
        <v>19.053000000000001</v>
      </c>
      <c r="R934" s="9"/>
      <c r="S934" s="11"/>
    </row>
    <row r="935" spans="1:19" ht="15.75">
      <c r="A935" s="13">
        <v>69975</v>
      </c>
      <c r="B935" s="8">
        <f>CHOOSE( CONTROL!$C$32, 33.4378, 33.4341) * CHOOSE(CONTROL!$C$15, $D$11, 100%, $F$11)</f>
        <v>33.437800000000003</v>
      </c>
      <c r="C935" s="8">
        <f>CHOOSE( CONTROL!$C$32, 33.4457, 33.4421) * CHOOSE(CONTROL!$C$15, $D$11, 100%, $F$11)</f>
        <v>33.445700000000002</v>
      </c>
      <c r="D935" s="8">
        <f>CHOOSE( CONTROL!$C$32, 33.4839, 33.4803) * CHOOSE( CONTROL!$C$15, $D$11, 100%, $F$11)</f>
        <v>33.483899999999998</v>
      </c>
      <c r="E935" s="12">
        <f>CHOOSE( CONTROL!$C$32, 33.4689, 33.4652) * CHOOSE( CONTROL!$C$15, $D$11, 100%, $F$11)</f>
        <v>33.468899999999998</v>
      </c>
      <c r="F935" s="4">
        <f>CHOOSE( CONTROL!$C$32, 34.1808, 34.1771) * CHOOSE(CONTROL!$C$15, $D$11, 100%, $F$11)</f>
        <v>34.180799999999998</v>
      </c>
      <c r="G935" s="8">
        <f>CHOOSE( CONTROL!$C$32, 33.0528, 33.0492) * CHOOSE( CONTROL!$C$15, $D$11, 100%, $F$11)</f>
        <v>33.052799999999998</v>
      </c>
      <c r="H935" s="4">
        <f>CHOOSE( CONTROL!$C$32, 34.0271, 34.0235) * CHOOSE(CONTROL!$C$15, $D$11, 100%, $F$11)</f>
        <v>34.027099999999997</v>
      </c>
      <c r="I935" s="8">
        <f>CHOOSE( CONTROL!$C$32, 32.6005, 32.5969) * CHOOSE(CONTROL!$C$15, $D$11, 100%, $F$11)</f>
        <v>32.600499999999997</v>
      </c>
      <c r="J935" s="4">
        <f>CHOOSE( CONTROL!$C$32, 32.4405, 32.437) * CHOOSE(CONTROL!$C$15, $D$11, 100%, $F$11)</f>
        <v>32.4405</v>
      </c>
      <c r="K935" s="4"/>
      <c r="L935" s="9">
        <v>30.7165</v>
      </c>
      <c r="M935" s="9">
        <v>12.063700000000001</v>
      </c>
      <c r="N935" s="9">
        <v>4.9444999999999997</v>
      </c>
      <c r="O935" s="9">
        <v>0.37409999999999999</v>
      </c>
      <c r="P935" s="9">
        <v>1.2183999999999999</v>
      </c>
      <c r="Q935" s="9">
        <v>19.688099999999999</v>
      </c>
      <c r="R935" s="9"/>
      <c r="S935" s="11"/>
    </row>
    <row r="936" spans="1:19" ht="15.75">
      <c r="A936" s="13">
        <v>70006</v>
      </c>
      <c r="B936" s="8">
        <f>CHOOSE( CONTROL!$C$32, 30.8578, 30.8541) * CHOOSE(CONTROL!$C$15, $D$11, 100%, $F$11)</f>
        <v>30.857800000000001</v>
      </c>
      <c r="C936" s="8">
        <f>CHOOSE( CONTROL!$C$32, 30.8657, 30.8621) * CHOOSE(CONTROL!$C$15, $D$11, 100%, $F$11)</f>
        <v>30.8657</v>
      </c>
      <c r="D936" s="8">
        <f>CHOOSE( CONTROL!$C$32, 30.904, 30.9003) * CHOOSE( CONTROL!$C$15, $D$11, 100%, $F$11)</f>
        <v>30.904</v>
      </c>
      <c r="E936" s="12">
        <f>CHOOSE( CONTROL!$C$32, 30.8889, 30.8852) * CHOOSE( CONTROL!$C$15, $D$11, 100%, $F$11)</f>
        <v>30.8889</v>
      </c>
      <c r="F936" s="4">
        <f>CHOOSE( CONTROL!$C$32, 31.6008, 31.5971) * CHOOSE(CONTROL!$C$15, $D$11, 100%, $F$11)</f>
        <v>31.6008</v>
      </c>
      <c r="G936" s="8">
        <f>CHOOSE( CONTROL!$C$32, 30.5031, 30.4995) * CHOOSE( CONTROL!$C$15, $D$11, 100%, $F$11)</f>
        <v>30.5031</v>
      </c>
      <c r="H936" s="4">
        <f>CHOOSE( CONTROL!$C$32, 31.4773, 31.4737) * CHOOSE(CONTROL!$C$15, $D$11, 100%, $F$11)</f>
        <v>31.4773</v>
      </c>
      <c r="I936" s="8">
        <f>CHOOSE( CONTROL!$C$32, 30.0956, 30.0921) * CHOOSE(CONTROL!$C$15, $D$11, 100%, $F$11)</f>
        <v>30.095600000000001</v>
      </c>
      <c r="J936" s="4">
        <f>CHOOSE( CONTROL!$C$32, 29.9366, 29.9331) * CHOOSE(CONTROL!$C$15, $D$11, 100%, $F$11)</f>
        <v>29.936599999999999</v>
      </c>
      <c r="K936" s="4"/>
      <c r="L936" s="9">
        <v>30.7165</v>
      </c>
      <c r="M936" s="9">
        <v>12.063700000000001</v>
      </c>
      <c r="N936" s="9">
        <v>4.9444999999999997</v>
      </c>
      <c r="O936" s="9">
        <v>0.37409999999999999</v>
      </c>
      <c r="P936" s="9">
        <v>1.2183999999999999</v>
      </c>
      <c r="Q936" s="9">
        <v>19.688099999999999</v>
      </c>
      <c r="R936" s="9"/>
      <c r="S936" s="11"/>
    </row>
    <row r="937" spans="1:19" ht="15.75">
      <c r="A937" s="13">
        <v>70036</v>
      </c>
      <c r="B937" s="8">
        <f>CHOOSE( CONTROL!$C$32, 30.2117, 30.208) * CHOOSE(CONTROL!$C$15, $D$11, 100%, $F$11)</f>
        <v>30.2117</v>
      </c>
      <c r="C937" s="8">
        <f>CHOOSE( CONTROL!$C$32, 30.2197, 30.216) * CHOOSE(CONTROL!$C$15, $D$11, 100%, $F$11)</f>
        <v>30.2197</v>
      </c>
      <c r="D937" s="8">
        <f>CHOOSE( CONTROL!$C$32, 30.2578, 30.2542) * CHOOSE( CONTROL!$C$15, $D$11, 100%, $F$11)</f>
        <v>30.2578</v>
      </c>
      <c r="E937" s="12">
        <f>CHOOSE( CONTROL!$C$32, 30.2428, 30.2391) * CHOOSE( CONTROL!$C$15, $D$11, 100%, $F$11)</f>
        <v>30.242799999999999</v>
      </c>
      <c r="F937" s="4">
        <f>CHOOSE( CONTROL!$C$32, 30.9547, 30.9511) * CHOOSE(CONTROL!$C$15, $D$11, 100%, $F$11)</f>
        <v>30.954699999999999</v>
      </c>
      <c r="G937" s="8">
        <f>CHOOSE( CONTROL!$C$32, 29.8644, 29.8608) * CHOOSE( CONTROL!$C$15, $D$11, 100%, $F$11)</f>
        <v>29.8644</v>
      </c>
      <c r="H937" s="4">
        <f>CHOOSE( CONTROL!$C$32, 30.8388, 30.8352) * CHOOSE(CONTROL!$C$15, $D$11, 100%, $F$11)</f>
        <v>30.838799999999999</v>
      </c>
      <c r="I937" s="8">
        <f>CHOOSE( CONTROL!$C$32, 29.4679, 29.4644) * CHOOSE(CONTROL!$C$15, $D$11, 100%, $F$11)</f>
        <v>29.4679</v>
      </c>
      <c r="J937" s="4">
        <f>CHOOSE( CONTROL!$C$32, 29.3096, 29.3061) * CHOOSE(CONTROL!$C$15, $D$11, 100%, $F$11)</f>
        <v>29.3096</v>
      </c>
      <c r="K937" s="4"/>
      <c r="L937" s="9">
        <v>29.7257</v>
      </c>
      <c r="M937" s="9">
        <v>11.6745</v>
      </c>
      <c r="N937" s="9">
        <v>4.7850000000000001</v>
      </c>
      <c r="O937" s="9">
        <v>0.36199999999999999</v>
      </c>
      <c r="P937" s="9">
        <v>1.1791</v>
      </c>
      <c r="Q937" s="9">
        <v>19.053000000000001</v>
      </c>
      <c r="R937" s="9"/>
      <c r="S937" s="11"/>
    </row>
    <row r="938" spans="1:19" ht="15.75">
      <c r="A938" s="13">
        <v>70067</v>
      </c>
      <c r="B938" s="8">
        <f>31.5478 * CHOOSE(CONTROL!$C$15, $D$11, 100%, $F$11)</f>
        <v>31.547799999999999</v>
      </c>
      <c r="C938" s="8">
        <f>31.5531 * CHOOSE(CONTROL!$C$15, $D$11, 100%, $F$11)</f>
        <v>31.553100000000001</v>
      </c>
      <c r="D938" s="8">
        <f>31.5966 * CHOOSE( CONTROL!$C$15, $D$11, 100%, $F$11)</f>
        <v>31.596599999999999</v>
      </c>
      <c r="E938" s="12">
        <f>31.5817 * CHOOSE( CONTROL!$C$15, $D$11, 100%, $F$11)</f>
        <v>31.581700000000001</v>
      </c>
      <c r="F938" s="4">
        <f>32.2925 * CHOOSE(CONTROL!$C$15, $D$11, 100%, $F$11)</f>
        <v>32.292499999999997</v>
      </c>
      <c r="G938" s="8">
        <f>31.1861 * CHOOSE( CONTROL!$C$15, $D$11, 100%, $F$11)</f>
        <v>31.1861</v>
      </c>
      <c r="H938" s="4">
        <f>32.161 * CHOOSE(CONTROL!$C$15, $D$11, 100%, $F$11)</f>
        <v>32.161000000000001</v>
      </c>
      <c r="I938" s="8">
        <f>30.7677 * CHOOSE(CONTROL!$C$15, $D$11, 100%, $F$11)</f>
        <v>30.767700000000001</v>
      </c>
      <c r="J938" s="4">
        <f>30.608 * CHOOSE(CONTROL!$C$15, $D$11, 100%, $F$11)</f>
        <v>30.608000000000001</v>
      </c>
      <c r="K938" s="4"/>
      <c r="L938" s="9">
        <v>31.095300000000002</v>
      </c>
      <c r="M938" s="9">
        <v>12.063700000000001</v>
      </c>
      <c r="N938" s="9">
        <v>4.9444999999999997</v>
      </c>
      <c r="O938" s="9">
        <v>0.37409999999999999</v>
      </c>
      <c r="P938" s="9">
        <v>1.2183999999999999</v>
      </c>
      <c r="Q938" s="9">
        <v>19.688099999999999</v>
      </c>
      <c r="R938" s="9"/>
      <c r="S938" s="11"/>
    </row>
    <row r="939" spans="1:19" ht="15.75">
      <c r="A939" s="13">
        <v>70097</v>
      </c>
      <c r="B939" s="8">
        <f>34.0234 * CHOOSE(CONTROL!$C$15, $D$11, 100%, $F$11)</f>
        <v>34.023400000000002</v>
      </c>
      <c r="C939" s="8">
        <f>34.0285 * CHOOSE(CONTROL!$C$15, $D$11, 100%, $F$11)</f>
        <v>34.028500000000001</v>
      </c>
      <c r="D939" s="8">
        <f>34.0121 * CHOOSE( CONTROL!$C$15, $D$11, 100%, $F$11)</f>
        <v>34.012099999999997</v>
      </c>
      <c r="E939" s="12">
        <f>34.0176 * CHOOSE( CONTROL!$C$15, $D$11, 100%, $F$11)</f>
        <v>34.017600000000002</v>
      </c>
      <c r="F939" s="4">
        <f>34.6887 * CHOOSE(CONTROL!$C$15, $D$11, 100%, $F$11)</f>
        <v>34.688699999999997</v>
      </c>
      <c r="G939" s="8">
        <f>33.6337 * CHOOSE( CONTROL!$C$15, $D$11, 100%, $F$11)</f>
        <v>33.633699999999997</v>
      </c>
      <c r="H939" s="4">
        <f>34.5291 * CHOOSE(CONTROL!$C$15, $D$11, 100%, $F$11)</f>
        <v>34.5291</v>
      </c>
      <c r="I939" s="8">
        <f>33.172 * CHOOSE(CONTROL!$C$15, $D$11, 100%, $F$11)</f>
        <v>33.171999999999997</v>
      </c>
      <c r="J939" s="4">
        <f>33.011 * CHOOSE(CONTROL!$C$15, $D$11, 100%, $F$11)</f>
        <v>33.011000000000003</v>
      </c>
      <c r="K939" s="4"/>
      <c r="L939" s="9">
        <v>28.360600000000002</v>
      </c>
      <c r="M939" s="9">
        <v>11.6745</v>
      </c>
      <c r="N939" s="9">
        <v>4.7850000000000001</v>
      </c>
      <c r="O939" s="9">
        <v>0.36199999999999999</v>
      </c>
      <c r="P939" s="9">
        <v>1.2509999999999999</v>
      </c>
      <c r="Q939" s="9">
        <v>19.053000000000001</v>
      </c>
      <c r="R939" s="9"/>
      <c r="S939" s="11"/>
    </row>
    <row r="940" spans="1:19" ht="15.75">
      <c r="A940" s="13">
        <v>70128</v>
      </c>
      <c r="B940" s="8">
        <f>33.9616 * CHOOSE(CONTROL!$C$15, $D$11, 100%, $F$11)</f>
        <v>33.961599999999997</v>
      </c>
      <c r="C940" s="8">
        <f>33.9666 * CHOOSE(CONTROL!$C$15, $D$11, 100%, $F$11)</f>
        <v>33.9666</v>
      </c>
      <c r="D940" s="8">
        <f>33.952 * CHOOSE( CONTROL!$C$15, $D$11, 100%, $F$11)</f>
        <v>33.951999999999998</v>
      </c>
      <c r="E940" s="12">
        <f>33.9568 * CHOOSE( CONTROL!$C$15, $D$11, 100%, $F$11)</f>
        <v>33.956800000000001</v>
      </c>
      <c r="F940" s="4">
        <f>34.6268 * CHOOSE(CONTROL!$C$15, $D$11, 100%, $F$11)</f>
        <v>34.626800000000003</v>
      </c>
      <c r="G940" s="8">
        <f>33.5738 * CHOOSE( CONTROL!$C$15, $D$11, 100%, $F$11)</f>
        <v>33.573799999999999</v>
      </c>
      <c r="H940" s="4">
        <f>34.468 * CHOOSE(CONTROL!$C$15, $D$11, 100%, $F$11)</f>
        <v>34.468000000000004</v>
      </c>
      <c r="I940" s="8">
        <f>33.1173 * CHOOSE(CONTROL!$C$15, $D$11, 100%, $F$11)</f>
        <v>33.1173</v>
      </c>
      <c r="J940" s="4">
        <f>32.9509 * CHOOSE(CONTROL!$C$15, $D$11, 100%, $F$11)</f>
        <v>32.950899999999997</v>
      </c>
      <c r="K940" s="4"/>
      <c r="L940" s="9">
        <v>29.306000000000001</v>
      </c>
      <c r="M940" s="9">
        <v>12.063700000000001</v>
      </c>
      <c r="N940" s="9">
        <v>4.9444999999999997</v>
      </c>
      <c r="O940" s="9">
        <v>0.37409999999999999</v>
      </c>
      <c r="P940" s="9">
        <v>1.2927</v>
      </c>
      <c r="Q940" s="9">
        <v>19.688099999999999</v>
      </c>
      <c r="R940" s="9"/>
      <c r="S940" s="11"/>
    </row>
    <row r="941" spans="1:19" ht="15.75">
      <c r="A941" s="13">
        <v>70159</v>
      </c>
      <c r="B941" s="8">
        <f>34.963 * CHOOSE(CONTROL!$C$15, $D$11, 100%, $F$11)</f>
        <v>34.963000000000001</v>
      </c>
      <c r="C941" s="8">
        <f>34.9681 * CHOOSE(CONTROL!$C$15, $D$11, 100%, $F$11)</f>
        <v>34.9681</v>
      </c>
      <c r="D941" s="8">
        <f>34.9392 * CHOOSE( CONTROL!$C$15, $D$11, 100%, $F$11)</f>
        <v>34.9392</v>
      </c>
      <c r="E941" s="12">
        <f>34.9492 * CHOOSE( CONTROL!$C$15, $D$11, 100%, $F$11)</f>
        <v>34.949199999999998</v>
      </c>
      <c r="F941" s="4">
        <f>35.6283 * CHOOSE(CONTROL!$C$15, $D$11, 100%, $F$11)</f>
        <v>35.628300000000003</v>
      </c>
      <c r="G941" s="8">
        <f>34.5533 * CHOOSE( CONTROL!$C$15, $D$11, 100%, $F$11)</f>
        <v>34.5533</v>
      </c>
      <c r="H941" s="4">
        <f>35.4577 * CHOOSE(CONTROL!$C$15, $D$11, 100%, $F$11)</f>
        <v>35.457700000000003</v>
      </c>
      <c r="I941" s="8">
        <f>34.0843 * CHOOSE(CONTROL!$C$15, $D$11, 100%, $F$11)</f>
        <v>34.084299999999999</v>
      </c>
      <c r="J941" s="4">
        <f>33.9229 * CHOOSE(CONTROL!$C$15, $D$11, 100%, $F$11)</f>
        <v>33.922899999999998</v>
      </c>
      <c r="K941" s="4"/>
      <c r="L941" s="9">
        <v>29.306000000000001</v>
      </c>
      <c r="M941" s="9">
        <v>12.063700000000001</v>
      </c>
      <c r="N941" s="9">
        <v>4.9444999999999997</v>
      </c>
      <c r="O941" s="9">
        <v>0.37409999999999999</v>
      </c>
      <c r="P941" s="9">
        <v>1.2927</v>
      </c>
      <c r="Q941" s="9">
        <v>19.688099999999999</v>
      </c>
      <c r="R941" s="9"/>
      <c r="S941" s="11"/>
    </row>
    <row r="942" spans="1:19" ht="15.75">
      <c r="A942" s="13">
        <v>70188</v>
      </c>
      <c r="B942" s="8">
        <f>32.7033 * CHOOSE(CONTROL!$C$15, $D$11, 100%, $F$11)</f>
        <v>32.703299999999999</v>
      </c>
      <c r="C942" s="8">
        <f>32.7084 * CHOOSE(CONTROL!$C$15, $D$11, 100%, $F$11)</f>
        <v>32.708399999999997</v>
      </c>
      <c r="D942" s="8">
        <f>32.6795 * CHOOSE( CONTROL!$C$15, $D$11, 100%, $F$11)</f>
        <v>32.679499999999997</v>
      </c>
      <c r="E942" s="12">
        <f>32.6895 * CHOOSE( CONTROL!$C$15, $D$11, 100%, $F$11)</f>
        <v>32.689500000000002</v>
      </c>
      <c r="F942" s="4">
        <f>33.3686 * CHOOSE(CONTROL!$C$15, $D$11, 100%, $F$11)</f>
        <v>33.368600000000001</v>
      </c>
      <c r="G942" s="8">
        <f>32.32 * CHOOSE( CONTROL!$C$15, $D$11, 100%, $F$11)</f>
        <v>32.32</v>
      </c>
      <c r="H942" s="4">
        <f>33.2245 * CHOOSE(CONTROL!$C$15, $D$11, 100%, $F$11)</f>
        <v>33.224499999999999</v>
      </c>
      <c r="I942" s="8">
        <f>31.8902 * CHOOSE(CONTROL!$C$15, $D$11, 100%, $F$11)</f>
        <v>31.8902</v>
      </c>
      <c r="J942" s="4">
        <f>31.7298 * CHOOSE(CONTROL!$C$15, $D$11, 100%, $F$11)</f>
        <v>31.729800000000001</v>
      </c>
      <c r="K942" s="4"/>
      <c r="L942" s="9">
        <v>27.415299999999998</v>
      </c>
      <c r="M942" s="9">
        <v>11.285299999999999</v>
      </c>
      <c r="N942" s="9">
        <v>4.6254999999999997</v>
      </c>
      <c r="O942" s="9">
        <v>0.34989999999999999</v>
      </c>
      <c r="P942" s="9">
        <v>1.2093</v>
      </c>
      <c r="Q942" s="9">
        <v>18.417899999999999</v>
      </c>
      <c r="R942" s="9"/>
      <c r="S942" s="11"/>
    </row>
    <row r="943" spans="1:19" ht="15.75">
      <c r="A943" s="13">
        <v>70219</v>
      </c>
      <c r="B943" s="8">
        <f>32.0073 * CHOOSE(CONTROL!$C$15, $D$11, 100%, $F$11)</f>
        <v>32.007300000000001</v>
      </c>
      <c r="C943" s="8">
        <f>32.0124 * CHOOSE(CONTROL!$C$15, $D$11, 100%, $F$11)</f>
        <v>32.0124</v>
      </c>
      <c r="D943" s="8">
        <f>31.9831 * CHOOSE( CONTROL!$C$15, $D$11, 100%, $F$11)</f>
        <v>31.9831</v>
      </c>
      <c r="E943" s="12">
        <f>31.9933 * CHOOSE( CONTROL!$C$15, $D$11, 100%, $F$11)</f>
        <v>31.993300000000001</v>
      </c>
      <c r="F943" s="4">
        <f>32.6726 * CHOOSE(CONTROL!$C$15, $D$11, 100%, $F$11)</f>
        <v>32.672600000000003</v>
      </c>
      <c r="G943" s="8">
        <f>31.6319 * CHOOSE( CONTROL!$C$15, $D$11, 100%, $F$11)</f>
        <v>31.631900000000002</v>
      </c>
      <c r="H943" s="4">
        <f>32.5366 * CHOOSE(CONTROL!$C$15, $D$11, 100%, $F$11)</f>
        <v>32.5366</v>
      </c>
      <c r="I943" s="8">
        <f>31.2131 * CHOOSE(CONTROL!$C$15, $D$11, 100%, $F$11)</f>
        <v>31.213100000000001</v>
      </c>
      <c r="J943" s="4">
        <f>31.0544 * CHOOSE(CONTROL!$C$15, $D$11, 100%, $F$11)</f>
        <v>31.054400000000001</v>
      </c>
      <c r="K943" s="4"/>
      <c r="L943" s="9">
        <v>29.306000000000001</v>
      </c>
      <c r="M943" s="9">
        <v>12.063700000000001</v>
      </c>
      <c r="N943" s="9">
        <v>4.9444999999999997</v>
      </c>
      <c r="O943" s="9">
        <v>0.37409999999999999</v>
      </c>
      <c r="P943" s="9">
        <v>1.2927</v>
      </c>
      <c r="Q943" s="9">
        <v>19.688099999999999</v>
      </c>
      <c r="R943" s="9"/>
      <c r="S943" s="11"/>
    </row>
    <row r="944" spans="1:19" ht="15.75">
      <c r="A944" s="13">
        <v>70249</v>
      </c>
      <c r="B944" s="8">
        <f>32.4944 * CHOOSE(CONTROL!$C$15, $D$11, 100%, $F$11)</f>
        <v>32.494399999999999</v>
      </c>
      <c r="C944" s="8">
        <f>32.499 * CHOOSE(CONTROL!$C$15, $D$11, 100%, $F$11)</f>
        <v>32.499000000000002</v>
      </c>
      <c r="D944" s="8">
        <f>32.5423 * CHOOSE( CONTROL!$C$15, $D$11, 100%, $F$11)</f>
        <v>32.542299999999997</v>
      </c>
      <c r="E944" s="12">
        <f>32.5275 * CHOOSE( CONTROL!$C$15, $D$11, 100%, $F$11)</f>
        <v>32.527500000000003</v>
      </c>
      <c r="F944" s="4">
        <f>33.2388 * CHOOSE(CONTROL!$C$15, $D$11, 100%, $F$11)</f>
        <v>33.238799999999998</v>
      </c>
      <c r="G944" s="8">
        <f>32.1204 * CHOOSE( CONTROL!$C$15, $D$11, 100%, $F$11)</f>
        <v>32.120399999999997</v>
      </c>
      <c r="H944" s="4">
        <f>33.0962 * CHOOSE(CONTROL!$C$15, $D$11, 100%, $F$11)</f>
        <v>33.096200000000003</v>
      </c>
      <c r="I944" s="8">
        <f>31.6835 * CHOOSE(CONTROL!$C$15, $D$11, 100%, $F$11)</f>
        <v>31.683499999999999</v>
      </c>
      <c r="J944" s="4">
        <f>31.5264 * CHOOSE(CONTROL!$C$15, $D$11, 100%, $F$11)</f>
        <v>31.526399999999999</v>
      </c>
      <c r="K944" s="4"/>
      <c r="L944" s="9">
        <v>30.092199999999998</v>
      </c>
      <c r="M944" s="9">
        <v>11.6745</v>
      </c>
      <c r="N944" s="9">
        <v>4.7850000000000001</v>
      </c>
      <c r="O944" s="9">
        <v>0.36199999999999999</v>
      </c>
      <c r="P944" s="9">
        <v>1.1791</v>
      </c>
      <c r="Q944" s="9">
        <v>19.053000000000001</v>
      </c>
      <c r="R944" s="9"/>
      <c r="S944" s="11"/>
    </row>
    <row r="945" spans="1:19" ht="15.75">
      <c r="A945" s="13">
        <v>70280</v>
      </c>
      <c r="B945" s="8">
        <f>CHOOSE( CONTROL!$C$32, 33.365, 33.3614) * CHOOSE(CONTROL!$C$15, $D$11, 100%, $F$11)</f>
        <v>33.365000000000002</v>
      </c>
      <c r="C945" s="8">
        <f>CHOOSE( CONTROL!$C$32, 33.373, 33.3694) * CHOOSE(CONTROL!$C$15, $D$11, 100%, $F$11)</f>
        <v>33.372999999999998</v>
      </c>
      <c r="D945" s="8">
        <f>CHOOSE( CONTROL!$C$32, 33.4107, 33.4071) * CHOOSE( CONTROL!$C$15, $D$11, 100%, $F$11)</f>
        <v>33.410699999999999</v>
      </c>
      <c r="E945" s="12">
        <f>CHOOSE( CONTROL!$C$32, 33.3958, 33.3922) * CHOOSE( CONTROL!$C$15, $D$11, 100%, $F$11)</f>
        <v>33.395800000000001</v>
      </c>
      <c r="F945" s="4">
        <f>CHOOSE( CONTROL!$C$32, 34.108, 34.1044) * CHOOSE(CONTROL!$C$15, $D$11, 100%, $F$11)</f>
        <v>34.107999999999997</v>
      </c>
      <c r="G945" s="8">
        <f>CHOOSE( CONTROL!$C$32, 32.9802, 32.9766) * CHOOSE( CONTROL!$C$15, $D$11, 100%, $F$11)</f>
        <v>32.980200000000004</v>
      </c>
      <c r="H945" s="4">
        <f>CHOOSE( CONTROL!$C$32, 33.9552, 33.9516) * CHOOSE(CONTROL!$C$15, $D$11, 100%, $F$11)</f>
        <v>33.955199999999998</v>
      </c>
      <c r="I945" s="8">
        <f>CHOOSE( CONTROL!$C$32, 32.5277, 32.5242) * CHOOSE(CONTROL!$C$15, $D$11, 100%, $F$11)</f>
        <v>32.527700000000003</v>
      </c>
      <c r="J945" s="4">
        <f>CHOOSE( CONTROL!$C$32, 32.3699, 32.3664) * CHOOSE(CONTROL!$C$15, $D$11, 100%, $F$11)</f>
        <v>32.369900000000001</v>
      </c>
      <c r="K945" s="4"/>
      <c r="L945" s="9">
        <v>30.7165</v>
      </c>
      <c r="M945" s="9">
        <v>12.063700000000001</v>
      </c>
      <c r="N945" s="9">
        <v>4.9444999999999997</v>
      </c>
      <c r="O945" s="9">
        <v>0.37409999999999999</v>
      </c>
      <c r="P945" s="9">
        <v>1.2183999999999999</v>
      </c>
      <c r="Q945" s="9">
        <v>19.688099999999999</v>
      </c>
      <c r="R945" s="9"/>
      <c r="S945" s="11"/>
    </row>
    <row r="946" spans="1:19" ht="15.75">
      <c r="A946" s="13">
        <v>70310</v>
      </c>
      <c r="B946" s="8">
        <f>CHOOSE( CONTROL!$C$32, 32.8288, 32.8252) * CHOOSE(CONTROL!$C$15, $D$11, 100%, $F$11)</f>
        <v>32.828800000000001</v>
      </c>
      <c r="C946" s="8">
        <f>CHOOSE( CONTROL!$C$32, 32.8368, 32.8332) * CHOOSE(CONTROL!$C$15, $D$11, 100%, $F$11)</f>
        <v>32.836799999999997</v>
      </c>
      <c r="D946" s="8">
        <f>CHOOSE( CONTROL!$C$32, 32.8748, 32.8711) * CHOOSE( CONTROL!$C$15, $D$11, 100%, $F$11)</f>
        <v>32.8748</v>
      </c>
      <c r="E946" s="12">
        <f>CHOOSE( CONTROL!$C$32, 32.8598, 32.8561) * CHOOSE( CONTROL!$C$15, $D$11, 100%, $F$11)</f>
        <v>32.8598</v>
      </c>
      <c r="F946" s="4">
        <f>CHOOSE( CONTROL!$C$32, 33.5718, 33.5682) * CHOOSE(CONTROL!$C$15, $D$11, 100%, $F$11)</f>
        <v>33.571800000000003</v>
      </c>
      <c r="G946" s="8">
        <f>CHOOSE( CONTROL!$C$32, 32.4506, 32.447) * CHOOSE( CONTROL!$C$15, $D$11, 100%, $F$11)</f>
        <v>32.450600000000001</v>
      </c>
      <c r="H946" s="4">
        <f>CHOOSE( CONTROL!$C$32, 33.4253, 33.4217) * CHOOSE(CONTROL!$C$15, $D$11, 100%, $F$11)</f>
        <v>33.4253</v>
      </c>
      <c r="I946" s="8">
        <f>CHOOSE( CONTROL!$C$32, 32.0081, 32.0046) * CHOOSE(CONTROL!$C$15, $D$11, 100%, $F$11)</f>
        <v>32.008099999999999</v>
      </c>
      <c r="J946" s="4">
        <f>CHOOSE( CONTROL!$C$32, 31.8496, 31.846) * CHOOSE(CONTROL!$C$15, $D$11, 100%, $F$11)</f>
        <v>31.849599999999999</v>
      </c>
      <c r="K946" s="4"/>
      <c r="L946" s="9">
        <v>29.7257</v>
      </c>
      <c r="M946" s="9">
        <v>11.6745</v>
      </c>
      <c r="N946" s="9">
        <v>4.7850000000000001</v>
      </c>
      <c r="O946" s="9">
        <v>0.36199999999999999</v>
      </c>
      <c r="P946" s="9">
        <v>1.1791</v>
      </c>
      <c r="Q946" s="9">
        <v>19.053000000000001</v>
      </c>
      <c r="R946" s="9"/>
      <c r="S946" s="11"/>
    </row>
    <row r="947" spans="1:19" ht="15.75">
      <c r="A947" s="13">
        <v>70341</v>
      </c>
      <c r="B947" s="8">
        <f>CHOOSE( CONTROL!$C$32, 34.2408, 34.2372) * CHOOSE(CONTROL!$C$15, $D$11, 100%, $F$11)</f>
        <v>34.2408</v>
      </c>
      <c r="C947" s="8">
        <f>CHOOSE( CONTROL!$C$32, 34.2488, 34.2452) * CHOOSE(CONTROL!$C$15, $D$11, 100%, $F$11)</f>
        <v>34.248800000000003</v>
      </c>
      <c r="D947" s="8">
        <f>CHOOSE( CONTROL!$C$32, 34.287, 34.2834) * CHOOSE( CONTROL!$C$15, $D$11, 100%, $F$11)</f>
        <v>34.286999999999999</v>
      </c>
      <c r="E947" s="12">
        <f>CHOOSE( CONTROL!$C$32, 34.2719, 34.2683) * CHOOSE( CONTROL!$C$15, $D$11, 100%, $F$11)</f>
        <v>34.271900000000002</v>
      </c>
      <c r="F947" s="4">
        <f>CHOOSE( CONTROL!$C$32, 34.9838, 34.9802) * CHOOSE(CONTROL!$C$15, $D$11, 100%, $F$11)</f>
        <v>34.983800000000002</v>
      </c>
      <c r="G947" s="8">
        <f>CHOOSE( CONTROL!$C$32, 33.8464, 33.8428) * CHOOSE( CONTROL!$C$15, $D$11, 100%, $F$11)</f>
        <v>33.846400000000003</v>
      </c>
      <c r="H947" s="4">
        <f>CHOOSE( CONTROL!$C$32, 34.8208, 34.8172) * CHOOSE(CONTROL!$C$15, $D$11, 100%, $F$11)</f>
        <v>34.820799999999998</v>
      </c>
      <c r="I947" s="8">
        <f>CHOOSE( CONTROL!$C$32, 33.3802, 33.3767) * CHOOSE(CONTROL!$C$15, $D$11, 100%, $F$11)</f>
        <v>33.380200000000002</v>
      </c>
      <c r="J947" s="4">
        <f>CHOOSE( CONTROL!$C$32, 33.2199, 33.2164) * CHOOSE(CONTROL!$C$15, $D$11, 100%, $F$11)</f>
        <v>33.219900000000003</v>
      </c>
      <c r="K947" s="4"/>
      <c r="L947" s="9">
        <v>30.7165</v>
      </c>
      <c r="M947" s="9">
        <v>12.063700000000001</v>
      </c>
      <c r="N947" s="9">
        <v>4.9444999999999997</v>
      </c>
      <c r="O947" s="9">
        <v>0.37409999999999999</v>
      </c>
      <c r="P947" s="9">
        <v>1.2183999999999999</v>
      </c>
      <c r="Q947" s="9">
        <v>19.688099999999999</v>
      </c>
      <c r="R947" s="9"/>
      <c r="S947" s="11"/>
    </row>
    <row r="948" spans="1:19" ht="15.75">
      <c r="A948" s="13">
        <v>70372</v>
      </c>
      <c r="B948" s="8">
        <f>CHOOSE( CONTROL!$C$32, 31.5988, 31.5952) * CHOOSE(CONTROL!$C$15, $D$11, 100%, $F$11)</f>
        <v>31.598800000000001</v>
      </c>
      <c r="C948" s="8">
        <f>CHOOSE( CONTROL!$C$32, 31.6068, 31.6032) * CHOOSE(CONTROL!$C$15, $D$11, 100%, $F$11)</f>
        <v>31.6068</v>
      </c>
      <c r="D948" s="8">
        <f>CHOOSE( CONTROL!$C$32, 31.6451, 31.6414) * CHOOSE( CONTROL!$C$15, $D$11, 100%, $F$11)</f>
        <v>31.645099999999999</v>
      </c>
      <c r="E948" s="12">
        <f>CHOOSE( CONTROL!$C$32, 31.63, 31.6263) * CHOOSE( CONTROL!$C$15, $D$11, 100%, $F$11)</f>
        <v>31.63</v>
      </c>
      <c r="F948" s="4">
        <f>CHOOSE( CONTROL!$C$32, 32.3418, 32.3382) * CHOOSE(CONTROL!$C$15, $D$11, 100%, $F$11)</f>
        <v>32.341799999999999</v>
      </c>
      <c r="G948" s="8">
        <f>CHOOSE( CONTROL!$C$32, 31.2355, 31.2319) * CHOOSE( CONTROL!$C$15, $D$11, 100%, $F$11)</f>
        <v>31.235499999999998</v>
      </c>
      <c r="H948" s="4">
        <f>CHOOSE( CONTROL!$C$32, 32.2097, 32.2061) * CHOOSE(CONTROL!$C$15, $D$11, 100%, $F$11)</f>
        <v>32.209699999999998</v>
      </c>
      <c r="I948" s="8">
        <f>CHOOSE( CONTROL!$C$32, 30.8152, 30.8117) * CHOOSE(CONTROL!$C$15, $D$11, 100%, $F$11)</f>
        <v>30.815200000000001</v>
      </c>
      <c r="J948" s="4">
        <f>CHOOSE( CONTROL!$C$32, 30.6558, 30.6523) * CHOOSE(CONTROL!$C$15, $D$11, 100%, $F$11)</f>
        <v>30.655799999999999</v>
      </c>
      <c r="K948" s="4"/>
      <c r="L948" s="9">
        <v>30.7165</v>
      </c>
      <c r="M948" s="9">
        <v>12.063700000000001</v>
      </c>
      <c r="N948" s="9">
        <v>4.9444999999999997</v>
      </c>
      <c r="O948" s="9">
        <v>0.37409999999999999</v>
      </c>
      <c r="P948" s="9">
        <v>1.2183999999999999</v>
      </c>
      <c r="Q948" s="9">
        <v>19.688099999999999</v>
      </c>
      <c r="R948" s="9"/>
      <c r="S948" s="11"/>
    </row>
    <row r="949" spans="1:19" ht="15.75">
      <c r="A949" s="13">
        <v>70402</v>
      </c>
      <c r="B949" s="8">
        <f>CHOOSE( CONTROL!$C$32, 30.9372, 30.9336) * CHOOSE(CONTROL!$C$15, $D$11, 100%, $F$11)</f>
        <v>30.937200000000001</v>
      </c>
      <c r="C949" s="8">
        <f>CHOOSE( CONTROL!$C$32, 30.9452, 30.9416) * CHOOSE(CONTROL!$C$15, $D$11, 100%, $F$11)</f>
        <v>30.9452</v>
      </c>
      <c r="D949" s="8">
        <f>CHOOSE( CONTROL!$C$32, 30.9834, 30.9798) * CHOOSE( CONTROL!$C$15, $D$11, 100%, $F$11)</f>
        <v>30.9834</v>
      </c>
      <c r="E949" s="12">
        <f>CHOOSE( CONTROL!$C$32, 30.9683, 30.9647) * CHOOSE( CONTROL!$C$15, $D$11, 100%, $F$11)</f>
        <v>30.968299999999999</v>
      </c>
      <c r="F949" s="4">
        <f>CHOOSE( CONTROL!$C$32, 31.6802, 31.6766) * CHOOSE(CONTROL!$C$15, $D$11, 100%, $F$11)</f>
        <v>31.680199999999999</v>
      </c>
      <c r="G949" s="8">
        <f>CHOOSE( CONTROL!$C$32, 30.5815, 30.5779) * CHOOSE( CONTROL!$C$15, $D$11, 100%, $F$11)</f>
        <v>30.581499999999998</v>
      </c>
      <c r="H949" s="4">
        <f>CHOOSE( CONTROL!$C$32, 31.5559, 31.5523) * CHOOSE(CONTROL!$C$15, $D$11, 100%, $F$11)</f>
        <v>31.555900000000001</v>
      </c>
      <c r="I949" s="8">
        <f>CHOOSE( CONTROL!$C$32, 30.1724, 30.1689) * CHOOSE(CONTROL!$C$15, $D$11, 100%, $F$11)</f>
        <v>30.1724</v>
      </c>
      <c r="J949" s="4">
        <f>CHOOSE( CONTROL!$C$32, 30.0138, 30.0102) * CHOOSE(CONTROL!$C$15, $D$11, 100%, $F$11)</f>
        <v>30.0138</v>
      </c>
      <c r="K949" s="4"/>
      <c r="L949" s="9">
        <v>29.7257</v>
      </c>
      <c r="M949" s="9">
        <v>11.6745</v>
      </c>
      <c r="N949" s="9">
        <v>4.7850000000000001</v>
      </c>
      <c r="O949" s="9">
        <v>0.36199999999999999</v>
      </c>
      <c r="P949" s="9">
        <v>1.1791</v>
      </c>
      <c r="Q949" s="9">
        <v>19.053000000000001</v>
      </c>
      <c r="R949" s="9"/>
      <c r="S949" s="11"/>
    </row>
    <row r="950" spans="1:19" ht="15.75">
      <c r="A950" s="13">
        <v>70433</v>
      </c>
      <c r="B950" s="8">
        <f>32.3056 * CHOOSE(CONTROL!$C$15, $D$11, 100%, $F$11)</f>
        <v>32.305599999999998</v>
      </c>
      <c r="C950" s="8">
        <f>32.3109 * CHOOSE(CONTROL!$C$15, $D$11, 100%, $F$11)</f>
        <v>32.310899999999997</v>
      </c>
      <c r="D950" s="8">
        <f>32.3544 * CHOOSE( CONTROL!$C$15, $D$11, 100%, $F$11)</f>
        <v>32.354399999999998</v>
      </c>
      <c r="E950" s="12">
        <f>32.3395 * CHOOSE( CONTROL!$C$15, $D$11, 100%, $F$11)</f>
        <v>32.339500000000001</v>
      </c>
      <c r="F950" s="4">
        <f>33.0503 * CHOOSE(CONTROL!$C$15, $D$11, 100%, $F$11)</f>
        <v>33.0503</v>
      </c>
      <c r="G950" s="8">
        <f>31.935 * CHOOSE( CONTROL!$C$15, $D$11, 100%, $F$11)</f>
        <v>31.934999999999999</v>
      </c>
      <c r="H950" s="4">
        <f>32.9099 * CHOOSE(CONTROL!$C$15, $D$11, 100%, $F$11)</f>
        <v>32.9099</v>
      </c>
      <c r="I950" s="8">
        <f>31.5035 * CHOOSE(CONTROL!$C$15, $D$11, 100%, $F$11)</f>
        <v>31.503499999999999</v>
      </c>
      <c r="J950" s="4">
        <f>31.3434 * CHOOSE(CONTROL!$C$15, $D$11, 100%, $F$11)</f>
        <v>31.343399999999999</v>
      </c>
      <c r="K950" s="4"/>
      <c r="L950" s="9">
        <v>31.095300000000002</v>
      </c>
      <c r="M950" s="9">
        <v>12.063700000000001</v>
      </c>
      <c r="N950" s="9">
        <v>4.9444999999999997</v>
      </c>
      <c r="O950" s="9">
        <v>0.37409999999999999</v>
      </c>
      <c r="P950" s="9">
        <v>1.2183999999999999</v>
      </c>
      <c r="Q950" s="9">
        <v>19.688099999999999</v>
      </c>
      <c r="R950" s="9"/>
      <c r="S950" s="11"/>
    </row>
    <row r="951" spans="1:19" ht="15.75">
      <c r="A951" s="13">
        <v>70463</v>
      </c>
      <c r="B951" s="8">
        <f>34.8407 * CHOOSE(CONTROL!$C$15, $D$11, 100%, $F$11)</f>
        <v>34.840699999999998</v>
      </c>
      <c r="C951" s="8">
        <f>34.8458 * CHOOSE(CONTROL!$C$15, $D$11, 100%, $F$11)</f>
        <v>34.845799999999997</v>
      </c>
      <c r="D951" s="8">
        <f>34.8294 * CHOOSE( CONTROL!$C$15, $D$11, 100%, $F$11)</f>
        <v>34.8294</v>
      </c>
      <c r="E951" s="12">
        <f>34.8349 * CHOOSE( CONTROL!$C$15, $D$11, 100%, $F$11)</f>
        <v>34.834899999999998</v>
      </c>
      <c r="F951" s="4">
        <f>35.506 * CHOOSE(CONTROL!$C$15, $D$11, 100%, $F$11)</f>
        <v>35.506</v>
      </c>
      <c r="G951" s="8">
        <f>34.4414 * CHOOSE( CONTROL!$C$15, $D$11, 100%, $F$11)</f>
        <v>34.441400000000002</v>
      </c>
      <c r="H951" s="4">
        <f>35.3368 * CHOOSE(CONTROL!$C$15, $D$11, 100%, $F$11)</f>
        <v>35.336799999999997</v>
      </c>
      <c r="I951" s="8">
        <f>33.9655 * CHOOSE(CONTROL!$C$15, $D$11, 100%, $F$11)</f>
        <v>33.965499999999999</v>
      </c>
      <c r="J951" s="4">
        <f>33.8041 * CHOOSE(CONTROL!$C$15, $D$11, 100%, $F$11)</f>
        <v>33.804099999999998</v>
      </c>
      <c r="K951" s="4"/>
      <c r="L951" s="9">
        <v>28.360600000000002</v>
      </c>
      <c r="M951" s="9">
        <v>11.6745</v>
      </c>
      <c r="N951" s="9">
        <v>4.7850000000000001</v>
      </c>
      <c r="O951" s="9">
        <v>0.36199999999999999</v>
      </c>
      <c r="P951" s="9">
        <v>1.2509999999999999</v>
      </c>
      <c r="Q951" s="9">
        <v>19.053000000000001</v>
      </c>
      <c r="R951" s="9"/>
      <c r="S951" s="11"/>
    </row>
    <row r="952" spans="1:19" ht="15.75">
      <c r="A952" s="13">
        <v>70494</v>
      </c>
      <c r="B952" s="8">
        <f>34.7773 * CHOOSE(CONTROL!$C$15, $D$11, 100%, $F$11)</f>
        <v>34.777299999999997</v>
      </c>
      <c r="C952" s="8">
        <f>34.7824 * CHOOSE(CONTROL!$C$15, $D$11, 100%, $F$11)</f>
        <v>34.782400000000003</v>
      </c>
      <c r="D952" s="8">
        <f>34.7678 * CHOOSE( CONTROL!$C$15, $D$11, 100%, $F$11)</f>
        <v>34.767800000000001</v>
      </c>
      <c r="E952" s="12">
        <f>34.7726 * CHOOSE( CONTROL!$C$15, $D$11, 100%, $F$11)</f>
        <v>34.772599999999997</v>
      </c>
      <c r="F952" s="4">
        <f>35.4426 * CHOOSE(CONTROL!$C$15, $D$11, 100%, $F$11)</f>
        <v>35.442599999999999</v>
      </c>
      <c r="G952" s="8">
        <f>34.3801 * CHOOSE( CONTROL!$C$15, $D$11, 100%, $F$11)</f>
        <v>34.380099999999999</v>
      </c>
      <c r="H952" s="4">
        <f>35.2742 * CHOOSE(CONTROL!$C$15, $D$11, 100%, $F$11)</f>
        <v>35.2742</v>
      </c>
      <c r="I952" s="8">
        <f>33.9094 * CHOOSE(CONTROL!$C$15, $D$11, 100%, $F$11)</f>
        <v>33.909399999999998</v>
      </c>
      <c r="J952" s="4">
        <f>33.7427 * CHOOSE(CONTROL!$C$15, $D$11, 100%, $F$11)</f>
        <v>33.742699999999999</v>
      </c>
      <c r="K952" s="4"/>
      <c r="L952" s="9">
        <v>29.306000000000001</v>
      </c>
      <c r="M952" s="9">
        <v>12.063700000000001</v>
      </c>
      <c r="N952" s="9">
        <v>4.9444999999999997</v>
      </c>
      <c r="O952" s="9">
        <v>0.37409999999999999</v>
      </c>
      <c r="P952" s="9">
        <v>1.2927</v>
      </c>
      <c r="Q952" s="9">
        <v>19.688099999999999</v>
      </c>
      <c r="R952" s="9"/>
      <c r="S952" s="11"/>
    </row>
    <row r="953" spans="1:19" ht="15.75">
      <c r="A953" s="13">
        <v>70525</v>
      </c>
      <c r="B953" s="8">
        <f>35.8029 * CHOOSE(CONTROL!$C$15, $D$11, 100%, $F$11)</f>
        <v>35.802900000000001</v>
      </c>
      <c r="C953" s="8">
        <f>35.808 * CHOOSE(CONTROL!$C$15, $D$11, 100%, $F$11)</f>
        <v>35.808</v>
      </c>
      <c r="D953" s="8">
        <f>35.7791 * CHOOSE( CONTROL!$C$15, $D$11, 100%, $F$11)</f>
        <v>35.7791</v>
      </c>
      <c r="E953" s="12">
        <f>35.7891 * CHOOSE( CONTROL!$C$15, $D$11, 100%, $F$11)</f>
        <v>35.789099999999998</v>
      </c>
      <c r="F953" s="4">
        <f>36.4682 * CHOOSE(CONTROL!$C$15, $D$11, 100%, $F$11)</f>
        <v>36.468200000000003</v>
      </c>
      <c r="G953" s="8">
        <f>35.3833 * CHOOSE( CONTROL!$C$15, $D$11, 100%, $F$11)</f>
        <v>35.383299999999998</v>
      </c>
      <c r="H953" s="4">
        <f>36.2878 * CHOOSE(CONTROL!$C$15, $D$11, 100%, $F$11)</f>
        <v>36.287799999999997</v>
      </c>
      <c r="I953" s="8">
        <f>34.8998 * CHOOSE(CONTROL!$C$15, $D$11, 100%, $F$11)</f>
        <v>34.899799999999999</v>
      </c>
      <c r="J953" s="4">
        <f>34.738 * CHOOSE(CONTROL!$C$15, $D$11, 100%, $F$11)</f>
        <v>34.738</v>
      </c>
      <c r="K953" s="4"/>
      <c r="L953" s="9">
        <v>29.306000000000001</v>
      </c>
      <c r="M953" s="9">
        <v>12.063700000000001</v>
      </c>
      <c r="N953" s="9">
        <v>4.9444999999999997</v>
      </c>
      <c r="O953" s="9">
        <v>0.37409999999999999</v>
      </c>
      <c r="P953" s="9">
        <v>1.2927</v>
      </c>
      <c r="Q953" s="9">
        <v>19.688099999999999</v>
      </c>
      <c r="R953" s="9"/>
      <c r="S953" s="11"/>
    </row>
    <row r="954" spans="1:19" ht="15.75">
      <c r="A954" s="13">
        <v>70553</v>
      </c>
      <c r="B954" s="8">
        <f>33.4889 * CHOOSE(CONTROL!$C$15, $D$11, 100%, $F$11)</f>
        <v>33.488900000000001</v>
      </c>
      <c r="C954" s="8">
        <f>33.494 * CHOOSE(CONTROL!$C$15, $D$11, 100%, $F$11)</f>
        <v>33.494</v>
      </c>
      <c r="D954" s="8">
        <f>33.4651 * CHOOSE( CONTROL!$C$15, $D$11, 100%, $F$11)</f>
        <v>33.4651</v>
      </c>
      <c r="E954" s="12">
        <f>33.4751 * CHOOSE( CONTROL!$C$15, $D$11, 100%, $F$11)</f>
        <v>33.475099999999998</v>
      </c>
      <c r="F954" s="4">
        <f>34.1542 * CHOOSE(CONTROL!$C$15, $D$11, 100%, $F$11)</f>
        <v>34.154200000000003</v>
      </c>
      <c r="G954" s="8">
        <f>33.0964 * CHOOSE( CONTROL!$C$15, $D$11, 100%, $F$11)</f>
        <v>33.096400000000003</v>
      </c>
      <c r="H954" s="4">
        <f>34.0008 * CHOOSE(CONTROL!$C$15, $D$11, 100%, $F$11)</f>
        <v>34.000799999999998</v>
      </c>
      <c r="I954" s="8">
        <f>32.6529 * CHOOSE(CONTROL!$C$15, $D$11, 100%, $F$11)</f>
        <v>32.652900000000002</v>
      </c>
      <c r="J954" s="4">
        <f>32.4922 * CHOOSE(CONTROL!$C$15, $D$11, 100%, $F$11)</f>
        <v>32.492199999999997</v>
      </c>
      <c r="K954" s="4"/>
      <c r="L954" s="9">
        <v>26.469899999999999</v>
      </c>
      <c r="M954" s="9">
        <v>10.8962</v>
      </c>
      <c r="N954" s="9">
        <v>4.4660000000000002</v>
      </c>
      <c r="O954" s="9">
        <v>0.33789999999999998</v>
      </c>
      <c r="P954" s="9">
        <v>1.1676</v>
      </c>
      <c r="Q954" s="9">
        <v>17.782800000000002</v>
      </c>
      <c r="R954" s="9"/>
      <c r="S954" s="11"/>
    </row>
    <row r="955" spans="1:19" ht="15.75">
      <c r="A955" s="13">
        <v>70584</v>
      </c>
      <c r="B955" s="8">
        <f>32.7762 * CHOOSE(CONTROL!$C$15, $D$11, 100%, $F$11)</f>
        <v>32.776200000000003</v>
      </c>
      <c r="C955" s="8">
        <f>32.7813 * CHOOSE(CONTROL!$C$15, $D$11, 100%, $F$11)</f>
        <v>32.781300000000002</v>
      </c>
      <c r="D955" s="8">
        <f>32.752 * CHOOSE( CONTROL!$C$15, $D$11, 100%, $F$11)</f>
        <v>32.752000000000002</v>
      </c>
      <c r="E955" s="12">
        <f>32.7622 * CHOOSE( CONTROL!$C$15, $D$11, 100%, $F$11)</f>
        <v>32.7622</v>
      </c>
      <c r="F955" s="4">
        <f>33.4415 * CHOOSE(CONTROL!$C$15, $D$11, 100%, $F$11)</f>
        <v>33.441499999999998</v>
      </c>
      <c r="G955" s="8">
        <f>32.3918 * CHOOSE( CONTROL!$C$15, $D$11, 100%, $F$11)</f>
        <v>32.391800000000003</v>
      </c>
      <c r="H955" s="4">
        <f>33.2965 * CHOOSE(CONTROL!$C$15, $D$11, 100%, $F$11)</f>
        <v>33.296500000000002</v>
      </c>
      <c r="I955" s="8">
        <f>31.9597 * CHOOSE(CONTROL!$C$15, $D$11, 100%, $F$11)</f>
        <v>31.959700000000002</v>
      </c>
      <c r="J955" s="4">
        <f>31.8005 * CHOOSE(CONTROL!$C$15, $D$11, 100%, $F$11)</f>
        <v>31.8005</v>
      </c>
      <c r="K955" s="4"/>
      <c r="L955" s="9">
        <v>29.306000000000001</v>
      </c>
      <c r="M955" s="9">
        <v>12.063700000000001</v>
      </c>
      <c r="N955" s="9">
        <v>4.9444999999999997</v>
      </c>
      <c r="O955" s="9">
        <v>0.37409999999999999</v>
      </c>
      <c r="P955" s="9">
        <v>1.2927</v>
      </c>
      <c r="Q955" s="9">
        <v>19.688099999999999</v>
      </c>
      <c r="R955" s="9"/>
      <c r="S955" s="11"/>
    </row>
    <row r="956" spans="1:19" ht="15.75">
      <c r="A956" s="13">
        <v>70614</v>
      </c>
      <c r="B956" s="8">
        <f>33.275 * CHOOSE(CONTROL!$C$15, $D$11, 100%, $F$11)</f>
        <v>33.274999999999999</v>
      </c>
      <c r="C956" s="8">
        <f>33.2795 * CHOOSE(CONTROL!$C$15, $D$11, 100%, $F$11)</f>
        <v>33.279499999999999</v>
      </c>
      <c r="D956" s="8">
        <f>33.3229 * CHOOSE( CONTROL!$C$15, $D$11, 100%, $F$11)</f>
        <v>33.322899999999997</v>
      </c>
      <c r="E956" s="12">
        <f>33.3081 * CHOOSE( CONTROL!$C$15, $D$11, 100%, $F$11)</f>
        <v>33.308100000000003</v>
      </c>
      <c r="F956" s="4">
        <f>34.0193 * CHOOSE(CONTROL!$C$15, $D$11, 100%, $F$11)</f>
        <v>34.019300000000001</v>
      </c>
      <c r="G956" s="8">
        <f>32.8917 * CHOOSE( CONTROL!$C$15, $D$11, 100%, $F$11)</f>
        <v>32.8917</v>
      </c>
      <c r="H956" s="4">
        <f>33.8676 * CHOOSE(CONTROL!$C$15, $D$11, 100%, $F$11)</f>
        <v>33.867600000000003</v>
      </c>
      <c r="I956" s="8">
        <f>32.4414 * CHOOSE(CONTROL!$C$15, $D$11, 100%, $F$11)</f>
        <v>32.441400000000002</v>
      </c>
      <c r="J956" s="4">
        <f>32.2839 * CHOOSE(CONTROL!$C$15, $D$11, 100%, $F$11)</f>
        <v>32.283900000000003</v>
      </c>
      <c r="K956" s="4"/>
      <c r="L956" s="9">
        <v>30.092199999999998</v>
      </c>
      <c r="M956" s="9">
        <v>11.6745</v>
      </c>
      <c r="N956" s="9">
        <v>4.7850000000000001</v>
      </c>
      <c r="O956" s="9">
        <v>0.36199999999999999</v>
      </c>
      <c r="P956" s="9">
        <v>1.1791</v>
      </c>
      <c r="Q956" s="9">
        <v>19.053000000000001</v>
      </c>
      <c r="R956" s="9"/>
      <c r="S956" s="11"/>
    </row>
    <row r="957" spans="1:19" ht="15.75">
      <c r="A957" s="13">
        <v>70645</v>
      </c>
      <c r="B957" s="8">
        <f>CHOOSE( CONTROL!$C$32, 34.1663, 34.1627) * CHOOSE(CONTROL!$C$15, $D$11, 100%, $F$11)</f>
        <v>34.1663</v>
      </c>
      <c r="C957" s="8">
        <f>CHOOSE( CONTROL!$C$32, 34.1743, 34.1707) * CHOOSE(CONTROL!$C$15, $D$11, 100%, $F$11)</f>
        <v>34.174300000000002</v>
      </c>
      <c r="D957" s="8">
        <f>CHOOSE( CONTROL!$C$32, 34.2121, 34.2084) * CHOOSE( CONTROL!$C$15, $D$11, 100%, $F$11)</f>
        <v>34.2121</v>
      </c>
      <c r="E957" s="12">
        <f>CHOOSE( CONTROL!$C$32, 34.1972, 34.1935) * CHOOSE( CONTROL!$C$15, $D$11, 100%, $F$11)</f>
        <v>34.197200000000002</v>
      </c>
      <c r="F957" s="4">
        <f>CHOOSE( CONTROL!$C$32, 34.9094, 34.9057) * CHOOSE(CONTROL!$C$15, $D$11, 100%, $F$11)</f>
        <v>34.909399999999998</v>
      </c>
      <c r="G957" s="8">
        <f>CHOOSE( CONTROL!$C$32, 33.7721, 33.7685) * CHOOSE( CONTROL!$C$15, $D$11, 100%, $F$11)</f>
        <v>33.772100000000002</v>
      </c>
      <c r="H957" s="4">
        <f>CHOOSE( CONTROL!$C$32, 34.7472, 34.7436) * CHOOSE(CONTROL!$C$15, $D$11, 100%, $F$11)</f>
        <v>34.747199999999999</v>
      </c>
      <c r="I957" s="8">
        <f>CHOOSE( CONTROL!$C$32, 33.3058, 33.3022) * CHOOSE(CONTROL!$C$15, $D$11, 100%, $F$11)</f>
        <v>33.305799999999998</v>
      </c>
      <c r="J957" s="4">
        <f>CHOOSE( CONTROL!$C$32, 33.1476, 33.1441) * CHOOSE(CONTROL!$C$15, $D$11, 100%, $F$11)</f>
        <v>33.147599999999997</v>
      </c>
      <c r="K957" s="4"/>
      <c r="L957" s="9">
        <v>30.7165</v>
      </c>
      <c r="M957" s="9">
        <v>12.063700000000001</v>
      </c>
      <c r="N957" s="9">
        <v>4.9444999999999997</v>
      </c>
      <c r="O957" s="9">
        <v>0.37409999999999999</v>
      </c>
      <c r="P957" s="9">
        <v>1.2183999999999999</v>
      </c>
      <c r="Q957" s="9">
        <v>19.688099999999999</v>
      </c>
      <c r="R957" s="9"/>
      <c r="S957" s="11"/>
    </row>
    <row r="958" spans="1:19" ht="15.75">
      <c r="A958" s="13">
        <v>70675</v>
      </c>
      <c r="B958" s="8">
        <f>CHOOSE( CONTROL!$C$32, 33.6173, 33.6136) * CHOOSE(CONTROL!$C$15, $D$11, 100%, $F$11)</f>
        <v>33.6173</v>
      </c>
      <c r="C958" s="8">
        <f>CHOOSE( CONTROL!$C$32, 33.6252, 33.6216) * CHOOSE(CONTROL!$C$15, $D$11, 100%, $F$11)</f>
        <v>33.6252</v>
      </c>
      <c r="D958" s="8">
        <f>CHOOSE( CONTROL!$C$32, 33.6632, 33.6596) * CHOOSE( CONTROL!$C$15, $D$11, 100%, $F$11)</f>
        <v>33.663200000000003</v>
      </c>
      <c r="E958" s="12">
        <f>CHOOSE( CONTROL!$C$32, 33.6482, 33.6446) * CHOOSE( CONTROL!$C$15, $D$11, 100%, $F$11)</f>
        <v>33.648200000000003</v>
      </c>
      <c r="F958" s="4">
        <f>CHOOSE( CONTROL!$C$32, 34.3603, 34.3566) * CHOOSE(CONTROL!$C$15, $D$11, 100%, $F$11)</f>
        <v>34.360300000000002</v>
      </c>
      <c r="G958" s="8">
        <f>CHOOSE( CONTROL!$C$32, 33.2298, 33.2262) * CHOOSE( CONTROL!$C$15, $D$11, 100%, $F$11)</f>
        <v>33.229799999999997</v>
      </c>
      <c r="H958" s="4">
        <f>CHOOSE( CONTROL!$C$32, 34.2045, 34.2009) * CHOOSE(CONTROL!$C$15, $D$11, 100%, $F$11)</f>
        <v>34.204500000000003</v>
      </c>
      <c r="I958" s="8">
        <f>CHOOSE( CONTROL!$C$32, 32.7737, 32.7701) * CHOOSE(CONTROL!$C$15, $D$11, 100%, $F$11)</f>
        <v>32.773699999999998</v>
      </c>
      <c r="J958" s="4">
        <f>CHOOSE( CONTROL!$C$32, 32.6147, 32.6112) * CHOOSE(CONTROL!$C$15, $D$11, 100%, $F$11)</f>
        <v>32.614699999999999</v>
      </c>
      <c r="K958" s="4"/>
      <c r="L958" s="9">
        <v>29.7257</v>
      </c>
      <c r="M958" s="9">
        <v>11.6745</v>
      </c>
      <c r="N958" s="9">
        <v>4.7850000000000001</v>
      </c>
      <c r="O958" s="9">
        <v>0.36199999999999999</v>
      </c>
      <c r="P958" s="9">
        <v>1.1791</v>
      </c>
      <c r="Q958" s="9">
        <v>19.053000000000001</v>
      </c>
      <c r="R958" s="9"/>
      <c r="S958" s="11"/>
    </row>
    <row r="959" spans="1:19" ht="15.75">
      <c r="A959" s="13">
        <v>70706</v>
      </c>
      <c r="B959" s="8">
        <f>CHOOSE( CONTROL!$C$32, 35.0632, 35.0596) * CHOOSE(CONTROL!$C$15, $D$11, 100%, $F$11)</f>
        <v>35.063200000000002</v>
      </c>
      <c r="C959" s="8">
        <f>CHOOSE( CONTROL!$C$32, 35.0712, 35.0675) * CHOOSE(CONTROL!$C$15, $D$11, 100%, $F$11)</f>
        <v>35.071199999999997</v>
      </c>
      <c r="D959" s="8">
        <f>CHOOSE( CONTROL!$C$32, 35.1094, 35.1057) * CHOOSE( CONTROL!$C$15, $D$11, 100%, $F$11)</f>
        <v>35.109400000000001</v>
      </c>
      <c r="E959" s="12">
        <f>CHOOSE( CONTROL!$C$32, 35.0943, 35.0907) * CHOOSE( CONTROL!$C$15, $D$11, 100%, $F$11)</f>
        <v>35.094299999999997</v>
      </c>
      <c r="F959" s="4">
        <f>CHOOSE( CONTROL!$C$32, 35.8062, 35.8026) * CHOOSE(CONTROL!$C$15, $D$11, 100%, $F$11)</f>
        <v>35.806199999999997</v>
      </c>
      <c r="G959" s="8">
        <f>CHOOSE( CONTROL!$C$32, 34.6592, 34.6556) * CHOOSE( CONTROL!$C$15, $D$11, 100%, $F$11)</f>
        <v>34.659199999999998</v>
      </c>
      <c r="H959" s="4">
        <f>CHOOSE( CONTROL!$C$32, 35.6335, 35.6299) * CHOOSE(CONTROL!$C$15, $D$11, 100%, $F$11)</f>
        <v>35.633499999999998</v>
      </c>
      <c r="I959" s="8">
        <f>CHOOSE( CONTROL!$C$32, 34.1787, 34.1752) * CHOOSE(CONTROL!$C$15, $D$11, 100%, $F$11)</f>
        <v>34.178699999999999</v>
      </c>
      <c r="J959" s="4">
        <f>CHOOSE( CONTROL!$C$32, 34.018, 34.0145) * CHOOSE(CONTROL!$C$15, $D$11, 100%, $F$11)</f>
        <v>34.018000000000001</v>
      </c>
      <c r="K959" s="4"/>
      <c r="L959" s="9">
        <v>30.7165</v>
      </c>
      <c r="M959" s="9">
        <v>12.063700000000001</v>
      </c>
      <c r="N959" s="9">
        <v>4.9444999999999997</v>
      </c>
      <c r="O959" s="9">
        <v>0.37409999999999999</v>
      </c>
      <c r="P959" s="9">
        <v>1.2183999999999999</v>
      </c>
      <c r="Q959" s="9">
        <v>19.688099999999999</v>
      </c>
      <c r="R959" s="9"/>
      <c r="S959" s="11"/>
    </row>
    <row r="960" spans="1:19" ht="15.75">
      <c r="A960" s="13">
        <v>70737</v>
      </c>
      <c r="B960" s="8">
        <f>CHOOSE( CONTROL!$C$32, 32.3577, 32.3541) * CHOOSE(CONTROL!$C$15, $D$11, 100%, $F$11)</f>
        <v>32.357700000000001</v>
      </c>
      <c r="C960" s="8">
        <f>CHOOSE( CONTROL!$C$32, 32.3657, 32.362) * CHOOSE(CONTROL!$C$15, $D$11, 100%, $F$11)</f>
        <v>32.365699999999997</v>
      </c>
      <c r="D960" s="8">
        <f>CHOOSE( CONTROL!$C$32, 32.404, 32.4003) * CHOOSE( CONTROL!$C$15, $D$11, 100%, $F$11)</f>
        <v>32.404000000000003</v>
      </c>
      <c r="E960" s="12">
        <f>CHOOSE( CONTROL!$C$32, 32.3889, 32.3852) * CHOOSE( CONTROL!$C$15, $D$11, 100%, $F$11)</f>
        <v>32.3889</v>
      </c>
      <c r="F960" s="4">
        <f>CHOOSE( CONTROL!$C$32, 33.1007, 33.0971) * CHOOSE(CONTROL!$C$15, $D$11, 100%, $F$11)</f>
        <v>33.100700000000003</v>
      </c>
      <c r="G960" s="8">
        <f>CHOOSE( CONTROL!$C$32, 31.9855, 31.9819) * CHOOSE( CONTROL!$C$15, $D$11, 100%, $F$11)</f>
        <v>31.985499999999998</v>
      </c>
      <c r="H960" s="4">
        <f>CHOOSE( CONTROL!$C$32, 32.9597, 32.9561) * CHOOSE(CONTROL!$C$15, $D$11, 100%, $F$11)</f>
        <v>32.959699999999998</v>
      </c>
      <c r="I960" s="8">
        <f>CHOOSE( CONTROL!$C$32, 31.5521, 31.5485) * CHOOSE(CONTROL!$C$15, $D$11, 100%, $F$11)</f>
        <v>31.552099999999999</v>
      </c>
      <c r="J960" s="4">
        <f>CHOOSE( CONTROL!$C$32, 31.3923, 31.3888) * CHOOSE(CONTROL!$C$15, $D$11, 100%, $F$11)</f>
        <v>31.392299999999999</v>
      </c>
      <c r="K960" s="4"/>
      <c r="L960" s="9">
        <v>30.7165</v>
      </c>
      <c r="M960" s="9">
        <v>12.063700000000001</v>
      </c>
      <c r="N960" s="9">
        <v>4.9444999999999997</v>
      </c>
      <c r="O960" s="9">
        <v>0.37409999999999999</v>
      </c>
      <c r="P960" s="9">
        <v>1.2183999999999999</v>
      </c>
      <c r="Q960" s="9">
        <v>19.688099999999999</v>
      </c>
      <c r="R960" s="9"/>
      <c r="S960" s="11"/>
    </row>
    <row r="961" spans="1:19" ht="15.75">
      <c r="A961" s="13">
        <v>70767</v>
      </c>
      <c r="B961" s="8">
        <f>CHOOSE( CONTROL!$C$32, 31.6802, 31.6766) * CHOOSE(CONTROL!$C$15, $D$11, 100%, $F$11)</f>
        <v>31.680199999999999</v>
      </c>
      <c r="C961" s="8">
        <f>CHOOSE( CONTROL!$C$32, 31.6882, 31.6846) * CHOOSE(CONTROL!$C$15, $D$11, 100%, $F$11)</f>
        <v>31.688199999999998</v>
      </c>
      <c r="D961" s="8">
        <f>CHOOSE( CONTROL!$C$32, 31.7264, 31.7227) * CHOOSE( CONTROL!$C$15, $D$11, 100%, $F$11)</f>
        <v>31.726400000000002</v>
      </c>
      <c r="E961" s="12">
        <f>CHOOSE( CONTROL!$C$32, 31.7113, 31.7077) * CHOOSE( CONTROL!$C$15, $D$11, 100%, $F$11)</f>
        <v>31.711300000000001</v>
      </c>
      <c r="F961" s="4">
        <f>CHOOSE( CONTROL!$C$32, 32.4232, 32.4196) * CHOOSE(CONTROL!$C$15, $D$11, 100%, $F$11)</f>
        <v>32.423200000000001</v>
      </c>
      <c r="G961" s="8">
        <f>CHOOSE( CONTROL!$C$32, 31.3158, 31.3122) * CHOOSE( CONTROL!$C$15, $D$11, 100%, $F$11)</f>
        <v>31.315799999999999</v>
      </c>
      <c r="H961" s="4">
        <f>CHOOSE( CONTROL!$C$32, 32.2902, 32.2866) * CHOOSE(CONTROL!$C$15, $D$11, 100%, $F$11)</f>
        <v>32.290199999999999</v>
      </c>
      <c r="I961" s="8">
        <f>CHOOSE( CONTROL!$C$32, 30.8939, 30.8903) * CHOOSE(CONTROL!$C$15, $D$11, 100%, $F$11)</f>
        <v>30.893899999999999</v>
      </c>
      <c r="J961" s="4">
        <f>CHOOSE( CONTROL!$C$32, 30.7348, 30.7313) * CHOOSE(CONTROL!$C$15, $D$11, 100%, $F$11)</f>
        <v>30.7348</v>
      </c>
      <c r="K961" s="4"/>
      <c r="L961" s="9">
        <v>29.7257</v>
      </c>
      <c r="M961" s="9">
        <v>11.6745</v>
      </c>
      <c r="N961" s="9">
        <v>4.7850000000000001</v>
      </c>
      <c r="O961" s="9">
        <v>0.36199999999999999</v>
      </c>
      <c r="P961" s="9">
        <v>1.1791</v>
      </c>
      <c r="Q961" s="9">
        <v>19.053000000000001</v>
      </c>
      <c r="R961" s="9"/>
      <c r="S961" s="11"/>
    </row>
    <row r="962" spans="1:19" ht="15.75">
      <c r="A962" s="13">
        <v>70798</v>
      </c>
      <c r="B962" s="8">
        <f>33.0816 * CHOOSE(CONTROL!$C$15, $D$11, 100%, $F$11)</f>
        <v>33.081600000000002</v>
      </c>
      <c r="C962" s="8">
        <f>33.0869 * CHOOSE(CONTROL!$C$15, $D$11, 100%, $F$11)</f>
        <v>33.0869</v>
      </c>
      <c r="D962" s="8">
        <f>33.1304 * CHOOSE( CONTROL!$C$15, $D$11, 100%, $F$11)</f>
        <v>33.130400000000002</v>
      </c>
      <c r="E962" s="12">
        <f>33.1155 * CHOOSE( CONTROL!$C$15, $D$11, 100%, $F$11)</f>
        <v>33.115499999999997</v>
      </c>
      <c r="F962" s="4">
        <f>33.8263 * CHOOSE(CONTROL!$C$15, $D$11, 100%, $F$11)</f>
        <v>33.826300000000003</v>
      </c>
      <c r="G962" s="8">
        <f>32.7019 * CHOOSE( CONTROL!$C$15, $D$11, 100%, $F$11)</f>
        <v>32.701900000000002</v>
      </c>
      <c r="H962" s="4">
        <f>33.6768 * CHOOSE(CONTROL!$C$15, $D$11, 100%, $F$11)</f>
        <v>33.6768</v>
      </c>
      <c r="I962" s="8">
        <f>32.2569 * CHOOSE(CONTROL!$C$15, $D$11, 100%, $F$11)</f>
        <v>32.256900000000002</v>
      </c>
      <c r="J962" s="4">
        <f>32.0965 * CHOOSE(CONTROL!$C$15, $D$11, 100%, $F$11)</f>
        <v>32.096499999999999</v>
      </c>
      <c r="K962" s="4"/>
      <c r="L962" s="9">
        <v>31.095300000000002</v>
      </c>
      <c r="M962" s="9">
        <v>12.063700000000001</v>
      </c>
      <c r="N962" s="9">
        <v>4.9444999999999997</v>
      </c>
      <c r="O962" s="9">
        <v>0.37409999999999999</v>
      </c>
      <c r="P962" s="9">
        <v>1.2183999999999999</v>
      </c>
      <c r="Q962" s="9">
        <v>19.688099999999999</v>
      </c>
      <c r="R962" s="9"/>
      <c r="S962" s="11"/>
    </row>
    <row r="963" spans="1:19" ht="15.75">
      <c r="A963" s="13">
        <v>70828</v>
      </c>
      <c r="B963" s="8">
        <f>35.6776 * CHOOSE(CONTROL!$C$15, $D$11, 100%, $F$11)</f>
        <v>35.677599999999998</v>
      </c>
      <c r="C963" s="8">
        <f>35.6827 * CHOOSE(CONTROL!$C$15, $D$11, 100%, $F$11)</f>
        <v>35.682699999999997</v>
      </c>
      <c r="D963" s="8">
        <f>35.6663 * CHOOSE( CONTROL!$C$15, $D$11, 100%, $F$11)</f>
        <v>35.6663</v>
      </c>
      <c r="E963" s="12">
        <f>35.6718 * CHOOSE( CONTROL!$C$15, $D$11, 100%, $F$11)</f>
        <v>35.671799999999998</v>
      </c>
      <c r="F963" s="4">
        <f>36.3429 * CHOOSE(CONTROL!$C$15, $D$11, 100%, $F$11)</f>
        <v>36.3429</v>
      </c>
      <c r="G963" s="8">
        <f>35.2685 * CHOOSE( CONTROL!$C$15, $D$11, 100%, $F$11)</f>
        <v>35.268500000000003</v>
      </c>
      <c r="H963" s="4">
        <f>36.1639 * CHOOSE(CONTROL!$C$15, $D$11, 100%, $F$11)</f>
        <v>36.163899999999998</v>
      </c>
      <c r="I963" s="8">
        <f>34.7782 * CHOOSE(CONTROL!$C$15, $D$11, 100%, $F$11)</f>
        <v>34.778199999999998</v>
      </c>
      <c r="J963" s="4">
        <f>34.6164 * CHOOSE(CONTROL!$C$15, $D$11, 100%, $F$11)</f>
        <v>34.616399999999999</v>
      </c>
      <c r="K963" s="4"/>
      <c r="L963" s="9">
        <v>28.360600000000002</v>
      </c>
      <c r="M963" s="9">
        <v>11.6745</v>
      </c>
      <c r="N963" s="9">
        <v>4.7850000000000001</v>
      </c>
      <c r="O963" s="9">
        <v>0.36199999999999999</v>
      </c>
      <c r="P963" s="9">
        <v>1.2509999999999999</v>
      </c>
      <c r="Q963" s="9">
        <v>19.053000000000001</v>
      </c>
      <c r="R963" s="9"/>
      <c r="S963" s="11"/>
    </row>
    <row r="964" spans="1:19" ht="15.75">
      <c r="A964" s="13">
        <v>70859</v>
      </c>
      <c r="B964" s="8">
        <f>35.6127 * CHOOSE(CONTROL!$C$15, $D$11, 100%, $F$11)</f>
        <v>35.612699999999997</v>
      </c>
      <c r="C964" s="8">
        <f>35.6178 * CHOOSE(CONTROL!$C$15, $D$11, 100%, $F$11)</f>
        <v>35.617800000000003</v>
      </c>
      <c r="D964" s="8">
        <f>35.6032 * CHOOSE( CONTROL!$C$15, $D$11, 100%, $F$11)</f>
        <v>35.603200000000001</v>
      </c>
      <c r="E964" s="12">
        <f>35.608 * CHOOSE( CONTROL!$C$15, $D$11, 100%, $F$11)</f>
        <v>35.607999999999997</v>
      </c>
      <c r="F964" s="4">
        <f>36.278 * CHOOSE(CONTROL!$C$15, $D$11, 100%, $F$11)</f>
        <v>36.277999999999999</v>
      </c>
      <c r="G964" s="8">
        <f>35.2057 * CHOOSE( CONTROL!$C$15, $D$11, 100%, $F$11)</f>
        <v>35.2057</v>
      </c>
      <c r="H964" s="4">
        <f>36.0998 * CHOOSE(CONTROL!$C$15, $D$11, 100%, $F$11)</f>
        <v>36.099800000000002</v>
      </c>
      <c r="I964" s="8">
        <f>34.7206 * CHOOSE(CONTROL!$C$15, $D$11, 100%, $F$11)</f>
        <v>34.720599999999997</v>
      </c>
      <c r="J964" s="4">
        <f>34.5534 * CHOOSE(CONTROL!$C$15, $D$11, 100%, $F$11)</f>
        <v>34.553400000000003</v>
      </c>
      <c r="K964" s="4"/>
      <c r="L964" s="9">
        <v>29.306000000000001</v>
      </c>
      <c r="M964" s="9">
        <v>12.063700000000001</v>
      </c>
      <c r="N964" s="9">
        <v>4.9444999999999997</v>
      </c>
      <c r="O964" s="9">
        <v>0.37409999999999999</v>
      </c>
      <c r="P964" s="9">
        <v>1.2927</v>
      </c>
      <c r="Q964" s="9">
        <v>19.688099999999999</v>
      </c>
      <c r="R964" s="9"/>
      <c r="S964" s="11"/>
    </row>
    <row r="965" spans="1:19" ht="15.75">
      <c r="A965" s="13">
        <v>70890</v>
      </c>
      <c r="B965" s="8">
        <f>36.6629 * CHOOSE(CONTROL!$C$15, $D$11, 100%, $F$11)</f>
        <v>36.6629</v>
      </c>
      <c r="C965" s="8">
        <f>36.668 * CHOOSE(CONTROL!$C$15, $D$11, 100%, $F$11)</f>
        <v>36.667999999999999</v>
      </c>
      <c r="D965" s="8">
        <f>36.6391 * CHOOSE( CONTROL!$C$15, $D$11, 100%, $F$11)</f>
        <v>36.639099999999999</v>
      </c>
      <c r="E965" s="12">
        <f>36.6491 * CHOOSE( CONTROL!$C$15, $D$11, 100%, $F$11)</f>
        <v>36.649099999999997</v>
      </c>
      <c r="F965" s="4">
        <f>37.3282 * CHOOSE(CONTROL!$C$15, $D$11, 100%, $F$11)</f>
        <v>37.328200000000002</v>
      </c>
      <c r="G965" s="8">
        <f>36.2333 * CHOOSE( CONTROL!$C$15, $D$11, 100%, $F$11)</f>
        <v>36.2333</v>
      </c>
      <c r="H965" s="4">
        <f>37.1377 * CHOOSE(CONTROL!$C$15, $D$11, 100%, $F$11)</f>
        <v>37.137700000000002</v>
      </c>
      <c r="I965" s="8">
        <f>35.7349 * CHOOSE(CONTROL!$C$15, $D$11, 100%, $F$11)</f>
        <v>35.734900000000003</v>
      </c>
      <c r="J965" s="4">
        <f>35.5726 * CHOOSE(CONTROL!$C$15, $D$11, 100%, $F$11)</f>
        <v>35.572600000000001</v>
      </c>
      <c r="K965" s="4"/>
      <c r="L965" s="9">
        <v>29.306000000000001</v>
      </c>
      <c r="M965" s="9">
        <v>12.063700000000001</v>
      </c>
      <c r="N965" s="9">
        <v>4.9444999999999997</v>
      </c>
      <c r="O965" s="9">
        <v>0.37409999999999999</v>
      </c>
      <c r="P965" s="9">
        <v>1.2927</v>
      </c>
      <c r="Q965" s="9">
        <v>19.688099999999999</v>
      </c>
      <c r="R965" s="9"/>
      <c r="S965" s="11"/>
    </row>
    <row r="966" spans="1:19" ht="15.75">
      <c r="A966" s="13">
        <v>70918</v>
      </c>
      <c r="B966" s="8">
        <f>34.2933 * CHOOSE(CONTROL!$C$15, $D$11, 100%, $F$11)</f>
        <v>34.293300000000002</v>
      </c>
      <c r="C966" s="8">
        <f>34.2984 * CHOOSE(CONTROL!$C$15, $D$11, 100%, $F$11)</f>
        <v>34.298400000000001</v>
      </c>
      <c r="D966" s="8">
        <f>34.2695 * CHOOSE( CONTROL!$C$15, $D$11, 100%, $F$11)</f>
        <v>34.269500000000001</v>
      </c>
      <c r="E966" s="12">
        <f>34.2795 * CHOOSE( CONTROL!$C$15, $D$11, 100%, $F$11)</f>
        <v>34.279499999999999</v>
      </c>
      <c r="F966" s="4">
        <f>34.9586 * CHOOSE(CONTROL!$C$15, $D$11, 100%, $F$11)</f>
        <v>34.958599999999997</v>
      </c>
      <c r="G966" s="8">
        <f>33.8914 * CHOOSE( CONTROL!$C$15, $D$11, 100%, $F$11)</f>
        <v>33.891399999999997</v>
      </c>
      <c r="H966" s="4">
        <f>34.7959 * CHOOSE(CONTROL!$C$15, $D$11, 100%, $F$11)</f>
        <v>34.795900000000003</v>
      </c>
      <c r="I966" s="8">
        <f>33.434 * CHOOSE(CONTROL!$C$15, $D$11, 100%, $F$11)</f>
        <v>33.433999999999997</v>
      </c>
      <c r="J966" s="4">
        <f>33.2729 * CHOOSE(CONTROL!$C$15, $D$11, 100%, $F$11)</f>
        <v>33.2729</v>
      </c>
      <c r="K966" s="4"/>
      <c r="L966" s="9">
        <v>26.469899999999999</v>
      </c>
      <c r="M966" s="9">
        <v>10.8962</v>
      </c>
      <c r="N966" s="9">
        <v>4.4660000000000002</v>
      </c>
      <c r="O966" s="9">
        <v>0.33789999999999998</v>
      </c>
      <c r="P966" s="9">
        <v>1.1676</v>
      </c>
      <c r="Q966" s="9">
        <v>17.782800000000002</v>
      </c>
      <c r="R966" s="9"/>
      <c r="S966" s="11"/>
    </row>
    <row r="967" spans="1:19" ht="15.75">
      <c r="A967" s="13">
        <v>70949</v>
      </c>
      <c r="B967" s="8">
        <f>33.5635 * CHOOSE(CONTROL!$C$15, $D$11, 100%, $F$11)</f>
        <v>33.563499999999998</v>
      </c>
      <c r="C967" s="8">
        <f>33.5686 * CHOOSE(CONTROL!$C$15, $D$11, 100%, $F$11)</f>
        <v>33.568600000000004</v>
      </c>
      <c r="D967" s="8">
        <f>33.5393 * CHOOSE( CONTROL!$C$15, $D$11, 100%, $F$11)</f>
        <v>33.539299999999997</v>
      </c>
      <c r="E967" s="12">
        <f>33.5495 * CHOOSE( CONTROL!$C$15, $D$11, 100%, $F$11)</f>
        <v>33.549500000000002</v>
      </c>
      <c r="F967" s="4">
        <f>34.2288 * CHOOSE(CONTROL!$C$15, $D$11, 100%, $F$11)</f>
        <v>34.2288</v>
      </c>
      <c r="G967" s="8">
        <f>33.1698 * CHOOSE( CONTROL!$C$15, $D$11, 100%, $F$11)</f>
        <v>33.169800000000002</v>
      </c>
      <c r="H967" s="4">
        <f>34.0746 * CHOOSE(CONTROL!$C$15, $D$11, 100%, $F$11)</f>
        <v>34.074599999999997</v>
      </c>
      <c r="I967" s="8">
        <f>32.7241 * CHOOSE(CONTROL!$C$15, $D$11, 100%, $F$11)</f>
        <v>32.7241</v>
      </c>
      <c r="J967" s="4">
        <f>32.5646 * CHOOSE(CONTROL!$C$15, $D$11, 100%, $F$11)</f>
        <v>32.564599999999999</v>
      </c>
      <c r="K967" s="4"/>
      <c r="L967" s="9">
        <v>29.306000000000001</v>
      </c>
      <c r="M967" s="9">
        <v>12.063700000000001</v>
      </c>
      <c r="N967" s="9">
        <v>4.9444999999999997</v>
      </c>
      <c r="O967" s="9">
        <v>0.37409999999999999</v>
      </c>
      <c r="P967" s="9">
        <v>1.2927</v>
      </c>
      <c r="Q967" s="9">
        <v>19.688099999999999</v>
      </c>
      <c r="R967" s="9"/>
      <c r="S967" s="11"/>
    </row>
    <row r="968" spans="1:19" ht="15.75">
      <c r="A968" s="13">
        <v>70979</v>
      </c>
      <c r="B968" s="8">
        <f>34.0742 * CHOOSE(CONTROL!$C$15, $D$11, 100%, $F$11)</f>
        <v>34.074199999999998</v>
      </c>
      <c r="C968" s="8">
        <f>34.0788 * CHOOSE(CONTROL!$C$15, $D$11, 100%, $F$11)</f>
        <v>34.078800000000001</v>
      </c>
      <c r="D968" s="8">
        <f>34.1221 * CHOOSE( CONTROL!$C$15, $D$11, 100%, $F$11)</f>
        <v>34.122100000000003</v>
      </c>
      <c r="E968" s="12">
        <f>34.1073 * CHOOSE( CONTROL!$C$15, $D$11, 100%, $F$11)</f>
        <v>34.107300000000002</v>
      </c>
      <c r="F968" s="4">
        <f>34.8186 * CHOOSE(CONTROL!$C$15, $D$11, 100%, $F$11)</f>
        <v>34.818600000000004</v>
      </c>
      <c r="G968" s="8">
        <f>33.6817 * CHOOSE( CONTROL!$C$15, $D$11, 100%, $F$11)</f>
        <v>33.681699999999999</v>
      </c>
      <c r="H968" s="4">
        <f>34.6575 * CHOOSE(CONTROL!$C$15, $D$11, 100%, $F$11)</f>
        <v>34.657499999999999</v>
      </c>
      <c r="I968" s="8">
        <f>33.2175 * CHOOSE(CONTROL!$C$15, $D$11, 100%, $F$11)</f>
        <v>33.217500000000001</v>
      </c>
      <c r="J968" s="4">
        <f>33.0596 * CHOOSE(CONTROL!$C$15, $D$11, 100%, $F$11)</f>
        <v>33.059600000000003</v>
      </c>
      <c r="K968" s="4"/>
      <c r="L968" s="9">
        <v>30.092199999999998</v>
      </c>
      <c r="M968" s="9">
        <v>11.6745</v>
      </c>
      <c r="N968" s="9">
        <v>4.7850000000000001</v>
      </c>
      <c r="O968" s="9">
        <v>0.36199999999999999</v>
      </c>
      <c r="P968" s="9">
        <v>1.1791</v>
      </c>
      <c r="Q968" s="9">
        <v>19.053000000000001</v>
      </c>
      <c r="R968" s="9"/>
      <c r="S968" s="11"/>
    </row>
    <row r="969" spans="1:19" ht="15.75">
      <c r="A969" s="13">
        <v>71010</v>
      </c>
      <c r="B969" s="8">
        <f>CHOOSE( CONTROL!$C$32, 34.9869, 34.9833) * CHOOSE(CONTROL!$C$15, $D$11, 100%, $F$11)</f>
        <v>34.986899999999999</v>
      </c>
      <c r="C969" s="8">
        <f>CHOOSE( CONTROL!$C$32, 34.9949, 34.9913) * CHOOSE(CONTROL!$C$15, $D$11, 100%, $F$11)</f>
        <v>34.994900000000001</v>
      </c>
      <c r="D969" s="8">
        <f>CHOOSE( CONTROL!$C$32, 35.0326, 35.029) * CHOOSE( CONTROL!$C$15, $D$11, 100%, $F$11)</f>
        <v>35.032600000000002</v>
      </c>
      <c r="E969" s="12">
        <f>CHOOSE( CONTROL!$C$32, 35.0177, 35.0141) * CHOOSE( CONTROL!$C$15, $D$11, 100%, $F$11)</f>
        <v>35.017699999999998</v>
      </c>
      <c r="F969" s="4">
        <f>CHOOSE( CONTROL!$C$32, 35.7299, 35.7263) * CHOOSE(CONTROL!$C$15, $D$11, 100%, $F$11)</f>
        <v>35.729900000000001</v>
      </c>
      <c r="G969" s="8">
        <f>CHOOSE( CONTROL!$C$32, 34.5831, 34.5795) * CHOOSE( CONTROL!$C$15, $D$11, 100%, $F$11)</f>
        <v>34.583100000000002</v>
      </c>
      <c r="H969" s="4">
        <f>CHOOSE( CONTROL!$C$32, 35.5581, 35.5545) * CHOOSE(CONTROL!$C$15, $D$11, 100%, $F$11)</f>
        <v>35.558100000000003</v>
      </c>
      <c r="I969" s="8">
        <f>CHOOSE( CONTROL!$C$32, 34.1025, 34.099) * CHOOSE(CONTROL!$C$15, $D$11, 100%, $F$11)</f>
        <v>34.102499999999999</v>
      </c>
      <c r="J969" s="4">
        <f>CHOOSE( CONTROL!$C$32, 33.944, 33.9405) * CHOOSE(CONTROL!$C$15, $D$11, 100%, $F$11)</f>
        <v>33.944000000000003</v>
      </c>
      <c r="K969" s="4"/>
      <c r="L969" s="9">
        <v>30.7165</v>
      </c>
      <c r="M969" s="9">
        <v>12.063700000000001</v>
      </c>
      <c r="N969" s="9">
        <v>4.9444999999999997</v>
      </c>
      <c r="O969" s="9">
        <v>0.37409999999999999</v>
      </c>
      <c r="P969" s="9">
        <v>1.2183999999999999</v>
      </c>
      <c r="Q969" s="9">
        <v>19.688099999999999</v>
      </c>
      <c r="R969" s="9"/>
      <c r="S969" s="11"/>
    </row>
    <row r="970" spans="1:19" ht="15.75">
      <c r="A970" s="13">
        <v>71040</v>
      </c>
      <c r="B970" s="8">
        <f>CHOOSE( CONTROL!$C$32, 34.4247, 34.421) * CHOOSE(CONTROL!$C$15, $D$11, 100%, $F$11)</f>
        <v>34.424700000000001</v>
      </c>
      <c r="C970" s="8">
        <f>CHOOSE( CONTROL!$C$32, 34.4326, 34.429) * CHOOSE(CONTROL!$C$15, $D$11, 100%, $F$11)</f>
        <v>34.432600000000001</v>
      </c>
      <c r="D970" s="8">
        <f>CHOOSE( CONTROL!$C$32, 34.4706, 34.4669) * CHOOSE( CONTROL!$C$15, $D$11, 100%, $F$11)</f>
        <v>34.470599999999997</v>
      </c>
      <c r="E970" s="12">
        <f>CHOOSE( CONTROL!$C$32, 34.4556, 34.4519) * CHOOSE( CONTROL!$C$15, $D$11, 100%, $F$11)</f>
        <v>34.455599999999997</v>
      </c>
      <c r="F970" s="4">
        <f>CHOOSE( CONTROL!$C$32, 35.1677, 35.164) * CHOOSE(CONTROL!$C$15, $D$11, 100%, $F$11)</f>
        <v>35.167700000000004</v>
      </c>
      <c r="G970" s="8">
        <f>CHOOSE( CONTROL!$C$32, 34.0277, 34.0241) * CHOOSE( CONTROL!$C$15, $D$11, 100%, $F$11)</f>
        <v>34.027700000000003</v>
      </c>
      <c r="H970" s="4">
        <f>CHOOSE( CONTROL!$C$32, 35.0025, 34.9989) * CHOOSE(CONTROL!$C$15, $D$11, 100%, $F$11)</f>
        <v>35.002499999999998</v>
      </c>
      <c r="I970" s="8">
        <f>CHOOSE( CONTROL!$C$32, 33.5576, 33.5541) * CHOOSE(CONTROL!$C$15, $D$11, 100%, $F$11)</f>
        <v>33.557600000000001</v>
      </c>
      <c r="J970" s="4">
        <f>CHOOSE( CONTROL!$C$32, 33.3983, 33.3948) * CHOOSE(CONTROL!$C$15, $D$11, 100%, $F$11)</f>
        <v>33.398299999999999</v>
      </c>
      <c r="K970" s="4"/>
      <c r="L970" s="9">
        <v>29.7257</v>
      </c>
      <c r="M970" s="9">
        <v>11.6745</v>
      </c>
      <c r="N970" s="9">
        <v>4.7850000000000001</v>
      </c>
      <c r="O970" s="9">
        <v>0.36199999999999999</v>
      </c>
      <c r="P970" s="9">
        <v>1.1791</v>
      </c>
      <c r="Q970" s="9">
        <v>19.053000000000001</v>
      </c>
      <c r="R970" s="9"/>
      <c r="S970" s="11"/>
    </row>
    <row r="971" spans="1:19" ht="15.75">
      <c r="A971" s="13">
        <v>71071</v>
      </c>
      <c r="B971" s="8">
        <f>CHOOSE( CONTROL!$C$32, 35.9053, 35.9017) * CHOOSE(CONTROL!$C$15, $D$11, 100%, $F$11)</f>
        <v>35.905299999999997</v>
      </c>
      <c r="C971" s="8">
        <f>CHOOSE( CONTROL!$C$32, 35.9133, 35.9097) * CHOOSE(CONTROL!$C$15, $D$11, 100%, $F$11)</f>
        <v>35.9133</v>
      </c>
      <c r="D971" s="8">
        <f>CHOOSE( CONTROL!$C$32, 35.9515, 35.9479) * CHOOSE( CONTROL!$C$15, $D$11, 100%, $F$11)</f>
        <v>35.951500000000003</v>
      </c>
      <c r="E971" s="12">
        <f>CHOOSE( CONTROL!$C$32, 35.9364, 35.9328) * CHOOSE( CONTROL!$C$15, $D$11, 100%, $F$11)</f>
        <v>35.936399999999999</v>
      </c>
      <c r="F971" s="4">
        <f>CHOOSE( CONTROL!$C$32, 36.6483, 36.6447) * CHOOSE(CONTROL!$C$15, $D$11, 100%, $F$11)</f>
        <v>36.648299999999999</v>
      </c>
      <c r="G971" s="8">
        <f>CHOOSE( CONTROL!$C$32, 35.4914, 35.4878) * CHOOSE( CONTROL!$C$15, $D$11, 100%, $F$11)</f>
        <v>35.491399999999999</v>
      </c>
      <c r="H971" s="4">
        <f>CHOOSE( CONTROL!$C$32, 36.4658, 36.4622) * CHOOSE(CONTROL!$C$15, $D$11, 100%, $F$11)</f>
        <v>36.465800000000002</v>
      </c>
      <c r="I971" s="8">
        <f>CHOOSE( CONTROL!$C$32, 34.9964, 34.9929) * CHOOSE(CONTROL!$C$15, $D$11, 100%, $F$11)</f>
        <v>34.996400000000001</v>
      </c>
      <c r="J971" s="4">
        <f>CHOOSE( CONTROL!$C$32, 34.8353, 34.8318) * CHOOSE(CONTROL!$C$15, $D$11, 100%, $F$11)</f>
        <v>34.835299999999997</v>
      </c>
      <c r="K971" s="4"/>
      <c r="L971" s="9">
        <v>30.7165</v>
      </c>
      <c r="M971" s="9">
        <v>12.063700000000001</v>
      </c>
      <c r="N971" s="9">
        <v>4.9444999999999997</v>
      </c>
      <c r="O971" s="9">
        <v>0.37409999999999999</v>
      </c>
      <c r="P971" s="9">
        <v>1.2183999999999999</v>
      </c>
      <c r="Q971" s="9">
        <v>19.688099999999999</v>
      </c>
      <c r="R971" s="9"/>
      <c r="S971" s="11"/>
    </row>
    <row r="972" spans="1:19" ht="15.75">
      <c r="A972" s="13">
        <v>71102</v>
      </c>
      <c r="B972" s="8">
        <f>CHOOSE( CONTROL!$C$32, 33.1348, 33.1312) * CHOOSE(CONTROL!$C$15, $D$11, 100%, $F$11)</f>
        <v>33.134799999999998</v>
      </c>
      <c r="C972" s="8">
        <f>CHOOSE( CONTROL!$C$32, 33.1428, 33.1392) * CHOOSE(CONTROL!$C$15, $D$11, 100%, $F$11)</f>
        <v>33.142800000000001</v>
      </c>
      <c r="D972" s="8">
        <f>CHOOSE( CONTROL!$C$32, 33.1811, 33.1774) * CHOOSE( CONTROL!$C$15, $D$11, 100%, $F$11)</f>
        <v>33.181100000000001</v>
      </c>
      <c r="E972" s="12">
        <f>CHOOSE( CONTROL!$C$32, 33.166, 33.1623) * CHOOSE( CONTROL!$C$15, $D$11, 100%, $F$11)</f>
        <v>33.165999999999997</v>
      </c>
      <c r="F972" s="4">
        <f>CHOOSE( CONTROL!$C$32, 33.8778, 33.8742) * CHOOSE(CONTROL!$C$15, $D$11, 100%, $F$11)</f>
        <v>33.877800000000001</v>
      </c>
      <c r="G972" s="8">
        <f>CHOOSE( CONTROL!$C$32, 32.7535, 32.7499) * CHOOSE( CONTROL!$C$15, $D$11, 100%, $F$11)</f>
        <v>32.753500000000003</v>
      </c>
      <c r="H972" s="4">
        <f>CHOOSE( CONTROL!$C$32, 33.7277, 33.7241) * CHOOSE(CONTROL!$C$15, $D$11, 100%, $F$11)</f>
        <v>33.727699999999999</v>
      </c>
      <c r="I972" s="8">
        <f>CHOOSE( CONTROL!$C$32, 32.3066, 32.3031) * CHOOSE(CONTROL!$C$15, $D$11, 100%, $F$11)</f>
        <v>32.306600000000003</v>
      </c>
      <c r="J972" s="4">
        <f>CHOOSE( CONTROL!$C$32, 32.1465, 32.143) * CHOOSE(CONTROL!$C$15, $D$11, 100%, $F$11)</f>
        <v>32.146500000000003</v>
      </c>
      <c r="K972" s="4"/>
      <c r="L972" s="9">
        <v>30.7165</v>
      </c>
      <c r="M972" s="9">
        <v>12.063700000000001</v>
      </c>
      <c r="N972" s="9">
        <v>4.9444999999999997</v>
      </c>
      <c r="O972" s="9">
        <v>0.37409999999999999</v>
      </c>
      <c r="P972" s="9">
        <v>1.2183999999999999</v>
      </c>
      <c r="Q972" s="9">
        <v>19.688099999999999</v>
      </c>
      <c r="R972" s="9"/>
      <c r="S972" s="11"/>
    </row>
    <row r="973" spans="1:19" ht="15.75">
      <c r="A973" s="13">
        <v>71132</v>
      </c>
      <c r="B973" s="8">
        <f>CHOOSE( CONTROL!$C$32, 32.4411, 32.4374) * CHOOSE(CONTROL!$C$15, $D$11, 100%, $F$11)</f>
        <v>32.441099999999999</v>
      </c>
      <c r="C973" s="8">
        <f>CHOOSE( CONTROL!$C$32, 32.449, 32.4454) * CHOOSE(CONTROL!$C$15, $D$11, 100%, $F$11)</f>
        <v>32.448999999999998</v>
      </c>
      <c r="D973" s="8">
        <f>CHOOSE( CONTROL!$C$32, 32.4872, 32.4836) * CHOOSE( CONTROL!$C$15, $D$11, 100%, $F$11)</f>
        <v>32.487200000000001</v>
      </c>
      <c r="E973" s="12">
        <f>CHOOSE( CONTROL!$C$32, 32.4722, 32.4685) * CHOOSE( CONTROL!$C$15, $D$11, 100%, $F$11)</f>
        <v>32.472200000000001</v>
      </c>
      <c r="F973" s="4">
        <f>CHOOSE( CONTROL!$C$32, 33.1841, 33.1804) * CHOOSE(CONTROL!$C$15, $D$11, 100%, $F$11)</f>
        <v>33.184100000000001</v>
      </c>
      <c r="G973" s="8">
        <f>CHOOSE( CONTROL!$C$32, 32.0677, 32.0641) * CHOOSE( CONTROL!$C$15, $D$11, 100%, $F$11)</f>
        <v>32.067700000000002</v>
      </c>
      <c r="H973" s="4">
        <f>CHOOSE( CONTROL!$C$32, 33.0421, 33.0385) * CHOOSE(CONTROL!$C$15, $D$11, 100%, $F$11)</f>
        <v>33.042099999999998</v>
      </c>
      <c r="I973" s="8">
        <f>CHOOSE( CONTROL!$C$32, 31.6326, 31.6291) * CHOOSE(CONTROL!$C$15, $D$11, 100%, $F$11)</f>
        <v>31.6326</v>
      </c>
      <c r="J973" s="4">
        <f>CHOOSE( CONTROL!$C$32, 31.4732, 31.4697) * CHOOSE(CONTROL!$C$15, $D$11, 100%, $F$11)</f>
        <v>31.473199999999999</v>
      </c>
      <c r="K973" s="4"/>
      <c r="L973" s="9">
        <v>29.7257</v>
      </c>
      <c r="M973" s="9">
        <v>11.6745</v>
      </c>
      <c r="N973" s="9">
        <v>4.7850000000000001</v>
      </c>
      <c r="O973" s="9">
        <v>0.36199999999999999</v>
      </c>
      <c r="P973" s="9">
        <v>1.1791</v>
      </c>
      <c r="Q973" s="9">
        <v>19.053000000000001</v>
      </c>
      <c r="R973" s="9"/>
      <c r="S973" s="11"/>
    </row>
    <row r="974" spans="1:19" ht="15.75">
      <c r="A974" s="13">
        <v>71163</v>
      </c>
      <c r="B974" s="8">
        <f>33.8762 * CHOOSE(CONTROL!$C$15, $D$11, 100%, $F$11)</f>
        <v>33.876199999999997</v>
      </c>
      <c r="C974" s="8">
        <f>33.8815 * CHOOSE(CONTROL!$C$15, $D$11, 100%, $F$11)</f>
        <v>33.881500000000003</v>
      </c>
      <c r="D974" s="8">
        <f>33.925 * CHOOSE( CONTROL!$C$15, $D$11, 100%, $F$11)</f>
        <v>33.924999999999997</v>
      </c>
      <c r="E974" s="12">
        <f>33.9101 * CHOOSE( CONTROL!$C$15, $D$11, 100%, $F$11)</f>
        <v>33.9101</v>
      </c>
      <c r="F974" s="4">
        <f>34.6209 * CHOOSE(CONTROL!$C$15, $D$11, 100%, $F$11)</f>
        <v>34.620899999999999</v>
      </c>
      <c r="G974" s="8">
        <f>33.4872 * CHOOSE( CONTROL!$C$15, $D$11, 100%, $F$11)</f>
        <v>33.487200000000001</v>
      </c>
      <c r="H974" s="4">
        <f>34.4621 * CHOOSE(CONTROL!$C$15, $D$11, 100%, $F$11)</f>
        <v>34.4621</v>
      </c>
      <c r="I974" s="8">
        <f>33.0285 * CHOOSE(CONTROL!$C$15, $D$11, 100%, $F$11)</f>
        <v>33.028500000000001</v>
      </c>
      <c r="J974" s="4">
        <f>32.8677 * CHOOSE(CONTROL!$C$15, $D$11, 100%, $F$11)</f>
        <v>32.867699999999999</v>
      </c>
      <c r="K974" s="4"/>
      <c r="L974" s="9">
        <v>31.095300000000002</v>
      </c>
      <c r="M974" s="9">
        <v>12.063700000000001</v>
      </c>
      <c r="N974" s="9">
        <v>4.9444999999999997</v>
      </c>
      <c r="O974" s="9">
        <v>0.37409999999999999</v>
      </c>
      <c r="P974" s="9">
        <v>1.2183999999999999</v>
      </c>
      <c r="Q974" s="9">
        <v>19.688099999999999</v>
      </c>
      <c r="R974" s="9"/>
      <c r="S974" s="11"/>
    </row>
    <row r="975" spans="1:19" ht="15.75">
      <c r="A975" s="13">
        <v>71193</v>
      </c>
      <c r="B975" s="8">
        <f>36.5346 * CHOOSE(CONTROL!$C$15, $D$11, 100%, $F$11)</f>
        <v>36.534599999999998</v>
      </c>
      <c r="C975" s="8">
        <f>36.5397 * CHOOSE(CONTROL!$C$15, $D$11, 100%, $F$11)</f>
        <v>36.539700000000003</v>
      </c>
      <c r="D975" s="8">
        <f>36.5234 * CHOOSE( CONTROL!$C$15, $D$11, 100%, $F$11)</f>
        <v>36.523400000000002</v>
      </c>
      <c r="E975" s="12">
        <f>36.5288 * CHOOSE( CONTROL!$C$15, $D$11, 100%, $F$11)</f>
        <v>36.528799999999997</v>
      </c>
      <c r="F975" s="4">
        <f>37.1999 * CHOOSE(CONTROL!$C$15, $D$11, 100%, $F$11)</f>
        <v>37.1999</v>
      </c>
      <c r="G975" s="8">
        <f>36.1155 * CHOOSE( CONTROL!$C$15, $D$11, 100%, $F$11)</f>
        <v>36.115499999999997</v>
      </c>
      <c r="H975" s="4">
        <f>37.0109 * CHOOSE(CONTROL!$C$15, $D$11, 100%, $F$11)</f>
        <v>37.010899999999999</v>
      </c>
      <c r="I975" s="8">
        <f>35.6103 * CHOOSE(CONTROL!$C$15, $D$11, 100%, $F$11)</f>
        <v>35.610300000000002</v>
      </c>
      <c r="J975" s="4">
        <f>35.4481 * CHOOSE(CONTROL!$C$15, $D$11, 100%, $F$11)</f>
        <v>35.448099999999997</v>
      </c>
      <c r="K975" s="4"/>
      <c r="L975" s="9">
        <v>28.360600000000002</v>
      </c>
      <c r="M975" s="9">
        <v>11.6745</v>
      </c>
      <c r="N975" s="9">
        <v>4.7850000000000001</v>
      </c>
      <c r="O975" s="9">
        <v>0.36199999999999999</v>
      </c>
      <c r="P975" s="9">
        <v>1.2509999999999999</v>
      </c>
      <c r="Q975" s="9">
        <v>19.053000000000001</v>
      </c>
      <c r="R975" s="9"/>
      <c r="S975" s="11"/>
    </row>
    <row r="976" spans="1:19" ht="15.75">
      <c r="A976" s="13">
        <v>71224</v>
      </c>
      <c r="B976" s="8">
        <f>36.4682 * CHOOSE(CONTROL!$C$15, $D$11, 100%, $F$11)</f>
        <v>36.468200000000003</v>
      </c>
      <c r="C976" s="8">
        <f>36.4733 * CHOOSE(CONTROL!$C$15, $D$11, 100%, $F$11)</f>
        <v>36.473300000000002</v>
      </c>
      <c r="D976" s="8">
        <f>36.4587 * CHOOSE( CONTROL!$C$15, $D$11, 100%, $F$11)</f>
        <v>36.4587</v>
      </c>
      <c r="E976" s="12">
        <f>36.4635 * CHOOSE( CONTROL!$C$15, $D$11, 100%, $F$11)</f>
        <v>36.463500000000003</v>
      </c>
      <c r="F976" s="4">
        <f>37.1335 * CHOOSE(CONTROL!$C$15, $D$11, 100%, $F$11)</f>
        <v>37.133499999999998</v>
      </c>
      <c r="G976" s="8">
        <f>36.0511 * CHOOSE( CONTROL!$C$15, $D$11, 100%, $F$11)</f>
        <v>36.051099999999998</v>
      </c>
      <c r="H976" s="4">
        <f>36.9453 * CHOOSE(CONTROL!$C$15, $D$11, 100%, $F$11)</f>
        <v>36.945300000000003</v>
      </c>
      <c r="I976" s="8">
        <f>35.5512 * CHOOSE(CONTROL!$C$15, $D$11, 100%, $F$11)</f>
        <v>35.551200000000001</v>
      </c>
      <c r="J976" s="4">
        <f>35.3836 * CHOOSE(CONTROL!$C$15, $D$11, 100%, $F$11)</f>
        <v>35.383600000000001</v>
      </c>
      <c r="K976" s="4"/>
      <c r="L976" s="9">
        <v>29.306000000000001</v>
      </c>
      <c r="M976" s="9">
        <v>12.063700000000001</v>
      </c>
      <c r="N976" s="9">
        <v>4.9444999999999997</v>
      </c>
      <c r="O976" s="9">
        <v>0.37409999999999999</v>
      </c>
      <c r="P976" s="9">
        <v>1.2927</v>
      </c>
      <c r="Q976" s="9">
        <v>19.688099999999999</v>
      </c>
      <c r="R976" s="9"/>
      <c r="S976" s="11"/>
    </row>
    <row r="977" spans="1:19" ht="15.75">
      <c r="A977" s="13">
        <v>71255</v>
      </c>
      <c r="B977" s="8">
        <f>37.5436 * CHOOSE(CONTROL!$C$15, $D$11, 100%, $F$11)</f>
        <v>37.543599999999998</v>
      </c>
      <c r="C977" s="8">
        <f>37.5487 * CHOOSE(CONTROL!$C$15, $D$11, 100%, $F$11)</f>
        <v>37.548699999999997</v>
      </c>
      <c r="D977" s="8">
        <f>37.5198 * CHOOSE( CONTROL!$C$15, $D$11, 100%, $F$11)</f>
        <v>37.519799999999996</v>
      </c>
      <c r="E977" s="12">
        <f>37.5298 * CHOOSE( CONTROL!$C$15, $D$11, 100%, $F$11)</f>
        <v>37.529800000000002</v>
      </c>
      <c r="F977" s="4">
        <f>38.2089 * CHOOSE(CONTROL!$C$15, $D$11, 100%, $F$11)</f>
        <v>38.2089</v>
      </c>
      <c r="G977" s="8">
        <f>37.1037 * CHOOSE( CONTROL!$C$15, $D$11, 100%, $F$11)</f>
        <v>37.103700000000003</v>
      </c>
      <c r="H977" s="4">
        <f>38.0081 * CHOOSE(CONTROL!$C$15, $D$11, 100%, $F$11)</f>
        <v>38.008099999999999</v>
      </c>
      <c r="I977" s="8">
        <f>36.5901 * CHOOSE(CONTROL!$C$15, $D$11, 100%, $F$11)</f>
        <v>36.5901</v>
      </c>
      <c r="J977" s="4">
        <f>36.4273 * CHOOSE(CONTROL!$C$15, $D$11, 100%, $F$11)</f>
        <v>36.427300000000002</v>
      </c>
      <c r="K977" s="4"/>
      <c r="L977" s="9">
        <v>29.306000000000001</v>
      </c>
      <c r="M977" s="9">
        <v>12.063700000000001</v>
      </c>
      <c r="N977" s="9">
        <v>4.9444999999999997</v>
      </c>
      <c r="O977" s="9">
        <v>0.37409999999999999</v>
      </c>
      <c r="P977" s="9">
        <v>1.2927</v>
      </c>
      <c r="Q977" s="9">
        <v>19.688099999999999</v>
      </c>
      <c r="R977" s="9"/>
      <c r="S977" s="11"/>
    </row>
    <row r="978" spans="1:19" ht="15.75">
      <c r="A978" s="13">
        <v>71283</v>
      </c>
      <c r="B978" s="8">
        <f>35.1171 * CHOOSE(CONTROL!$C$15, $D$11, 100%, $F$11)</f>
        <v>35.117100000000001</v>
      </c>
      <c r="C978" s="8">
        <f>35.1222 * CHOOSE(CONTROL!$C$15, $D$11, 100%, $F$11)</f>
        <v>35.122199999999999</v>
      </c>
      <c r="D978" s="8">
        <f>35.0933 * CHOOSE( CONTROL!$C$15, $D$11, 100%, $F$11)</f>
        <v>35.093299999999999</v>
      </c>
      <c r="E978" s="12">
        <f>35.1033 * CHOOSE( CONTROL!$C$15, $D$11, 100%, $F$11)</f>
        <v>35.103299999999997</v>
      </c>
      <c r="F978" s="4">
        <f>35.7824 * CHOOSE(CONTROL!$C$15, $D$11, 100%, $F$11)</f>
        <v>35.782400000000003</v>
      </c>
      <c r="G978" s="8">
        <f>34.7055 * CHOOSE( CONTROL!$C$15, $D$11, 100%, $F$11)</f>
        <v>34.705500000000001</v>
      </c>
      <c r="H978" s="4">
        <f>35.61 * CHOOSE(CONTROL!$C$15, $D$11, 100%, $F$11)</f>
        <v>35.61</v>
      </c>
      <c r="I978" s="8">
        <f>34.2339 * CHOOSE(CONTROL!$C$15, $D$11, 100%, $F$11)</f>
        <v>34.233899999999998</v>
      </c>
      <c r="J978" s="4">
        <f>34.0724 * CHOOSE(CONTROL!$C$15, $D$11, 100%, $F$11)</f>
        <v>34.072400000000002</v>
      </c>
      <c r="K978" s="4"/>
      <c r="L978" s="9">
        <v>26.469899999999999</v>
      </c>
      <c r="M978" s="9">
        <v>10.8962</v>
      </c>
      <c r="N978" s="9">
        <v>4.4660000000000002</v>
      </c>
      <c r="O978" s="9">
        <v>0.33789999999999998</v>
      </c>
      <c r="P978" s="9">
        <v>1.1676</v>
      </c>
      <c r="Q978" s="9">
        <v>17.782800000000002</v>
      </c>
      <c r="R978" s="9"/>
      <c r="S978" s="11"/>
    </row>
    <row r="979" spans="1:19" ht="15.75">
      <c r="A979" s="13">
        <v>71314</v>
      </c>
      <c r="B979" s="8">
        <f>34.3697 * CHOOSE(CONTROL!$C$15, $D$11, 100%, $F$11)</f>
        <v>34.369700000000002</v>
      </c>
      <c r="C979" s="8">
        <f>34.3748 * CHOOSE(CONTROL!$C$15, $D$11, 100%, $F$11)</f>
        <v>34.3748</v>
      </c>
      <c r="D979" s="8">
        <f>34.3455 * CHOOSE( CONTROL!$C$15, $D$11, 100%, $F$11)</f>
        <v>34.345500000000001</v>
      </c>
      <c r="E979" s="12">
        <f>34.3557 * CHOOSE( CONTROL!$C$15, $D$11, 100%, $F$11)</f>
        <v>34.355699999999999</v>
      </c>
      <c r="F979" s="4">
        <f>35.035 * CHOOSE(CONTROL!$C$15, $D$11, 100%, $F$11)</f>
        <v>35.034999999999997</v>
      </c>
      <c r="G979" s="8">
        <f>33.9666 * CHOOSE( CONTROL!$C$15, $D$11, 100%, $F$11)</f>
        <v>33.9666</v>
      </c>
      <c r="H979" s="4">
        <f>34.8714 * CHOOSE(CONTROL!$C$15, $D$11, 100%, $F$11)</f>
        <v>34.871400000000001</v>
      </c>
      <c r="I979" s="8">
        <f>33.507 * CHOOSE(CONTROL!$C$15, $D$11, 100%, $F$11)</f>
        <v>33.506999999999998</v>
      </c>
      <c r="J979" s="4">
        <f>33.3471 * CHOOSE(CONTROL!$C$15, $D$11, 100%, $F$11)</f>
        <v>33.347099999999998</v>
      </c>
      <c r="K979" s="4"/>
      <c r="L979" s="9">
        <v>29.306000000000001</v>
      </c>
      <c r="M979" s="9">
        <v>12.063700000000001</v>
      </c>
      <c r="N979" s="9">
        <v>4.9444999999999997</v>
      </c>
      <c r="O979" s="9">
        <v>0.37409999999999999</v>
      </c>
      <c r="P979" s="9">
        <v>1.2927</v>
      </c>
      <c r="Q979" s="9">
        <v>19.688099999999999</v>
      </c>
      <c r="R979" s="9"/>
      <c r="S979" s="11"/>
    </row>
    <row r="980" spans="1:19" ht="15.75">
      <c r="A980" s="13">
        <v>71344</v>
      </c>
      <c r="B980" s="8">
        <f>34.8927 * CHOOSE(CONTROL!$C$15, $D$11, 100%, $F$11)</f>
        <v>34.892699999999998</v>
      </c>
      <c r="C980" s="8">
        <f>34.8972 * CHOOSE(CONTROL!$C$15, $D$11, 100%, $F$11)</f>
        <v>34.897199999999998</v>
      </c>
      <c r="D980" s="8">
        <f>34.9406 * CHOOSE( CONTROL!$C$15, $D$11, 100%, $F$11)</f>
        <v>34.940600000000003</v>
      </c>
      <c r="E980" s="12">
        <f>34.9258 * CHOOSE( CONTROL!$C$15, $D$11, 100%, $F$11)</f>
        <v>34.925800000000002</v>
      </c>
      <c r="F980" s="4">
        <f>35.6371 * CHOOSE(CONTROL!$C$15, $D$11, 100%, $F$11)</f>
        <v>35.637099999999997</v>
      </c>
      <c r="G980" s="8">
        <f>34.4906 * CHOOSE( CONTROL!$C$15, $D$11, 100%, $F$11)</f>
        <v>34.490600000000001</v>
      </c>
      <c r="H980" s="4">
        <f>35.4664 * CHOOSE(CONTROL!$C$15, $D$11, 100%, $F$11)</f>
        <v>35.4664</v>
      </c>
      <c r="I980" s="8">
        <f>34.0122 * CHOOSE(CONTROL!$C$15, $D$11, 100%, $F$11)</f>
        <v>34.0122</v>
      </c>
      <c r="J980" s="4">
        <f>33.8539 * CHOOSE(CONTROL!$C$15, $D$11, 100%, $F$11)</f>
        <v>33.853900000000003</v>
      </c>
      <c r="K980" s="4"/>
      <c r="L980" s="9">
        <v>30.092199999999998</v>
      </c>
      <c r="M980" s="9">
        <v>11.6745</v>
      </c>
      <c r="N980" s="9">
        <v>4.7850000000000001</v>
      </c>
      <c r="O980" s="9">
        <v>0.36199999999999999</v>
      </c>
      <c r="P980" s="9">
        <v>1.1791</v>
      </c>
      <c r="Q980" s="9">
        <v>19.053000000000001</v>
      </c>
      <c r="R980" s="9"/>
      <c r="S980" s="11"/>
    </row>
    <row r="981" spans="1:19" ht="15.75">
      <c r="A981" s="13">
        <v>71375</v>
      </c>
      <c r="B981" s="8">
        <f>CHOOSE( CONTROL!$C$32, 35.8272, 35.8236) * CHOOSE(CONTROL!$C$15, $D$11, 100%, $F$11)</f>
        <v>35.827199999999998</v>
      </c>
      <c r="C981" s="8">
        <f>CHOOSE( CONTROL!$C$32, 35.8352, 35.8315) * CHOOSE(CONTROL!$C$15, $D$11, 100%, $F$11)</f>
        <v>35.8352</v>
      </c>
      <c r="D981" s="8">
        <f>CHOOSE( CONTROL!$C$32, 35.8729, 35.8693) * CHOOSE( CONTROL!$C$15, $D$11, 100%, $F$11)</f>
        <v>35.872900000000001</v>
      </c>
      <c r="E981" s="12">
        <f>CHOOSE( CONTROL!$C$32, 35.858, 35.8544) * CHOOSE( CONTROL!$C$15, $D$11, 100%, $F$11)</f>
        <v>35.857999999999997</v>
      </c>
      <c r="F981" s="4">
        <f>CHOOSE( CONTROL!$C$32, 36.5702, 36.5666) * CHOOSE(CONTROL!$C$15, $D$11, 100%, $F$11)</f>
        <v>36.5702</v>
      </c>
      <c r="G981" s="8">
        <f>CHOOSE( CONTROL!$C$32, 35.4135, 35.4099) * CHOOSE( CONTROL!$C$15, $D$11, 100%, $F$11)</f>
        <v>35.413499999999999</v>
      </c>
      <c r="H981" s="4">
        <f>CHOOSE( CONTROL!$C$32, 36.3886, 36.385) * CHOOSE(CONTROL!$C$15, $D$11, 100%, $F$11)</f>
        <v>36.388599999999997</v>
      </c>
      <c r="I981" s="8">
        <f>CHOOSE( CONTROL!$C$32, 34.9184, 34.9149) * CHOOSE(CONTROL!$C$15, $D$11, 100%, $F$11)</f>
        <v>34.918399999999998</v>
      </c>
      <c r="J981" s="4">
        <f>CHOOSE( CONTROL!$C$32, 34.7595, 34.756) * CHOOSE(CONTROL!$C$15, $D$11, 100%, $F$11)</f>
        <v>34.759500000000003</v>
      </c>
      <c r="K981" s="4"/>
      <c r="L981" s="9">
        <v>30.7165</v>
      </c>
      <c r="M981" s="9">
        <v>12.063700000000001</v>
      </c>
      <c r="N981" s="9">
        <v>4.9444999999999997</v>
      </c>
      <c r="O981" s="9">
        <v>0.37409999999999999</v>
      </c>
      <c r="P981" s="9">
        <v>1.2183999999999999</v>
      </c>
      <c r="Q981" s="9">
        <v>19.688099999999999</v>
      </c>
      <c r="R981" s="9"/>
      <c r="S981" s="11"/>
    </row>
    <row r="982" spans="1:19" ht="15.75">
      <c r="A982" s="13">
        <v>71405</v>
      </c>
      <c r="B982" s="8">
        <f>CHOOSE( CONTROL!$C$32, 35.2514, 35.2478) * CHOOSE(CONTROL!$C$15, $D$11, 100%, $F$11)</f>
        <v>35.251399999999997</v>
      </c>
      <c r="C982" s="8">
        <f>CHOOSE( CONTROL!$C$32, 35.2594, 35.2558) * CHOOSE(CONTROL!$C$15, $D$11, 100%, $F$11)</f>
        <v>35.259399999999999</v>
      </c>
      <c r="D982" s="8">
        <f>CHOOSE( CONTROL!$C$32, 35.2974, 35.2937) * CHOOSE( CONTROL!$C$15, $D$11, 100%, $F$11)</f>
        <v>35.297400000000003</v>
      </c>
      <c r="E982" s="12">
        <f>CHOOSE( CONTROL!$C$32, 35.2824, 35.2787) * CHOOSE( CONTROL!$C$15, $D$11, 100%, $F$11)</f>
        <v>35.282400000000003</v>
      </c>
      <c r="F982" s="4">
        <f>CHOOSE( CONTROL!$C$32, 35.9944, 35.9908) * CHOOSE(CONTROL!$C$15, $D$11, 100%, $F$11)</f>
        <v>35.994399999999999</v>
      </c>
      <c r="G982" s="8">
        <f>CHOOSE( CONTROL!$C$32, 34.8448, 34.8412) * CHOOSE( CONTROL!$C$15, $D$11, 100%, $F$11)</f>
        <v>34.844799999999999</v>
      </c>
      <c r="H982" s="4">
        <f>CHOOSE( CONTROL!$C$32, 35.8196, 35.816) * CHOOSE(CONTROL!$C$15, $D$11, 100%, $F$11)</f>
        <v>35.819600000000001</v>
      </c>
      <c r="I982" s="8">
        <f>CHOOSE( CONTROL!$C$32, 34.3604, 34.3569) * CHOOSE(CONTROL!$C$15, $D$11, 100%, $F$11)</f>
        <v>34.360399999999998</v>
      </c>
      <c r="J982" s="4">
        <f>CHOOSE( CONTROL!$C$32, 34.2007, 34.1972) * CHOOSE(CONTROL!$C$15, $D$11, 100%, $F$11)</f>
        <v>34.200699999999998</v>
      </c>
      <c r="K982" s="4"/>
      <c r="L982" s="9">
        <v>29.7257</v>
      </c>
      <c r="M982" s="9">
        <v>11.6745</v>
      </c>
      <c r="N982" s="9">
        <v>4.7850000000000001</v>
      </c>
      <c r="O982" s="9">
        <v>0.36199999999999999</v>
      </c>
      <c r="P982" s="9">
        <v>1.1791</v>
      </c>
      <c r="Q982" s="9">
        <v>19.053000000000001</v>
      </c>
      <c r="R982" s="9"/>
      <c r="S982" s="11"/>
    </row>
    <row r="983" spans="1:19" ht="15.75">
      <c r="A983" s="13">
        <v>71436</v>
      </c>
      <c r="B983" s="8">
        <f>CHOOSE( CONTROL!$C$32, 36.7677, 36.764) * CHOOSE(CONTROL!$C$15, $D$11, 100%, $F$11)</f>
        <v>36.767699999999998</v>
      </c>
      <c r="C983" s="8">
        <f>CHOOSE( CONTROL!$C$32, 36.7757, 36.772) * CHOOSE(CONTROL!$C$15, $D$11, 100%, $F$11)</f>
        <v>36.775700000000001</v>
      </c>
      <c r="D983" s="8">
        <f>CHOOSE( CONTROL!$C$32, 36.8139, 36.8102) * CHOOSE( CONTROL!$C$15, $D$11, 100%, $F$11)</f>
        <v>36.813899999999997</v>
      </c>
      <c r="E983" s="12">
        <f>CHOOSE( CONTROL!$C$32, 36.7988, 36.7951) * CHOOSE( CONTROL!$C$15, $D$11, 100%, $F$11)</f>
        <v>36.7988</v>
      </c>
      <c r="F983" s="4">
        <f>CHOOSE( CONTROL!$C$32, 37.5107, 37.507) * CHOOSE(CONTROL!$C$15, $D$11, 100%, $F$11)</f>
        <v>37.5107</v>
      </c>
      <c r="G983" s="8">
        <f>CHOOSE( CONTROL!$C$32, 36.3437, 36.3401) * CHOOSE( CONTROL!$C$15, $D$11, 100%, $F$11)</f>
        <v>36.343699999999998</v>
      </c>
      <c r="H983" s="4">
        <f>CHOOSE( CONTROL!$C$32, 37.318, 37.3144) * CHOOSE(CONTROL!$C$15, $D$11, 100%, $F$11)</f>
        <v>37.317999999999998</v>
      </c>
      <c r="I983" s="8">
        <f>CHOOSE( CONTROL!$C$32, 35.8338, 35.8302) * CHOOSE(CONTROL!$C$15, $D$11, 100%, $F$11)</f>
        <v>35.833799999999997</v>
      </c>
      <c r="J983" s="4">
        <f>CHOOSE( CONTROL!$C$32, 35.6722, 35.6687) * CHOOSE(CONTROL!$C$15, $D$11, 100%, $F$11)</f>
        <v>35.672199999999997</v>
      </c>
      <c r="K983" s="4"/>
      <c r="L983" s="9">
        <v>30.7165</v>
      </c>
      <c r="M983" s="9">
        <v>12.063700000000001</v>
      </c>
      <c r="N983" s="9">
        <v>4.9444999999999997</v>
      </c>
      <c r="O983" s="9">
        <v>0.37409999999999999</v>
      </c>
      <c r="P983" s="9">
        <v>1.2183999999999999</v>
      </c>
      <c r="Q983" s="9">
        <v>19.688099999999999</v>
      </c>
      <c r="R983" s="9"/>
      <c r="S983" s="11"/>
    </row>
    <row r="984" spans="1:19" ht="15.75">
      <c r="A984" s="13">
        <v>71467</v>
      </c>
      <c r="B984" s="8">
        <f>CHOOSE( CONTROL!$C$32, 33.9306, 33.927) * CHOOSE(CONTROL!$C$15, $D$11, 100%, $F$11)</f>
        <v>33.930599999999998</v>
      </c>
      <c r="C984" s="8">
        <f>CHOOSE( CONTROL!$C$32, 33.9386, 33.935) * CHOOSE(CONTROL!$C$15, $D$11, 100%, $F$11)</f>
        <v>33.938600000000001</v>
      </c>
      <c r="D984" s="8">
        <f>CHOOSE( CONTROL!$C$32, 33.9769, 33.9732) * CHOOSE( CONTROL!$C$15, $D$11, 100%, $F$11)</f>
        <v>33.976900000000001</v>
      </c>
      <c r="E984" s="12">
        <f>CHOOSE( CONTROL!$C$32, 33.9618, 33.9581) * CHOOSE( CONTROL!$C$15, $D$11, 100%, $F$11)</f>
        <v>33.961799999999997</v>
      </c>
      <c r="F984" s="4">
        <f>CHOOSE( CONTROL!$C$32, 34.6736, 34.67) * CHOOSE(CONTROL!$C$15, $D$11, 100%, $F$11)</f>
        <v>34.6736</v>
      </c>
      <c r="G984" s="8">
        <f>CHOOSE( CONTROL!$C$32, 33.5399, 33.5363) * CHOOSE( CONTROL!$C$15, $D$11, 100%, $F$11)</f>
        <v>33.539900000000003</v>
      </c>
      <c r="H984" s="4">
        <f>CHOOSE( CONTROL!$C$32, 34.5142, 34.5106) * CHOOSE(CONTROL!$C$15, $D$11, 100%, $F$11)</f>
        <v>34.514200000000002</v>
      </c>
      <c r="I984" s="8">
        <f>CHOOSE( CONTROL!$C$32, 33.0793, 33.0758) * CHOOSE(CONTROL!$C$15, $D$11, 100%, $F$11)</f>
        <v>33.079300000000003</v>
      </c>
      <c r="J984" s="4">
        <f>CHOOSE( CONTROL!$C$32, 32.9189, 32.9153) * CHOOSE(CONTROL!$C$15, $D$11, 100%, $F$11)</f>
        <v>32.918900000000001</v>
      </c>
      <c r="K984" s="4"/>
      <c r="L984" s="9">
        <v>30.7165</v>
      </c>
      <c r="M984" s="9">
        <v>12.063700000000001</v>
      </c>
      <c r="N984" s="9">
        <v>4.9444999999999997</v>
      </c>
      <c r="O984" s="9">
        <v>0.37409999999999999</v>
      </c>
      <c r="P984" s="9">
        <v>1.2183999999999999</v>
      </c>
      <c r="Q984" s="9">
        <v>19.688099999999999</v>
      </c>
      <c r="R984" s="9"/>
      <c r="S984" s="11"/>
    </row>
    <row r="985" spans="1:19" ht="15.75">
      <c r="A985" s="13">
        <v>71497</v>
      </c>
      <c r="B985" s="8">
        <f>CHOOSE( CONTROL!$C$32, 33.2202, 33.2165) * CHOOSE(CONTROL!$C$15, $D$11, 100%, $F$11)</f>
        <v>33.220199999999998</v>
      </c>
      <c r="C985" s="8">
        <f>CHOOSE( CONTROL!$C$32, 33.2282, 33.2245) * CHOOSE(CONTROL!$C$15, $D$11, 100%, $F$11)</f>
        <v>33.228200000000001</v>
      </c>
      <c r="D985" s="8">
        <f>CHOOSE( CONTROL!$C$32, 33.2663, 33.2627) * CHOOSE( CONTROL!$C$15, $D$11, 100%, $F$11)</f>
        <v>33.266300000000001</v>
      </c>
      <c r="E985" s="12">
        <f>CHOOSE( CONTROL!$C$32, 33.2513, 33.2476) * CHOOSE( CONTROL!$C$15, $D$11, 100%, $F$11)</f>
        <v>33.251300000000001</v>
      </c>
      <c r="F985" s="4">
        <f>CHOOSE( CONTROL!$C$32, 33.9632, 33.9596) * CHOOSE(CONTROL!$C$15, $D$11, 100%, $F$11)</f>
        <v>33.963200000000001</v>
      </c>
      <c r="G985" s="8">
        <f>CHOOSE( CONTROL!$C$32, 32.8377, 32.8341) * CHOOSE( CONTROL!$C$15, $D$11, 100%, $F$11)</f>
        <v>32.837699999999998</v>
      </c>
      <c r="H985" s="4">
        <f>CHOOSE( CONTROL!$C$32, 33.8121, 33.8085) * CHOOSE(CONTROL!$C$15, $D$11, 100%, $F$11)</f>
        <v>33.812100000000001</v>
      </c>
      <c r="I985" s="8">
        <f>CHOOSE( CONTROL!$C$32, 32.3891, 32.3856) * CHOOSE(CONTROL!$C$15, $D$11, 100%, $F$11)</f>
        <v>32.389099999999999</v>
      </c>
      <c r="J985" s="4">
        <f>CHOOSE( CONTROL!$C$32, 32.2294, 32.2258) * CHOOSE(CONTROL!$C$15, $D$11, 100%, $F$11)</f>
        <v>32.229399999999998</v>
      </c>
      <c r="K985" s="4"/>
      <c r="L985" s="9">
        <v>29.7257</v>
      </c>
      <c r="M985" s="9">
        <v>11.6745</v>
      </c>
      <c r="N985" s="9">
        <v>4.7850000000000001</v>
      </c>
      <c r="O985" s="9">
        <v>0.36199999999999999</v>
      </c>
      <c r="P985" s="9">
        <v>1.1791</v>
      </c>
      <c r="Q985" s="9">
        <v>19.053000000000001</v>
      </c>
      <c r="R985" s="9"/>
      <c r="S985" s="11"/>
    </row>
    <row r="986" spans="1:19" ht="15.75">
      <c r="A986" s="13">
        <v>71528</v>
      </c>
      <c r="B986" s="8">
        <f>34.6899 * CHOOSE(CONTROL!$C$15, $D$11, 100%, $F$11)</f>
        <v>34.689900000000002</v>
      </c>
      <c r="C986" s="8">
        <f>34.6953 * CHOOSE(CONTROL!$C$15, $D$11, 100%, $F$11)</f>
        <v>34.695300000000003</v>
      </c>
      <c r="D986" s="8">
        <f>34.7388 * CHOOSE( CONTROL!$C$15, $D$11, 100%, $F$11)</f>
        <v>34.738799999999998</v>
      </c>
      <c r="E986" s="12">
        <f>34.7239 * CHOOSE( CONTROL!$C$15, $D$11, 100%, $F$11)</f>
        <v>34.7239</v>
      </c>
      <c r="F986" s="4">
        <f>35.4347 * CHOOSE(CONTROL!$C$15, $D$11, 100%, $F$11)</f>
        <v>35.434699999999999</v>
      </c>
      <c r="G986" s="8">
        <f>34.2914 * CHOOSE( CONTROL!$C$15, $D$11, 100%, $F$11)</f>
        <v>34.291400000000003</v>
      </c>
      <c r="H986" s="4">
        <f>35.2663 * CHOOSE(CONTROL!$C$15, $D$11, 100%, $F$11)</f>
        <v>35.266300000000001</v>
      </c>
      <c r="I986" s="8">
        <f>33.8186 * CHOOSE(CONTROL!$C$15, $D$11, 100%, $F$11)</f>
        <v>33.818600000000004</v>
      </c>
      <c r="J986" s="4">
        <f>33.6574 * CHOOSE(CONTROL!$C$15, $D$11, 100%, $F$11)</f>
        <v>33.657400000000003</v>
      </c>
      <c r="K986" s="4"/>
      <c r="L986" s="9">
        <v>31.095300000000002</v>
      </c>
      <c r="M986" s="9">
        <v>12.063700000000001</v>
      </c>
      <c r="N986" s="9">
        <v>4.9444999999999997</v>
      </c>
      <c r="O986" s="9">
        <v>0.37409999999999999</v>
      </c>
      <c r="P986" s="9">
        <v>1.2183999999999999</v>
      </c>
      <c r="Q986" s="9">
        <v>19.688099999999999</v>
      </c>
      <c r="R986" s="9"/>
      <c r="S986" s="11"/>
    </row>
    <row r="987" spans="1:19" ht="15.75">
      <c r="A987" s="13">
        <v>71558</v>
      </c>
      <c r="B987" s="8">
        <f>37.4123 * CHOOSE(CONTROL!$C$15, $D$11, 100%, $F$11)</f>
        <v>37.412300000000002</v>
      </c>
      <c r="C987" s="8">
        <f>37.4173 * CHOOSE(CONTROL!$C$15, $D$11, 100%, $F$11)</f>
        <v>37.417299999999997</v>
      </c>
      <c r="D987" s="8">
        <f>37.401 * CHOOSE( CONTROL!$C$15, $D$11, 100%, $F$11)</f>
        <v>37.401000000000003</v>
      </c>
      <c r="E987" s="12">
        <f>37.4064 * CHOOSE( CONTROL!$C$15, $D$11, 100%, $F$11)</f>
        <v>37.406399999999998</v>
      </c>
      <c r="F987" s="4">
        <f>38.0775 * CHOOSE(CONTROL!$C$15, $D$11, 100%, $F$11)</f>
        <v>38.077500000000001</v>
      </c>
      <c r="G987" s="8">
        <f>36.9829 * CHOOSE( CONTROL!$C$15, $D$11, 100%, $F$11)</f>
        <v>36.982900000000001</v>
      </c>
      <c r="H987" s="4">
        <f>37.8783 * CHOOSE(CONTROL!$C$15, $D$11, 100%, $F$11)</f>
        <v>37.878300000000003</v>
      </c>
      <c r="I987" s="8">
        <f>36.4625 * CHOOSE(CONTROL!$C$15, $D$11, 100%, $F$11)</f>
        <v>36.462499999999999</v>
      </c>
      <c r="J987" s="4">
        <f>36.2998 * CHOOSE(CONTROL!$C$15, $D$11, 100%, $F$11)</f>
        <v>36.299799999999998</v>
      </c>
      <c r="K987" s="4"/>
      <c r="L987" s="9">
        <v>28.360600000000002</v>
      </c>
      <c r="M987" s="9">
        <v>11.6745</v>
      </c>
      <c r="N987" s="9">
        <v>4.7850000000000001</v>
      </c>
      <c r="O987" s="9">
        <v>0.36199999999999999</v>
      </c>
      <c r="P987" s="9">
        <v>1.2509999999999999</v>
      </c>
      <c r="Q987" s="9">
        <v>19.053000000000001</v>
      </c>
      <c r="R987" s="9"/>
      <c r="S987" s="11"/>
    </row>
    <row r="988" spans="1:19" ht="15.75">
      <c r="A988" s="13">
        <v>71589</v>
      </c>
      <c r="B988" s="8">
        <f>37.3442 * CHOOSE(CONTROL!$C$15, $D$11, 100%, $F$11)</f>
        <v>37.344200000000001</v>
      </c>
      <c r="C988" s="8">
        <f>37.3493 * CHOOSE(CONTROL!$C$15, $D$11, 100%, $F$11)</f>
        <v>37.349299999999999</v>
      </c>
      <c r="D988" s="8">
        <f>37.3347 * CHOOSE( CONTROL!$C$15, $D$11, 100%, $F$11)</f>
        <v>37.334699999999998</v>
      </c>
      <c r="E988" s="12">
        <f>37.3395 * CHOOSE( CONTROL!$C$15, $D$11, 100%, $F$11)</f>
        <v>37.339500000000001</v>
      </c>
      <c r="F988" s="4">
        <f>38.0095 * CHOOSE(CONTROL!$C$15, $D$11, 100%, $F$11)</f>
        <v>38.009500000000003</v>
      </c>
      <c r="G988" s="8">
        <f>36.9169 * CHOOSE( CONTROL!$C$15, $D$11, 100%, $F$11)</f>
        <v>36.916899999999998</v>
      </c>
      <c r="H988" s="4">
        <f>37.811 * CHOOSE(CONTROL!$C$15, $D$11, 100%, $F$11)</f>
        <v>37.811</v>
      </c>
      <c r="I988" s="8">
        <f>36.4018 * CHOOSE(CONTROL!$C$15, $D$11, 100%, $F$11)</f>
        <v>36.401800000000001</v>
      </c>
      <c r="J988" s="4">
        <f>36.2338 * CHOOSE(CONTROL!$C$15, $D$11, 100%, $F$11)</f>
        <v>36.233800000000002</v>
      </c>
      <c r="K988" s="4"/>
      <c r="L988" s="9">
        <v>29.306000000000001</v>
      </c>
      <c r="M988" s="9">
        <v>12.063700000000001</v>
      </c>
      <c r="N988" s="9">
        <v>4.9444999999999997</v>
      </c>
      <c r="O988" s="9">
        <v>0.37409999999999999</v>
      </c>
      <c r="P988" s="9">
        <v>1.2927</v>
      </c>
      <c r="Q988" s="9">
        <v>19.688099999999999</v>
      </c>
      <c r="R988" s="9"/>
      <c r="S988" s="11"/>
    </row>
    <row r="989" spans="1:19" ht="15.75">
      <c r="A989" s="13">
        <v>71620</v>
      </c>
      <c r="B989" s="8">
        <f>38.4455 * CHOOSE(CONTROL!$C$15, $D$11, 100%, $F$11)</f>
        <v>38.445500000000003</v>
      </c>
      <c r="C989" s="8">
        <f>38.4506 * CHOOSE(CONTROL!$C$15, $D$11, 100%, $F$11)</f>
        <v>38.450600000000001</v>
      </c>
      <c r="D989" s="8">
        <f>38.4217 * CHOOSE( CONTROL!$C$15, $D$11, 100%, $F$11)</f>
        <v>38.421700000000001</v>
      </c>
      <c r="E989" s="12">
        <f>38.4317 * CHOOSE( CONTROL!$C$15, $D$11, 100%, $F$11)</f>
        <v>38.431699999999999</v>
      </c>
      <c r="F989" s="4">
        <f>39.1108 * CHOOSE(CONTROL!$C$15, $D$11, 100%, $F$11)</f>
        <v>39.110799999999998</v>
      </c>
      <c r="G989" s="8">
        <f>37.995 * CHOOSE( CONTROL!$C$15, $D$11, 100%, $F$11)</f>
        <v>37.994999999999997</v>
      </c>
      <c r="H989" s="4">
        <f>38.8994 * CHOOSE(CONTROL!$C$15, $D$11, 100%, $F$11)</f>
        <v>38.8994</v>
      </c>
      <c r="I989" s="8">
        <f>37.4658 * CHOOSE(CONTROL!$C$15, $D$11, 100%, $F$11)</f>
        <v>37.465800000000002</v>
      </c>
      <c r="J989" s="4">
        <f>37.3026 * CHOOSE(CONTROL!$C$15, $D$11, 100%, $F$11)</f>
        <v>37.302599999999998</v>
      </c>
      <c r="K989" s="4"/>
      <c r="L989" s="9">
        <v>29.306000000000001</v>
      </c>
      <c r="M989" s="9">
        <v>12.063700000000001</v>
      </c>
      <c r="N989" s="9">
        <v>4.9444999999999997</v>
      </c>
      <c r="O989" s="9">
        <v>0.37409999999999999</v>
      </c>
      <c r="P989" s="9">
        <v>1.2927</v>
      </c>
      <c r="Q989" s="9">
        <v>19.688099999999999</v>
      </c>
      <c r="R989" s="9"/>
      <c r="S989" s="11"/>
    </row>
    <row r="990" spans="1:19" ht="15.75">
      <c r="A990" s="13">
        <v>71649</v>
      </c>
      <c r="B990" s="8">
        <f>35.9606 * CHOOSE(CONTROL!$C$15, $D$11, 100%, $F$11)</f>
        <v>35.960599999999999</v>
      </c>
      <c r="C990" s="8">
        <f>35.9657 * CHOOSE(CONTROL!$C$15, $D$11, 100%, $F$11)</f>
        <v>35.965699999999998</v>
      </c>
      <c r="D990" s="8">
        <f>35.9368 * CHOOSE( CONTROL!$C$15, $D$11, 100%, $F$11)</f>
        <v>35.936799999999998</v>
      </c>
      <c r="E990" s="12">
        <f>35.9468 * CHOOSE( CONTROL!$C$15, $D$11, 100%, $F$11)</f>
        <v>35.946800000000003</v>
      </c>
      <c r="F990" s="4">
        <f>36.6259 * CHOOSE(CONTROL!$C$15, $D$11, 100%, $F$11)</f>
        <v>36.625900000000001</v>
      </c>
      <c r="G990" s="8">
        <f>35.5392 * CHOOSE( CONTROL!$C$15, $D$11, 100%, $F$11)</f>
        <v>35.539200000000001</v>
      </c>
      <c r="H990" s="4">
        <f>36.4436 * CHOOSE(CONTROL!$C$15, $D$11, 100%, $F$11)</f>
        <v>36.443600000000004</v>
      </c>
      <c r="I990" s="8">
        <f>35.053 * CHOOSE(CONTROL!$C$15, $D$11, 100%, $F$11)</f>
        <v>35.052999999999997</v>
      </c>
      <c r="J990" s="4">
        <f>34.8911 * CHOOSE(CONTROL!$C$15, $D$11, 100%, $F$11)</f>
        <v>34.891100000000002</v>
      </c>
      <c r="K990" s="4"/>
      <c r="L990" s="9">
        <v>27.415299999999998</v>
      </c>
      <c r="M990" s="9">
        <v>11.285299999999999</v>
      </c>
      <c r="N990" s="9">
        <v>4.6254999999999997</v>
      </c>
      <c r="O990" s="9">
        <v>0.34989999999999999</v>
      </c>
      <c r="P990" s="9">
        <v>1.2093</v>
      </c>
      <c r="Q990" s="9">
        <v>18.417899999999999</v>
      </c>
      <c r="R990" s="9"/>
      <c r="S990" s="11"/>
    </row>
    <row r="991" spans="1:19" ht="15.75">
      <c r="A991" s="13">
        <v>71680</v>
      </c>
      <c r="B991" s="8">
        <f>35.1953 * CHOOSE(CONTROL!$C$15, $D$11, 100%, $F$11)</f>
        <v>35.195300000000003</v>
      </c>
      <c r="C991" s="8">
        <f>35.2004 * CHOOSE(CONTROL!$C$15, $D$11, 100%, $F$11)</f>
        <v>35.200400000000002</v>
      </c>
      <c r="D991" s="8">
        <f>35.1711 * CHOOSE( CONTROL!$C$15, $D$11, 100%, $F$11)</f>
        <v>35.171100000000003</v>
      </c>
      <c r="E991" s="12">
        <f>35.1813 * CHOOSE( CONTROL!$C$15, $D$11, 100%, $F$11)</f>
        <v>35.1813</v>
      </c>
      <c r="F991" s="4">
        <f>35.8606 * CHOOSE(CONTROL!$C$15, $D$11, 100%, $F$11)</f>
        <v>35.860599999999998</v>
      </c>
      <c r="G991" s="8">
        <f>34.7826 * CHOOSE( CONTROL!$C$15, $D$11, 100%, $F$11)</f>
        <v>34.782600000000002</v>
      </c>
      <c r="H991" s="4">
        <f>35.6873 * CHOOSE(CONTROL!$C$15, $D$11, 100%, $F$11)</f>
        <v>35.6873</v>
      </c>
      <c r="I991" s="8">
        <f>34.3086 * CHOOSE(CONTROL!$C$15, $D$11, 100%, $F$11)</f>
        <v>34.308599999999998</v>
      </c>
      <c r="J991" s="4">
        <f>34.1483 * CHOOSE(CONTROL!$C$15, $D$11, 100%, $F$11)</f>
        <v>34.148299999999999</v>
      </c>
      <c r="K991" s="4"/>
      <c r="L991" s="9">
        <v>29.306000000000001</v>
      </c>
      <c r="M991" s="9">
        <v>12.063700000000001</v>
      </c>
      <c r="N991" s="9">
        <v>4.9444999999999997</v>
      </c>
      <c r="O991" s="9">
        <v>0.37409999999999999</v>
      </c>
      <c r="P991" s="9">
        <v>1.2927</v>
      </c>
      <c r="Q991" s="9">
        <v>19.688099999999999</v>
      </c>
      <c r="R991" s="9"/>
      <c r="S991" s="11"/>
    </row>
    <row r="992" spans="1:19" ht="15.75">
      <c r="A992" s="13">
        <v>71710</v>
      </c>
      <c r="B992" s="8">
        <f>35.7309 * CHOOSE(CONTROL!$C$15, $D$11, 100%, $F$11)</f>
        <v>35.730899999999998</v>
      </c>
      <c r="C992" s="8">
        <f>35.7354 * CHOOSE(CONTROL!$C$15, $D$11, 100%, $F$11)</f>
        <v>35.735399999999998</v>
      </c>
      <c r="D992" s="8">
        <f>35.7788 * CHOOSE( CONTROL!$C$15, $D$11, 100%, $F$11)</f>
        <v>35.778799999999997</v>
      </c>
      <c r="E992" s="12">
        <f>35.764 * CHOOSE( CONTROL!$C$15, $D$11, 100%, $F$11)</f>
        <v>35.764000000000003</v>
      </c>
      <c r="F992" s="4">
        <f>36.4753 * CHOOSE(CONTROL!$C$15, $D$11, 100%, $F$11)</f>
        <v>36.475299999999997</v>
      </c>
      <c r="G992" s="8">
        <f>35.3189 * CHOOSE( CONTROL!$C$15, $D$11, 100%, $F$11)</f>
        <v>35.318899999999999</v>
      </c>
      <c r="H992" s="4">
        <f>36.2947 * CHOOSE(CONTROL!$C$15, $D$11, 100%, $F$11)</f>
        <v>36.294699999999999</v>
      </c>
      <c r="I992" s="8">
        <f>34.8261 * CHOOSE(CONTROL!$C$15, $D$11, 100%, $F$11)</f>
        <v>34.826099999999997</v>
      </c>
      <c r="J992" s="4">
        <f>34.6673 * CHOOSE(CONTROL!$C$15, $D$11, 100%, $F$11)</f>
        <v>34.667299999999997</v>
      </c>
      <c r="K992" s="4"/>
      <c r="L992" s="9">
        <v>30.092199999999998</v>
      </c>
      <c r="M992" s="9">
        <v>11.6745</v>
      </c>
      <c r="N992" s="9">
        <v>4.7850000000000001</v>
      </c>
      <c r="O992" s="9">
        <v>0.36199999999999999</v>
      </c>
      <c r="P992" s="9">
        <v>1.1791</v>
      </c>
      <c r="Q992" s="9">
        <v>19.053000000000001</v>
      </c>
      <c r="R992" s="9"/>
      <c r="S992" s="11"/>
    </row>
    <row r="993" spans="1:19" ht="15.75">
      <c r="A993" s="13">
        <v>71741</v>
      </c>
      <c r="B993" s="8">
        <f>CHOOSE( CONTROL!$C$32, 36.6877, 36.6841) * CHOOSE(CONTROL!$C$15, $D$11, 100%, $F$11)</f>
        <v>36.6877</v>
      </c>
      <c r="C993" s="8">
        <f>CHOOSE( CONTROL!$C$32, 36.6957, 36.692) * CHOOSE(CONTROL!$C$15, $D$11, 100%, $F$11)</f>
        <v>36.695700000000002</v>
      </c>
      <c r="D993" s="8">
        <f>CHOOSE( CONTROL!$C$32, 36.7334, 36.7298) * CHOOSE( CONTROL!$C$15, $D$11, 100%, $F$11)</f>
        <v>36.733400000000003</v>
      </c>
      <c r="E993" s="12">
        <f>CHOOSE( CONTROL!$C$32, 36.7185, 36.7149) * CHOOSE( CONTROL!$C$15, $D$11, 100%, $F$11)</f>
        <v>36.718499999999999</v>
      </c>
      <c r="F993" s="4">
        <f>CHOOSE( CONTROL!$C$32, 37.4307, 37.4271) * CHOOSE(CONTROL!$C$15, $D$11, 100%, $F$11)</f>
        <v>37.430700000000002</v>
      </c>
      <c r="G993" s="8">
        <f>CHOOSE( CONTROL!$C$32, 36.264, 36.2604) * CHOOSE( CONTROL!$C$15, $D$11, 100%, $F$11)</f>
        <v>36.264000000000003</v>
      </c>
      <c r="H993" s="4">
        <f>CHOOSE( CONTROL!$C$32, 37.239, 37.2354) * CHOOSE(CONTROL!$C$15, $D$11, 100%, $F$11)</f>
        <v>37.238999999999997</v>
      </c>
      <c r="I993" s="8">
        <f>CHOOSE( CONTROL!$C$32, 35.754, 35.7504) * CHOOSE(CONTROL!$C$15, $D$11, 100%, $F$11)</f>
        <v>35.753999999999998</v>
      </c>
      <c r="J993" s="4">
        <f>CHOOSE( CONTROL!$C$32, 35.5946, 35.5911) * CHOOSE(CONTROL!$C$15, $D$11, 100%, $F$11)</f>
        <v>35.5946</v>
      </c>
      <c r="K993" s="4"/>
      <c r="L993" s="9">
        <v>30.7165</v>
      </c>
      <c r="M993" s="9">
        <v>12.063700000000001</v>
      </c>
      <c r="N993" s="9">
        <v>4.9444999999999997</v>
      </c>
      <c r="O993" s="9">
        <v>0.37409999999999999</v>
      </c>
      <c r="P993" s="9">
        <v>1.2183999999999999</v>
      </c>
      <c r="Q993" s="9">
        <v>19.688099999999999</v>
      </c>
      <c r="R993" s="9"/>
      <c r="S993" s="11"/>
    </row>
    <row r="994" spans="1:19" ht="15.75">
      <c r="A994" s="13">
        <v>71771</v>
      </c>
      <c r="B994" s="8">
        <f>CHOOSE( CONTROL!$C$32, 36.0981, 36.0944) * CHOOSE(CONTROL!$C$15, $D$11, 100%, $F$11)</f>
        <v>36.098100000000002</v>
      </c>
      <c r="C994" s="8">
        <f>CHOOSE( CONTROL!$C$32, 36.1061, 36.1024) * CHOOSE(CONTROL!$C$15, $D$11, 100%, $F$11)</f>
        <v>36.106099999999998</v>
      </c>
      <c r="D994" s="8">
        <f>CHOOSE( CONTROL!$C$32, 36.144, 36.1404) * CHOOSE( CONTROL!$C$15, $D$11, 100%, $F$11)</f>
        <v>36.143999999999998</v>
      </c>
      <c r="E994" s="12">
        <f>CHOOSE( CONTROL!$C$32, 36.129, 36.1254) * CHOOSE( CONTROL!$C$15, $D$11, 100%, $F$11)</f>
        <v>36.128999999999998</v>
      </c>
      <c r="F994" s="4">
        <f>CHOOSE( CONTROL!$C$32, 36.8411, 36.8374) * CHOOSE(CONTROL!$C$15, $D$11, 100%, $F$11)</f>
        <v>36.841099999999997</v>
      </c>
      <c r="G994" s="8">
        <f>CHOOSE( CONTROL!$C$32, 35.6816, 35.678) * CHOOSE( CONTROL!$C$15, $D$11, 100%, $F$11)</f>
        <v>35.681600000000003</v>
      </c>
      <c r="H994" s="4">
        <f>CHOOSE( CONTROL!$C$32, 36.6563, 36.6527) * CHOOSE(CONTROL!$C$15, $D$11, 100%, $F$11)</f>
        <v>36.656300000000002</v>
      </c>
      <c r="I994" s="8">
        <f>CHOOSE( CONTROL!$C$32, 35.1825, 35.1789) * CHOOSE(CONTROL!$C$15, $D$11, 100%, $F$11)</f>
        <v>35.182499999999997</v>
      </c>
      <c r="J994" s="4">
        <f>CHOOSE( CONTROL!$C$32, 35.0224, 35.0188) * CHOOSE(CONTROL!$C$15, $D$11, 100%, $F$11)</f>
        <v>35.022399999999998</v>
      </c>
      <c r="K994" s="4"/>
      <c r="L994" s="9">
        <v>29.7257</v>
      </c>
      <c r="M994" s="9">
        <v>11.6745</v>
      </c>
      <c r="N994" s="9">
        <v>4.7850000000000001</v>
      </c>
      <c r="O994" s="9">
        <v>0.36199999999999999</v>
      </c>
      <c r="P994" s="9">
        <v>1.1791</v>
      </c>
      <c r="Q994" s="9">
        <v>19.053000000000001</v>
      </c>
      <c r="R994" s="9"/>
      <c r="S994" s="11"/>
    </row>
    <row r="995" spans="1:19" ht="15.75">
      <c r="A995" s="13">
        <v>71802</v>
      </c>
      <c r="B995" s="8">
        <f>CHOOSE( CONTROL!$C$32, 37.6508, 37.6471) * CHOOSE(CONTROL!$C$15, $D$11, 100%, $F$11)</f>
        <v>37.650799999999997</v>
      </c>
      <c r="C995" s="8">
        <f>CHOOSE( CONTROL!$C$32, 37.6587, 37.6551) * CHOOSE(CONTROL!$C$15, $D$11, 100%, $F$11)</f>
        <v>37.658700000000003</v>
      </c>
      <c r="D995" s="8">
        <f>CHOOSE( CONTROL!$C$32, 37.6969, 37.6933) * CHOOSE( CONTROL!$C$15, $D$11, 100%, $F$11)</f>
        <v>37.696899999999999</v>
      </c>
      <c r="E995" s="12">
        <f>CHOOSE( CONTROL!$C$32, 37.6819, 37.6782) * CHOOSE( CONTROL!$C$15, $D$11, 100%, $F$11)</f>
        <v>37.681899999999999</v>
      </c>
      <c r="F995" s="4">
        <f>CHOOSE( CONTROL!$C$32, 38.3938, 38.3901) * CHOOSE(CONTROL!$C$15, $D$11, 100%, $F$11)</f>
        <v>38.393799999999999</v>
      </c>
      <c r="G995" s="8">
        <f>CHOOSE( CONTROL!$C$32, 37.2164, 37.2128) * CHOOSE( CONTROL!$C$15, $D$11, 100%, $F$11)</f>
        <v>37.2164</v>
      </c>
      <c r="H995" s="4">
        <f>CHOOSE( CONTROL!$C$32, 38.1908, 38.1872) * CHOOSE(CONTROL!$C$15, $D$11, 100%, $F$11)</f>
        <v>38.190800000000003</v>
      </c>
      <c r="I995" s="8">
        <f>CHOOSE( CONTROL!$C$32, 36.6912, 36.6877) * CHOOSE(CONTROL!$C$15, $D$11, 100%, $F$11)</f>
        <v>36.691200000000002</v>
      </c>
      <c r="J995" s="4">
        <f>CHOOSE( CONTROL!$C$32, 36.5292, 36.5257) * CHOOSE(CONTROL!$C$15, $D$11, 100%, $F$11)</f>
        <v>36.529200000000003</v>
      </c>
      <c r="K995" s="4"/>
      <c r="L995" s="9">
        <v>30.7165</v>
      </c>
      <c r="M995" s="9">
        <v>12.063700000000001</v>
      </c>
      <c r="N995" s="9">
        <v>4.9444999999999997</v>
      </c>
      <c r="O995" s="9">
        <v>0.37409999999999999</v>
      </c>
      <c r="P995" s="9">
        <v>1.2183999999999999</v>
      </c>
      <c r="Q995" s="9">
        <v>19.688099999999999</v>
      </c>
      <c r="R995" s="9"/>
      <c r="S995" s="11"/>
    </row>
    <row r="996" spans="1:19" ht="15.75">
      <c r="A996" s="13">
        <v>71833</v>
      </c>
      <c r="B996" s="8">
        <f>CHOOSE( CONTROL!$C$32, 34.7455, 34.7419) * CHOOSE(CONTROL!$C$15, $D$11, 100%, $F$11)</f>
        <v>34.7455</v>
      </c>
      <c r="C996" s="8">
        <f>CHOOSE( CONTROL!$C$32, 34.7535, 34.7499) * CHOOSE(CONTROL!$C$15, $D$11, 100%, $F$11)</f>
        <v>34.753500000000003</v>
      </c>
      <c r="D996" s="8">
        <f>CHOOSE( CONTROL!$C$32, 34.7918, 34.7881) * CHOOSE( CONTROL!$C$15, $D$11, 100%, $F$11)</f>
        <v>34.791800000000002</v>
      </c>
      <c r="E996" s="12">
        <f>CHOOSE( CONTROL!$C$32, 34.7767, 34.773) * CHOOSE( CONTROL!$C$15, $D$11, 100%, $F$11)</f>
        <v>34.776699999999998</v>
      </c>
      <c r="F996" s="4">
        <f>CHOOSE( CONTROL!$C$32, 35.4885, 35.4849) * CHOOSE(CONTROL!$C$15, $D$11, 100%, $F$11)</f>
        <v>35.488500000000002</v>
      </c>
      <c r="G996" s="8">
        <f>CHOOSE( CONTROL!$C$32, 34.3453, 34.3417) * CHOOSE( CONTROL!$C$15, $D$11, 100%, $F$11)</f>
        <v>34.345300000000002</v>
      </c>
      <c r="H996" s="4">
        <f>CHOOSE( CONTROL!$C$32, 35.3196, 35.316) * CHOOSE(CONTROL!$C$15, $D$11, 100%, $F$11)</f>
        <v>35.319600000000001</v>
      </c>
      <c r="I996" s="8">
        <f>CHOOSE( CONTROL!$C$32, 33.8706, 33.8671) * CHOOSE(CONTROL!$C$15, $D$11, 100%, $F$11)</f>
        <v>33.870600000000003</v>
      </c>
      <c r="J996" s="4">
        <f>CHOOSE( CONTROL!$C$32, 33.7097, 33.7062) * CHOOSE(CONTROL!$C$15, $D$11, 100%, $F$11)</f>
        <v>33.709699999999998</v>
      </c>
      <c r="K996" s="4"/>
      <c r="L996" s="9">
        <v>30.7165</v>
      </c>
      <c r="M996" s="9">
        <v>12.063700000000001</v>
      </c>
      <c r="N996" s="9">
        <v>4.9444999999999997</v>
      </c>
      <c r="O996" s="9">
        <v>0.37409999999999999</v>
      </c>
      <c r="P996" s="9">
        <v>1.2183999999999999</v>
      </c>
      <c r="Q996" s="9">
        <v>19.688099999999999</v>
      </c>
      <c r="R996" s="9"/>
      <c r="S996" s="11"/>
    </row>
    <row r="997" spans="1:19" ht="15.75">
      <c r="A997" s="13">
        <v>71863</v>
      </c>
      <c r="B997" s="8">
        <f>CHOOSE( CONTROL!$C$32, 34.018, 34.0144) * CHOOSE(CONTROL!$C$15, $D$11, 100%, $F$11)</f>
        <v>34.018000000000001</v>
      </c>
      <c r="C997" s="8">
        <f>CHOOSE( CONTROL!$C$32, 34.026, 34.0224) * CHOOSE(CONTROL!$C$15, $D$11, 100%, $F$11)</f>
        <v>34.026000000000003</v>
      </c>
      <c r="D997" s="8">
        <f>CHOOSE( CONTROL!$C$32, 34.0642, 34.0605) * CHOOSE( CONTROL!$C$15, $D$11, 100%, $F$11)</f>
        <v>34.0642</v>
      </c>
      <c r="E997" s="12">
        <f>CHOOSE( CONTROL!$C$32, 34.0491, 34.0455) * CHOOSE( CONTROL!$C$15, $D$11, 100%, $F$11)</f>
        <v>34.049100000000003</v>
      </c>
      <c r="F997" s="4">
        <f>CHOOSE( CONTROL!$C$32, 34.761, 34.7574) * CHOOSE(CONTROL!$C$15, $D$11, 100%, $F$11)</f>
        <v>34.761000000000003</v>
      </c>
      <c r="G997" s="8">
        <f>CHOOSE( CONTROL!$C$32, 33.6262, 33.6226) * CHOOSE( CONTROL!$C$15, $D$11, 100%, $F$11)</f>
        <v>33.626199999999997</v>
      </c>
      <c r="H997" s="4">
        <f>CHOOSE( CONTROL!$C$32, 34.6006, 34.597) * CHOOSE(CONTROL!$C$15, $D$11, 100%, $F$11)</f>
        <v>34.6006</v>
      </c>
      <c r="I997" s="8">
        <f>CHOOSE( CONTROL!$C$32, 33.1638, 33.1603) * CHOOSE(CONTROL!$C$15, $D$11, 100%, $F$11)</f>
        <v>33.163800000000002</v>
      </c>
      <c r="J997" s="4">
        <f>CHOOSE( CONTROL!$C$32, 33.0037, 33.0001) * CHOOSE(CONTROL!$C$15, $D$11, 100%, $F$11)</f>
        <v>33.003700000000002</v>
      </c>
      <c r="K997" s="4"/>
      <c r="L997" s="9">
        <v>29.7257</v>
      </c>
      <c r="M997" s="9">
        <v>11.6745</v>
      </c>
      <c r="N997" s="9">
        <v>4.7850000000000001</v>
      </c>
      <c r="O997" s="9">
        <v>0.36199999999999999</v>
      </c>
      <c r="P997" s="9">
        <v>1.1791</v>
      </c>
      <c r="Q997" s="9">
        <v>19.053000000000001</v>
      </c>
      <c r="R997" s="9"/>
      <c r="S997" s="11"/>
    </row>
    <row r="998" spans="1:19" ht="15.75">
      <c r="A998" s="13">
        <v>71894</v>
      </c>
      <c r="B998" s="8">
        <f>35.5232 * CHOOSE(CONTROL!$C$15, $D$11, 100%, $F$11)</f>
        <v>35.523200000000003</v>
      </c>
      <c r="C998" s="8">
        <f>35.5285 * CHOOSE(CONTROL!$C$15, $D$11, 100%, $F$11)</f>
        <v>35.528500000000001</v>
      </c>
      <c r="D998" s="8">
        <f>35.5721 * CHOOSE( CONTROL!$C$15, $D$11, 100%, $F$11)</f>
        <v>35.572099999999999</v>
      </c>
      <c r="E998" s="12">
        <f>35.5571 * CHOOSE( CONTROL!$C$15, $D$11, 100%, $F$11)</f>
        <v>35.557099999999998</v>
      </c>
      <c r="F998" s="4">
        <f>36.2679 * CHOOSE(CONTROL!$C$15, $D$11, 100%, $F$11)</f>
        <v>36.267899999999997</v>
      </c>
      <c r="G998" s="8">
        <f>35.115 * CHOOSE( CONTROL!$C$15, $D$11, 100%, $F$11)</f>
        <v>35.115000000000002</v>
      </c>
      <c r="H998" s="4">
        <f>36.0899 * CHOOSE(CONTROL!$C$15, $D$11, 100%, $F$11)</f>
        <v>36.0899</v>
      </c>
      <c r="I998" s="8">
        <f>34.6277 * CHOOSE(CONTROL!$C$15, $D$11, 100%, $F$11)</f>
        <v>34.627699999999997</v>
      </c>
      <c r="J998" s="4">
        <f>34.4661 * CHOOSE(CONTROL!$C$15, $D$11, 100%, $F$11)</f>
        <v>34.466099999999997</v>
      </c>
      <c r="K998" s="4"/>
      <c r="L998" s="9">
        <v>31.095300000000002</v>
      </c>
      <c r="M998" s="9">
        <v>12.063700000000001</v>
      </c>
      <c r="N998" s="9">
        <v>4.9444999999999997</v>
      </c>
      <c r="O998" s="9">
        <v>0.37409999999999999</v>
      </c>
      <c r="P998" s="9">
        <v>1.2183999999999999</v>
      </c>
      <c r="Q998" s="9">
        <v>19.688099999999999</v>
      </c>
      <c r="R998" s="9"/>
      <c r="S998" s="11"/>
    </row>
    <row r="999" spans="1:19" ht="15.75">
      <c r="A999" s="13">
        <v>71924</v>
      </c>
      <c r="B999" s="8">
        <f>38.311 * CHOOSE(CONTROL!$C$15, $D$11, 100%, $F$11)</f>
        <v>38.311</v>
      </c>
      <c r="C999" s="8">
        <f>38.316 * CHOOSE(CONTROL!$C$15, $D$11, 100%, $F$11)</f>
        <v>38.316000000000003</v>
      </c>
      <c r="D999" s="8">
        <f>38.2997 * CHOOSE( CONTROL!$C$15, $D$11, 100%, $F$11)</f>
        <v>38.299700000000001</v>
      </c>
      <c r="E999" s="12">
        <f>38.3051 * CHOOSE( CONTROL!$C$15, $D$11, 100%, $F$11)</f>
        <v>38.305100000000003</v>
      </c>
      <c r="F999" s="4">
        <f>38.9762 * CHOOSE(CONTROL!$C$15, $D$11, 100%, $F$11)</f>
        <v>38.976199999999999</v>
      </c>
      <c r="G999" s="8">
        <f>37.871 * CHOOSE( CONTROL!$C$15, $D$11, 100%, $F$11)</f>
        <v>37.871000000000002</v>
      </c>
      <c r="H999" s="4">
        <f>38.7664 * CHOOSE(CONTROL!$C$15, $D$11, 100%, $F$11)</f>
        <v>38.766399999999997</v>
      </c>
      <c r="I999" s="8">
        <f>37.3351 * CHOOSE(CONTROL!$C$15, $D$11, 100%, $F$11)</f>
        <v>37.335099999999997</v>
      </c>
      <c r="J999" s="4">
        <f>37.172 * CHOOSE(CONTROL!$C$15, $D$11, 100%, $F$11)</f>
        <v>37.171999999999997</v>
      </c>
      <c r="K999" s="4"/>
      <c r="L999" s="9">
        <v>28.360600000000002</v>
      </c>
      <c r="M999" s="9">
        <v>11.6745</v>
      </c>
      <c r="N999" s="9">
        <v>4.7850000000000001</v>
      </c>
      <c r="O999" s="9">
        <v>0.36199999999999999</v>
      </c>
      <c r="P999" s="9">
        <v>1.2509999999999999</v>
      </c>
      <c r="Q999" s="9">
        <v>19.053000000000001</v>
      </c>
      <c r="R999" s="9"/>
      <c r="S999" s="11"/>
    </row>
    <row r="1000" spans="1:19" ht="15.75">
      <c r="A1000" s="13">
        <v>71955</v>
      </c>
      <c r="B1000" s="8">
        <f>38.2413 * CHOOSE(CONTROL!$C$15, $D$11, 100%, $F$11)</f>
        <v>38.241300000000003</v>
      </c>
      <c r="C1000" s="8">
        <f>38.2464 * CHOOSE(CONTROL!$C$15, $D$11, 100%, $F$11)</f>
        <v>38.246400000000001</v>
      </c>
      <c r="D1000" s="8">
        <f>38.2317 * CHOOSE( CONTROL!$C$15, $D$11, 100%, $F$11)</f>
        <v>38.231699999999996</v>
      </c>
      <c r="E1000" s="12">
        <f>38.2365 * CHOOSE( CONTROL!$C$15, $D$11, 100%, $F$11)</f>
        <v>38.236499999999999</v>
      </c>
      <c r="F1000" s="4">
        <f>38.9066 * CHOOSE(CONTROL!$C$15, $D$11, 100%, $F$11)</f>
        <v>38.906599999999997</v>
      </c>
      <c r="G1000" s="8">
        <f>37.8034 * CHOOSE( CONTROL!$C$15, $D$11, 100%, $F$11)</f>
        <v>37.803400000000003</v>
      </c>
      <c r="H1000" s="4">
        <f>38.6976 * CHOOSE(CONTROL!$C$15, $D$11, 100%, $F$11)</f>
        <v>38.697600000000001</v>
      </c>
      <c r="I1000" s="8">
        <f>37.2729 * CHOOSE(CONTROL!$C$15, $D$11, 100%, $F$11)</f>
        <v>37.2729</v>
      </c>
      <c r="J1000" s="4">
        <f>37.1044 * CHOOSE(CONTROL!$C$15, $D$11, 100%, $F$11)</f>
        <v>37.104399999999998</v>
      </c>
      <c r="K1000" s="4"/>
      <c r="L1000" s="9">
        <v>29.306000000000001</v>
      </c>
      <c r="M1000" s="9">
        <v>12.063700000000001</v>
      </c>
      <c r="N1000" s="9">
        <v>4.9444999999999997</v>
      </c>
      <c r="O1000" s="9">
        <v>0.37409999999999999</v>
      </c>
      <c r="P1000" s="9">
        <v>1.2927</v>
      </c>
      <c r="Q1000" s="9">
        <v>19.688099999999999</v>
      </c>
      <c r="R1000" s="9"/>
      <c r="S1000" s="11"/>
    </row>
    <row r="1001" spans="1:19" ht="15.75">
      <c r="A1001" s="13">
        <v>71986</v>
      </c>
      <c r="B1001" s="8">
        <f>39.369 * CHOOSE(CONTROL!$C$15, $D$11, 100%, $F$11)</f>
        <v>39.369</v>
      </c>
      <c r="C1001" s="8">
        <f>39.3741 * CHOOSE(CONTROL!$C$15, $D$11, 100%, $F$11)</f>
        <v>39.374099999999999</v>
      </c>
      <c r="D1001" s="8">
        <f>39.3452 * CHOOSE( CONTROL!$C$15, $D$11, 100%, $F$11)</f>
        <v>39.345199999999998</v>
      </c>
      <c r="E1001" s="12">
        <f>39.3552 * CHOOSE( CONTROL!$C$15, $D$11, 100%, $F$11)</f>
        <v>39.355200000000004</v>
      </c>
      <c r="F1001" s="4">
        <f>40.0343 * CHOOSE(CONTROL!$C$15, $D$11, 100%, $F$11)</f>
        <v>40.034300000000002</v>
      </c>
      <c r="G1001" s="8">
        <f>38.9077 * CHOOSE( CONTROL!$C$15, $D$11, 100%, $F$11)</f>
        <v>38.907699999999998</v>
      </c>
      <c r="H1001" s="4">
        <f>39.8121 * CHOOSE(CONTROL!$C$15, $D$11, 100%, $F$11)</f>
        <v>39.812100000000001</v>
      </c>
      <c r="I1001" s="8">
        <f>38.3625 * CHOOSE(CONTROL!$C$15, $D$11, 100%, $F$11)</f>
        <v>38.362499999999997</v>
      </c>
      <c r="J1001" s="4">
        <f>38.1989 * CHOOSE(CONTROL!$C$15, $D$11, 100%, $F$11)</f>
        <v>38.198900000000002</v>
      </c>
      <c r="K1001" s="4"/>
      <c r="L1001" s="9">
        <v>29.306000000000001</v>
      </c>
      <c r="M1001" s="9">
        <v>12.063700000000001</v>
      </c>
      <c r="N1001" s="9">
        <v>4.9444999999999997</v>
      </c>
      <c r="O1001" s="9">
        <v>0.37409999999999999</v>
      </c>
      <c r="P1001" s="9">
        <v>1.2927</v>
      </c>
      <c r="Q1001" s="9">
        <v>19.688099999999999</v>
      </c>
      <c r="R1001" s="9"/>
      <c r="S1001" s="11"/>
    </row>
    <row r="1002" spans="1:19" ht="15.75">
      <c r="A1002" s="13">
        <v>72014</v>
      </c>
      <c r="B1002" s="8">
        <f>36.8245 * CHOOSE(CONTROL!$C$15, $D$11, 100%, $F$11)</f>
        <v>36.8245</v>
      </c>
      <c r="C1002" s="8">
        <f>36.8295 * CHOOSE(CONTROL!$C$15, $D$11, 100%, $F$11)</f>
        <v>36.829500000000003</v>
      </c>
      <c r="D1002" s="8">
        <f>36.8007 * CHOOSE( CONTROL!$C$15, $D$11, 100%, $F$11)</f>
        <v>36.800699999999999</v>
      </c>
      <c r="E1002" s="12">
        <f>36.8107 * CHOOSE( CONTROL!$C$15, $D$11, 100%, $F$11)</f>
        <v>36.810699999999997</v>
      </c>
      <c r="F1002" s="4">
        <f>37.4898 * CHOOSE(CONTROL!$C$15, $D$11, 100%, $F$11)</f>
        <v>37.489800000000002</v>
      </c>
      <c r="G1002" s="8">
        <f>36.3929 * CHOOSE( CONTROL!$C$15, $D$11, 100%, $F$11)</f>
        <v>36.392899999999997</v>
      </c>
      <c r="H1002" s="4">
        <f>37.2974 * CHOOSE(CONTROL!$C$15, $D$11, 100%, $F$11)</f>
        <v>37.297400000000003</v>
      </c>
      <c r="I1002" s="8">
        <f>35.8917 * CHOOSE(CONTROL!$C$15, $D$11, 100%, $F$11)</f>
        <v>35.8917</v>
      </c>
      <c r="J1002" s="4">
        <f>35.7294 * CHOOSE(CONTROL!$C$15, $D$11, 100%, $F$11)</f>
        <v>35.729399999999998</v>
      </c>
      <c r="K1002" s="4"/>
      <c r="L1002" s="9">
        <v>26.469899999999999</v>
      </c>
      <c r="M1002" s="9">
        <v>10.8962</v>
      </c>
      <c r="N1002" s="9">
        <v>4.4660000000000002</v>
      </c>
      <c r="O1002" s="9">
        <v>0.33789999999999998</v>
      </c>
      <c r="P1002" s="9">
        <v>1.1676</v>
      </c>
      <c r="Q1002" s="9">
        <v>17.782800000000002</v>
      </c>
      <c r="R1002" s="9"/>
      <c r="S1002" s="11"/>
    </row>
    <row r="1003" spans="1:19" ht="15.75">
      <c r="A1003" s="13">
        <v>72045</v>
      </c>
      <c r="B1003" s="8">
        <f>36.0408 * CHOOSE(CONTROL!$C$15, $D$11, 100%, $F$11)</f>
        <v>36.040799999999997</v>
      </c>
      <c r="C1003" s="8">
        <f>36.0458 * CHOOSE(CONTROL!$C$15, $D$11, 100%, $F$11)</f>
        <v>36.0458</v>
      </c>
      <c r="D1003" s="8">
        <f>36.0165 * CHOOSE( CONTROL!$C$15, $D$11, 100%, $F$11)</f>
        <v>36.016500000000001</v>
      </c>
      <c r="E1003" s="12">
        <f>36.0267 * CHOOSE( CONTROL!$C$15, $D$11, 100%, $F$11)</f>
        <v>36.026699999999998</v>
      </c>
      <c r="F1003" s="4">
        <f>36.706 * CHOOSE(CONTROL!$C$15, $D$11, 100%, $F$11)</f>
        <v>36.706000000000003</v>
      </c>
      <c r="G1003" s="8">
        <f>35.6181 * CHOOSE( CONTROL!$C$15, $D$11, 100%, $F$11)</f>
        <v>35.618099999999998</v>
      </c>
      <c r="H1003" s="4">
        <f>36.5228 * CHOOSE(CONTROL!$C$15, $D$11, 100%, $F$11)</f>
        <v>36.522799999999997</v>
      </c>
      <c r="I1003" s="8">
        <f>35.1295 * CHOOSE(CONTROL!$C$15, $D$11, 100%, $F$11)</f>
        <v>35.1295</v>
      </c>
      <c r="J1003" s="4">
        <f>34.9688 * CHOOSE(CONTROL!$C$15, $D$11, 100%, $F$11)</f>
        <v>34.968800000000002</v>
      </c>
      <c r="K1003" s="4"/>
      <c r="L1003" s="9">
        <v>29.306000000000001</v>
      </c>
      <c r="M1003" s="9">
        <v>12.063700000000001</v>
      </c>
      <c r="N1003" s="9">
        <v>4.9444999999999997</v>
      </c>
      <c r="O1003" s="9">
        <v>0.37409999999999999</v>
      </c>
      <c r="P1003" s="9">
        <v>1.2927</v>
      </c>
      <c r="Q1003" s="9">
        <v>19.688099999999999</v>
      </c>
      <c r="R1003" s="9"/>
      <c r="S1003" s="11"/>
    </row>
    <row r="1004" spans="1:19" ht="15.75">
      <c r="A1004" s="13">
        <v>72075</v>
      </c>
      <c r="B1004" s="8">
        <f>36.5892 * CHOOSE(CONTROL!$C$15, $D$11, 100%, $F$11)</f>
        <v>36.589199999999998</v>
      </c>
      <c r="C1004" s="8">
        <f>36.5937 * CHOOSE(CONTROL!$C$15, $D$11, 100%, $F$11)</f>
        <v>36.593699999999998</v>
      </c>
      <c r="D1004" s="8">
        <f>36.637 * CHOOSE( CONTROL!$C$15, $D$11, 100%, $F$11)</f>
        <v>36.637</v>
      </c>
      <c r="E1004" s="12">
        <f>36.6222 * CHOOSE( CONTROL!$C$15, $D$11, 100%, $F$11)</f>
        <v>36.622199999999999</v>
      </c>
      <c r="F1004" s="4">
        <f>37.3335 * CHOOSE(CONTROL!$C$15, $D$11, 100%, $F$11)</f>
        <v>37.333500000000001</v>
      </c>
      <c r="G1004" s="8">
        <f>36.1671 * CHOOSE( CONTROL!$C$15, $D$11, 100%, $F$11)</f>
        <v>36.167099999999998</v>
      </c>
      <c r="H1004" s="4">
        <f>37.143 * CHOOSE(CONTROL!$C$15, $D$11, 100%, $F$11)</f>
        <v>37.143000000000001</v>
      </c>
      <c r="I1004" s="8">
        <f>35.6595 * CHOOSE(CONTROL!$C$15, $D$11, 100%, $F$11)</f>
        <v>35.659500000000001</v>
      </c>
      <c r="J1004" s="4">
        <f>35.5003 * CHOOSE(CONTROL!$C$15, $D$11, 100%, $F$11)</f>
        <v>35.500300000000003</v>
      </c>
      <c r="K1004" s="4"/>
      <c r="L1004" s="9">
        <v>30.092199999999998</v>
      </c>
      <c r="M1004" s="9">
        <v>11.6745</v>
      </c>
      <c r="N1004" s="9">
        <v>4.7850000000000001</v>
      </c>
      <c r="O1004" s="9">
        <v>0.36199999999999999</v>
      </c>
      <c r="P1004" s="9">
        <v>1.1791</v>
      </c>
      <c r="Q1004" s="9">
        <v>19.053000000000001</v>
      </c>
      <c r="R1004" s="9"/>
      <c r="S1004" s="11"/>
    </row>
    <row r="1005" spans="1:19" ht="15.75">
      <c r="A1005" s="13">
        <v>72106</v>
      </c>
      <c r="B1005" s="8">
        <f>CHOOSE( CONTROL!$C$32, 37.5689, 37.5652) * CHOOSE(CONTROL!$C$15, $D$11, 100%, $F$11)</f>
        <v>37.568899999999999</v>
      </c>
      <c r="C1005" s="8">
        <f>CHOOSE( CONTROL!$C$32, 37.5768, 37.5732) * CHOOSE(CONTROL!$C$15, $D$11, 100%, $F$11)</f>
        <v>37.576799999999999</v>
      </c>
      <c r="D1005" s="8">
        <f>CHOOSE( CONTROL!$C$32, 37.6146, 37.6109) * CHOOSE( CONTROL!$C$15, $D$11, 100%, $F$11)</f>
        <v>37.614600000000003</v>
      </c>
      <c r="E1005" s="12">
        <f>CHOOSE( CONTROL!$C$32, 37.5997, 37.596) * CHOOSE( CONTROL!$C$15, $D$11, 100%, $F$11)</f>
        <v>37.599699999999999</v>
      </c>
      <c r="F1005" s="4">
        <f>CHOOSE( CONTROL!$C$32, 38.3119, 38.3082) * CHOOSE(CONTROL!$C$15, $D$11, 100%, $F$11)</f>
        <v>38.311900000000001</v>
      </c>
      <c r="G1005" s="8">
        <f>CHOOSE( CONTROL!$C$32, 37.1348, 37.1312) * CHOOSE( CONTROL!$C$15, $D$11, 100%, $F$11)</f>
        <v>37.134799999999998</v>
      </c>
      <c r="H1005" s="4">
        <f>CHOOSE( CONTROL!$C$32, 38.1098, 38.1062) * CHOOSE(CONTROL!$C$15, $D$11, 100%, $F$11)</f>
        <v>38.1098</v>
      </c>
      <c r="I1005" s="8">
        <f>CHOOSE( CONTROL!$C$32, 36.6095, 36.606) * CHOOSE(CONTROL!$C$15, $D$11, 100%, $F$11)</f>
        <v>36.609499999999997</v>
      </c>
      <c r="J1005" s="4">
        <f>CHOOSE( CONTROL!$C$32, 36.4498, 36.4462) * CHOOSE(CONTROL!$C$15, $D$11, 100%, $F$11)</f>
        <v>36.449800000000003</v>
      </c>
      <c r="K1005" s="4"/>
      <c r="L1005" s="9">
        <v>30.7165</v>
      </c>
      <c r="M1005" s="9">
        <v>12.063700000000001</v>
      </c>
      <c r="N1005" s="9">
        <v>4.9444999999999997</v>
      </c>
      <c r="O1005" s="9">
        <v>0.37409999999999999</v>
      </c>
      <c r="P1005" s="9">
        <v>1.2183999999999999</v>
      </c>
      <c r="Q1005" s="9">
        <v>19.688099999999999</v>
      </c>
      <c r="R1005" s="9"/>
      <c r="S1005" s="11"/>
    </row>
    <row r="1006" spans="1:19" ht="15.75">
      <c r="A1006" s="13">
        <v>72136</v>
      </c>
      <c r="B1006" s="8">
        <f>CHOOSE( CONTROL!$C$32, 36.9651, 36.9614) * CHOOSE(CONTROL!$C$15, $D$11, 100%, $F$11)</f>
        <v>36.9651</v>
      </c>
      <c r="C1006" s="8">
        <f>CHOOSE( CONTROL!$C$32, 36.973, 36.9694) * CHOOSE(CONTROL!$C$15, $D$11, 100%, $F$11)</f>
        <v>36.972999999999999</v>
      </c>
      <c r="D1006" s="8">
        <f>CHOOSE( CONTROL!$C$32, 37.011, 37.0074) * CHOOSE( CONTROL!$C$15, $D$11, 100%, $F$11)</f>
        <v>37.011000000000003</v>
      </c>
      <c r="E1006" s="12">
        <f>CHOOSE( CONTROL!$C$32, 36.996, 36.9924) * CHOOSE( CONTROL!$C$15, $D$11, 100%, $F$11)</f>
        <v>36.996000000000002</v>
      </c>
      <c r="F1006" s="4">
        <f>CHOOSE( CONTROL!$C$32, 37.7081, 37.7044) * CHOOSE(CONTROL!$C$15, $D$11, 100%, $F$11)</f>
        <v>37.708100000000002</v>
      </c>
      <c r="G1006" s="8">
        <f>CHOOSE( CONTROL!$C$32, 36.5384, 36.5348) * CHOOSE( CONTROL!$C$15, $D$11, 100%, $F$11)</f>
        <v>36.538400000000003</v>
      </c>
      <c r="H1006" s="4">
        <f>CHOOSE( CONTROL!$C$32, 37.5131, 37.5095) * CHOOSE(CONTROL!$C$15, $D$11, 100%, $F$11)</f>
        <v>37.513100000000001</v>
      </c>
      <c r="I1006" s="8">
        <f>CHOOSE( CONTROL!$C$32, 36.0243, 36.0208) * CHOOSE(CONTROL!$C$15, $D$11, 100%, $F$11)</f>
        <v>36.024299999999997</v>
      </c>
      <c r="J1006" s="4">
        <f>CHOOSE( CONTROL!$C$32, 35.8638, 35.8602) * CHOOSE(CONTROL!$C$15, $D$11, 100%, $F$11)</f>
        <v>35.863799999999998</v>
      </c>
      <c r="K1006" s="4"/>
      <c r="L1006" s="9">
        <v>29.7257</v>
      </c>
      <c r="M1006" s="9">
        <v>11.6745</v>
      </c>
      <c r="N1006" s="9">
        <v>4.7850000000000001</v>
      </c>
      <c r="O1006" s="9">
        <v>0.36199999999999999</v>
      </c>
      <c r="P1006" s="9">
        <v>1.1791</v>
      </c>
      <c r="Q1006" s="9">
        <v>19.053000000000001</v>
      </c>
      <c r="R1006" s="9"/>
      <c r="S1006" s="11"/>
    </row>
    <row r="1007" spans="1:19" ht="15.75">
      <c r="A1007" s="13">
        <v>72167</v>
      </c>
      <c r="B1007" s="8">
        <f>CHOOSE( CONTROL!$C$32, 38.5551, 38.5514) * CHOOSE(CONTROL!$C$15, $D$11, 100%, $F$11)</f>
        <v>38.555100000000003</v>
      </c>
      <c r="C1007" s="8">
        <f>CHOOSE( CONTROL!$C$32, 38.563, 38.5594) * CHOOSE(CONTROL!$C$15, $D$11, 100%, $F$11)</f>
        <v>38.563000000000002</v>
      </c>
      <c r="D1007" s="8">
        <f>CHOOSE( CONTROL!$C$32, 38.6012, 38.5976) * CHOOSE( CONTROL!$C$15, $D$11, 100%, $F$11)</f>
        <v>38.601199999999999</v>
      </c>
      <c r="E1007" s="12">
        <f>CHOOSE( CONTROL!$C$32, 38.5862, 38.5825) * CHOOSE( CONTROL!$C$15, $D$11, 100%, $F$11)</f>
        <v>38.586199999999998</v>
      </c>
      <c r="F1007" s="4">
        <f>CHOOSE( CONTROL!$C$32, 39.2981, 39.2944) * CHOOSE(CONTROL!$C$15, $D$11, 100%, $F$11)</f>
        <v>39.298099999999998</v>
      </c>
      <c r="G1007" s="8">
        <f>CHOOSE( CONTROL!$C$32, 38.1101, 38.1065) * CHOOSE( CONTROL!$C$15, $D$11, 100%, $F$11)</f>
        <v>38.110100000000003</v>
      </c>
      <c r="H1007" s="4">
        <f>CHOOSE( CONTROL!$C$32, 39.0845, 39.0809) * CHOOSE(CONTROL!$C$15, $D$11, 100%, $F$11)</f>
        <v>39.084499999999998</v>
      </c>
      <c r="I1007" s="8">
        <f>CHOOSE( CONTROL!$C$32, 37.5693, 37.5658) * CHOOSE(CONTROL!$C$15, $D$11, 100%, $F$11)</f>
        <v>37.569299999999998</v>
      </c>
      <c r="J1007" s="4">
        <f>CHOOSE( CONTROL!$C$32, 37.4069, 37.4033) * CHOOSE(CONTROL!$C$15, $D$11, 100%, $F$11)</f>
        <v>37.4069</v>
      </c>
      <c r="K1007" s="4"/>
      <c r="L1007" s="9">
        <v>30.7165</v>
      </c>
      <c r="M1007" s="9">
        <v>12.063700000000001</v>
      </c>
      <c r="N1007" s="9">
        <v>4.9444999999999997</v>
      </c>
      <c r="O1007" s="9">
        <v>0.37409999999999999</v>
      </c>
      <c r="P1007" s="9">
        <v>1.2183999999999999</v>
      </c>
      <c r="Q1007" s="9">
        <v>19.688099999999999</v>
      </c>
      <c r="R1007" s="9"/>
      <c r="S1007" s="11"/>
    </row>
    <row r="1008" spans="1:19" ht="15.75">
      <c r="A1008" s="13">
        <v>72198</v>
      </c>
      <c r="B1008" s="8">
        <f>CHOOSE( CONTROL!$C$32, 35.58, 35.5764) * CHOOSE(CONTROL!$C$15, $D$11, 100%, $F$11)</f>
        <v>35.58</v>
      </c>
      <c r="C1008" s="8">
        <f>CHOOSE( CONTROL!$C$32, 35.588, 35.5844) * CHOOSE(CONTROL!$C$15, $D$11, 100%, $F$11)</f>
        <v>35.588000000000001</v>
      </c>
      <c r="D1008" s="8">
        <f>CHOOSE( CONTROL!$C$32, 35.6263, 35.6226) * CHOOSE( CONTROL!$C$15, $D$11, 100%, $F$11)</f>
        <v>35.626300000000001</v>
      </c>
      <c r="E1008" s="12">
        <f>CHOOSE( CONTROL!$C$32, 35.6112, 35.6075) * CHOOSE( CONTROL!$C$15, $D$11, 100%, $F$11)</f>
        <v>35.611199999999997</v>
      </c>
      <c r="F1008" s="4">
        <f>CHOOSE( CONTROL!$C$32, 36.323, 36.3194) * CHOOSE(CONTROL!$C$15, $D$11, 100%, $F$11)</f>
        <v>36.323</v>
      </c>
      <c r="G1008" s="8">
        <f>CHOOSE( CONTROL!$C$32, 35.17, 35.1664) * CHOOSE( CONTROL!$C$15, $D$11, 100%, $F$11)</f>
        <v>35.17</v>
      </c>
      <c r="H1008" s="4">
        <f>CHOOSE( CONTROL!$C$32, 36.1443, 36.1407) * CHOOSE(CONTROL!$C$15, $D$11, 100%, $F$11)</f>
        <v>36.144300000000001</v>
      </c>
      <c r="I1008" s="8">
        <f>CHOOSE( CONTROL!$C$32, 34.6809, 34.6773) * CHOOSE(CONTROL!$C$15, $D$11, 100%, $F$11)</f>
        <v>34.680900000000001</v>
      </c>
      <c r="J1008" s="4">
        <f>CHOOSE( CONTROL!$C$32, 34.5196, 34.5161) * CHOOSE(CONTROL!$C$15, $D$11, 100%, $F$11)</f>
        <v>34.519599999999997</v>
      </c>
      <c r="K1008" s="4"/>
      <c r="L1008" s="9">
        <v>30.7165</v>
      </c>
      <c r="M1008" s="9">
        <v>12.063700000000001</v>
      </c>
      <c r="N1008" s="9">
        <v>4.9444999999999997</v>
      </c>
      <c r="O1008" s="9">
        <v>0.37409999999999999</v>
      </c>
      <c r="P1008" s="9">
        <v>1.2183999999999999</v>
      </c>
      <c r="Q1008" s="9">
        <v>19.688099999999999</v>
      </c>
      <c r="R1008" s="9"/>
      <c r="S1008" s="11"/>
    </row>
    <row r="1009" spans="1:19" ht="15.75">
      <c r="A1009" s="13">
        <v>72228</v>
      </c>
      <c r="B1009" s="8">
        <f>CHOOSE( CONTROL!$C$32, 34.835, 34.8314) * CHOOSE(CONTROL!$C$15, $D$11, 100%, $F$11)</f>
        <v>34.835000000000001</v>
      </c>
      <c r="C1009" s="8">
        <f>CHOOSE( CONTROL!$C$32, 34.843, 34.8394) * CHOOSE(CONTROL!$C$15, $D$11, 100%, $F$11)</f>
        <v>34.843000000000004</v>
      </c>
      <c r="D1009" s="8">
        <f>CHOOSE( CONTROL!$C$32, 34.8812, 34.8776) * CHOOSE( CONTROL!$C$15, $D$11, 100%, $F$11)</f>
        <v>34.8812</v>
      </c>
      <c r="E1009" s="12">
        <f>CHOOSE( CONTROL!$C$32, 34.8661, 34.8625) * CHOOSE( CONTROL!$C$15, $D$11, 100%, $F$11)</f>
        <v>34.866100000000003</v>
      </c>
      <c r="F1009" s="4">
        <f>CHOOSE( CONTROL!$C$32, 35.5781, 35.5744) * CHOOSE(CONTROL!$C$15, $D$11, 100%, $F$11)</f>
        <v>35.578099999999999</v>
      </c>
      <c r="G1009" s="8">
        <f>CHOOSE( CONTROL!$C$32, 34.4337, 34.4301) * CHOOSE( CONTROL!$C$15, $D$11, 100%, $F$11)</f>
        <v>34.433700000000002</v>
      </c>
      <c r="H1009" s="4">
        <f>CHOOSE( CONTROL!$C$32, 35.408, 35.4044) * CHOOSE(CONTROL!$C$15, $D$11, 100%, $F$11)</f>
        <v>35.408000000000001</v>
      </c>
      <c r="I1009" s="8">
        <f>CHOOSE( CONTROL!$C$32, 33.9571, 33.9536) * CHOOSE(CONTROL!$C$15, $D$11, 100%, $F$11)</f>
        <v>33.957099999999997</v>
      </c>
      <c r="J1009" s="4">
        <f>CHOOSE( CONTROL!$C$32, 33.7966, 33.7931) * CHOOSE(CONTROL!$C$15, $D$11, 100%, $F$11)</f>
        <v>33.796599999999998</v>
      </c>
      <c r="K1009" s="4"/>
      <c r="L1009" s="9">
        <v>29.7257</v>
      </c>
      <c r="M1009" s="9">
        <v>11.6745</v>
      </c>
      <c r="N1009" s="9">
        <v>4.7850000000000001</v>
      </c>
      <c r="O1009" s="9">
        <v>0.36199999999999999</v>
      </c>
      <c r="P1009" s="9">
        <v>1.1791</v>
      </c>
      <c r="Q1009" s="9">
        <v>19.053000000000001</v>
      </c>
      <c r="R1009" s="9"/>
      <c r="S1009" s="11"/>
    </row>
    <row r="1010" spans="1:19" ht="15.75">
      <c r="A1010" s="13">
        <v>72259</v>
      </c>
      <c r="B1010" s="8">
        <f>36.3765 * CHOOSE(CONTROL!$C$15, $D$11, 100%, $F$11)</f>
        <v>36.3765</v>
      </c>
      <c r="C1010" s="8">
        <f>36.3818 * CHOOSE(CONTROL!$C$15, $D$11, 100%, $F$11)</f>
        <v>36.381799999999998</v>
      </c>
      <c r="D1010" s="8">
        <f>36.4254 * CHOOSE( CONTROL!$C$15, $D$11, 100%, $F$11)</f>
        <v>36.425400000000003</v>
      </c>
      <c r="E1010" s="12">
        <f>36.4104 * CHOOSE( CONTROL!$C$15, $D$11, 100%, $F$11)</f>
        <v>36.410400000000003</v>
      </c>
      <c r="F1010" s="4">
        <f>37.1212 * CHOOSE(CONTROL!$C$15, $D$11, 100%, $F$11)</f>
        <v>37.121200000000002</v>
      </c>
      <c r="G1010" s="8">
        <f>35.9583 * CHOOSE( CONTROL!$C$15, $D$11, 100%, $F$11)</f>
        <v>35.958300000000001</v>
      </c>
      <c r="H1010" s="4">
        <f>36.9332 * CHOOSE(CONTROL!$C$15, $D$11, 100%, $F$11)</f>
        <v>36.933199999999999</v>
      </c>
      <c r="I1010" s="8">
        <f>35.4563 * CHOOSE(CONTROL!$C$15, $D$11, 100%, $F$11)</f>
        <v>35.456299999999999</v>
      </c>
      <c r="J1010" s="4">
        <f>35.2943 * CHOOSE(CONTROL!$C$15, $D$11, 100%, $F$11)</f>
        <v>35.2943</v>
      </c>
      <c r="K1010" s="4"/>
      <c r="L1010" s="9">
        <v>31.095300000000002</v>
      </c>
      <c r="M1010" s="9">
        <v>12.063700000000001</v>
      </c>
      <c r="N1010" s="9">
        <v>4.9444999999999997</v>
      </c>
      <c r="O1010" s="9">
        <v>0.37409999999999999</v>
      </c>
      <c r="P1010" s="9">
        <v>1.2183999999999999</v>
      </c>
      <c r="Q1010" s="9">
        <v>19.688099999999999</v>
      </c>
      <c r="R1010" s="9"/>
      <c r="S1010" s="11"/>
    </row>
    <row r="1011" spans="1:19" ht="15.75">
      <c r="A1011" s="13">
        <v>72289</v>
      </c>
      <c r="B1011" s="8">
        <f>39.2313 * CHOOSE(CONTROL!$C$15, $D$11, 100%, $F$11)</f>
        <v>39.231299999999997</v>
      </c>
      <c r="C1011" s="8">
        <f>39.2363 * CHOOSE(CONTROL!$C$15, $D$11, 100%, $F$11)</f>
        <v>39.2363</v>
      </c>
      <c r="D1011" s="8">
        <f>39.22 * CHOOSE( CONTROL!$C$15, $D$11, 100%, $F$11)</f>
        <v>39.22</v>
      </c>
      <c r="E1011" s="12">
        <f>39.2254 * CHOOSE( CONTROL!$C$15, $D$11, 100%, $F$11)</f>
        <v>39.2254</v>
      </c>
      <c r="F1011" s="4">
        <f>39.8965 * CHOOSE(CONTROL!$C$15, $D$11, 100%, $F$11)</f>
        <v>39.896500000000003</v>
      </c>
      <c r="G1011" s="8">
        <f>38.7806 * CHOOSE( CONTROL!$C$15, $D$11, 100%, $F$11)</f>
        <v>38.7806</v>
      </c>
      <c r="H1011" s="4">
        <f>39.676 * CHOOSE(CONTROL!$C$15, $D$11, 100%, $F$11)</f>
        <v>39.676000000000002</v>
      </c>
      <c r="I1011" s="8">
        <f>38.2287 * CHOOSE(CONTROL!$C$15, $D$11, 100%, $F$11)</f>
        <v>38.228700000000003</v>
      </c>
      <c r="J1011" s="4">
        <f>38.0652 * CHOOSE(CONTROL!$C$15, $D$11, 100%, $F$11)</f>
        <v>38.065199999999997</v>
      </c>
      <c r="K1011" s="4"/>
      <c r="L1011" s="9">
        <v>28.360600000000002</v>
      </c>
      <c r="M1011" s="9">
        <v>11.6745</v>
      </c>
      <c r="N1011" s="9">
        <v>4.7850000000000001</v>
      </c>
      <c r="O1011" s="9">
        <v>0.36199999999999999</v>
      </c>
      <c r="P1011" s="9">
        <v>1.2509999999999999</v>
      </c>
      <c r="Q1011" s="9">
        <v>19.053000000000001</v>
      </c>
      <c r="R1011" s="9"/>
      <c r="S1011" s="11"/>
    </row>
    <row r="1012" spans="1:19" ht="15.75">
      <c r="A1012" s="13">
        <v>72320</v>
      </c>
      <c r="B1012" s="8">
        <f>39.1599 * CHOOSE(CONTROL!$C$15, $D$11, 100%, $F$11)</f>
        <v>39.1599</v>
      </c>
      <c r="C1012" s="8">
        <f>39.165 * CHOOSE(CONTROL!$C$15, $D$11, 100%, $F$11)</f>
        <v>39.164999999999999</v>
      </c>
      <c r="D1012" s="8">
        <f>39.1504 * CHOOSE( CONTROL!$C$15, $D$11, 100%, $F$11)</f>
        <v>39.150399999999998</v>
      </c>
      <c r="E1012" s="12">
        <f>39.1552 * CHOOSE( CONTROL!$C$15, $D$11, 100%, $F$11)</f>
        <v>39.155200000000001</v>
      </c>
      <c r="F1012" s="4">
        <f>39.8252 * CHOOSE(CONTROL!$C$15, $D$11, 100%, $F$11)</f>
        <v>39.825200000000002</v>
      </c>
      <c r="G1012" s="8">
        <f>38.7113 * CHOOSE( CONTROL!$C$15, $D$11, 100%, $F$11)</f>
        <v>38.711300000000001</v>
      </c>
      <c r="H1012" s="4">
        <f>39.6055 * CHOOSE(CONTROL!$C$15, $D$11, 100%, $F$11)</f>
        <v>39.605499999999999</v>
      </c>
      <c r="I1012" s="8">
        <f>38.1648 * CHOOSE(CONTROL!$C$15, $D$11, 100%, $F$11)</f>
        <v>38.1648</v>
      </c>
      <c r="J1012" s="4">
        <f>37.996 * CHOOSE(CONTROL!$C$15, $D$11, 100%, $F$11)</f>
        <v>37.996000000000002</v>
      </c>
      <c r="K1012" s="4"/>
      <c r="L1012" s="9">
        <v>29.306000000000001</v>
      </c>
      <c r="M1012" s="9">
        <v>12.063700000000001</v>
      </c>
      <c r="N1012" s="9">
        <v>4.9444999999999997</v>
      </c>
      <c r="O1012" s="9">
        <v>0.37409999999999999</v>
      </c>
      <c r="P1012" s="9">
        <v>1.2927</v>
      </c>
      <c r="Q1012" s="9">
        <v>19.688099999999999</v>
      </c>
      <c r="R1012" s="9"/>
      <c r="S1012" s="11"/>
    </row>
    <row r="1013" spans="1:19" ht="15.75">
      <c r="A1013" s="13">
        <v>72351</v>
      </c>
      <c r="B1013" s="8">
        <f>40.3148 * CHOOSE(CONTROL!$C$15, $D$11, 100%, $F$11)</f>
        <v>40.314799999999998</v>
      </c>
      <c r="C1013" s="8">
        <f>40.3198 * CHOOSE(CONTROL!$C$15, $D$11, 100%, $F$11)</f>
        <v>40.319800000000001</v>
      </c>
      <c r="D1013" s="8">
        <f>40.2909 * CHOOSE( CONTROL!$C$15, $D$11, 100%, $F$11)</f>
        <v>40.290900000000001</v>
      </c>
      <c r="E1013" s="12">
        <f>40.3009 * CHOOSE( CONTROL!$C$15, $D$11, 100%, $F$11)</f>
        <v>40.300899999999999</v>
      </c>
      <c r="F1013" s="4">
        <f>40.98 * CHOOSE(CONTROL!$C$15, $D$11, 100%, $F$11)</f>
        <v>40.98</v>
      </c>
      <c r="G1013" s="8">
        <f>39.8423 * CHOOSE( CONTROL!$C$15, $D$11, 100%, $F$11)</f>
        <v>39.842300000000002</v>
      </c>
      <c r="H1013" s="4">
        <f>40.7468 * CHOOSE(CONTROL!$C$15, $D$11, 100%, $F$11)</f>
        <v>40.7468</v>
      </c>
      <c r="I1013" s="8">
        <f>39.2808 * CHOOSE(CONTROL!$C$15, $D$11, 100%, $F$11)</f>
        <v>39.280799999999999</v>
      </c>
      <c r="J1013" s="4">
        <f>39.1167 * CHOOSE(CONTROL!$C$15, $D$11, 100%, $F$11)</f>
        <v>39.116700000000002</v>
      </c>
      <c r="K1013" s="4"/>
      <c r="L1013" s="9">
        <v>29.306000000000001</v>
      </c>
      <c r="M1013" s="9">
        <v>12.063700000000001</v>
      </c>
      <c r="N1013" s="9">
        <v>4.9444999999999997</v>
      </c>
      <c r="O1013" s="9">
        <v>0.37409999999999999</v>
      </c>
      <c r="P1013" s="9">
        <v>1.2927</v>
      </c>
      <c r="Q1013" s="9">
        <v>19.688099999999999</v>
      </c>
      <c r="R1013" s="9"/>
      <c r="S1013" s="11"/>
    </row>
    <row r="1014" spans="1:19" ht="15.75">
      <c r="A1014" s="13">
        <v>72379</v>
      </c>
      <c r="B1014" s="8">
        <f>37.7091 * CHOOSE(CONTROL!$C$15, $D$11, 100%, $F$11)</f>
        <v>37.709099999999999</v>
      </c>
      <c r="C1014" s="8">
        <f>37.7141 * CHOOSE(CONTROL!$C$15, $D$11, 100%, $F$11)</f>
        <v>37.714100000000002</v>
      </c>
      <c r="D1014" s="8">
        <f>37.6852 * CHOOSE( CONTROL!$C$15, $D$11, 100%, $F$11)</f>
        <v>37.685200000000002</v>
      </c>
      <c r="E1014" s="12">
        <f>37.6952 * CHOOSE( CONTROL!$C$15, $D$11, 100%, $F$11)</f>
        <v>37.6952</v>
      </c>
      <c r="F1014" s="4">
        <f>38.3743 * CHOOSE(CONTROL!$C$15, $D$11, 100%, $F$11)</f>
        <v>38.374299999999998</v>
      </c>
      <c r="G1014" s="8">
        <f>37.2671 * CHOOSE( CONTROL!$C$15, $D$11, 100%, $F$11)</f>
        <v>37.267099999999999</v>
      </c>
      <c r="H1014" s="4">
        <f>38.1716 * CHOOSE(CONTROL!$C$15, $D$11, 100%, $F$11)</f>
        <v>38.171599999999998</v>
      </c>
      <c r="I1014" s="8">
        <f>36.7506 * CHOOSE(CONTROL!$C$15, $D$11, 100%, $F$11)</f>
        <v>36.750599999999999</v>
      </c>
      <c r="J1014" s="4">
        <f>36.5879 * CHOOSE(CONTROL!$C$15, $D$11, 100%, $F$11)</f>
        <v>36.587899999999998</v>
      </c>
      <c r="K1014" s="4"/>
      <c r="L1014" s="9">
        <v>26.469899999999999</v>
      </c>
      <c r="M1014" s="9">
        <v>10.8962</v>
      </c>
      <c r="N1014" s="9">
        <v>4.4660000000000002</v>
      </c>
      <c r="O1014" s="9">
        <v>0.33789999999999998</v>
      </c>
      <c r="P1014" s="9">
        <v>1.1676</v>
      </c>
      <c r="Q1014" s="9">
        <v>17.782800000000002</v>
      </c>
      <c r="R1014" s="9"/>
      <c r="S1014" s="11"/>
    </row>
    <row r="1015" spans="1:19" ht="15.75">
      <c r="A1015" s="13">
        <v>72410</v>
      </c>
      <c r="B1015" s="8">
        <f>36.9065 * CHOOSE(CONTROL!$C$15, $D$11, 100%, $F$11)</f>
        <v>36.906500000000001</v>
      </c>
      <c r="C1015" s="8">
        <f>36.9116 * CHOOSE(CONTROL!$C$15, $D$11, 100%, $F$11)</f>
        <v>36.9116</v>
      </c>
      <c r="D1015" s="8">
        <f>36.8823 * CHOOSE( CONTROL!$C$15, $D$11, 100%, $F$11)</f>
        <v>36.882300000000001</v>
      </c>
      <c r="E1015" s="12">
        <f>36.8925 * CHOOSE( CONTROL!$C$15, $D$11, 100%, $F$11)</f>
        <v>36.892499999999998</v>
      </c>
      <c r="F1015" s="4">
        <f>37.5718 * CHOOSE(CONTROL!$C$15, $D$11, 100%, $F$11)</f>
        <v>37.571800000000003</v>
      </c>
      <c r="G1015" s="8">
        <f>36.4737 * CHOOSE( CONTROL!$C$15, $D$11, 100%, $F$11)</f>
        <v>36.473700000000001</v>
      </c>
      <c r="H1015" s="4">
        <f>37.3784 * CHOOSE(CONTROL!$C$15, $D$11, 100%, $F$11)</f>
        <v>37.378399999999999</v>
      </c>
      <c r="I1015" s="8">
        <f>35.9701 * CHOOSE(CONTROL!$C$15, $D$11, 100%, $F$11)</f>
        <v>35.970100000000002</v>
      </c>
      <c r="J1015" s="4">
        <f>35.809 * CHOOSE(CONTROL!$C$15, $D$11, 100%, $F$11)</f>
        <v>35.808999999999997</v>
      </c>
      <c r="K1015" s="4"/>
      <c r="L1015" s="9">
        <v>29.306000000000001</v>
      </c>
      <c r="M1015" s="9">
        <v>12.063700000000001</v>
      </c>
      <c r="N1015" s="9">
        <v>4.9444999999999997</v>
      </c>
      <c r="O1015" s="9">
        <v>0.37409999999999999</v>
      </c>
      <c r="P1015" s="9">
        <v>1.2927</v>
      </c>
      <c r="Q1015" s="9">
        <v>19.688099999999999</v>
      </c>
      <c r="R1015" s="9"/>
      <c r="S1015" s="11"/>
    </row>
    <row r="1016" spans="1:19" ht="15.75">
      <c r="A1016" s="13">
        <v>72440</v>
      </c>
      <c r="B1016" s="8">
        <f>37.4681 * CHOOSE(CONTROL!$C$15, $D$11, 100%, $F$11)</f>
        <v>37.4681</v>
      </c>
      <c r="C1016" s="8">
        <f>37.4726 * CHOOSE(CONTROL!$C$15, $D$11, 100%, $F$11)</f>
        <v>37.4726</v>
      </c>
      <c r="D1016" s="8">
        <f>37.516 * CHOOSE( CONTROL!$C$15, $D$11, 100%, $F$11)</f>
        <v>37.515999999999998</v>
      </c>
      <c r="E1016" s="12">
        <f>37.5012 * CHOOSE( CONTROL!$C$15, $D$11, 100%, $F$11)</f>
        <v>37.501199999999997</v>
      </c>
      <c r="F1016" s="4">
        <f>38.2124 * CHOOSE(CONTROL!$C$15, $D$11, 100%, $F$11)</f>
        <v>38.212400000000002</v>
      </c>
      <c r="G1016" s="8">
        <f>37.0357 * CHOOSE( CONTROL!$C$15, $D$11, 100%, $F$11)</f>
        <v>37.035699999999999</v>
      </c>
      <c r="H1016" s="4">
        <f>38.0116 * CHOOSE(CONTROL!$C$15, $D$11, 100%, $F$11)</f>
        <v>38.011600000000001</v>
      </c>
      <c r="I1016" s="8">
        <f>36.5129 * CHOOSE(CONTROL!$C$15, $D$11, 100%, $F$11)</f>
        <v>36.512900000000002</v>
      </c>
      <c r="J1016" s="4">
        <f>36.3533 * CHOOSE(CONTROL!$C$15, $D$11, 100%, $F$11)</f>
        <v>36.353299999999997</v>
      </c>
      <c r="K1016" s="4"/>
      <c r="L1016" s="9">
        <v>30.092199999999998</v>
      </c>
      <c r="M1016" s="9">
        <v>11.6745</v>
      </c>
      <c r="N1016" s="9">
        <v>4.7850000000000001</v>
      </c>
      <c r="O1016" s="9">
        <v>0.36199999999999999</v>
      </c>
      <c r="P1016" s="9">
        <v>1.1791</v>
      </c>
      <c r="Q1016" s="9">
        <v>19.053000000000001</v>
      </c>
      <c r="R1016" s="9"/>
      <c r="S1016" s="11"/>
    </row>
    <row r="1017" spans="1:19" ht="15.75">
      <c r="A1017" s="13">
        <v>72471</v>
      </c>
      <c r="B1017" s="8">
        <f>CHOOSE( CONTROL!$C$32, 38.4712, 38.4675) * CHOOSE(CONTROL!$C$15, $D$11, 100%, $F$11)</f>
        <v>38.471200000000003</v>
      </c>
      <c r="C1017" s="8">
        <f>CHOOSE( CONTROL!$C$32, 38.4792, 38.4755) * CHOOSE(CONTROL!$C$15, $D$11, 100%, $F$11)</f>
        <v>38.479199999999999</v>
      </c>
      <c r="D1017" s="8">
        <f>CHOOSE( CONTROL!$C$32, 38.5169, 38.5133) * CHOOSE( CONTROL!$C$15, $D$11, 100%, $F$11)</f>
        <v>38.5169</v>
      </c>
      <c r="E1017" s="12">
        <f>CHOOSE( CONTROL!$C$32, 38.502, 38.4984) * CHOOSE( CONTROL!$C$15, $D$11, 100%, $F$11)</f>
        <v>38.502000000000002</v>
      </c>
      <c r="F1017" s="4">
        <f>CHOOSE( CONTROL!$C$32, 39.2142, 39.2105) * CHOOSE(CONTROL!$C$15, $D$11, 100%, $F$11)</f>
        <v>39.214199999999998</v>
      </c>
      <c r="G1017" s="8">
        <f>CHOOSE( CONTROL!$C$32, 38.0266, 38.023) * CHOOSE( CONTROL!$C$15, $D$11, 100%, $F$11)</f>
        <v>38.026600000000002</v>
      </c>
      <c r="H1017" s="4">
        <f>CHOOSE( CONTROL!$C$32, 39.0016, 38.998) * CHOOSE(CONTROL!$C$15, $D$11, 100%, $F$11)</f>
        <v>39.001600000000003</v>
      </c>
      <c r="I1017" s="8">
        <f>CHOOSE( CONTROL!$C$32, 37.4857, 37.4822) * CHOOSE(CONTROL!$C$15, $D$11, 100%, $F$11)</f>
        <v>37.485700000000001</v>
      </c>
      <c r="J1017" s="4">
        <f>CHOOSE( CONTROL!$C$32, 37.3255, 37.3219) * CHOOSE(CONTROL!$C$15, $D$11, 100%, $F$11)</f>
        <v>37.325499999999998</v>
      </c>
      <c r="K1017" s="4"/>
      <c r="L1017" s="9">
        <v>30.7165</v>
      </c>
      <c r="M1017" s="9">
        <v>12.063700000000001</v>
      </c>
      <c r="N1017" s="9">
        <v>4.9444999999999997</v>
      </c>
      <c r="O1017" s="9">
        <v>0.37409999999999999</v>
      </c>
      <c r="P1017" s="9">
        <v>1.2183999999999999</v>
      </c>
      <c r="Q1017" s="9">
        <v>19.688099999999999</v>
      </c>
      <c r="R1017" s="9"/>
      <c r="S1017" s="11"/>
    </row>
    <row r="1018" spans="1:19" ht="15.75">
      <c r="A1018" s="13">
        <v>72501</v>
      </c>
      <c r="B1018" s="8">
        <f>CHOOSE( CONTROL!$C$32, 37.8529, 37.8492) * CHOOSE(CONTROL!$C$15, $D$11, 100%, $F$11)</f>
        <v>37.852899999999998</v>
      </c>
      <c r="C1018" s="8">
        <f>CHOOSE( CONTROL!$C$32, 37.8609, 37.8572) * CHOOSE(CONTROL!$C$15, $D$11, 100%, $F$11)</f>
        <v>37.860900000000001</v>
      </c>
      <c r="D1018" s="8">
        <f>CHOOSE( CONTROL!$C$32, 37.8988, 37.8952) * CHOOSE( CONTROL!$C$15, $D$11, 100%, $F$11)</f>
        <v>37.898800000000001</v>
      </c>
      <c r="E1018" s="12">
        <f>CHOOSE( CONTROL!$C$32, 37.8838, 37.8802) * CHOOSE( CONTROL!$C$15, $D$11, 100%, $F$11)</f>
        <v>37.883800000000001</v>
      </c>
      <c r="F1018" s="4">
        <f>CHOOSE( CONTROL!$C$32, 38.5959, 38.5923) * CHOOSE(CONTROL!$C$15, $D$11, 100%, $F$11)</f>
        <v>38.5959</v>
      </c>
      <c r="G1018" s="8">
        <f>CHOOSE( CONTROL!$C$32, 37.4158, 37.4122) * CHOOSE( CONTROL!$C$15, $D$11, 100%, $F$11)</f>
        <v>37.415799999999997</v>
      </c>
      <c r="H1018" s="4">
        <f>CHOOSE( CONTROL!$C$32, 38.3906, 38.387) * CHOOSE(CONTROL!$C$15, $D$11, 100%, $F$11)</f>
        <v>38.390599999999999</v>
      </c>
      <c r="I1018" s="8">
        <f>CHOOSE( CONTROL!$C$32, 36.8864, 36.8828) * CHOOSE(CONTROL!$C$15, $D$11, 100%, $F$11)</f>
        <v>36.886400000000002</v>
      </c>
      <c r="J1018" s="4">
        <f>CHOOSE( CONTROL!$C$32, 36.7254, 36.7219) * CHOOSE(CONTROL!$C$15, $D$11, 100%, $F$11)</f>
        <v>36.7254</v>
      </c>
      <c r="K1018" s="4"/>
      <c r="L1018" s="9">
        <v>29.7257</v>
      </c>
      <c r="M1018" s="9">
        <v>11.6745</v>
      </c>
      <c r="N1018" s="9">
        <v>4.7850000000000001</v>
      </c>
      <c r="O1018" s="9">
        <v>0.36199999999999999</v>
      </c>
      <c r="P1018" s="9">
        <v>1.1791</v>
      </c>
      <c r="Q1018" s="9">
        <v>19.053000000000001</v>
      </c>
      <c r="R1018" s="9"/>
      <c r="S1018" s="11"/>
    </row>
    <row r="1019" spans="1:19" ht="15.75">
      <c r="A1019" s="13">
        <v>72532</v>
      </c>
      <c r="B1019" s="8">
        <f>CHOOSE( CONTROL!$C$32, 39.4811, 39.4774) * CHOOSE(CONTROL!$C$15, $D$11, 100%, $F$11)</f>
        <v>39.481099999999998</v>
      </c>
      <c r="C1019" s="8">
        <f>CHOOSE( CONTROL!$C$32, 39.4891, 39.4854) * CHOOSE(CONTROL!$C$15, $D$11, 100%, $F$11)</f>
        <v>39.489100000000001</v>
      </c>
      <c r="D1019" s="8">
        <f>CHOOSE( CONTROL!$C$32, 39.5273, 39.5236) * CHOOSE( CONTROL!$C$15, $D$11, 100%, $F$11)</f>
        <v>39.527299999999997</v>
      </c>
      <c r="E1019" s="12">
        <f>CHOOSE( CONTROL!$C$32, 39.5122, 39.5085) * CHOOSE( CONTROL!$C$15, $D$11, 100%, $F$11)</f>
        <v>39.5122</v>
      </c>
      <c r="F1019" s="4">
        <f>CHOOSE( CONTROL!$C$32, 40.2241, 40.2204) * CHOOSE(CONTROL!$C$15, $D$11, 100%, $F$11)</f>
        <v>40.2241</v>
      </c>
      <c r="G1019" s="8">
        <f>CHOOSE( CONTROL!$C$32, 39.0253, 39.0217) * CHOOSE( CONTROL!$C$15, $D$11, 100%, $F$11)</f>
        <v>39.025300000000001</v>
      </c>
      <c r="H1019" s="4">
        <f>CHOOSE( CONTROL!$C$32, 39.9997, 39.9961) * CHOOSE(CONTROL!$C$15, $D$11, 100%, $F$11)</f>
        <v>39.999699999999997</v>
      </c>
      <c r="I1019" s="8">
        <f>CHOOSE( CONTROL!$C$32, 38.4684, 38.4649) * CHOOSE(CONTROL!$C$15, $D$11, 100%, $F$11)</f>
        <v>38.468400000000003</v>
      </c>
      <c r="J1019" s="4">
        <f>CHOOSE( CONTROL!$C$32, 38.3056, 38.302) * CHOOSE(CONTROL!$C$15, $D$11, 100%, $F$11)</f>
        <v>38.305599999999998</v>
      </c>
      <c r="K1019" s="4"/>
      <c r="L1019" s="9">
        <v>30.7165</v>
      </c>
      <c r="M1019" s="9">
        <v>12.063700000000001</v>
      </c>
      <c r="N1019" s="9">
        <v>4.9444999999999997</v>
      </c>
      <c r="O1019" s="9">
        <v>0.37409999999999999</v>
      </c>
      <c r="P1019" s="9">
        <v>1.2183999999999999</v>
      </c>
      <c r="Q1019" s="9">
        <v>19.688099999999999</v>
      </c>
      <c r="R1019" s="9"/>
      <c r="S1019" s="11"/>
    </row>
    <row r="1020" spans="1:19" ht="15.75">
      <c r="A1020" s="13">
        <v>72563</v>
      </c>
      <c r="B1020" s="8">
        <f>CHOOSE( CONTROL!$C$32, 36.4346, 36.4309) * CHOOSE(CONTROL!$C$15, $D$11, 100%, $F$11)</f>
        <v>36.434600000000003</v>
      </c>
      <c r="C1020" s="8">
        <f>CHOOSE( CONTROL!$C$32, 36.4425, 36.4389) * CHOOSE(CONTROL!$C$15, $D$11, 100%, $F$11)</f>
        <v>36.442500000000003</v>
      </c>
      <c r="D1020" s="8">
        <f>CHOOSE( CONTROL!$C$32, 36.4808, 36.4772) * CHOOSE( CONTROL!$C$15, $D$11, 100%, $F$11)</f>
        <v>36.480800000000002</v>
      </c>
      <c r="E1020" s="12">
        <f>CHOOSE( CONTROL!$C$32, 36.4657, 36.4621) * CHOOSE( CONTROL!$C$15, $D$11, 100%, $F$11)</f>
        <v>36.465699999999998</v>
      </c>
      <c r="F1020" s="4">
        <f>CHOOSE( CONTROL!$C$32, 37.1776, 37.1739) * CHOOSE(CONTROL!$C$15, $D$11, 100%, $F$11)</f>
        <v>37.177599999999998</v>
      </c>
      <c r="G1020" s="8">
        <f>CHOOSE( CONTROL!$C$32, 36.0146, 36.011) * CHOOSE( CONTROL!$C$15, $D$11, 100%, $F$11)</f>
        <v>36.014600000000002</v>
      </c>
      <c r="H1020" s="4">
        <f>CHOOSE( CONTROL!$C$32, 36.9888, 36.9852) * CHOOSE(CONTROL!$C$15, $D$11, 100%, $F$11)</f>
        <v>36.988799999999998</v>
      </c>
      <c r="I1020" s="8">
        <f>CHOOSE( CONTROL!$C$32, 35.5106, 35.5071) * CHOOSE(CONTROL!$C$15, $D$11, 100%, $F$11)</f>
        <v>35.510599999999997</v>
      </c>
      <c r="J1020" s="4">
        <f>CHOOSE( CONTROL!$C$32, 35.3489, 35.3454) * CHOOSE(CONTROL!$C$15, $D$11, 100%, $F$11)</f>
        <v>35.3489</v>
      </c>
      <c r="K1020" s="4"/>
      <c r="L1020" s="9">
        <v>30.7165</v>
      </c>
      <c r="M1020" s="9">
        <v>12.063700000000001</v>
      </c>
      <c r="N1020" s="9">
        <v>4.9444999999999997</v>
      </c>
      <c r="O1020" s="9">
        <v>0.37409999999999999</v>
      </c>
      <c r="P1020" s="9">
        <v>1.2183999999999999</v>
      </c>
      <c r="Q1020" s="9">
        <v>19.688099999999999</v>
      </c>
      <c r="R1020" s="9"/>
      <c r="S1020" s="11"/>
    </row>
    <row r="1021" spans="1:19" ht="15.75">
      <c r="A1021" s="13">
        <v>72593</v>
      </c>
      <c r="B1021" s="8">
        <f>CHOOSE( CONTROL!$C$32, 35.6717, 35.668) * CHOOSE(CONTROL!$C$15, $D$11, 100%, $F$11)</f>
        <v>35.671700000000001</v>
      </c>
      <c r="C1021" s="8">
        <f>CHOOSE( CONTROL!$C$32, 35.6797, 35.676) * CHOOSE(CONTROL!$C$15, $D$11, 100%, $F$11)</f>
        <v>35.679699999999997</v>
      </c>
      <c r="D1021" s="8">
        <f>CHOOSE( CONTROL!$C$32, 35.7178, 35.7142) * CHOOSE( CONTROL!$C$15, $D$11, 100%, $F$11)</f>
        <v>35.717799999999997</v>
      </c>
      <c r="E1021" s="12">
        <f>CHOOSE( CONTROL!$C$32, 35.7028, 35.6991) * CHOOSE( CONTROL!$C$15, $D$11, 100%, $F$11)</f>
        <v>35.702800000000003</v>
      </c>
      <c r="F1021" s="4">
        <f>CHOOSE( CONTROL!$C$32, 36.4147, 36.4111) * CHOOSE(CONTROL!$C$15, $D$11, 100%, $F$11)</f>
        <v>36.414700000000003</v>
      </c>
      <c r="G1021" s="8">
        <f>CHOOSE( CONTROL!$C$32, 35.2605, 35.2569) * CHOOSE( CONTROL!$C$15, $D$11, 100%, $F$11)</f>
        <v>35.2605</v>
      </c>
      <c r="H1021" s="4">
        <f>CHOOSE( CONTROL!$C$32, 36.2349, 36.2313) * CHOOSE(CONTROL!$C$15, $D$11, 100%, $F$11)</f>
        <v>36.234900000000003</v>
      </c>
      <c r="I1021" s="8">
        <f>CHOOSE( CONTROL!$C$32, 34.7695, 34.766) * CHOOSE(CONTROL!$C$15, $D$11, 100%, $F$11)</f>
        <v>34.769500000000001</v>
      </c>
      <c r="J1021" s="4">
        <f>CHOOSE( CONTROL!$C$32, 34.6086, 34.605) * CHOOSE(CONTROL!$C$15, $D$11, 100%, $F$11)</f>
        <v>34.608600000000003</v>
      </c>
      <c r="K1021" s="4"/>
      <c r="L1021" s="9">
        <v>29.7257</v>
      </c>
      <c r="M1021" s="9">
        <v>11.6745</v>
      </c>
      <c r="N1021" s="9">
        <v>4.7850000000000001</v>
      </c>
      <c r="O1021" s="9">
        <v>0.36199999999999999</v>
      </c>
      <c r="P1021" s="9">
        <v>1.1791</v>
      </c>
      <c r="Q1021" s="9">
        <v>19.053000000000001</v>
      </c>
      <c r="R1021" s="9"/>
      <c r="S1021" s="11"/>
    </row>
    <row r="1022" spans="1:19" ht="15.75">
      <c r="A1022" s="13">
        <v>72624</v>
      </c>
      <c r="B1022" s="8">
        <f>37.2503 * CHOOSE(CONTROL!$C$15, $D$11, 100%, $F$11)</f>
        <v>37.250300000000003</v>
      </c>
      <c r="C1022" s="8">
        <f>37.2557 * CHOOSE(CONTROL!$C$15, $D$11, 100%, $F$11)</f>
        <v>37.255699999999997</v>
      </c>
      <c r="D1022" s="8">
        <f>37.2992 * CHOOSE( CONTROL!$C$15, $D$11, 100%, $F$11)</f>
        <v>37.299199999999999</v>
      </c>
      <c r="E1022" s="12">
        <f>37.2843 * CHOOSE( CONTROL!$C$15, $D$11, 100%, $F$11)</f>
        <v>37.284300000000002</v>
      </c>
      <c r="F1022" s="4">
        <f>37.9951 * CHOOSE(CONTROL!$C$15, $D$11, 100%, $F$11)</f>
        <v>37.995100000000001</v>
      </c>
      <c r="G1022" s="8">
        <f>36.8218 * CHOOSE( CONTROL!$C$15, $D$11, 100%, $F$11)</f>
        <v>36.821800000000003</v>
      </c>
      <c r="H1022" s="4">
        <f>37.7967 * CHOOSE(CONTROL!$C$15, $D$11, 100%, $F$11)</f>
        <v>37.796700000000001</v>
      </c>
      <c r="I1022" s="8">
        <f>36.3048 * CHOOSE(CONTROL!$C$15, $D$11, 100%, $F$11)</f>
        <v>36.3048</v>
      </c>
      <c r="J1022" s="4">
        <f>36.1423 * CHOOSE(CONTROL!$C$15, $D$11, 100%, $F$11)</f>
        <v>36.142299999999999</v>
      </c>
      <c r="K1022" s="4"/>
      <c r="L1022" s="9">
        <v>31.095300000000002</v>
      </c>
      <c r="M1022" s="9">
        <v>12.063700000000001</v>
      </c>
      <c r="N1022" s="9">
        <v>4.9444999999999997</v>
      </c>
      <c r="O1022" s="9">
        <v>0.37409999999999999</v>
      </c>
      <c r="P1022" s="9">
        <v>1.2183999999999999</v>
      </c>
      <c r="Q1022" s="9">
        <v>19.688099999999999</v>
      </c>
      <c r="R1022" s="9"/>
      <c r="S1022" s="11"/>
    </row>
    <row r="1023" spans="1:19" ht="15.75">
      <c r="A1023" s="13">
        <v>72654</v>
      </c>
      <c r="B1023" s="8">
        <f>40.1737 * CHOOSE(CONTROL!$C$15, $D$11, 100%, $F$11)</f>
        <v>40.173699999999997</v>
      </c>
      <c r="C1023" s="8">
        <f>40.1787 * CHOOSE(CONTROL!$C$15, $D$11, 100%, $F$11)</f>
        <v>40.178699999999999</v>
      </c>
      <c r="D1023" s="8">
        <f>40.1624 * CHOOSE( CONTROL!$C$15, $D$11, 100%, $F$11)</f>
        <v>40.162399999999998</v>
      </c>
      <c r="E1023" s="12">
        <f>40.1678 * CHOOSE( CONTROL!$C$15, $D$11, 100%, $F$11)</f>
        <v>40.1678</v>
      </c>
      <c r="F1023" s="4">
        <f>40.839 * CHOOSE(CONTROL!$C$15, $D$11, 100%, $F$11)</f>
        <v>40.838999999999999</v>
      </c>
      <c r="G1023" s="8">
        <f>39.7119 * CHOOSE( CONTROL!$C$15, $D$11, 100%, $F$11)</f>
        <v>39.7119</v>
      </c>
      <c r="H1023" s="4">
        <f>40.6073 * CHOOSE(CONTROL!$C$15, $D$11, 100%, $F$11)</f>
        <v>40.607300000000002</v>
      </c>
      <c r="I1023" s="8">
        <f>39.1438 * CHOOSE(CONTROL!$C$15, $D$11, 100%, $F$11)</f>
        <v>39.143799999999999</v>
      </c>
      <c r="J1023" s="4">
        <f>38.9798 * CHOOSE(CONTROL!$C$15, $D$11, 100%, $F$11)</f>
        <v>38.979799999999997</v>
      </c>
      <c r="K1023" s="4"/>
      <c r="L1023" s="9">
        <v>28.360600000000002</v>
      </c>
      <c r="M1023" s="9">
        <v>11.6745</v>
      </c>
      <c r="N1023" s="9">
        <v>4.7850000000000001</v>
      </c>
      <c r="O1023" s="9">
        <v>0.36199999999999999</v>
      </c>
      <c r="P1023" s="9">
        <v>1.2509999999999999</v>
      </c>
      <c r="Q1023" s="9">
        <v>19.053000000000001</v>
      </c>
      <c r="R1023" s="9"/>
      <c r="S1023" s="11"/>
    </row>
    <row r="1024" spans="1:19" ht="15.75">
      <c r="A1024" s="13">
        <v>72685</v>
      </c>
      <c r="B1024" s="8">
        <f>40.1006 * CHOOSE(CONTROL!$C$15, $D$11, 100%, $F$11)</f>
        <v>40.1006</v>
      </c>
      <c r="C1024" s="8">
        <f>40.1057 * CHOOSE(CONTROL!$C$15, $D$11, 100%, $F$11)</f>
        <v>40.105699999999999</v>
      </c>
      <c r="D1024" s="8">
        <f>40.0911 * CHOOSE( CONTROL!$C$15, $D$11, 100%, $F$11)</f>
        <v>40.091099999999997</v>
      </c>
      <c r="E1024" s="12">
        <f>40.0959 * CHOOSE( CONTROL!$C$15, $D$11, 100%, $F$11)</f>
        <v>40.0959</v>
      </c>
      <c r="F1024" s="4">
        <f>40.7659 * CHOOSE(CONTROL!$C$15, $D$11, 100%, $F$11)</f>
        <v>40.765900000000002</v>
      </c>
      <c r="G1024" s="8">
        <f>39.641 * CHOOSE( CONTROL!$C$15, $D$11, 100%, $F$11)</f>
        <v>39.640999999999998</v>
      </c>
      <c r="H1024" s="4">
        <f>40.5351 * CHOOSE(CONTROL!$C$15, $D$11, 100%, $F$11)</f>
        <v>40.5351</v>
      </c>
      <c r="I1024" s="8">
        <f>39.0782 * CHOOSE(CONTROL!$C$15, $D$11, 100%, $F$11)</f>
        <v>39.078200000000002</v>
      </c>
      <c r="J1024" s="4">
        <f>38.9089 * CHOOSE(CONTROL!$C$15, $D$11, 100%, $F$11)</f>
        <v>38.908900000000003</v>
      </c>
      <c r="K1024" s="4"/>
      <c r="L1024" s="9">
        <v>29.306000000000001</v>
      </c>
      <c r="M1024" s="9">
        <v>12.063700000000001</v>
      </c>
      <c r="N1024" s="9">
        <v>4.9444999999999997</v>
      </c>
      <c r="O1024" s="9">
        <v>0.37409999999999999</v>
      </c>
      <c r="P1024" s="9">
        <v>1.2927</v>
      </c>
      <c r="Q1024" s="9">
        <v>19.688099999999999</v>
      </c>
      <c r="R1024" s="9"/>
      <c r="S1024" s="11"/>
    </row>
    <row r="1025" spans="1:19" ht="15.75">
      <c r="A1025" s="13">
        <v>72716</v>
      </c>
      <c r="B1025" s="8">
        <f>41.2832 * CHOOSE(CONTROL!$C$15, $D$11, 100%, $F$11)</f>
        <v>41.283200000000001</v>
      </c>
      <c r="C1025" s="8">
        <f>41.2883 * CHOOSE(CONTROL!$C$15, $D$11, 100%, $F$11)</f>
        <v>41.2883</v>
      </c>
      <c r="D1025" s="8">
        <f>41.2594 * CHOOSE( CONTROL!$C$15, $D$11, 100%, $F$11)</f>
        <v>41.259399999999999</v>
      </c>
      <c r="E1025" s="12">
        <f>41.2694 * CHOOSE( CONTROL!$C$15, $D$11, 100%, $F$11)</f>
        <v>41.269399999999997</v>
      </c>
      <c r="F1025" s="4">
        <f>41.9485 * CHOOSE(CONTROL!$C$15, $D$11, 100%, $F$11)</f>
        <v>41.948500000000003</v>
      </c>
      <c r="G1025" s="8">
        <f>40.7994 * CHOOSE( CONTROL!$C$15, $D$11, 100%, $F$11)</f>
        <v>40.799399999999999</v>
      </c>
      <c r="H1025" s="4">
        <f>41.7039 * CHOOSE(CONTROL!$C$15, $D$11, 100%, $F$11)</f>
        <v>41.703899999999997</v>
      </c>
      <c r="I1025" s="8">
        <f>40.2211 * CHOOSE(CONTROL!$C$15, $D$11, 100%, $F$11)</f>
        <v>40.2211</v>
      </c>
      <c r="J1025" s="4">
        <f>40.0566 * CHOOSE(CONTROL!$C$15, $D$11, 100%, $F$11)</f>
        <v>40.056600000000003</v>
      </c>
      <c r="K1025" s="4"/>
      <c r="L1025" s="9">
        <v>29.306000000000001</v>
      </c>
      <c r="M1025" s="9">
        <v>12.063700000000001</v>
      </c>
      <c r="N1025" s="9">
        <v>4.9444999999999997</v>
      </c>
      <c r="O1025" s="9">
        <v>0.37409999999999999</v>
      </c>
      <c r="P1025" s="9">
        <v>1.2927</v>
      </c>
      <c r="Q1025" s="9">
        <v>19.688099999999999</v>
      </c>
      <c r="R1025" s="9"/>
      <c r="S1025" s="11"/>
    </row>
    <row r="1026" spans="1:19" ht="15.75">
      <c r="A1026" s="13">
        <v>72744</v>
      </c>
      <c r="B1026" s="8">
        <f>38.6149 * CHOOSE(CONTROL!$C$15, $D$11, 100%, $F$11)</f>
        <v>38.614899999999999</v>
      </c>
      <c r="C1026" s="8">
        <f>38.62 * CHOOSE(CONTROL!$C$15, $D$11, 100%, $F$11)</f>
        <v>38.619999999999997</v>
      </c>
      <c r="D1026" s="8">
        <f>38.5911 * CHOOSE( CONTROL!$C$15, $D$11, 100%, $F$11)</f>
        <v>38.591099999999997</v>
      </c>
      <c r="E1026" s="12">
        <f>38.6011 * CHOOSE( CONTROL!$C$15, $D$11, 100%, $F$11)</f>
        <v>38.601100000000002</v>
      </c>
      <c r="F1026" s="4">
        <f>39.2802 * CHOOSE(CONTROL!$C$15, $D$11, 100%, $F$11)</f>
        <v>39.280200000000001</v>
      </c>
      <c r="G1026" s="8">
        <f>38.1624 * CHOOSE( CONTROL!$C$15, $D$11, 100%, $F$11)</f>
        <v>38.162399999999998</v>
      </c>
      <c r="H1026" s="4">
        <f>39.0668 * CHOOSE(CONTROL!$C$15, $D$11, 100%, $F$11)</f>
        <v>39.066800000000001</v>
      </c>
      <c r="I1026" s="8">
        <f>37.6302 * CHOOSE(CONTROL!$C$15, $D$11, 100%, $F$11)</f>
        <v>37.630200000000002</v>
      </c>
      <c r="J1026" s="4">
        <f>37.467 * CHOOSE(CONTROL!$C$15, $D$11, 100%, $F$11)</f>
        <v>37.466999999999999</v>
      </c>
      <c r="K1026" s="4"/>
      <c r="L1026" s="9">
        <v>26.469899999999999</v>
      </c>
      <c r="M1026" s="9">
        <v>10.8962</v>
      </c>
      <c r="N1026" s="9">
        <v>4.4660000000000002</v>
      </c>
      <c r="O1026" s="9">
        <v>0.33789999999999998</v>
      </c>
      <c r="P1026" s="9">
        <v>1.1676</v>
      </c>
      <c r="Q1026" s="9">
        <v>17.782800000000002</v>
      </c>
      <c r="R1026" s="9"/>
      <c r="S1026" s="11"/>
    </row>
    <row r="1027" spans="1:19" ht="15.75">
      <c r="A1027" s="13">
        <v>72775</v>
      </c>
      <c r="B1027" s="8">
        <f>37.7931 * CHOOSE(CONTROL!$C$15, $D$11, 100%, $F$11)</f>
        <v>37.793100000000003</v>
      </c>
      <c r="C1027" s="8">
        <f>37.7981 * CHOOSE(CONTROL!$C$15, $D$11, 100%, $F$11)</f>
        <v>37.798099999999998</v>
      </c>
      <c r="D1027" s="8">
        <f>37.7688 * CHOOSE( CONTROL!$C$15, $D$11, 100%, $F$11)</f>
        <v>37.768799999999999</v>
      </c>
      <c r="E1027" s="12">
        <f>37.779 * CHOOSE( CONTROL!$C$15, $D$11, 100%, $F$11)</f>
        <v>37.779000000000003</v>
      </c>
      <c r="F1027" s="4">
        <f>38.4583 * CHOOSE(CONTROL!$C$15, $D$11, 100%, $F$11)</f>
        <v>38.458300000000001</v>
      </c>
      <c r="G1027" s="8">
        <f>37.3499 * CHOOSE( CONTROL!$C$15, $D$11, 100%, $F$11)</f>
        <v>37.349899999999998</v>
      </c>
      <c r="H1027" s="4">
        <f>38.2546 * CHOOSE(CONTROL!$C$15, $D$11, 100%, $F$11)</f>
        <v>38.254600000000003</v>
      </c>
      <c r="I1027" s="8">
        <f>36.831 * CHOOSE(CONTROL!$C$15, $D$11, 100%, $F$11)</f>
        <v>36.831000000000003</v>
      </c>
      <c r="J1027" s="4">
        <f>36.6694 * CHOOSE(CONTROL!$C$15, $D$11, 100%, $F$11)</f>
        <v>36.669400000000003</v>
      </c>
      <c r="K1027" s="4"/>
      <c r="L1027" s="9">
        <v>29.306000000000001</v>
      </c>
      <c r="M1027" s="9">
        <v>12.063700000000001</v>
      </c>
      <c r="N1027" s="9">
        <v>4.9444999999999997</v>
      </c>
      <c r="O1027" s="9">
        <v>0.37409999999999999</v>
      </c>
      <c r="P1027" s="9">
        <v>1.2927</v>
      </c>
      <c r="Q1027" s="9">
        <v>19.688099999999999</v>
      </c>
      <c r="R1027" s="9"/>
      <c r="S1027" s="11"/>
    </row>
    <row r="1028" spans="1:19" ht="15.75">
      <c r="A1028" s="13">
        <v>72805</v>
      </c>
      <c r="B1028" s="8">
        <f>38.3681 * CHOOSE(CONTROL!$C$15, $D$11, 100%, $F$11)</f>
        <v>38.368099999999998</v>
      </c>
      <c r="C1028" s="8">
        <f>38.3726 * CHOOSE(CONTROL!$C$15, $D$11, 100%, $F$11)</f>
        <v>38.372599999999998</v>
      </c>
      <c r="D1028" s="8">
        <f>38.416 * CHOOSE( CONTROL!$C$15, $D$11, 100%, $F$11)</f>
        <v>38.415999999999997</v>
      </c>
      <c r="E1028" s="12">
        <f>38.4012 * CHOOSE( CONTROL!$C$15, $D$11, 100%, $F$11)</f>
        <v>38.401200000000003</v>
      </c>
      <c r="F1028" s="4">
        <f>39.1125 * CHOOSE(CONTROL!$C$15, $D$11, 100%, $F$11)</f>
        <v>39.112499999999997</v>
      </c>
      <c r="G1028" s="8">
        <f>37.9252 * CHOOSE( CONTROL!$C$15, $D$11, 100%, $F$11)</f>
        <v>37.925199999999997</v>
      </c>
      <c r="H1028" s="4">
        <f>38.9011 * CHOOSE(CONTROL!$C$15, $D$11, 100%, $F$11)</f>
        <v>38.9011</v>
      </c>
      <c r="I1028" s="8">
        <f>37.3868 * CHOOSE(CONTROL!$C$15, $D$11, 100%, $F$11)</f>
        <v>37.386800000000001</v>
      </c>
      <c r="J1028" s="4">
        <f>37.2267 * CHOOSE(CONTROL!$C$15, $D$11, 100%, $F$11)</f>
        <v>37.226700000000001</v>
      </c>
      <c r="K1028" s="4"/>
      <c r="L1028" s="9">
        <v>30.092199999999998</v>
      </c>
      <c r="M1028" s="9">
        <v>11.6745</v>
      </c>
      <c r="N1028" s="9">
        <v>4.7850000000000001</v>
      </c>
      <c r="O1028" s="9">
        <v>0.36199999999999999</v>
      </c>
      <c r="P1028" s="9">
        <v>1.1791</v>
      </c>
      <c r="Q1028" s="9">
        <v>19.053000000000001</v>
      </c>
      <c r="R1028" s="9"/>
      <c r="S1028" s="11"/>
    </row>
    <row r="1029" spans="1:19" ht="15.75">
      <c r="A1029" s="13">
        <v>72836</v>
      </c>
      <c r="B1029" s="8">
        <f>CHOOSE( CONTROL!$C$32, 39.3952, 39.3915) * CHOOSE(CONTROL!$C$15, $D$11, 100%, $F$11)</f>
        <v>39.395200000000003</v>
      </c>
      <c r="C1029" s="8">
        <f>CHOOSE( CONTROL!$C$32, 39.4032, 39.3995) * CHOOSE(CONTROL!$C$15, $D$11, 100%, $F$11)</f>
        <v>39.403199999999998</v>
      </c>
      <c r="D1029" s="8">
        <f>CHOOSE( CONTROL!$C$32, 39.4409, 39.4373) * CHOOSE( CONTROL!$C$15, $D$11, 100%, $F$11)</f>
        <v>39.440899999999999</v>
      </c>
      <c r="E1029" s="12">
        <f>CHOOSE( CONTROL!$C$32, 39.426, 39.4224) * CHOOSE( CONTROL!$C$15, $D$11, 100%, $F$11)</f>
        <v>39.426000000000002</v>
      </c>
      <c r="F1029" s="4">
        <f>CHOOSE( CONTROL!$C$32, 40.1382, 40.1346) * CHOOSE(CONTROL!$C$15, $D$11, 100%, $F$11)</f>
        <v>40.138199999999998</v>
      </c>
      <c r="G1029" s="8">
        <f>CHOOSE( CONTROL!$C$32, 38.9397, 38.9361) * CHOOSE( CONTROL!$C$15, $D$11, 100%, $F$11)</f>
        <v>38.939700000000002</v>
      </c>
      <c r="H1029" s="4">
        <f>CHOOSE( CONTROL!$C$32, 39.9148, 39.9112) * CHOOSE(CONTROL!$C$15, $D$11, 100%, $F$11)</f>
        <v>39.9148</v>
      </c>
      <c r="I1029" s="8">
        <f>CHOOSE( CONTROL!$C$32, 38.3829, 38.3794) * CHOOSE(CONTROL!$C$15, $D$11, 100%, $F$11)</f>
        <v>38.382899999999999</v>
      </c>
      <c r="J1029" s="4">
        <f>CHOOSE( CONTROL!$C$32, 38.2222, 38.2187) * CHOOSE(CONTROL!$C$15, $D$11, 100%, $F$11)</f>
        <v>38.222200000000001</v>
      </c>
      <c r="K1029" s="4"/>
      <c r="L1029" s="9">
        <v>30.7165</v>
      </c>
      <c r="M1029" s="9">
        <v>12.063700000000001</v>
      </c>
      <c r="N1029" s="9">
        <v>4.9444999999999997</v>
      </c>
      <c r="O1029" s="9">
        <v>0.37409999999999999</v>
      </c>
      <c r="P1029" s="9">
        <v>1.2183999999999999</v>
      </c>
      <c r="Q1029" s="9">
        <v>19.688099999999999</v>
      </c>
      <c r="R1029" s="9"/>
      <c r="S1029" s="11"/>
    </row>
    <row r="1030" spans="1:19" ht="15.75">
      <c r="A1030" s="13">
        <v>72866</v>
      </c>
      <c r="B1030" s="8">
        <f>CHOOSE( CONTROL!$C$32, 38.762, 38.7584) * CHOOSE(CONTROL!$C$15, $D$11, 100%, $F$11)</f>
        <v>38.762</v>
      </c>
      <c r="C1030" s="8">
        <f>CHOOSE( CONTROL!$C$32, 38.77, 38.7664) * CHOOSE(CONTROL!$C$15, $D$11, 100%, $F$11)</f>
        <v>38.770000000000003</v>
      </c>
      <c r="D1030" s="8">
        <f>CHOOSE( CONTROL!$C$32, 38.808, 38.8043) * CHOOSE( CONTROL!$C$15, $D$11, 100%, $F$11)</f>
        <v>38.808</v>
      </c>
      <c r="E1030" s="12">
        <f>CHOOSE( CONTROL!$C$32, 38.793, 38.7893) * CHOOSE( CONTROL!$C$15, $D$11, 100%, $F$11)</f>
        <v>38.792999999999999</v>
      </c>
      <c r="F1030" s="4">
        <f>CHOOSE( CONTROL!$C$32, 39.5051, 39.5014) * CHOOSE(CONTROL!$C$15, $D$11, 100%, $F$11)</f>
        <v>39.505099999999999</v>
      </c>
      <c r="G1030" s="8">
        <f>CHOOSE( CONTROL!$C$32, 38.3143, 38.3107) * CHOOSE( CONTROL!$C$15, $D$11, 100%, $F$11)</f>
        <v>38.314300000000003</v>
      </c>
      <c r="H1030" s="4">
        <f>CHOOSE( CONTROL!$C$32, 39.2891, 39.2855) * CHOOSE(CONTROL!$C$15, $D$11, 100%, $F$11)</f>
        <v>39.289099999999998</v>
      </c>
      <c r="I1030" s="8">
        <f>CHOOSE( CONTROL!$C$32, 37.7692, 37.7656) * CHOOSE(CONTROL!$C$15, $D$11, 100%, $F$11)</f>
        <v>37.769199999999998</v>
      </c>
      <c r="J1030" s="4">
        <f>CHOOSE( CONTROL!$C$32, 37.6077, 37.6042) * CHOOSE(CONTROL!$C$15, $D$11, 100%, $F$11)</f>
        <v>37.607700000000001</v>
      </c>
      <c r="K1030" s="4"/>
      <c r="L1030" s="9">
        <v>29.7257</v>
      </c>
      <c r="M1030" s="9">
        <v>11.6745</v>
      </c>
      <c r="N1030" s="9">
        <v>4.7850000000000001</v>
      </c>
      <c r="O1030" s="9">
        <v>0.36199999999999999</v>
      </c>
      <c r="P1030" s="9">
        <v>1.1791</v>
      </c>
      <c r="Q1030" s="9">
        <v>19.053000000000001</v>
      </c>
      <c r="R1030" s="9"/>
      <c r="S1030" s="11"/>
    </row>
    <row r="1031" spans="1:19" ht="15.75">
      <c r="A1031" s="13">
        <v>72897</v>
      </c>
      <c r="B1031" s="8">
        <f>CHOOSE( CONTROL!$C$32, 40.4294, 40.4257) * CHOOSE(CONTROL!$C$15, $D$11, 100%, $F$11)</f>
        <v>40.429400000000001</v>
      </c>
      <c r="C1031" s="8">
        <f>CHOOSE( CONTROL!$C$32, 40.4373, 40.4337) * CHOOSE(CONTROL!$C$15, $D$11, 100%, $F$11)</f>
        <v>40.4373</v>
      </c>
      <c r="D1031" s="8">
        <f>CHOOSE( CONTROL!$C$32, 40.4755, 40.4719) * CHOOSE( CONTROL!$C$15, $D$11, 100%, $F$11)</f>
        <v>40.475499999999997</v>
      </c>
      <c r="E1031" s="12">
        <f>CHOOSE( CONTROL!$C$32, 40.4605, 40.4568) * CHOOSE( CONTROL!$C$15, $D$11, 100%, $F$11)</f>
        <v>40.460500000000003</v>
      </c>
      <c r="F1031" s="4">
        <f>CHOOSE( CONTROL!$C$32, 41.1724, 41.1687) * CHOOSE(CONTROL!$C$15, $D$11, 100%, $F$11)</f>
        <v>41.172400000000003</v>
      </c>
      <c r="G1031" s="8">
        <f>CHOOSE( CONTROL!$C$32, 39.9625, 39.9589) * CHOOSE( CONTROL!$C$15, $D$11, 100%, $F$11)</f>
        <v>39.962499999999999</v>
      </c>
      <c r="H1031" s="4">
        <f>CHOOSE( CONTROL!$C$32, 40.9368, 40.9332) * CHOOSE(CONTROL!$C$15, $D$11, 100%, $F$11)</f>
        <v>40.936799999999998</v>
      </c>
      <c r="I1031" s="8">
        <f>CHOOSE( CONTROL!$C$32, 39.3892, 39.3857) * CHOOSE(CONTROL!$C$15, $D$11, 100%, $F$11)</f>
        <v>39.389200000000002</v>
      </c>
      <c r="J1031" s="4">
        <f>CHOOSE( CONTROL!$C$32, 39.2259, 39.2223) * CHOOSE(CONTROL!$C$15, $D$11, 100%, $F$11)</f>
        <v>39.225900000000003</v>
      </c>
      <c r="K1031" s="4"/>
      <c r="L1031" s="9">
        <v>30.7165</v>
      </c>
      <c r="M1031" s="9">
        <v>12.063700000000001</v>
      </c>
      <c r="N1031" s="9">
        <v>4.9444999999999997</v>
      </c>
      <c r="O1031" s="9">
        <v>0.37409999999999999</v>
      </c>
      <c r="P1031" s="9">
        <v>1.2183999999999999</v>
      </c>
      <c r="Q1031" s="9">
        <v>19.688099999999999</v>
      </c>
      <c r="R1031" s="9"/>
      <c r="S1031" s="11"/>
    </row>
    <row r="1032" spans="1:19" ht="15.75">
      <c r="A1032" s="13">
        <v>72928</v>
      </c>
      <c r="B1032" s="8">
        <f>CHOOSE( CONTROL!$C$32, 37.3096, 37.306) * CHOOSE(CONTROL!$C$15, $D$11, 100%, $F$11)</f>
        <v>37.309600000000003</v>
      </c>
      <c r="C1032" s="8">
        <f>CHOOSE( CONTROL!$C$32, 37.3176, 37.314) * CHOOSE(CONTROL!$C$15, $D$11, 100%, $F$11)</f>
        <v>37.317599999999999</v>
      </c>
      <c r="D1032" s="8">
        <f>CHOOSE( CONTROL!$C$32, 37.3559, 37.3522) * CHOOSE( CONTROL!$C$15, $D$11, 100%, $F$11)</f>
        <v>37.355899999999998</v>
      </c>
      <c r="E1032" s="12">
        <f>CHOOSE( CONTROL!$C$32, 37.3408, 37.3371) * CHOOSE( CONTROL!$C$15, $D$11, 100%, $F$11)</f>
        <v>37.340800000000002</v>
      </c>
      <c r="F1032" s="4">
        <f>CHOOSE( CONTROL!$C$32, 38.0526, 38.049) * CHOOSE(CONTROL!$C$15, $D$11, 100%, $F$11)</f>
        <v>38.052599999999998</v>
      </c>
      <c r="G1032" s="8">
        <f>CHOOSE( CONTROL!$C$32, 36.8794, 36.8758) * CHOOSE( CONTROL!$C$15, $D$11, 100%, $F$11)</f>
        <v>36.879399999999997</v>
      </c>
      <c r="H1032" s="4">
        <f>CHOOSE( CONTROL!$C$32, 37.8537, 37.8501) * CHOOSE(CONTROL!$C$15, $D$11, 100%, $F$11)</f>
        <v>37.853700000000003</v>
      </c>
      <c r="I1032" s="8">
        <f>CHOOSE( CONTROL!$C$32, 36.3603, 36.3568) * CHOOSE(CONTROL!$C$15, $D$11, 100%, $F$11)</f>
        <v>36.360300000000002</v>
      </c>
      <c r="J1032" s="4">
        <f>CHOOSE( CONTROL!$C$32, 36.1982, 36.1947) * CHOOSE(CONTROL!$C$15, $D$11, 100%, $F$11)</f>
        <v>36.1982</v>
      </c>
      <c r="K1032" s="4"/>
      <c r="L1032" s="9">
        <v>30.7165</v>
      </c>
      <c r="M1032" s="9">
        <v>12.063700000000001</v>
      </c>
      <c r="N1032" s="9">
        <v>4.9444999999999997</v>
      </c>
      <c r="O1032" s="9">
        <v>0.37409999999999999</v>
      </c>
      <c r="P1032" s="9">
        <v>1.2183999999999999</v>
      </c>
      <c r="Q1032" s="9">
        <v>19.688099999999999</v>
      </c>
      <c r="R1032" s="9"/>
      <c r="S1032" s="11"/>
    </row>
    <row r="1033" spans="1:19" ht="15.75">
      <c r="A1033" s="13">
        <v>72958</v>
      </c>
      <c r="B1033" s="8">
        <f>CHOOSE( CONTROL!$C$32, 36.5284, 36.5248) * CHOOSE(CONTROL!$C$15, $D$11, 100%, $F$11)</f>
        <v>36.528399999999998</v>
      </c>
      <c r="C1033" s="8">
        <f>CHOOSE( CONTROL!$C$32, 36.5364, 36.5328) * CHOOSE(CONTROL!$C$15, $D$11, 100%, $F$11)</f>
        <v>36.5364</v>
      </c>
      <c r="D1033" s="8">
        <f>CHOOSE( CONTROL!$C$32, 36.5746, 36.5709) * CHOOSE( CONTROL!$C$15, $D$11, 100%, $F$11)</f>
        <v>36.574599999999997</v>
      </c>
      <c r="E1033" s="12">
        <f>CHOOSE( CONTROL!$C$32, 36.5595, 36.5559) * CHOOSE( CONTROL!$C$15, $D$11, 100%, $F$11)</f>
        <v>36.5595</v>
      </c>
      <c r="F1033" s="4">
        <f>CHOOSE( CONTROL!$C$32, 37.2714, 37.2678) * CHOOSE(CONTROL!$C$15, $D$11, 100%, $F$11)</f>
        <v>37.2714</v>
      </c>
      <c r="G1033" s="8">
        <f>CHOOSE( CONTROL!$C$32, 36.1072, 36.1036) * CHOOSE( CONTROL!$C$15, $D$11, 100%, $F$11)</f>
        <v>36.107199999999999</v>
      </c>
      <c r="H1033" s="4">
        <f>CHOOSE( CONTROL!$C$32, 37.0816, 37.078) * CHOOSE(CONTROL!$C$15, $D$11, 100%, $F$11)</f>
        <v>37.081600000000002</v>
      </c>
      <c r="I1033" s="8">
        <f>CHOOSE( CONTROL!$C$32, 35.6014, 35.5978) * CHOOSE(CONTROL!$C$15, $D$11, 100%, $F$11)</f>
        <v>35.601399999999998</v>
      </c>
      <c r="J1033" s="4">
        <f>CHOOSE( CONTROL!$C$32, 35.44, 35.4365) * CHOOSE(CONTROL!$C$15, $D$11, 100%, $F$11)</f>
        <v>35.44</v>
      </c>
      <c r="K1033" s="4"/>
      <c r="L1033" s="9">
        <v>29.7257</v>
      </c>
      <c r="M1033" s="9">
        <v>11.6745</v>
      </c>
      <c r="N1033" s="9">
        <v>4.7850000000000001</v>
      </c>
      <c r="O1033" s="9">
        <v>0.36199999999999999</v>
      </c>
      <c r="P1033" s="9">
        <v>1.1791</v>
      </c>
      <c r="Q1033" s="9">
        <v>19.053000000000001</v>
      </c>
      <c r="R1033" s="9"/>
      <c r="S1033" s="11"/>
    </row>
    <row r="1034" spans="1:19" ht="15.75">
      <c r="A1034" s="13">
        <v>72989</v>
      </c>
      <c r="B1034" s="8">
        <f>38.1451 * CHOOSE(CONTROL!$C$15, $D$11, 100%, $F$11)</f>
        <v>38.145099999999999</v>
      </c>
      <c r="C1034" s="8">
        <f>38.1505 * CHOOSE(CONTROL!$C$15, $D$11, 100%, $F$11)</f>
        <v>38.150500000000001</v>
      </c>
      <c r="D1034" s="8">
        <f>38.194 * CHOOSE( CONTROL!$C$15, $D$11, 100%, $F$11)</f>
        <v>38.194000000000003</v>
      </c>
      <c r="E1034" s="12">
        <f>38.1791 * CHOOSE( CONTROL!$C$15, $D$11, 100%, $F$11)</f>
        <v>38.179099999999998</v>
      </c>
      <c r="F1034" s="4">
        <f>38.8899 * CHOOSE(CONTROL!$C$15, $D$11, 100%, $F$11)</f>
        <v>38.889899999999997</v>
      </c>
      <c r="G1034" s="8">
        <f>37.7062 * CHOOSE( CONTROL!$C$15, $D$11, 100%, $F$11)</f>
        <v>37.706200000000003</v>
      </c>
      <c r="H1034" s="4">
        <f>38.6811 * CHOOSE(CONTROL!$C$15, $D$11, 100%, $F$11)</f>
        <v>38.681100000000001</v>
      </c>
      <c r="I1034" s="8">
        <f>37.1736 * CHOOSE(CONTROL!$C$15, $D$11, 100%, $F$11)</f>
        <v>37.1736</v>
      </c>
      <c r="J1034" s="4">
        <f>37.0107 * CHOOSE(CONTROL!$C$15, $D$11, 100%, $F$11)</f>
        <v>37.0107</v>
      </c>
      <c r="K1034" s="4"/>
      <c r="L1034" s="9">
        <v>31.095300000000002</v>
      </c>
      <c r="M1034" s="9">
        <v>12.063700000000001</v>
      </c>
      <c r="N1034" s="9">
        <v>4.9444999999999997</v>
      </c>
      <c r="O1034" s="9">
        <v>0.37409999999999999</v>
      </c>
      <c r="P1034" s="9">
        <v>1.2183999999999999</v>
      </c>
      <c r="Q1034" s="9">
        <v>19.688099999999999</v>
      </c>
      <c r="R1034" s="9"/>
      <c r="S1034" s="11"/>
    </row>
    <row r="1035" spans="1:19" ht="15.75">
      <c r="A1035" s="13">
        <v>73019</v>
      </c>
      <c r="B1035" s="8">
        <f>41.1387 * CHOOSE(CONTROL!$C$15, $D$11, 100%, $F$11)</f>
        <v>41.1387</v>
      </c>
      <c r="C1035" s="8">
        <f>41.1438 * CHOOSE(CONTROL!$C$15, $D$11, 100%, $F$11)</f>
        <v>41.143799999999999</v>
      </c>
      <c r="D1035" s="8">
        <f>41.1274 * CHOOSE( CONTROL!$C$15, $D$11, 100%, $F$11)</f>
        <v>41.127400000000002</v>
      </c>
      <c r="E1035" s="12">
        <f>41.1329 * CHOOSE( CONTROL!$C$15, $D$11, 100%, $F$11)</f>
        <v>41.132899999999999</v>
      </c>
      <c r="F1035" s="4">
        <f>41.804 * CHOOSE(CONTROL!$C$15, $D$11, 100%, $F$11)</f>
        <v>41.804000000000002</v>
      </c>
      <c r="G1035" s="8">
        <f>40.6657 * CHOOSE( CONTROL!$C$15, $D$11, 100%, $F$11)</f>
        <v>40.665700000000001</v>
      </c>
      <c r="H1035" s="4">
        <f>41.5611 * CHOOSE(CONTROL!$C$15, $D$11, 100%, $F$11)</f>
        <v>41.561100000000003</v>
      </c>
      <c r="I1035" s="8">
        <f>40.0808 * CHOOSE(CONTROL!$C$15, $D$11, 100%, $F$11)</f>
        <v>40.080800000000004</v>
      </c>
      <c r="J1035" s="4">
        <f>39.9164 * CHOOSE(CONTROL!$C$15, $D$11, 100%, $F$11)</f>
        <v>39.916400000000003</v>
      </c>
      <c r="K1035" s="4"/>
      <c r="L1035" s="9">
        <v>28.360600000000002</v>
      </c>
      <c r="M1035" s="9">
        <v>11.6745</v>
      </c>
      <c r="N1035" s="9">
        <v>4.7850000000000001</v>
      </c>
      <c r="O1035" s="9">
        <v>0.36199999999999999</v>
      </c>
      <c r="P1035" s="9">
        <v>1.2509999999999999</v>
      </c>
      <c r="Q1035" s="9">
        <v>19.053000000000001</v>
      </c>
      <c r="R1035" s="9"/>
      <c r="S1035" s="11"/>
    </row>
    <row r="1036" spans="1:19" ht="15.75">
      <c r="A1036" s="13">
        <v>73050</v>
      </c>
      <c r="B1036" s="8">
        <f>41.0639 * CHOOSE(CONTROL!$C$15, $D$11, 100%, $F$11)</f>
        <v>41.063899999999997</v>
      </c>
      <c r="C1036" s="8">
        <f>41.069 * CHOOSE(CONTROL!$C$15, $D$11, 100%, $F$11)</f>
        <v>41.069000000000003</v>
      </c>
      <c r="D1036" s="8">
        <f>41.0544 * CHOOSE( CONTROL!$C$15, $D$11, 100%, $F$11)</f>
        <v>41.054400000000001</v>
      </c>
      <c r="E1036" s="12">
        <f>41.0592 * CHOOSE( CONTROL!$C$15, $D$11, 100%, $F$11)</f>
        <v>41.059199999999997</v>
      </c>
      <c r="F1036" s="4">
        <f>41.7292 * CHOOSE(CONTROL!$C$15, $D$11, 100%, $F$11)</f>
        <v>41.729199999999999</v>
      </c>
      <c r="G1036" s="8">
        <f>40.593 * CHOOSE( CONTROL!$C$15, $D$11, 100%, $F$11)</f>
        <v>40.593000000000004</v>
      </c>
      <c r="H1036" s="4">
        <f>41.4872 * CHOOSE(CONTROL!$C$15, $D$11, 100%, $F$11)</f>
        <v>41.487200000000001</v>
      </c>
      <c r="I1036" s="8">
        <f>40.0136 * CHOOSE(CONTROL!$C$15, $D$11, 100%, $F$11)</f>
        <v>40.013599999999997</v>
      </c>
      <c r="J1036" s="4">
        <f>39.8438 * CHOOSE(CONTROL!$C$15, $D$11, 100%, $F$11)</f>
        <v>39.843800000000002</v>
      </c>
      <c r="K1036" s="4"/>
      <c r="L1036" s="9">
        <v>29.306000000000001</v>
      </c>
      <c r="M1036" s="9">
        <v>12.063700000000001</v>
      </c>
      <c r="N1036" s="9">
        <v>4.9444999999999997</v>
      </c>
      <c r="O1036" s="9">
        <v>0.37409999999999999</v>
      </c>
      <c r="P1036" s="9">
        <v>1.2927</v>
      </c>
      <c r="Q1036" s="9">
        <v>19.688099999999999</v>
      </c>
      <c r="R1036" s="9"/>
      <c r="S1036" s="11"/>
    </row>
    <row r="1037" spans="1:19" ht="15.75">
      <c r="A1037" s="13">
        <v>73081</v>
      </c>
      <c r="B1037" s="8">
        <f>42.2749 * CHOOSE(CONTROL!$C$15, $D$11, 100%, $F$11)</f>
        <v>42.274900000000002</v>
      </c>
      <c r="C1037" s="8">
        <f>42.28 * CHOOSE(CONTROL!$C$15, $D$11, 100%, $F$11)</f>
        <v>42.28</v>
      </c>
      <c r="D1037" s="8">
        <f>42.2511 * CHOOSE( CONTROL!$C$15, $D$11, 100%, $F$11)</f>
        <v>42.251100000000001</v>
      </c>
      <c r="E1037" s="12">
        <f>42.2611 * CHOOSE( CONTROL!$C$15, $D$11, 100%, $F$11)</f>
        <v>42.261099999999999</v>
      </c>
      <c r="F1037" s="4">
        <f>42.9402 * CHOOSE(CONTROL!$C$15, $D$11, 100%, $F$11)</f>
        <v>42.940199999999997</v>
      </c>
      <c r="G1037" s="8">
        <f>41.7795 * CHOOSE( CONTROL!$C$15, $D$11, 100%, $F$11)</f>
        <v>41.779499999999999</v>
      </c>
      <c r="H1037" s="4">
        <f>42.684 * CHOOSE(CONTROL!$C$15, $D$11, 100%, $F$11)</f>
        <v>42.683999999999997</v>
      </c>
      <c r="I1037" s="8">
        <f>41.1841 * CHOOSE(CONTROL!$C$15, $D$11, 100%, $F$11)</f>
        <v>41.184100000000001</v>
      </c>
      <c r="J1037" s="4">
        <f>41.019 * CHOOSE(CONTROL!$C$15, $D$11, 100%, $F$11)</f>
        <v>41.018999999999998</v>
      </c>
      <c r="K1037" s="4"/>
      <c r="L1037" s="9">
        <v>29.306000000000001</v>
      </c>
      <c r="M1037" s="9">
        <v>12.063700000000001</v>
      </c>
      <c r="N1037" s="9">
        <v>4.9444999999999997</v>
      </c>
      <c r="O1037" s="9">
        <v>0.37409999999999999</v>
      </c>
      <c r="P1037" s="9">
        <v>1.2927</v>
      </c>
      <c r="Q1037" s="9">
        <v>19.688099999999999</v>
      </c>
      <c r="R1037" s="9"/>
      <c r="S1037" s="11"/>
    </row>
    <row r="1038" spans="1:19" ht="15.75">
      <c r="A1038" s="13">
        <v>73109</v>
      </c>
      <c r="B1038" s="8">
        <f>39.5425 * CHOOSE(CONTROL!$C$15, $D$11, 100%, $F$11)</f>
        <v>39.542499999999997</v>
      </c>
      <c r="C1038" s="8">
        <f>39.5476 * CHOOSE(CONTROL!$C$15, $D$11, 100%, $F$11)</f>
        <v>39.547600000000003</v>
      </c>
      <c r="D1038" s="8">
        <f>39.5187 * CHOOSE( CONTROL!$C$15, $D$11, 100%, $F$11)</f>
        <v>39.518700000000003</v>
      </c>
      <c r="E1038" s="12">
        <f>39.5287 * CHOOSE( CONTROL!$C$15, $D$11, 100%, $F$11)</f>
        <v>39.528700000000001</v>
      </c>
      <c r="F1038" s="4">
        <f>40.2078 * CHOOSE(CONTROL!$C$15, $D$11, 100%, $F$11)</f>
        <v>40.207799999999999</v>
      </c>
      <c r="G1038" s="8">
        <f>39.0791 * CHOOSE( CONTROL!$C$15, $D$11, 100%, $F$11)</f>
        <v>39.079099999999997</v>
      </c>
      <c r="H1038" s="4">
        <f>39.9835 * CHOOSE(CONTROL!$C$15, $D$11, 100%, $F$11)</f>
        <v>39.983499999999999</v>
      </c>
      <c r="I1038" s="8">
        <f>38.5309 * CHOOSE(CONTROL!$C$15, $D$11, 100%, $F$11)</f>
        <v>38.530900000000003</v>
      </c>
      <c r="J1038" s="4">
        <f>38.3672 * CHOOSE(CONTROL!$C$15, $D$11, 100%, $F$11)</f>
        <v>38.367199999999997</v>
      </c>
      <c r="K1038" s="4"/>
      <c r="L1038" s="9">
        <v>26.469899999999999</v>
      </c>
      <c r="M1038" s="9">
        <v>10.8962</v>
      </c>
      <c r="N1038" s="9">
        <v>4.4660000000000002</v>
      </c>
      <c r="O1038" s="9">
        <v>0.33789999999999998</v>
      </c>
      <c r="P1038" s="9">
        <v>1.1676</v>
      </c>
      <c r="Q1038" s="9">
        <v>17.782800000000002</v>
      </c>
      <c r="R1038" s="9"/>
      <c r="S1038" s="11"/>
    </row>
    <row r="1039" spans="1:19" ht="15.75">
      <c r="A1039" s="13">
        <v>73140</v>
      </c>
      <c r="B1039" s="8">
        <f>38.7009 * CHOOSE(CONTROL!$C$15, $D$11, 100%, $F$11)</f>
        <v>38.700899999999997</v>
      </c>
      <c r="C1039" s="8">
        <f>38.706 * CHOOSE(CONTROL!$C$15, $D$11, 100%, $F$11)</f>
        <v>38.706000000000003</v>
      </c>
      <c r="D1039" s="8">
        <f>38.6767 * CHOOSE( CONTROL!$C$15, $D$11, 100%, $F$11)</f>
        <v>38.676699999999997</v>
      </c>
      <c r="E1039" s="12">
        <f>38.6869 * CHOOSE( CONTROL!$C$15, $D$11, 100%, $F$11)</f>
        <v>38.686900000000001</v>
      </c>
      <c r="F1039" s="4">
        <f>39.3662 * CHOOSE(CONTROL!$C$15, $D$11, 100%, $F$11)</f>
        <v>39.366199999999999</v>
      </c>
      <c r="G1039" s="8">
        <f>38.2471 * CHOOSE( CONTROL!$C$15, $D$11, 100%, $F$11)</f>
        <v>38.247100000000003</v>
      </c>
      <c r="H1039" s="4">
        <f>39.1518 * CHOOSE(CONTROL!$C$15, $D$11, 100%, $F$11)</f>
        <v>39.151800000000001</v>
      </c>
      <c r="I1039" s="8">
        <f>37.7125 * CHOOSE(CONTROL!$C$15, $D$11, 100%, $F$11)</f>
        <v>37.712499999999999</v>
      </c>
      <c r="J1039" s="4">
        <f>37.5505 * CHOOSE(CONTROL!$C$15, $D$11, 100%, $F$11)</f>
        <v>37.5505</v>
      </c>
      <c r="K1039" s="4"/>
      <c r="L1039" s="9">
        <v>29.306000000000001</v>
      </c>
      <c r="M1039" s="9">
        <v>12.063700000000001</v>
      </c>
      <c r="N1039" s="9">
        <v>4.9444999999999997</v>
      </c>
      <c r="O1039" s="9">
        <v>0.37409999999999999</v>
      </c>
      <c r="P1039" s="9">
        <v>1.2927</v>
      </c>
      <c r="Q1039" s="9">
        <v>19.688099999999999</v>
      </c>
      <c r="R1039" s="9"/>
      <c r="S1039" s="11"/>
    </row>
    <row r="1040" spans="1:19" ht="15.75">
      <c r="A1040" s="13">
        <v>73170</v>
      </c>
      <c r="B1040" s="8">
        <f>39.2898 * CHOOSE(CONTROL!$C$15, $D$11, 100%, $F$11)</f>
        <v>39.2898</v>
      </c>
      <c r="C1040" s="8">
        <f>39.2943 * CHOOSE(CONTROL!$C$15, $D$11, 100%, $F$11)</f>
        <v>39.2943</v>
      </c>
      <c r="D1040" s="8">
        <f>39.3376 * CHOOSE( CONTROL!$C$15, $D$11, 100%, $F$11)</f>
        <v>39.337600000000002</v>
      </c>
      <c r="E1040" s="12">
        <f>39.3228 * CHOOSE( CONTROL!$C$15, $D$11, 100%, $F$11)</f>
        <v>39.322800000000001</v>
      </c>
      <c r="F1040" s="4">
        <f>40.0341 * CHOOSE(CONTROL!$C$15, $D$11, 100%, $F$11)</f>
        <v>40.034100000000002</v>
      </c>
      <c r="G1040" s="8">
        <f>38.8361 * CHOOSE( CONTROL!$C$15, $D$11, 100%, $F$11)</f>
        <v>38.836100000000002</v>
      </c>
      <c r="H1040" s="4">
        <f>39.8119 * CHOOSE(CONTROL!$C$15, $D$11, 100%, $F$11)</f>
        <v>39.811900000000001</v>
      </c>
      <c r="I1040" s="8">
        <f>38.2817 * CHOOSE(CONTROL!$C$15, $D$11, 100%, $F$11)</f>
        <v>38.281700000000001</v>
      </c>
      <c r="J1040" s="4">
        <f>38.1212 * CHOOSE(CONTROL!$C$15, $D$11, 100%, $F$11)</f>
        <v>38.121200000000002</v>
      </c>
      <c r="K1040" s="4"/>
      <c r="L1040" s="9">
        <v>30.092199999999998</v>
      </c>
      <c r="M1040" s="9">
        <v>11.6745</v>
      </c>
      <c r="N1040" s="9">
        <v>4.7850000000000001</v>
      </c>
      <c r="O1040" s="9">
        <v>0.36199999999999999</v>
      </c>
      <c r="P1040" s="9">
        <v>1.1791</v>
      </c>
      <c r="Q1040" s="9">
        <v>19.053000000000001</v>
      </c>
      <c r="R1040" s="9"/>
      <c r="S1040" s="11"/>
    </row>
    <row r="1041" spans="1:19" ht="15.75">
      <c r="A1041" s="13">
        <v>73201</v>
      </c>
      <c r="B1041" s="8">
        <f>CHOOSE( CONTROL!$C$32, 40.3414, 40.3378) * CHOOSE(CONTROL!$C$15, $D$11, 100%, $F$11)</f>
        <v>40.3414</v>
      </c>
      <c r="C1041" s="8">
        <f>CHOOSE( CONTROL!$C$32, 40.3494, 40.3457) * CHOOSE(CONTROL!$C$15, $D$11, 100%, $F$11)</f>
        <v>40.349400000000003</v>
      </c>
      <c r="D1041" s="8">
        <f>CHOOSE( CONTROL!$C$32, 40.3871, 40.3835) * CHOOSE( CONTROL!$C$15, $D$11, 100%, $F$11)</f>
        <v>40.387099999999997</v>
      </c>
      <c r="E1041" s="12">
        <f>CHOOSE( CONTROL!$C$32, 40.3722, 40.3686) * CHOOSE( CONTROL!$C$15, $D$11, 100%, $F$11)</f>
        <v>40.372199999999999</v>
      </c>
      <c r="F1041" s="4">
        <f>CHOOSE( CONTROL!$C$32, 41.0844, 41.0808) * CHOOSE(CONTROL!$C$15, $D$11, 100%, $F$11)</f>
        <v>41.084400000000002</v>
      </c>
      <c r="G1041" s="8">
        <f>CHOOSE( CONTROL!$C$32, 39.8749, 39.8713) * CHOOSE( CONTROL!$C$15, $D$11, 100%, $F$11)</f>
        <v>39.874899999999997</v>
      </c>
      <c r="H1041" s="4">
        <f>CHOOSE( CONTROL!$C$32, 40.8499, 40.8463) * CHOOSE(CONTROL!$C$15, $D$11, 100%, $F$11)</f>
        <v>40.849899999999998</v>
      </c>
      <c r="I1041" s="8">
        <f>CHOOSE( CONTROL!$C$32, 39.3016, 39.2981) * CHOOSE(CONTROL!$C$15, $D$11, 100%, $F$11)</f>
        <v>39.301600000000001</v>
      </c>
      <c r="J1041" s="4">
        <f>CHOOSE( CONTROL!$C$32, 39.1405, 39.137) * CHOOSE(CONTROL!$C$15, $D$11, 100%, $F$11)</f>
        <v>39.140500000000003</v>
      </c>
      <c r="K1041" s="4"/>
      <c r="L1041" s="9">
        <v>30.7165</v>
      </c>
      <c r="M1041" s="9">
        <v>12.063700000000001</v>
      </c>
      <c r="N1041" s="9">
        <v>4.9444999999999997</v>
      </c>
      <c r="O1041" s="9">
        <v>0.37409999999999999</v>
      </c>
      <c r="P1041" s="9">
        <v>1.2183999999999999</v>
      </c>
      <c r="Q1041" s="9">
        <v>19.688099999999999</v>
      </c>
      <c r="R1041" s="9"/>
      <c r="S1041" s="11"/>
    </row>
    <row r="1042" spans="1:19" ht="15.75">
      <c r="A1042" s="13">
        <v>73231</v>
      </c>
      <c r="B1042" s="8">
        <f>CHOOSE( CONTROL!$C$32, 39.693, 39.6894) * CHOOSE(CONTROL!$C$15, $D$11, 100%, $F$11)</f>
        <v>39.692999999999998</v>
      </c>
      <c r="C1042" s="8">
        <f>CHOOSE( CONTROL!$C$32, 39.701, 39.6974) * CHOOSE(CONTROL!$C$15, $D$11, 100%, $F$11)</f>
        <v>39.701000000000001</v>
      </c>
      <c r="D1042" s="8">
        <f>CHOOSE( CONTROL!$C$32, 39.739, 39.7353) * CHOOSE( CONTROL!$C$15, $D$11, 100%, $F$11)</f>
        <v>39.738999999999997</v>
      </c>
      <c r="E1042" s="12">
        <f>CHOOSE( CONTROL!$C$32, 39.724, 39.7203) * CHOOSE( CONTROL!$C$15, $D$11, 100%, $F$11)</f>
        <v>39.723999999999997</v>
      </c>
      <c r="F1042" s="4">
        <f>CHOOSE( CONTROL!$C$32, 40.436, 40.4324) * CHOOSE(CONTROL!$C$15, $D$11, 100%, $F$11)</f>
        <v>40.436</v>
      </c>
      <c r="G1042" s="8">
        <f>CHOOSE( CONTROL!$C$32, 39.2344, 39.2308) * CHOOSE( CONTROL!$C$15, $D$11, 100%, $F$11)</f>
        <v>39.234400000000001</v>
      </c>
      <c r="H1042" s="4">
        <f>CHOOSE( CONTROL!$C$32, 40.2092, 40.2056) * CHOOSE(CONTROL!$C$15, $D$11, 100%, $F$11)</f>
        <v>40.209200000000003</v>
      </c>
      <c r="I1042" s="8">
        <f>CHOOSE( CONTROL!$C$32, 38.6731, 38.6696) * CHOOSE(CONTROL!$C$15, $D$11, 100%, $F$11)</f>
        <v>38.673099999999998</v>
      </c>
      <c r="J1042" s="4">
        <f>CHOOSE( CONTROL!$C$32, 38.5113, 38.5077) * CHOOSE(CONTROL!$C$15, $D$11, 100%, $F$11)</f>
        <v>38.511299999999999</v>
      </c>
      <c r="K1042" s="4"/>
      <c r="L1042" s="9">
        <v>29.7257</v>
      </c>
      <c r="M1042" s="9">
        <v>11.6745</v>
      </c>
      <c r="N1042" s="9">
        <v>4.7850000000000001</v>
      </c>
      <c r="O1042" s="9">
        <v>0.36199999999999999</v>
      </c>
      <c r="P1042" s="9">
        <v>1.1791</v>
      </c>
      <c r="Q1042" s="9">
        <v>19.053000000000001</v>
      </c>
      <c r="R1042" s="9"/>
      <c r="S1042" s="11"/>
    </row>
    <row r="1043" spans="1:19" ht="15.75">
      <c r="A1043" s="13">
        <v>73262</v>
      </c>
      <c r="B1043" s="8">
        <f>CHOOSE( CONTROL!$C$32, 41.4004, 41.3968) * CHOOSE(CONTROL!$C$15, $D$11, 100%, $F$11)</f>
        <v>41.400399999999998</v>
      </c>
      <c r="C1043" s="8">
        <f>CHOOSE( CONTROL!$C$32, 41.4084, 41.4047) * CHOOSE(CONTROL!$C$15, $D$11, 100%, $F$11)</f>
        <v>41.4084</v>
      </c>
      <c r="D1043" s="8">
        <f>CHOOSE( CONTROL!$C$32, 41.4466, 41.4429) * CHOOSE( CONTROL!$C$15, $D$11, 100%, $F$11)</f>
        <v>41.446599999999997</v>
      </c>
      <c r="E1043" s="12">
        <f>CHOOSE( CONTROL!$C$32, 41.4315, 41.4279) * CHOOSE( CONTROL!$C$15, $D$11, 100%, $F$11)</f>
        <v>41.4315</v>
      </c>
      <c r="F1043" s="4">
        <f>CHOOSE( CONTROL!$C$32, 42.1434, 42.1398) * CHOOSE(CONTROL!$C$15, $D$11, 100%, $F$11)</f>
        <v>42.1434</v>
      </c>
      <c r="G1043" s="8">
        <f>CHOOSE( CONTROL!$C$32, 40.9222, 40.9186) * CHOOSE( CONTROL!$C$15, $D$11, 100%, $F$11)</f>
        <v>40.922199999999997</v>
      </c>
      <c r="H1043" s="4">
        <f>CHOOSE( CONTROL!$C$32, 41.8965, 41.8929) * CHOOSE(CONTROL!$C$15, $D$11, 100%, $F$11)</f>
        <v>41.896500000000003</v>
      </c>
      <c r="I1043" s="8">
        <f>CHOOSE( CONTROL!$C$32, 40.3321, 40.3286) * CHOOSE(CONTROL!$C$15, $D$11, 100%, $F$11)</f>
        <v>40.332099999999997</v>
      </c>
      <c r="J1043" s="4">
        <f>CHOOSE( CONTROL!$C$32, 40.1683, 40.1647) * CHOOSE(CONTROL!$C$15, $D$11, 100%, $F$11)</f>
        <v>40.168300000000002</v>
      </c>
      <c r="K1043" s="4"/>
      <c r="L1043" s="9">
        <v>30.7165</v>
      </c>
      <c r="M1043" s="9">
        <v>12.063700000000001</v>
      </c>
      <c r="N1043" s="9">
        <v>4.9444999999999997</v>
      </c>
      <c r="O1043" s="9">
        <v>0.37409999999999999</v>
      </c>
      <c r="P1043" s="9">
        <v>1.2183999999999999</v>
      </c>
      <c r="Q1043" s="9">
        <v>19.688099999999999</v>
      </c>
      <c r="R1043" s="9"/>
      <c r="S1043" s="11"/>
    </row>
    <row r="1044" spans="1:19" ht="15.75">
      <c r="A1044" s="13">
        <v>73293</v>
      </c>
      <c r="B1044" s="8">
        <f>CHOOSE( CONTROL!$C$32, 38.2057, 38.2021) * CHOOSE(CONTROL!$C$15, $D$11, 100%, $F$11)</f>
        <v>38.2057</v>
      </c>
      <c r="C1044" s="8">
        <f>CHOOSE( CONTROL!$C$32, 38.2137, 38.2101) * CHOOSE(CONTROL!$C$15, $D$11, 100%, $F$11)</f>
        <v>38.213700000000003</v>
      </c>
      <c r="D1044" s="8">
        <f>CHOOSE( CONTROL!$C$32, 38.252, 38.2483) * CHOOSE( CONTROL!$C$15, $D$11, 100%, $F$11)</f>
        <v>38.252000000000002</v>
      </c>
      <c r="E1044" s="12">
        <f>CHOOSE( CONTROL!$C$32, 38.2369, 38.2332) * CHOOSE( CONTROL!$C$15, $D$11, 100%, $F$11)</f>
        <v>38.236899999999999</v>
      </c>
      <c r="F1044" s="4">
        <f>CHOOSE( CONTROL!$C$32, 38.9488, 38.9451) * CHOOSE(CONTROL!$C$15, $D$11, 100%, $F$11)</f>
        <v>38.948799999999999</v>
      </c>
      <c r="G1044" s="8">
        <f>CHOOSE( CONTROL!$C$32, 37.765, 37.7614) * CHOOSE( CONTROL!$C$15, $D$11, 100%, $F$11)</f>
        <v>37.765000000000001</v>
      </c>
      <c r="H1044" s="4">
        <f>CHOOSE( CONTROL!$C$32, 38.7393, 38.7357) * CHOOSE(CONTROL!$C$15, $D$11, 100%, $F$11)</f>
        <v>38.7393</v>
      </c>
      <c r="I1044" s="8">
        <f>CHOOSE( CONTROL!$C$32, 37.2304, 37.2269) * CHOOSE(CONTROL!$C$15, $D$11, 100%, $F$11)</f>
        <v>37.230400000000003</v>
      </c>
      <c r="J1044" s="4">
        <f>CHOOSE( CONTROL!$C$32, 37.0679, 37.0643) * CHOOSE(CONTROL!$C$15, $D$11, 100%, $F$11)</f>
        <v>37.067900000000002</v>
      </c>
      <c r="K1044" s="4"/>
      <c r="L1044" s="9">
        <v>30.7165</v>
      </c>
      <c r="M1044" s="9">
        <v>12.063700000000001</v>
      </c>
      <c r="N1044" s="9">
        <v>4.9444999999999997</v>
      </c>
      <c r="O1044" s="9">
        <v>0.37409999999999999</v>
      </c>
      <c r="P1044" s="9">
        <v>1.2183999999999999</v>
      </c>
      <c r="Q1044" s="9">
        <v>19.688099999999999</v>
      </c>
      <c r="R1044" s="9"/>
      <c r="S1044" s="11"/>
    </row>
    <row r="1045" spans="1:19" ht="15.75">
      <c r="A1045" s="13">
        <v>73323</v>
      </c>
      <c r="B1045" s="8">
        <f>CHOOSE( CONTROL!$C$32, 37.4058, 37.4021) * CHOOSE(CONTROL!$C$15, $D$11, 100%, $F$11)</f>
        <v>37.405799999999999</v>
      </c>
      <c r="C1045" s="8">
        <f>CHOOSE( CONTROL!$C$32, 37.4137, 37.4101) * CHOOSE(CONTROL!$C$15, $D$11, 100%, $F$11)</f>
        <v>37.413699999999999</v>
      </c>
      <c r="D1045" s="8">
        <f>CHOOSE( CONTROL!$C$32, 37.4519, 37.4483) * CHOOSE( CONTROL!$C$15, $D$11, 100%, $F$11)</f>
        <v>37.451900000000002</v>
      </c>
      <c r="E1045" s="12">
        <f>CHOOSE( CONTROL!$C$32, 37.4369, 37.4332) * CHOOSE( CONTROL!$C$15, $D$11, 100%, $F$11)</f>
        <v>37.436900000000001</v>
      </c>
      <c r="F1045" s="4">
        <f>CHOOSE( CONTROL!$C$32, 38.1488, 38.1451) * CHOOSE(CONTROL!$C$15, $D$11, 100%, $F$11)</f>
        <v>38.148800000000001</v>
      </c>
      <c r="G1045" s="8">
        <f>CHOOSE( CONTROL!$C$32, 36.9743, 36.9707) * CHOOSE( CONTROL!$C$15, $D$11, 100%, $F$11)</f>
        <v>36.974299999999999</v>
      </c>
      <c r="H1045" s="4">
        <f>CHOOSE( CONTROL!$C$32, 37.9487, 37.9451) * CHOOSE(CONTROL!$C$15, $D$11, 100%, $F$11)</f>
        <v>37.948700000000002</v>
      </c>
      <c r="I1045" s="8">
        <f>CHOOSE( CONTROL!$C$32, 36.4533, 36.4497) * CHOOSE(CONTROL!$C$15, $D$11, 100%, $F$11)</f>
        <v>36.453299999999999</v>
      </c>
      <c r="J1045" s="4">
        <f>CHOOSE( CONTROL!$C$32, 36.2915, 36.2879) * CHOOSE(CONTROL!$C$15, $D$11, 100%, $F$11)</f>
        <v>36.291499999999999</v>
      </c>
      <c r="K1045" s="4"/>
      <c r="L1045" s="9">
        <v>29.7257</v>
      </c>
      <c r="M1045" s="9">
        <v>11.6745</v>
      </c>
      <c r="N1045" s="9">
        <v>4.7850000000000001</v>
      </c>
      <c r="O1045" s="9">
        <v>0.36199999999999999</v>
      </c>
      <c r="P1045" s="9">
        <v>1.1791</v>
      </c>
      <c r="Q1045" s="9">
        <v>19.053000000000001</v>
      </c>
      <c r="R1045" s="9"/>
      <c r="S1045" s="11"/>
    </row>
    <row r="1046" spans="1:19" ht="15.75">
      <c r="A1046" s="13">
        <v>73354</v>
      </c>
      <c r="B1046" s="8">
        <f>39.0614 * CHOOSE(CONTROL!$C$15, $D$11, 100%, $F$11)</f>
        <v>39.061399999999999</v>
      </c>
      <c r="C1046" s="8">
        <f>39.0668 * CHOOSE(CONTROL!$C$15, $D$11, 100%, $F$11)</f>
        <v>39.066800000000001</v>
      </c>
      <c r="D1046" s="8">
        <f>39.1103 * CHOOSE( CONTROL!$C$15, $D$11, 100%, $F$11)</f>
        <v>39.110300000000002</v>
      </c>
      <c r="E1046" s="12">
        <f>39.0954 * CHOOSE( CONTROL!$C$15, $D$11, 100%, $F$11)</f>
        <v>39.095399999999998</v>
      </c>
      <c r="F1046" s="4">
        <f>39.8062 * CHOOSE(CONTROL!$C$15, $D$11, 100%, $F$11)</f>
        <v>39.806199999999997</v>
      </c>
      <c r="G1046" s="8">
        <f>38.6117 * CHOOSE( CONTROL!$C$15, $D$11, 100%, $F$11)</f>
        <v>38.611699999999999</v>
      </c>
      <c r="H1046" s="4">
        <f>39.5866 * CHOOSE(CONTROL!$C$15, $D$11, 100%, $F$11)</f>
        <v>39.586599999999997</v>
      </c>
      <c r="I1046" s="8">
        <f>38.0633 * CHOOSE(CONTROL!$C$15, $D$11, 100%, $F$11)</f>
        <v>38.063299999999998</v>
      </c>
      <c r="J1046" s="4">
        <f>37.9 * CHOOSE(CONTROL!$C$15, $D$11, 100%, $F$11)</f>
        <v>37.9</v>
      </c>
      <c r="K1046" s="4"/>
      <c r="L1046" s="9">
        <v>31.095300000000002</v>
      </c>
      <c r="M1046" s="9">
        <v>12.063700000000001</v>
      </c>
      <c r="N1046" s="9">
        <v>4.9444999999999997</v>
      </c>
      <c r="O1046" s="9">
        <v>0.37409999999999999</v>
      </c>
      <c r="P1046" s="9">
        <v>1.2183999999999999</v>
      </c>
      <c r="Q1046" s="9">
        <v>19.688099999999999</v>
      </c>
      <c r="R1046" s="9"/>
      <c r="S1046" s="11"/>
    </row>
    <row r="1047" spans="1:19" ht="15.75">
      <c r="A1047" s="13">
        <v>73384</v>
      </c>
      <c r="B1047" s="8">
        <f>42.127 * CHOOSE(CONTROL!$C$15, $D$11, 100%, $F$11)</f>
        <v>42.127000000000002</v>
      </c>
      <c r="C1047" s="8">
        <f>42.132 * CHOOSE(CONTROL!$C$15, $D$11, 100%, $F$11)</f>
        <v>42.131999999999998</v>
      </c>
      <c r="D1047" s="8">
        <f>42.1157 * CHOOSE( CONTROL!$C$15, $D$11, 100%, $F$11)</f>
        <v>42.115699999999997</v>
      </c>
      <c r="E1047" s="12">
        <f>42.1211 * CHOOSE( CONTROL!$C$15, $D$11, 100%, $F$11)</f>
        <v>42.121099999999998</v>
      </c>
      <c r="F1047" s="4">
        <f>42.7922 * CHOOSE(CONTROL!$C$15, $D$11, 100%, $F$11)</f>
        <v>42.792200000000001</v>
      </c>
      <c r="G1047" s="8">
        <f>41.6424 * CHOOSE( CONTROL!$C$15, $D$11, 100%, $F$11)</f>
        <v>41.642400000000002</v>
      </c>
      <c r="H1047" s="4">
        <f>42.5378 * CHOOSE(CONTROL!$C$15, $D$11, 100%, $F$11)</f>
        <v>42.537799999999997</v>
      </c>
      <c r="I1047" s="8">
        <f>41.0404 * CHOOSE(CONTROL!$C$15, $D$11, 100%, $F$11)</f>
        <v>41.040399999999998</v>
      </c>
      <c r="J1047" s="4">
        <f>40.8755 * CHOOSE(CONTROL!$C$15, $D$11, 100%, $F$11)</f>
        <v>40.875500000000002</v>
      </c>
      <c r="K1047" s="4"/>
      <c r="L1047" s="9">
        <v>28.360600000000002</v>
      </c>
      <c r="M1047" s="9">
        <v>11.6745</v>
      </c>
      <c r="N1047" s="9">
        <v>4.7850000000000001</v>
      </c>
      <c r="O1047" s="9">
        <v>0.36199999999999999</v>
      </c>
      <c r="P1047" s="9">
        <v>1.2509999999999999</v>
      </c>
      <c r="Q1047" s="9">
        <v>19.053000000000001</v>
      </c>
      <c r="R1047" s="9"/>
      <c r="S1047" s="11"/>
    </row>
    <row r="1048" spans="1:19" ht="15.75">
      <c r="A1048" s="13">
        <v>73415</v>
      </c>
      <c r="B1048" s="8">
        <f>42.0504 * CHOOSE(CONTROL!$C$15, $D$11, 100%, $F$11)</f>
        <v>42.050400000000003</v>
      </c>
      <c r="C1048" s="8">
        <f>42.0554 * CHOOSE(CONTROL!$C$15, $D$11, 100%, $F$11)</f>
        <v>42.055399999999999</v>
      </c>
      <c r="D1048" s="8">
        <f>42.0408 * CHOOSE( CONTROL!$C$15, $D$11, 100%, $F$11)</f>
        <v>42.040799999999997</v>
      </c>
      <c r="E1048" s="12">
        <f>42.0456 * CHOOSE( CONTROL!$C$15, $D$11, 100%, $F$11)</f>
        <v>42.0456</v>
      </c>
      <c r="F1048" s="4">
        <f>42.7156 * CHOOSE(CONTROL!$C$15, $D$11, 100%, $F$11)</f>
        <v>42.715600000000002</v>
      </c>
      <c r="G1048" s="8">
        <f>41.5679 * CHOOSE( CONTROL!$C$15, $D$11, 100%, $F$11)</f>
        <v>41.567900000000002</v>
      </c>
      <c r="H1048" s="4">
        <f>42.4621 * CHOOSE(CONTROL!$C$15, $D$11, 100%, $F$11)</f>
        <v>42.4621</v>
      </c>
      <c r="I1048" s="8">
        <f>40.9714 * CHOOSE(CONTROL!$C$15, $D$11, 100%, $F$11)</f>
        <v>40.971400000000003</v>
      </c>
      <c r="J1048" s="4">
        <f>40.8011 * CHOOSE(CONTROL!$C$15, $D$11, 100%, $F$11)</f>
        <v>40.801099999999998</v>
      </c>
      <c r="K1048" s="4"/>
      <c r="L1048" s="9">
        <v>29.306000000000001</v>
      </c>
      <c r="M1048" s="9">
        <v>12.063700000000001</v>
      </c>
      <c r="N1048" s="9">
        <v>4.9444999999999997</v>
      </c>
      <c r="O1048" s="9">
        <v>0.37409999999999999</v>
      </c>
      <c r="P1048" s="9">
        <v>1.2927</v>
      </c>
      <c r="Q1048" s="9">
        <v>19.688099999999999</v>
      </c>
      <c r="R1048" s="9"/>
      <c r="S1048" s="11"/>
    </row>
    <row r="1049" spans="1:19">
      <c r="A1049" s="10"/>
      <c r="F1049" s="1"/>
      <c r="H1049" s="1"/>
      <c r="Q1049" s="9"/>
    </row>
    <row r="1050" spans="1:19" ht="15" customHeight="1">
      <c r="A1050" s="3">
        <v>2015</v>
      </c>
      <c r="B1050" s="8">
        <f t="shared" ref="B1050:H1050" si="1">AVERAGE(B17:B28)</f>
        <v>2.9886750000000002</v>
      </c>
      <c r="C1050" s="8">
        <f t="shared" si="1"/>
        <v>2.9949416666666671</v>
      </c>
      <c r="D1050" s="8">
        <f t="shared" si="1"/>
        <v>2.9762166666666663</v>
      </c>
      <c r="E1050" s="8">
        <f t="shared" si="1"/>
        <v>2.9819583333333335</v>
      </c>
      <c r="F1050" s="4">
        <f t="shared" si="1"/>
        <v>3.6731416666666665</v>
      </c>
      <c r="G1050" s="8">
        <f t="shared" si="1"/>
        <v>2.9460083333333333</v>
      </c>
      <c r="H1050" s="4">
        <f t="shared" si="1"/>
        <v>3.8767916666666671</v>
      </c>
      <c r="I1050" s="8"/>
      <c r="J1050" s="4">
        <f>AVERAGE(J17:J28)</f>
        <v>2.8907916666666669</v>
      </c>
      <c r="K1050" s="4">
        <f>AVERAGE(K17:K28)</f>
        <v>2.9528750000000001</v>
      </c>
      <c r="L1050" s="5">
        <f>SUM(L17:L28)</f>
        <v>369.27089999999998</v>
      </c>
      <c r="M1050" s="5">
        <f>SUM(M17:M28)</f>
        <v>142.0401</v>
      </c>
      <c r="N1050" s="5">
        <f>SUM(N17:N28)</f>
        <v>58.217499999999994</v>
      </c>
      <c r="O1050" s="5">
        <f>SUM(O17:O28)</f>
        <v>7.2496000000000018</v>
      </c>
      <c r="P1050" s="5">
        <f>SUM(P17:P28)</f>
        <v>14.046099999999997</v>
      </c>
      <c r="Q1050" s="5"/>
      <c r="R1050" s="5">
        <f>SUM(R17:R28)</f>
        <v>3.5999999999999992</v>
      </c>
      <c r="S1050" s="5">
        <f>SUM(S17:S28)</f>
        <v>12.811500000000002</v>
      </c>
    </row>
    <row r="1051" spans="1:19" ht="15" customHeight="1">
      <c r="A1051" s="3">
        <v>2016</v>
      </c>
      <c r="B1051" s="8">
        <f t="shared" ref="B1051:H1051" si="2">AVERAGE(B29:B40)</f>
        <v>3.2927333333333331</v>
      </c>
      <c r="C1051" s="8">
        <f t="shared" si="2"/>
        <v>3.2989916666666672</v>
      </c>
      <c r="D1051" s="8">
        <f t="shared" si="2"/>
        <v>3.2979250000000007</v>
      </c>
      <c r="E1051" s="8">
        <f t="shared" si="2"/>
        <v>3.2978083333333328</v>
      </c>
      <c r="F1051" s="4">
        <f t="shared" si="2"/>
        <v>4.0036083333333332</v>
      </c>
      <c r="G1051" s="8">
        <f t="shared" si="2"/>
        <v>3.2599499999999999</v>
      </c>
      <c r="H1051" s="4">
        <f t="shared" si="2"/>
        <v>4.203383333333333</v>
      </c>
      <c r="I1051" s="8"/>
      <c r="J1051" s="4">
        <f>AVERAGE(J29:J40)</f>
        <v>3.1858749999999998</v>
      </c>
      <c r="K1051" s="5"/>
      <c r="L1051" s="5">
        <f>SUM(L29:L40)</f>
        <v>371.47629999999998</v>
      </c>
      <c r="M1051" s="5">
        <f>SUM(M29:M40)</f>
        <v>142.42920000000001</v>
      </c>
      <c r="N1051" s="5">
        <f>SUM(N29:N40)</f>
        <v>58.377000000000002</v>
      </c>
      <c r="O1051" s="5">
        <f>SUM(O29:O40)</f>
        <v>5.3597999999999999</v>
      </c>
      <c r="P1051" s="5">
        <f>SUM(P29:P40)</f>
        <v>17.840799999999998</v>
      </c>
      <c r="Q1051" s="5"/>
      <c r="R1051" s="5">
        <f>SUM(R29:R40)</f>
        <v>3.5999999999999992</v>
      </c>
      <c r="S1051" s="5"/>
    </row>
    <row r="1052" spans="1:19" ht="15" customHeight="1">
      <c r="A1052" s="3">
        <v>2017</v>
      </c>
      <c r="B1052" s="8">
        <f t="shared" ref="B1052:J1052" si="3">AVERAGE(B41:B52)</f>
        <v>3.5800333333333332</v>
      </c>
      <c r="C1052" s="8">
        <f t="shared" si="3"/>
        <v>3.5862999999999996</v>
      </c>
      <c r="D1052" s="8">
        <f t="shared" si="3"/>
        <v>3.5825916666666671</v>
      </c>
      <c r="E1052" s="8">
        <f t="shared" si="3"/>
        <v>3.5832000000000002</v>
      </c>
      <c r="F1052" s="4">
        <f t="shared" si="3"/>
        <v>4.2909166666666669</v>
      </c>
      <c r="G1052" s="8">
        <f t="shared" si="3"/>
        <v>3.5434166666666669</v>
      </c>
      <c r="H1052" s="4">
        <f t="shared" si="3"/>
        <v>4.4873083333333339</v>
      </c>
      <c r="I1052" s="8">
        <f t="shared" si="3"/>
        <v>3.6104500000000002</v>
      </c>
      <c r="J1052" s="4">
        <f t="shared" si="3"/>
        <v>3.4647083333333328</v>
      </c>
      <c r="K1052" s="4"/>
      <c r="L1052" s="5">
        <f t="shared" ref="L1052:Q1052" si="4">SUM(L41:L52)</f>
        <v>355.53689999999995</v>
      </c>
      <c r="M1052" s="5">
        <f t="shared" si="4"/>
        <v>142.0401</v>
      </c>
      <c r="N1052" s="5">
        <f t="shared" si="4"/>
        <v>58.217499999999994</v>
      </c>
      <c r="O1052" s="5">
        <f t="shared" si="4"/>
        <v>4.4046000000000003</v>
      </c>
      <c r="P1052" s="5">
        <f t="shared" si="4"/>
        <v>20.805900000000001</v>
      </c>
      <c r="Q1052" s="5">
        <f t="shared" si="4"/>
        <v>198.18529999999998</v>
      </c>
      <c r="R1052" s="5"/>
      <c r="S1052" s="4"/>
    </row>
    <row r="1053" spans="1:19" ht="15" customHeight="1">
      <c r="A1053" s="3">
        <v>2018</v>
      </c>
      <c r="B1053" s="8">
        <f t="shared" ref="B1053:J1053" si="5">AVERAGE(B53:B64)</f>
        <v>4.0451916666666667</v>
      </c>
      <c r="C1053" s="8">
        <f t="shared" si="5"/>
        <v>4.0514583333333336</v>
      </c>
      <c r="D1053" s="8">
        <f t="shared" si="5"/>
        <v>4.0647166666666665</v>
      </c>
      <c r="E1053" s="8">
        <f t="shared" si="5"/>
        <v>4.0593416666666666</v>
      </c>
      <c r="F1053" s="4">
        <f t="shared" si="5"/>
        <v>4.7560666666666664</v>
      </c>
      <c r="G1053" s="8">
        <f t="shared" si="5"/>
        <v>4.003141666666667</v>
      </c>
      <c r="H1053" s="4">
        <f t="shared" si="5"/>
        <v>4.9470166666666673</v>
      </c>
      <c r="I1053" s="8">
        <f t="shared" si="5"/>
        <v>4.0621000000000009</v>
      </c>
      <c r="J1053" s="4">
        <f t="shared" si="5"/>
        <v>3.9161416666666664</v>
      </c>
      <c r="K1053" s="4"/>
      <c r="L1053" s="5">
        <f t="shared" ref="L1053:Q1053" si="6">SUM(L53:L64)</f>
        <v>355.53689999999995</v>
      </c>
      <c r="M1053" s="5">
        <f t="shared" si="6"/>
        <v>142.0401</v>
      </c>
      <c r="N1053" s="5">
        <f t="shared" si="6"/>
        <v>58.217499999999994</v>
      </c>
      <c r="O1053" s="5">
        <f t="shared" si="6"/>
        <v>4.4046000000000003</v>
      </c>
      <c r="P1053" s="5">
        <f t="shared" si="6"/>
        <v>14.707600000000001</v>
      </c>
      <c r="Q1053" s="5">
        <f t="shared" si="6"/>
        <v>293.19730000000004</v>
      </c>
      <c r="R1053" s="5"/>
      <c r="S1053" s="4"/>
    </row>
    <row r="1054" spans="1:19" ht="15" customHeight="1">
      <c r="A1054" s="3">
        <v>2019</v>
      </c>
      <c r="B1054" s="8">
        <f t="shared" ref="B1054:J1054" si="7">AVERAGE(B65:B76)</f>
        <v>4.2562166666666661</v>
      </c>
      <c r="C1054" s="8">
        <f t="shared" si="7"/>
        <v>4.262483333333333</v>
      </c>
      <c r="D1054" s="8">
        <f t="shared" si="7"/>
        <v>4.2757499999999995</v>
      </c>
      <c r="E1054" s="8">
        <f t="shared" si="7"/>
        <v>4.2703750000000005</v>
      </c>
      <c r="F1054" s="4">
        <f t="shared" si="7"/>
        <v>4.9670916666666667</v>
      </c>
      <c r="G1054" s="8">
        <f t="shared" si="7"/>
        <v>4.2116916666666668</v>
      </c>
      <c r="H1054" s="4">
        <f t="shared" si="7"/>
        <v>5.1555666666666653</v>
      </c>
      <c r="I1054" s="8">
        <f t="shared" si="7"/>
        <v>4.2669916666666667</v>
      </c>
      <c r="J1054" s="4">
        <f t="shared" si="7"/>
        <v>4.1209416666666669</v>
      </c>
      <c r="K1054" s="4"/>
      <c r="L1054" s="5">
        <f t="shared" ref="L1054:Q1054" si="8">SUM(L65:L76)</f>
        <v>355.53689999999995</v>
      </c>
      <c r="M1054" s="5">
        <f t="shared" si="8"/>
        <v>142.0401</v>
      </c>
      <c r="N1054" s="5">
        <f t="shared" si="8"/>
        <v>58.217499999999994</v>
      </c>
      <c r="O1054" s="5">
        <f t="shared" si="8"/>
        <v>4.4046000000000003</v>
      </c>
      <c r="P1054" s="5">
        <f t="shared" si="8"/>
        <v>14.707600000000001</v>
      </c>
      <c r="Q1054" s="5">
        <f t="shared" si="8"/>
        <v>290.24799999999999</v>
      </c>
      <c r="R1054" s="5"/>
      <c r="S1054" s="4"/>
    </row>
    <row r="1055" spans="1:19" ht="15" customHeight="1">
      <c r="A1055" s="3">
        <v>2020</v>
      </c>
      <c r="B1055" s="8">
        <f t="shared" ref="B1055:J1055" si="9">AVERAGE(B77:B88)</f>
        <v>5.1632916666666668</v>
      </c>
      <c r="C1055" s="8">
        <f t="shared" si="9"/>
        <v>5.1695333333333329</v>
      </c>
      <c r="D1055" s="8">
        <f t="shared" si="9"/>
        <v>5.182808333333333</v>
      </c>
      <c r="E1055" s="8">
        <f t="shared" si="9"/>
        <v>5.177433333333334</v>
      </c>
      <c r="F1055" s="4">
        <f t="shared" si="9"/>
        <v>5.8741500000000002</v>
      </c>
      <c r="G1055" s="8">
        <f t="shared" si="9"/>
        <v>5.108133333333333</v>
      </c>
      <c r="H1055" s="4">
        <f t="shared" si="9"/>
        <v>6.0520083333333332</v>
      </c>
      <c r="I1055" s="8">
        <f t="shared" si="9"/>
        <v>5.1477333333333331</v>
      </c>
      <c r="J1055" s="4">
        <f t="shared" si="9"/>
        <v>5.0012333333333334</v>
      </c>
      <c r="K1055" s="4"/>
      <c r="L1055" s="5">
        <f t="shared" ref="L1055:Q1055" si="10">SUM(L77:L88)</f>
        <v>356.48229999999995</v>
      </c>
      <c r="M1055" s="5">
        <f t="shared" si="10"/>
        <v>142.42920000000001</v>
      </c>
      <c r="N1055" s="5">
        <f t="shared" si="10"/>
        <v>58.377000000000002</v>
      </c>
      <c r="O1055" s="5">
        <f t="shared" si="10"/>
        <v>4.4165999999999999</v>
      </c>
      <c r="P1055" s="5">
        <f t="shared" si="10"/>
        <v>14.7493</v>
      </c>
      <c r="Q1055" s="5">
        <f t="shared" si="10"/>
        <v>349.04309999999998</v>
      </c>
      <c r="R1055" s="5"/>
      <c r="S1055" s="4"/>
    </row>
    <row r="1056" spans="1:19" ht="15" customHeight="1">
      <c r="A1056" s="3">
        <v>2021</v>
      </c>
      <c r="B1056" s="8">
        <f t="shared" ref="B1056:J1056" si="11">AVERAGE(B89:B100)</f>
        <v>5.5681083333333339</v>
      </c>
      <c r="C1056" s="8">
        <f t="shared" si="11"/>
        <v>5.5743666666666662</v>
      </c>
      <c r="D1056" s="8">
        <f t="shared" si="11"/>
        <v>5.5876333333333328</v>
      </c>
      <c r="E1056" s="8">
        <f t="shared" si="11"/>
        <v>5.5822583333333329</v>
      </c>
      <c r="F1056" s="4">
        <f t="shared" si="11"/>
        <v>6.2789833333333327</v>
      </c>
      <c r="G1056" s="8">
        <f t="shared" si="11"/>
        <v>5.5081999999999995</v>
      </c>
      <c r="H1056" s="4">
        <f t="shared" si="11"/>
        <v>6.4520833333333334</v>
      </c>
      <c r="I1056" s="8">
        <f t="shared" si="11"/>
        <v>5.5408166666666672</v>
      </c>
      <c r="J1056" s="4">
        <f t="shared" si="11"/>
        <v>5.3941249999999989</v>
      </c>
      <c r="K1056" s="4"/>
      <c r="L1056" s="5">
        <f t="shared" ref="L1056:Q1056" si="12">SUM(L89:L100)</f>
        <v>355.53689999999995</v>
      </c>
      <c r="M1056" s="5">
        <f t="shared" si="12"/>
        <v>142.0401</v>
      </c>
      <c r="N1056" s="5">
        <f t="shared" si="12"/>
        <v>58.217499999999994</v>
      </c>
      <c r="O1056" s="5">
        <f t="shared" si="12"/>
        <v>4.4046000000000003</v>
      </c>
      <c r="P1056" s="5">
        <f t="shared" si="12"/>
        <v>14.707600000000001</v>
      </c>
      <c r="Q1056" s="5">
        <f t="shared" si="12"/>
        <v>388.68129999999996</v>
      </c>
      <c r="R1056" s="5"/>
      <c r="S1056" s="4"/>
    </row>
    <row r="1057" spans="1:19" ht="15" customHeight="1">
      <c r="A1057" s="3">
        <v>2022</v>
      </c>
      <c r="B1057" s="8">
        <f t="shared" ref="B1057:J1057" si="13">AVERAGE(B101:B112)</f>
        <v>5.870000000000001</v>
      </c>
      <c r="C1057" s="8">
        <f t="shared" si="13"/>
        <v>5.8762583333333334</v>
      </c>
      <c r="D1057" s="8">
        <f t="shared" si="13"/>
        <v>5.889524999999999</v>
      </c>
      <c r="E1057" s="8">
        <f t="shared" si="13"/>
        <v>5.8841583333333345</v>
      </c>
      <c r="F1057" s="4">
        <f t="shared" si="13"/>
        <v>6.5808749999999998</v>
      </c>
      <c r="G1057" s="8">
        <f t="shared" si="13"/>
        <v>5.806566666666666</v>
      </c>
      <c r="H1057" s="4">
        <f t="shared" si="13"/>
        <v>6.7504749999999989</v>
      </c>
      <c r="I1057" s="8">
        <f t="shared" si="13"/>
        <v>5.8339583333333342</v>
      </c>
      <c r="J1057" s="4">
        <f t="shared" si="13"/>
        <v>5.6871333333333327</v>
      </c>
      <c r="K1057" s="4"/>
      <c r="L1057" s="5">
        <f t="shared" ref="L1057:Q1057" si="14">SUM(L101:L112)</f>
        <v>355.53689999999995</v>
      </c>
      <c r="M1057" s="5">
        <f t="shared" si="14"/>
        <v>142.0401</v>
      </c>
      <c r="N1057" s="5">
        <f t="shared" si="14"/>
        <v>58.217499999999994</v>
      </c>
      <c r="O1057" s="5">
        <f t="shared" si="14"/>
        <v>4.4046000000000003</v>
      </c>
      <c r="P1057" s="5">
        <f t="shared" si="14"/>
        <v>14.707600000000001</v>
      </c>
      <c r="Q1057" s="5">
        <f t="shared" si="14"/>
        <v>386.33820000000003</v>
      </c>
      <c r="R1057" s="5"/>
      <c r="S1057" s="4"/>
    </row>
    <row r="1058" spans="1:19" ht="15" customHeight="1">
      <c r="A1058" s="3">
        <v>2023</v>
      </c>
      <c r="B1058" s="8">
        <f t="shared" ref="B1058:J1058" si="15">AVERAGE(B113:B124)</f>
        <v>6.114325</v>
      </c>
      <c r="C1058" s="8">
        <f t="shared" si="15"/>
        <v>6.1205749999999997</v>
      </c>
      <c r="D1058" s="8">
        <f t="shared" si="15"/>
        <v>6.1338499999999989</v>
      </c>
      <c r="E1058" s="8">
        <f t="shared" si="15"/>
        <v>6.1284833333333326</v>
      </c>
      <c r="F1058" s="4">
        <f t="shared" si="15"/>
        <v>6.8251999999999997</v>
      </c>
      <c r="G1058" s="8">
        <f t="shared" si="15"/>
        <v>6.0480166666666655</v>
      </c>
      <c r="H1058" s="4">
        <f t="shared" si="15"/>
        <v>6.9919083333333338</v>
      </c>
      <c r="I1058" s="8">
        <f t="shared" si="15"/>
        <v>6.0711833333333338</v>
      </c>
      <c r="J1058" s="4">
        <f t="shared" si="15"/>
        <v>5.9242249999999999</v>
      </c>
      <c r="K1058" s="4"/>
      <c r="L1058" s="5">
        <f t="shared" ref="L1058:Q1058" si="16">SUM(L113:L124)</f>
        <v>355.53689999999995</v>
      </c>
      <c r="M1058" s="5">
        <f t="shared" si="16"/>
        <v>142.0401</v>
      </c>
      <c r="N1058" s="5">
        <f t="shared" si="16"/>
        <v>58.217499999999994</v>
      </c>
      <c r="O1058" s="5">
        <f t="shared" si="16"/>
        <v>4.4046000000000003</v>
      </c>
      <c r="P1058" s="5">
        <f t="shared" si="16"/>
        <v>14.707600000000001</v>
      </c>
      <c r="Q1058" s="5">
        <f t="shared" si="16"/>
        <v>384.12599999999998</v>
      </c>
      <c r="R1058" s="5"/>
      <c r="S1058" s="4"/>
    </row>
    <row r="1059" spans="1:19" ht="15" customHeight="1">
      <c r="A1059" s="3">
        <v>2024</v>
      </c>
      <c r="B1059" s="8">
        <f t="shared" ref="B1059:J1059" si="17">AVERAGE(B125:B136)</f>
        <v>6.3012083333333342</v>
      </c>
      <c r="C1059" s="8">
        <f t="shared" si="17"/>
        <v>6.3074750000000002</v>
      </c>
      <c r="D1059" s="8">
        <f t="shared" si="17"/>
        <v>6.3207250000000004</v>
      </c>
      <c r="E1059" s="8">
        <f t="shared" si="17"/>
        <v>6.3153666666666668</v>
      </c>
      <c r="F1059" s="4">
        <f t="shared" si="17"/>
        <v>7.0120916666666666</v>
      </c>
      <c r="G1059" s="8">
        <f t="shared" si="17"/>
        <v>6.2327249999999994</v>
      </c>
      <c r="H1059" s="4">
        <f t="shared" si="17"/>
        <v>7.1766166666666669</v>
      </c>
      <c r="I1059" s="8">
        <f t="shared" si="17"/>
        <v>6.2526666666666664</v>
      </c>
      <c r="J1059" s="4">
        <f t="shared" si="17"/>
        <v>6.1056166666666654</v>
      </c>
      <c r="K1059" s="4"/>
      <c r="L1059" s="5">
        <f t="shared" ref="L1059:Q1059" si="18">SUM(L125:L136)</f>
        <v>356.48229999999995</v>
      </c>
      <c r="M1059" s="5">
        <f t="shared" si="18"/>
        <v>142.42920000000001</v>
      </c>
      <c r="N1059" s="5">
        <f t="shared" si="18"/>
        <v>58.377000000000002</v>
      </c>
      <c r="O1059" s="5">
        <f t="shared" si="18"/>
        <v>4.4165999999999999</v>
      </c>
      <c r="P1059" s="5">
        <f t="shared" si="18"/>
        <v>14.7493</v>
      </c>
      <c r="Q1059" s="5">
        <f t="shared" si="18"/>
        <v>383.00459999999998</v>
      </c>
      <c r="R1059" s="5"/>
      <c r="S1059" s="4"/>
    </row>
    <row r="1060" spans="1:19" ht="15" customHeight="1">
      <c r="A1060" s="3">
        <v>2025</v>
      </c>
      <c r="B1060" s="8">
        <f t="shared" ref="B1060:J1060" si="19">AVERAGE(B137:B148)</f>
        <v>6.4931583333333336</v>
      </c>
      <c r="C1060" s="8">
        <f t="shared" si="19"/>
        <v>6.4993916666666678</v>
      </c>
      <c r="D1060" s="8">
        <f t="shared" si="19"/>
        <v>6.512666666666667</v>
      </c>
      <c r="E1060" s="8">
        <f t="shared" si="19"/>
        <v>6.5072999999999999</v>
      </c>
      <c r="F1060" s="4">
        <f t="shared" si="19"/>
        <v>7.2040250000000006</v>
      </c>
      <c r="G1060" s="8">
        <f t="shared" si="19"/>
        <v>6.4224000000000006</v>
      </c>
      <c r="H1060" s="4">
        <f t="shared" si="19"/>
        <v>7.3663166666666671</v>
      </c>
      <c r="I1060" s="8">
        <f t="shared" si="19"/>
        <v>6.4390166666666673</v>
      </c>
      <c r="J1060" s="4">
        <f t="shared" si="19"/>
        <v>6.2918916666666673</v>
      </c>
      <c r="K1060" s="4"/>
      <c r="L1060" s="5">
        <f t="shared" ref="L1060:Q1060" si="20">SUM(L137:L148)</f>
        <v>355.53689999999995</v>
      </c>
      <c r="M1060" s="5">
        <f t="shared" si="20"/>
        <v>142.0401</v>
      </c>
      <c r="N1060" s="5">
        <f t="shared" si="20"/>
        <v>58.217499999999994</v>
      </c>
      <c r="O1060" s="5">
        <f t="shared" si="20"/>
        <v>4.4046000000000003</v>
      </c>
      <c r="P1060" s="5">
        <f t="shared" si="20"/>
        <v>14.707600000000001</v>
      </c>
      <c r="Q1060" s="5">
        <f t="shared" si="20"/>
        <v>379.76819999999998</v>
      </c>
      <c r="R1060" s="5"/>
      <c r="S1060" s="4"/>
    </row>
    <row r="1061" spans="1:19" ht="15" customHeight="1">
      <c r="A1061" s="3">
        <v>2026</v>
      </c>
      <c r="B1061" s="8">
        <f t="shared" ref="B1061:J1061" si="21">AVERAGE(B149:B160)</f>
        <v>6.6902416666666662</v>
      </c>
      <c r="C1061" s="8">
        <f t="shared" si="21"/>
        <v>6.6964916666666667</v>
      </c>
      <c r="D1061" s="8">
        <f t="shared" si="21"/>
        <v>6.7097499999999997</v>
      </c>
      <c r="E1061" s="8">
        <f t="shared" si="21"/>
        <v>6.704391666666667</v>
      </c>
      <c r="F1061" s="4">
        <f t="shared" si="21"/>
        <v>7.4011166666666677</v>
      </c>
      <c r="G1061" s="8">
        <f t="shared" si="21"/>
        <v>6.6171916666666668</v>
      </c>
      <c r="H1061" s="4">
        <f t="shared" si="21"/>
        <v>7.5610916666666661</v>
      </c>
      <c r="I1061" s="8">
        <f t="shared" si="21"/>
        <v>6.6304000000000016</v>
      </c>
      <c r="J1061" s="4">
        <f t="shared" si="21"/>
        <v>6.4831666666666683</v>
      </c>
      <c r="K1061" s="4"/>
      <c r="L1061" s="5">
        <f t="shared" ref="L1061:Q1061" si="22">SUM(L149:L160)</f>
        <v>355.53689999999995</v>
      </c>
      <c r="M1061" s="5">
        <f t="shared" si="22"/>
        <v>142.0401</v>
      </c>
      <c r="N1061" s="5">
        <f t="shared" si="22"/>
        <v>58.217499999999994</v>
      </c>
      <c r="O1061" s="5">
        <f t="shared" si="22"/>
        <v>4.4046000000000003</v>
      </c>
      <c r="P1061" s="5">
        <f t="shared" si="22"/>
        <v>14.707600000000001</v>
      </c>
      <c r="Q1061" s="5">
        <f t="shared" si="22"/>
        <v>377.59969999999987</v>
      </c>
      <c r="R1061" s="5"/>
      <c r="S1061" s="4"/>
    </row>
    <row r="1062" spans="1:19" ht="15" customHeight="1">
      <c r="A1062" s="3">
        <v>2027</v>
      </c>
      <c r="B1062" s="8">
        <f t="shared" ref="B1062:J1062" si="23">AVERAGE(B161:B172)</f>
        <v>6.8926249999999998</v>
      </c>
      <c r="C1062" s="8">
        <f t="shared" si="23"/>
        <v>6.898883333333333</v>
      </c>
      <c r="D1062" s="8">
        <f t="shared" si="23"/>
        <v>6.9121333333333332</v>
      </c>
      <c r="E1062" s="8">
        <f t="shared" si="23"/>
        <v>6.9067666666666661</v>
      </c>
      <c r="F1062" s="4">
        <f t="shared" si="23"/>
        <v>7.6035000000000004</v>
      </c>
      <c r="G1062" s="8">
        <f t="shared" si="23"/>
        <v>6.8172083333333333</v>
      </c>
      <c r="H1062" s="4">
        <f t="shared" si="23"/>
        <v>7.7610999999999999</v>
      </c>
      <c r="I1062" s="8">
        <f t="shared" si="23"/>
        <v>6.8269166666666665</v>
      </c>
      <c r="J1062" s="4">
        <f t="shared" si="23"/>
        <v>6.6795833333333334</v>
      </c>
      <c r="K1062" s="4"/>
      <c r="L1062" s="5">
        <f t="shared" ref="L1062:Q1062" si="24">SUM(L161:L172)</f>
        <v>355.53689999999995</v>
      </c>
      <c r="M1062" s="5">
        <f t="shared" si="24"/>
        <v>142.0401</v>
      </c>
      <c r="N1062" s="5">
        <f t="shared" si="24"/>
        <v>58.217499999999994</v>
      </c>
      <c r="O1062" s="5">
        <f t="shared" si="24"/>
        <v>4.4046000000000003</v>
      </c>
      <c r="P1062" s="5">
        <f t="shared" si="24"/>
        <v>14.707600000000001</v>
      </c>
      <c r="Q1062" s="5">
        <f t="shared" si="24"/>
        <v>375.43180000000001</v>
      </c>
      <c r="R1062" s="5"/>
      <c r="S1062" s="4"/>
    </row>
    <row r="1063" spans="1:19" ht="15" customHeight="1">
      <c r="A1063" s="3">
        <v>2028</v>
      </c>
      <c r="B1063" s="8">
        <f t="shared" ref="B1063:J1063" si="25">AVERAGE(B173:B184)</f>
        <v>7.1004333333333349</v>
      </c>
      <c r="C1063" s="8">
        <f t="shared" si="25"/>
        <v>7.1066916666666673</v>
      </c>
      <c r="D1063" s="8">
        <f t="shared" si="25"/>
        <v>7.1199583333333329</v>
      </c>
      <c r="E1063" s="8">
        <f t="shared" si="25"/>
        <v>7.1146000000000003</v>
      </c>
      <c r="F1063" s="4">
        <f t="shared" si="25"/>
        <v>7.8113250000000001</v>
      </c>
      <c r="G1063" s="8">
        <f t="shared" si="25"/>
        <v>7.022591666666667</v>
      </c>
      <c r="H1063" s="4">
        <f t="shared" si="25"/>
        <v>7.9664833333333336</v>
      </c>
      <c r="I1063" s="8">
        <f t="shared" si="25"/>
        <v>7.0286916666666661</v>
      </c>
      <c r="J1063" s="4">
        <f t="shared" si="25"/>
        <v>6.881266666666666</v>
      </c>
      <c r="K1063" s="4"/>
      <c r="L1063" s="5">
        <f t="shared" ref="L1063:Q1063" si="26">SUM(L173:L184)</f>
        <v>356.48229999999995</v>
      </c>
      <c r="M1063" s="5">
        <f t="shared" si="26"/>
        <v>142.42920000000001</v>
      </c>
      <c r="N1063" s="5">
        <f t="shared" si="26"/>
        <v>58.377000000000002</v>
      </c>
      <c r="O1063" s="5">
        <f t="shared" si="26"/>
        <v>4.4165999999999999</v>
      </c>
      <c r="P1063" s="5">
        <f t="shared" si="26"/>
        <v>14.7493</v>
      </c>
      <c r="Q1063" s="5">
        <f t="shared" si="26"/>
        <v>374.28599999999994</v>
      </c>
      <c r="R1063" s="5"/>
      <c r="S1063" s="4"/>
    </row>
    <row r="1064" spans="1:19" ht="15" customHeight="1">
      <c r="A1064" s="3">
        <v>2029</v>
      </c>
      <c r="B1064" s="8">
        <f t="shared" ref="B1064:J1064" si="27">AVERAGE(B185:B196)</f>
        <v>7.3138083333333341</v>
      </c>
      <c r="C1064" s="8">
        <f t="shared" si="27"/>
        <v>7.3200583333333329</v>
      </c>
      <c r="D1064" s="8">
        <f t="shared" si="27"/>
        <v>7.333333333333333</v>
      </c>
      <c r="E1064" s="8">
        <f t="shared" si="27"/>
        <v>7.3279500000000004</v>
      </c>
      <c r="F1064" s="4">
        <f t="shared" si="27"/>
        <v>8.0246833333333338</v>
      </c>
      <c r="G1064" s="8">
        <f t="shared" si="27"/>
        <v>7.233458333333334</v>
      </c>
      <c r="H1064" s="4">
        <f t="shared" si="27"/>
        <v>8.177341666666667</v>
      </c>
      <c r="I1064" s="8">
        <f t="shared" si="27"/>
        <v>7.2358666666666673</v>
      </c>
      <c r="J1064" s="4">
        <f t="shared" si="27"/>
        <v>7.0883499999999993</v>
      </c>
      <c r="K1064" s="4"/>
      <c r="L1064" s="5">
        <f t="shared" ref="L1064:Q1064" si="28">SUM(L185:L196)</f>
        <v>355.53689999999995</v>
      </c>
      <c r="M1064" s="5">
        <f t="shared" si="28"/>
        <v>142.0401</v>
      </c>
      <c r="N1064" s="5">
        <f t="shared" si="28"/>
        <v>58.217499999999994</v>
      </c>
      <c r="O1064" s="5">
        <f t="shared" si="28"/>
        <v>4.4046000000000003</v>
      </c>
      <c r="P1064" s="5">
        <f t="shared" si="28"/>
        <v>14.707600000000001</v>
      </c>
      <c r="Q1064" s="5">
        <f t="shared" si="28"/>
        <v>371.09549999999996</v>
      </c>
      <c r="R1064" s="5"/>
      <c r="S1064" s="4"/>
    </row>
    <row r="1065" spans="1:19" ht="15" customHeight="1">
      <c r="A1065" s="3">
        <v>2030</v>
      </c>
      <c r="B1065" s="8">
        <f t="shared" ref="B1065:J1065" si="29">AVERAGE(B197:B208)</f>
        <v>7.5328750000000015</v>
      </c>
      <c r="C1065" s="8">
        <f t="shared" si="29"/>
        <v>7.5391166666666658</v>
      </c>
      <c r="D1065" s="8">
        <f t="shared" si="29"/>
        <v>7.5524083333333332</v>
      </c>
      <c r="E1065" s="8">
        <f t="shared" si="29"/>
        <v>7.5470250000000005</v>
      </c>
      <c r="F1065" s="4">
        <f t="shared" si="29"/>
        <v>8.2437500000000004</v>
      </c>
      <c r="G1065" s="8">
        <f t="shared" si="29"/>
        <v>7.4499666666666675</v>
      </c>
      <c r="H1065" s="4">
        <f t="shared" si="29"/>
        <v>8.3938416666666651</v>
      </c>
      <c r="I1065" s="8">
        <f t="shared" si="29"/>
        <v>7.4485750000000008</v>
      </c>
      <c r="J1065" s="4">
        <f t="shared" si="29"/>
        <v>7.3009333333333339</v>
      </c>
      <c r="K1065" s="4"/>
      <c r="L1065" s="5">
        <f t="shared" ref="L1065:Q1065" si="30">SUM(L197:L208)</f>
        <v>355.53689999999995</v>
      </c>
      <c r="M1065" s="5">
        <f t="shared" si="30"/>
        <v>142.0401</v>
      </c>
      <c r="N1065" s="5">
        <f t="shared" si="30"/>
        <v>58.217499999999994</v>
      </c>
      <c r="O1065" s="5">
        <f t="shared" si="30"/>
        <v>4.4046000000000003</v>
      </c>
      <c r="P1065" s="5">
        <f t="shared" si="30"/>
        <v>14.707600000000001</v>
      </c>
      <c r="Q1065" s="5">
        <f t="shared" si="30"/>
        <v>368.9276999999999</v>
      </c>
      <c r="R1065" s="5"/>
      <c r="S1065" s="4"/>
    </row>
    <row r="1066" spans="1:19" ht="15" customHeight="1">
      <c r="A1066" s="3">
        <v>2031</v>
      </c>
      <c r="B1066" s="8">
        <f t="shared" ref="B1066:J1066" si="31">AVERAGE(B209:B220)</f>
        <v>7.7577916666666669</v>
      </c>
      <c r="C1066" s="8">
        <f t="shared" si="31"/>
        <v>7.7640250000000011</v>
      </c>
      <c r="D1066" s="8">
        <f t="shared" si="31"/>
        <v>7.777283333333334</v>
      </c>
      <c r="E1066" s="8">
        <f t="shared" si="31"/>
        <v>7.7719166666666668</v>
      </c>
      <c r="F1066" s="4">
        <f t="shared" si="31"/>
        <v>8.4686416666666648</v>
      </c>
      <c r="G1066" s="8">
        <f t="shared" si="31"/>
        <v>7.6722500000000009</v>
      </c>
      <c r="H1066" s="4">
        <f t="shared" si="31"/>
        <v>8.6161083333333313</v>
      </c>
      <c r="I1066" s="8">
        <f t="shared" si="31"/>
        <v>7.666949999999999</v>
      </c>
      <c r="J1066" s="4">
        <f t="shared" si="31"/>
        <v>7.5192250000000014</v>
      </c>
      <c r="K1066" s="4"/>
      <c r="L1066" s="5">
        <f t="shared" ref="L1066:Q1066" si="32">SUM(L209:L220)</f>
        <v>355.53689999999995</v>
      </c>
      <c r="M1066" s="5">
        <f t="shared" si="32"/>
        <v>142.0401</v>
      </c>
      <c r="N1066" s="5">
        <f t="shared" si="32"/>
        <v>58.217499999999994</v>
      </c>
      <c r="O1066" s="5">
        <f t="shared" si="32"/>
        <v>4.4046000000000003</v>
      </c>
      <c r="P1066" s="5">
        <f t="shared" si="32"/>
        <v>14.707600000000001</v>
      </c>
      <c r="Q1066" s="5">
        <f t="shared" si="32"/>
        <v>365.31420000000003</v>
      </c>
      <c r="R1066" s="5"/>
      <c r="S1066" s="4"/>
    </row>
    <row r="1067" spans="1:19" ht="15" customHeight="1">
      <c r="A1067" s="3">
        <v>2032</v>
      </c>
      <c r="B1067" s="8">
        <f t="shared" ref="B1067:J1067" si="33">AVERAGE(B221:B232)</f>
        <v>7.9886833333333334</v>
      </c>
      <c r="C1067" s="8">
        <f t="shared" si="33"/>
        <v>7.9949333333333348</v>
      </c>
      <c r="D1067" s="8">
        <f t="shared" si="33"/>
        <v>8.008208333333334</v>
      </c>
      <c r="E1067" s="8">
        <f t="shared" si="33"/>
        <v>8.0028416666666669</v>
      </c>
      <c r="F1067" s="4">
        <f t="shared" si="33"/>
        <v>8.6995500000000021</v>
      </c>
      <c r="G1067" s="8">
        <f t="shared" si="33"/>
        <v>7.900433333333333</v>
      </c>
      <c r="H1067" s="4">
        <f t="shared" si="33"/>
        <v>8.8443333333333332</v>
      </c>
      <c r="I1067" s="8">
        <f t="shared" si="33"/>
        <v>7.8911500000000006</v>
      </c>
      <c r="J1067" s="4">
        <f t="shared" si="33"/>
        <v>7.743316666666666</v>
      </c>
      <c r="K1067" s="4"/>
      <c r="L1067" s="5">
        <f t="shared" ref="L1067:Q1067" si="34">SUM(L221:L232)</f>
        <v>356.48229999999995</v>
      </c>
      <c r="M1067" s="5">
        <f t="shared" si="34"/>
        <v>142.42920000000001</v>
      </c>
      <c r="N1067" s="5">
        <f t="shared" si="34"/>
        <v>58.377000000000002</v>
      </c>
      <c r="O1067" s="5">
        <f t="shared" si="34"/>
        <v>4.4165999999999999</v>
      </c>
      <c r="P1067" s="5">
        <f t="shared" si="34"/>
        <v>14.7493</v>
      </c>
      <c r="Q1067" s="5">
        <f t="shared" si="34"/>
        <v>364.46999999999997</v>
      </c>
      <c r="R1067" s="5"/>
      <c r="S1067" s="4"/>
    </row>
    <row r="1068" spans="1:19" ht="15" customHeight="1">
      <c r="A1068" s="3">
        <v>2033</v>
      </c>
      <c r="B1068" s="8">
        <f t="shared" ref="B1068:J1068" si="35">AVERAGE(B233:B244)</f>
        <v>8.2257083333333352</v>
      </c>
      <c r="C1068" s="8">
        <f t="shared" si="35"/>
        <v>8.2319666666666667</v>
      </c>
      <c r="D1068" s="8">
        <f t="shared" si="35"/>
        <v>8.2452416666666668</v>
      </c>
      <c r="E1068" s="8">
        <f t="shared" si="35"/>
        <v>8.239866666666666</v>
      </c>
      <c r="F1068" s="4">
        <f t="shared" si="35"/>
        <v>8.9365749999999995</v>
      </c>
      <c r="G1068" s="8">
        <f t="shared" si="35"/>
        <v>8.1347000000000005</v>
      </c>
      <c r="H1068" s="4">
        <f t="shared" si="35"/>
        <v>9.0785750000000007</v>
      </c>
      <c r="I1068" s="8">
        <f t="shared" si="35"/>
        <v>8.1213249999999988</v>
      </c>
      <c r="J1068" s="4">
        <f t="shared" si="35"/>
        <v>7.9733500000000008</v>
      </c>
      <c r="K1068" s="4"/>
      <c r="L1068" s="5">
        <f t="shared" ref="L1068:Q1068" si="36">SUM(L233:L244)</f>
        <v>355.53689999999995</v>
      </c>
      <c r="M1068" s="5">
        <f t="shared" si="36"/>
        <v>142.0401</v>
      </c>
      <c r="N1068" s="5">
        <f t="shared" si="36"/>
        <v>58.217499999999994</v>
      </c>
      <c r="O1068" s="5">
        <f t="shared" si="36"/>
        <v>4.4046000000000003</v>
      </c>
      <c r="P1068" s="5">
        <f t="shared" si="36"/>
        <v>14.707600000000001</v>
      </c>
      <c r="Q1068" s="5">
        <f t="shared" si="36"/>
        <v>362.33550000000002</v>
      </c>
      <c r="R1068" s="5"/>
      <c r="S1068" s="4"/>
    </row>
    <row r="1069" spans="1:19" ht="15" customHeight="1">
      <c r="A1069" s="3">
        <v>2034</v>
      </c>
      <c r="B1069" s="8">
        <f t="shared" ref="B1069:J1069" si="37">AVERAGE(B245:B256)</f>
        <v>8.3900083333333342</v>
      </c>
      <c r="C1069" s="8">
        <f t="shared" si="37"/>
        <v>8.3962416666666666</v>
      </c>
      <c r="D1069" s="8">
        <f t="shared" si="37"/>
        <v>8.4095250000000004</v>
      </c>
      <c r="E1069" s="8">
        <f t="shared" si="37"/>
        <v>8.404141666666666</v>
      </c>
      <c r="F1069" s="4">
        <f t="shared" si="37"/>
        <v>9.1008666666666667</v>
      </c>
      <c r="G1069" s="8">
        <f t="shared" si="37"/>
        <v>8.2970583333333323</v>
      </c>
      <c r="H1069" s="4">
        <f t="shared" si="37"/>
        <v>9.2409499999999998</v>
      </c>
      <c r="I1069" s="8">
        <f t="shared" si="37"/>
        <v>8.2808250000000001</v>
      </c>
      <c r="J1069" s="4">
        <f t="shared" si="37"/>
        <v>8.1327750000000005</v>
      </c>
      <c r="K1069" s="4"/>
      <c r="L1069" s="5">
        <f t="shared" ref="L1069:Q1069" si="38">SUM(L245:L256)</f>
        <v>355.53689999999995</v>
      </c>
      <c r="M1069" s="5">
        <f t="shared" si="38"/>
        <v>142.0401</v>
      </c>
      <c r="N1069" s="5">
        <f t="shared" si="38"/>
        <v>58.217499999999994</v>
      </c>
      <c r="O1069" s="5">
        <f t="shared" si="38"/>
        <v>4.4046000000000003</v>
      </c>
      <c r="P1069" s="5">
        <f t="shared" si="38"/>
        <v>14.707600000000001</v>
      </c>
      <c r="Q1069" s="5">
        <f t="shared" si="38"/>
        <v>361.59120000000007</v>
      </c>
      <c r="R1069" s="5"/>
      <c r="S1069" s="4"/>
    </row>
    <row r="1070" spans="1:19" ht="15" customHeight="1">
      <c r="A1070" s="3">
        <v>2035</v>
      </c>
      <c r="B1070" s="8">
        <f t="shared" ref="B1070:J1070" si="39">AVERAGE(B257:B268)</f>
        <v>8.5575666666666681</v>
      </c>
      <c r="C1070" s="8">
        <f t="shared" si="39"/>
        <v>8.5638249999999996</v>
      </c>
      <c r="D1070" s="8">
        <f t="shared" si="39"/>
        <v>8.5770833333333343</v>
      </c>
      <c r="E1070" s="8">
        <f t="shared" si="39"/>
        <v>8.5717166666666653</v>
      </c>
      <c r="F1070" s="4">
        <f t="shared" si="39"/>
        <v>9.268441666666666</v>
      </c>
      <c r="G1070" s="8">
        <f t="shared" si="39"/>
        <v>8.4626666666666654</v>
      </c>
      <c r="H1070" s="4">
        <f t="shared" si="39"/>
        <v>9.4065500000000011</v>
      </c>
      <c r="I1070" s="8">
        <f t="shared" si="39"/>
        <v>8.4435500000000001</v>
      </c>
      <c r="J1070" s="4">
        <f t="shared" si="39"/>
        <v>8.2954083333333344</v>
      </c>
      <c r="K1070" s="4"/>
      <c r="L1070" s="5">
        <f t="shared" ref="L1070:Q1070" si="40">SUM(L257:L268)</f>
        <v>355.53689999999995</v>
      </c>
      <c r="M1070" s="5">
        <f t="shared" si="40"/>
        <v>142.0401</v>
      </c>
      <c r="N1070" s="5">
        <f t="shared" si="40"/>
        <v>58.217499999999994</v>
      </c>
      <c r="O1070" s="5">
        <f t="shared" si="40"/>
        <v>4.4046000000000003</v>
      </c>
      <c r="P1070" s="5">
        <f t="shared" si="40"/>
        <v>14.707600000000001</v>
      </c>
      <c r="Q1070" s="5">
        <f t="shared" si="40"/>
        <v>360.82469999999995</v>
      </c>
      <c r="R1070" s="5"/>
      <c r="S1070" s="4"/>
    </row>
    <row r="1071" spans="1:19" ht="15" customHeight="1">
      <c r="A1071" s="3">
        <v>2036</v>
      </c>
      <c r="B1071" s="8">
        <f t="shared" ref="B1071:J1071" si="41">AVERAGE(B269:B280)</f>
        <v>8.7629000000000001</v>
      </c>
      <c r="C1071" s="8">
        <f t="shared" si="41"/>
        <v>8.7691583333333316</v>
      </c>
      <c r="D1071" s="8">
        <f t="shared" si="41"/>
        <v>8.7824333333333335</v>
      </c>
      <c r="E1071" s="8">
        <f t="shared" si="41"/>
        <v>8.7770500000000009</v>
      </c>
      <c r="F1071" s="4">
        <f t="shared" si="41"/>
        <v>9.4737833333333317</v>
      </c>
      <c r="G1071" s="8">
        <f t="shared" si="41"/>
        <v>8.6655916666666659</v>
      </c>
      <c r="H1071" s="4">
        <f t="shared" si="41"/>
        <v>9.6094833333333316</v>
      </c>
      <c r="I1071" s="8">
        <f t="shared" si="41"/>
        <v>8.6429166666666664</v>
      </c>
      <c r="J1071" s="4">
        <f t="shared" si="41"/>
        <v>8.4946833333333327</v>
      </c>
      <c r="K1071" s="4"/>
      <c r="L1071" s="5">
        <f t="shared" ref="L1071:Q1071" si="42">SUM(L269:L280)</f>
        <v>356.48229999999995</v>
      </c>
      <c r="M1071" s="5">
        <f t="shared" si="42"/>
        <v>142.42920000000001</v>
      </c>
      <c r="N1071" s="5">
        <f t="shared" si="42"/>
        <v>58.377000000000002</v>
      </c>
      <c r="O1071" s="5">
        <f t="shared" si="42"/>
        <v>4.4165999999999999</v>
      </c>
      <c r="P1071" s="5">
        <f t="shared" si="42"/>
        <v>14.7493</v>
      </c>
      <c r="Q1071" s="5">
        <f t="shared" si="42"/>
        <v>361.0446</v>
      </c>
      <c r="R1071" s="5"/>
      <c r="S1071" s="4"/>
    </row>
    <row r="1072" spans="1:19" ht="15" customHeight="1">
      <c r="A1072" s="3">
        <v>2037</v>
      </c>
      <c r="B1072" s="8">
        <f t="shared" ref="B1072:J1072" si="43">AVERAGE(B281:B292)</f>
        <v>8.9731916666666667</v>
      </c>
      <c r="C1072" s="8">
        <f t="shared" si="43"/>
        <v>8.9794333333333309</v>
      </c>
      <c r="D1072" s="8">
        <f t="shared" si="43"/>
        <v>8.9927083333333329</v>
      </c>
      <c r="E1072" s="8">
        <f t="shared" si="43"/>
        <v>8.9873333333333338</v>
      </c>
      <c r="F1072" s="4">
        <f t="shared" si="43"/>
        <v>9.6840666666666664</v>
      </c>
      <c r="G1072" s="8">
        <f t="shared" si="43"/>
        <v>8.8734000000000002</v>
      </c>
      <c r="H1072" s="4">
        <f t="shared" si="43"/>
        <v>9.8172916666666676</v>
      </c>
      <c r="I1072" s="8">
        <f t="shared" si="43"/>
        <v>8.8470999999999993</v>
      </c>
      <c r="J1072" s="4">
        <f t="shared" si="43"/>
        <v>8.6987749999999995</v>
      </c>
      <c r="K1072" s="4"/>
      <c r="L1072" s="5">
        <f t="shared" ref="L1072:Q1072" si="44">SUM(L281:L292)</f>
        <v>355.53689999999995</v>
      </c>
      <c r="M1072" s="5">
        <f t="shared" si="44"/>
        <v>142.0401</v>
      </c>
      <c r="N1072" s="5">
        <f t="shared" si="44"/>
        <v>58.217499999999994</v>
      </c>
      <c r="O1072" s="5">
        <f t="shared" si="44"/>
        <v>4.4046000000000003</v>
      </c>
      <c r="P1072" s="5">
        <f t="shared" si="44"/>
        <v>14.707600000000001</v>
      </c>
      <c r="Q1072" s="5">
        <f t="shared" si="44"/>
        <v>359.29169999999999</v>
      </c>
      <c r="R1072" s="5"/>
      <c r="S1072" s="4"/>
    </row>
    <row r="1073" spans="1:19" ht="15" customHeight="1">
      <c r="A1073" s="3">
        <f t="shared" ref="A1073:A1104" si="45">A1072+1</f>
        <v>2038</v>
      </c>
      <c r="B1073" s="8">
        <f t="shared" ref="B1073:J1073" si="46">AVERAGE(B293:B304)</f>
        <v>9.1885083333333313</v>
      </c>
      <c r="C1073" s="8">
        <f t="shared" si="46"/>
        <v>9.1947583333333327</v>
      </c>
      <c r="D1073" s="8">
        <f t="shared" si="46"/>
        <v>9.208025000000001</v>
      </c>
      <c r="E1073" s="8">
        <f t="shared" si="46"/>
        <v>9.2026666666666674</v>
      </c>
      <c r="F1073" s="4">
        <f t="shared" si="46"/>
        <v>9.8993833333333345</v>
      </c>
      <c r="G1073" s="8">
        <f t="shared" si="46"/>
        <v>9.0862166666666653</v>
      </c>
      <c r="H1073" s="4">
        <f t="shared" si="46"/>
        <v>10.030099999999999</v>
      </c>
      <c r="I1073" s="8">
        <f t="shared" si="46"/>
        <v>9.056183333333335</v>
      </c>
      <c r="J1073" s="4">
        <f t="shared" si="46"/>
        <v>8.9077500000000001</v>
      </c>
      <c r="K1073" s="4"/>
      <c r="L1073" s="5">
        <f t="shared" ref="L1073:Q1073" si="47">SUM(L293:L304)</f>
        <v>355.53689999999995</v>
      </c>
      <c r="M1073" s="5">
        <f t="shared" si="47"/>
        <v>142.0401</v>
      </c>
      <c r="N1073" s="5">
        <f t="shared" si="47"/>
        <v>58.217499999999994</v>
      </c>
      <c r="O1073" s="5">
        <f t="shared" si="47"/>
        <v>4.4046000000000003</v>
      </c>
      <c r="P1073" s="5">
        <f t="shared" si="47"/>
        <v>14.707600000000001</v>
      </c>
      <c r="Q1073" s="5">
        <f t="shared" si="47"/>
        <v>358.54670000000004</v>
      </c>
      <c r="R1073" s="5"/>
      <c r="S1073" s="4"/>
    </row>
    <row r="1074" spans="1:19" ht="15" customHeight="1">
      <c r="A1074" s="3">
        <f t="shared" si="45"/>
        <v>2039</v>
      </c>
      <c r="B1074" s="8">
        <f t="shared" ref="B1074:J1074" si="48">AVERAGE(B305:B316)</f>
        <v>9.4090083333333343</v>
      </c>
      <c r="C1074" s="8">
        <f t="shared" si="48"/>
        <v>9.4152666666666658</v>
      </c>
      <c r="D1074" s="8">
        <f t="shared" si="48"/>
        <v>9.4285333333333323</v>
      </c>
      <c r="E1074" s="8">
        <f t="shared" si="48"/>
        <v>9.4231666666666651</v>
      </c>
      <c r="F1074" s="4">
        <f t="shared" si="48"/>
        <v>10.119875</v>
      </c>
      <c r="G1074" s="8">
        <f t="shared" si="48"/>
        <v>9.3041249999999991</v>
      </c>
      <c r="H1074" s="4">
        <f t="shared" si="48"/>
        <v>10.248016666666667</v>
      </c>
      <c r="I1074" s="8">
        <f t="shared" si="48"/>
        <v>9.2702833333333334</v>
      </c>
      <c r="J1074" s="4">
        <f t="shared" si="48"/>
        <v>9.121716666666666</v>
      </c>
      <c r="K1074" s="7"/>
      <c r="L1074" s="5">
        <f t="shared" ref="L1074:Q1074" si="49">SUM(L305:L316)</f>
        <v>355.53689999999995</v>
      </c>
      <c r="M1074" s="5">
        <f t="shared" si="49"/>
        <v>142.0401</v>
      </c>
      <c r="N1074" s="5">
        <f t="shared" si="49"/>
        <v>58.217499999999994</v>
      </c>
      <c r="O1074" s="5">
        <f t="shared" si="49"/>
        <v>4.4046000000000003</v>
      </c>
      <c r="P1074" s="5">
        <f t="shared" si="49"/>
        <v>14.707600000000001</v>
      </c>
      <c r="Q1074" s="5">
        <f t="shared" si="49"/>
        <v>357.78019999999998</v>
      </c>
      <c r="R1074" s="5"/>
      <c r="S1074" s="6"/>
    </row>
    <row r="1075" spans="1:19" ht="15" customHeight="1">
      <c r="A1075" s="3">
        <f t="shared" si="45"/>
        <v>2040</v>
      </c>
      <c r="B1075" s="8">
        <f t="shared" ref="B1075:J1075" si="50">AVERAGE(B317:B328)</f>
        <v>9.6348166666666657</v>
      </c>
      <c r="C1075" s="8">
        <f t="shared" si="50"/>
        <v>9.6410416666666663</v>
      </c>
      <c r="D1075" s="8">
        <f t="shared" si="50"/>
        <v>9.6543250000000018</v>
      </c>
      <c r="E1075" s="8">
        <f t="shared" si="50"/>
        <v>9.648950000000001</v>
      </c>
      <c r="F1075" s="4">
        <f t="shared" si="50"/>
        <v>10.345674999999998</v>
      </c>
      <c r="G1075" s="8">
        <f t="shared" si="50"/>
        <v>9.5272916666666667</v>
      </c>
      <c r="H1075" s="4">
        <f t="shared" si="50"/>
        <v>10.47115</v>
      </c>
      <c r="I1075" s="8">
        <f t="shared" si="50"/>
        <v>9.4895166666666668</v>
      </c>
      <c r="J1075" s="4">
        <f t="shared" si="50"/>
        <v>9.3408666666666686</v>
      </c>
      <c r="K1075" s="7"/>
      <c r="L1075" s="5">
        <f t="shared" ref="L1075:Q1075" si="51">SUM(L317:L328)</f>
        <v>356.48229999999995</v>
      </c>
      <c r="M1075" s="5">
        <f t="shared" si="51"/>
        <v>142.42920000000001</v>
      </c>
      <c r="N1075" s="5">
        <f t="shared" si="51"/>
        <v>58.377000000000002</v>
      </c>
      <c r="O1075" s="5">
        <f t="shared" si="51"/>
        <v>4.4165999999999999</v>
      </c>
      <c r="P1075" s="5">
        <f t="shared" si="51"/>
        <v>14.7493</v>
      </c>
      <c r="Q1075" s="5">
        <f t="shared" si="51"/>
        <v>357.99180000000001</v>
      </c>
      <c r="R1075" s="5"/>
      <c r="S1075" s="6"/>
    </row>
    <row r="1076" spans="1:19" ht="15" customHeight="1">
      <c r="A1076" s="3">
        <f t="shared" si="45"/>
        <v>2041</v>
      </c>
      <c r="B1076" s="8">
        <f t="shared" ref="B1076:J1076" si="52">AVERAGE(B329:B340)</f>
        <v>9.8660166666666669</v>
      </c>
      <c r="C1076" s="8">
        <f t="shared" si="52"/>
        <v>9.8722916666666674</v>
      </c>
      <c r="D1076" s="8">
        <f t="shared" si="52"/>
        <v>9.8855416666666667</v>
      </c>
      <c r="E1076" s="8">
        <f t="shared" si="52"/>
        <v>9.8801833333333331</v>
      </c>
      <c r="F1076" s="4">
        <f t="shared" si="52"/>
        <v>10.576908333333336</v>
      </c>
      <c r="G1076" s="8">
        <f t="shared" si="52"/>
        <v>9.7557916666666671</v>
      </c>
      <c r="H1076" s="4">
        <f t="shared" si="52"/>
        <v>10.699683333333335</v>
      </c>
      <c r="I1076" s="8">
        <f t="shared" si="52"/>
        <v>9.7140416666666649</v>
      </c>
      <c r="J1076" s="4">
        <f t="shared" si="52"/>
        <v>9.5652666666666679</v>
      </c>
      <c r="K1076" s="7"/>
      <c r="L1076" s="5">
        <f t="shared" ref="L1076:Q1076" si="53">SUM(L329:L340)</f>
        <v>355.53689999999995</v>
      </c>
      <c r="M1076" s="5">
        <f t="shared" si="53"/>
        <v>142.0401</v>
      </c>
      <c r="N1076" s="5">
        <f t="shared" si="53"/>
        <v>58.217499999999994</v>
      </c>
      <c r="O1076" s="5">
        <f t="shared" si="53"/>
        <v>4.4046000000000003</v>
      </c>
      <c r="P1076" s="5">
        <f t="shared" si="53"/>
        <v>14.707600000000001</v>
      </c>
      <c r="Q1076" s="5">
        <f t="shared" si="53"/>
        <v>356.26930000000004</v>
      </c>
      <c r="R1076" s="5"/>
      <c r="S1076" s="6"/>
    </row>
    <row r="1077" spans="1:19" ht="15" customHeight="1">
      <c r="A1077" s="3">
        <f t="shared" si="45"/>
        <v>2042</v>
      </c>
      <c r="B1077" s="8">
        <f t="shared" ref="B1077:J1077" si="54">AVERAGE(B341:B352)</f>
        <v>10.102783333333331</v>
      </c>
      <c r="C1077" s="8">
        <f t="shared" si="54"/>
        <v>10.109066666666667</v>
      </c>
      <c r="D1077" s="8">
        <f t="shared" si="54"/>
        <v>10.122308333333335</v>
      </c>
      <c r="E1077" s="8">
        <f t="shared" si="54"/>
        <v>10.116941666666667</v>
      </c>
      <c r="F1077" s="4">
        <f t="shared" si="54"/>
        <v>10.813675000000002</v>
      </c>
      <c r="G1077" s="8">
        <f t="shared" si="54"/>
        <v>9.9898000000000007</v>
      </c>
      <c r="H1077" s="4">
        <f t="shared" si="54"/>
        <v>10.933683333333335</v>
      </c>
      <c r="I1077" s="8">
        <f t="shared" si="54"/>
        <v>9.9439499999999992</v>
      </c>
      <c r="J1077" s="4">
        <f t="shared" si="54"/>
        <v>9.795066666666667</v>
      </c>
      <c r="K1077" s="7"/>
      <c r="L1077" s="5">
        <f t="shared" ref="L1077:Q1077" si="55">SUM(L341:L352)</f>
        <v>355.53689999999995</v>
      </c>
      <c r="M1077" s="5">
        <f t="shared" si="55"/>
        <v>142.0401</v>
      </c>
      <c r="N1077" s="5">
        <f t="shared" si="55"/>
        <v>58.217499999999994</v>
      </c>
      <c r="O1077" s="5">
        <f t="shared" si="55"/>
        <v>4.4046000000000003</v>
      </c>
      <c r="P1077" s="5">
        <f t="shared" si="55"/>
        <v>14.707600000000001</v>
      </c>
      <c r="Q1077" s="5">
        <f t="shared" si="55"/>
        <v>242.47669999999997</v>
      </c>
      <c r="R1077" s="5"/>
      <c r="S1077" s="6"/>
    </row>
    <row r="1078" spans="1:19" ht="15" customHeight="1">
      <c r="A1078" s="3">
        <f t="shared" si="45"/>
        <v>2043</v>
      </c>
      <c r="B1078" s="8">
        <f t="shared" ref="B1078:J1078" si="56">AVERAGE(B353:B364)</f>
        <v>10.345274999999999</v>
      </c>
      <c r="C1078" s="8">
        <f t="shared" si="56"/>
        <v>10.351525000000001</v>
      </c>
      <c r="D1078" s="8">
        <f t="shared" si="56"/>
        <v>10.364808333333331</v>
      </c>
      <c r="E1078" s="8">
        <f t="shared" si="56"/>
        <v>10.359416666666666</v>
      </c>
      <c r="F1078" s="4">
        <f t="shared" si="56"/>
        <v>11.056133333333335</v>
      </c>
      <c r="G1078" s="8">
        <f t="shared" si="56"/>
        <v>10.229433333333331</v>
      </c>
      <c r="H1078" s="4">
        <f t="shared" si="56"/>
        <v>11.173316666666667</v>
      </c>
      <c r="I1078" s="8">
        <f t="shared" si="56"/>
        <v>10.179383333333334</v>
      </c>
      <c r="J1078" s="4">
        <f t="shared" si="56"/>
        <v>10.030375000000001</v>
      </c>
      <c r="K1078" s="7"/>
      <c r="L1078" s="5">
        <f t="shared" ref="L1078:Q1078" si="57">SUM(L353:L364)</f>
        <v>355.53689999999995</v>
      </c>
      <c r="M1078" s="5">
        <f t="shared" si="57"/>
        <v>142.0401</v>
      </c>
      <c r="N1078" s="5">
        <f t="shared" si="57"/>
        <v>58.217499999999994</v>
      </c>
      <c r="O1078" s="5">
        <f t="shared" si="57"/>
        <v>4.4046000000000003</v>
      </c>
      <c r="P1078" s="5">
        <f t="shared" si="57"/>
        <v>14.707600000000001</v>
      </c>
      <c r="Q1078" s="5">
        <f t="shared" si="57"/>
        <v>241.71019999999996</v>
      </c>
      <c r="R1078" s="5"/>
      <c r="S1078" s="6"/>
    </row>
    <row r="1079" spans="1:19" ht="15" customHeight="1">
      <c r="A1079" s="3">
        <f t="shared" si="45"/>
        <v>2044</v>
      </c>
      <c r="B1079" s="8">
        <f t="shared" ref="B1079:J1079" si="58">AVERAGE(B365:B376)</f>
        <v>10.593549999999999</v>
      </c>
      <c r="C1079" s="8">
        <f t="shared" si="58"/>
        <v>10.599816666666664</v>
      </c>
      <c r="D1079" s="8">
        <f t="shared" si="58"/>
        <v>10.613091666666667</v>
      </c>
      <c r="E1079" s="8">
        <f t="shared" si="58"/>
        <v>10.607716666666667</v>
      </c>
      <c r="F1079" s="4">
        <f t="shared" si="58"/>
        <v>11.304425</v>
      </c>
      <c r="G1079" s="8">
        <f t="shared" si="58"/>
        <v>10.474816666666667</v>
      </c>
      <c r="H1079" s="4">
        <f t="shared" si="58"/>
        <v>11.418699999999999</v>
      </c>
      <c r="I1079" s="8">
        <f t="shared" si="58"/>
        <v>10.420475</v>
      </c>
      <c r="J1079" s="4">
        <f t="shared" si="58"/>
        <v>10.271358333333334</v>
      </c>
      <c r="K1079" s="7"/>
      <c r="L1079" s="5">
        <f t="shared" ref="L1079:Q1079" si="59">SUM(L365:L376)</f>
        <v>356.48229999999995</v>
      </c>
      <c r="M1079" s="5">
        <f t="shared" si="59"/>
        <v>142.42920000000001</v>
      </c>
      <c r="N1079" s="5">
        <f t="shared" si="59"/>
        <v>58.377000000000002</v>
      </c>
      <c r="O1079" s="5">
        <f t="shared" si="59"/>
        <v>4.4165999999999999</v>
      </c>
      <c r="P1079" s="5">
        <f t="shared" si="59"/>
        <v>14.7493</v>
      </c>
      <c r="Q1079" s="5">
        <f t="shared" si="59"/>
        <v>241.58220000000006</v>
      </c>
      <c r="R1079" s="5"/>
      <c r="S1079" s="6"/>
    </row>
    <row r="1080" spans="1:19" ht="15" customHeight="1">
      <c r="A1080" s="3">
        <f t="shared" si="45"/>
        <v>2045</v>
      </c>
      <c r="B1080" s="8">
        <f t="shared" ref="B1080:J1080" si="60">AVERAGE(B377:B388)</f>
        <v>10.847808333333333</v>
      </c>
      <c r="C1080" s="8">
        <f t="shared" si="60"/>
        <v>10.854075000000002</v>
      </c>
      <c r="D1080" s="8">
        <f t="shared" si="60"/>
        <v>10.867350000000002</v>
      </c>
      <c r="E1080" s="8">
        <f t="shared" si="60"/>
        <v>10.861966666666667</v>
      </c>
      <c r="F1080" s="4">
        <f t="shared" si="60"/>
        <v>11.558683333333333</v>
      </c>
      <c r="G1080" s="8">
        <f t="shared" si="60"/>
        <v>10.726091666666667</v>
      </c>
      <c r="H1080" s="4">
        <f t="shared" si="60"/>
        <v>11.669983333333333</v>
      </c>
      <c r="I1080" s="8">
        <f t="shared" si="60"/>
        <v>10.667366666666668</v>
      </c>
      <c r="J1080" s="4">
        <f t="shared" si="60"/>
        <v>10.518116666666668</v>
      </c>
      <c r="K1080" s="7"/>
      <c r="L1080" s="5">
        <f t="shared" ref="L1080:Q1080" si="61">SUM(L377:L388)</f>
        <v>355.53689999999995</v>
      </c>
      <c r="M1080" s="5">
        <f t="shared" si="61"/>
        <v>142.0401</v>
      </c>
      <c r="N1080" s="5">
        <f t="shared" si="61"/>
        <v>58.217499999999994</v>
      </c>
      <c r="O1080" s="5">
        <f t="shared" si="61"/>
        <v>4.4046000000000003</v>
      </c>
      <c r="P1080" s="5">
        <f t="shared" si="61"/>
        <v>14.707600000000001</v>
      </c>
      <c r="Q1080" s="5">
        <f t="shared" si="61"/>
        <v>240.15570000000002</v>
      </c>
      <c r="R1080" s="5"/>
      <c r="S1080" s="6"/>
    </row>
    <row r="1081" spans="1:19" ht="15" customHeight="1">
      <c r="A1081" s="3">
        <f t="shared" si="45"/>
        <v>2046</v>
      </c>
      <c r="B1081" s="8">
        <f t="shared" ref="B1081:J1081" si="62">AVERAGE(B389:B400)</f>
        <v>11.108174999999997</v>
      </c>
      <c r="C1081" s="8">
        <f t="shared" si="62"/>
        <v>11.114458333333333</v>
      </c>
      <c r="D1081" s="8">
        <f t="shared" si="62"/>
        <v>11.127716666666666</v>
      </c>
      <c r="E1081" s="8">
        <f t="shared" si="62"/>
        <v>11.122341666666669</v>
      </c>
      <c r="F1081" s="4">
        <f t="shared" si="62"/>
        <v>11.819075</v>
      </c>
      <c r="G1081" s="8">
        <f t="shared" si="62"/>
        <v>10.983408333333335</v>
      </c>
      <c r="H1081" s="4">
        <f t="shared" si="62"/>
        <v>11.927299999999997</v>
      </c>
      <c r="I1081" s="8">
        <f t="shared" si="62"/>
        <v>10.920158333333333</v>
      </c>
      <c r="J1081" s="4">
        <f t="shared" si="62"/>
        <v>10.770800000000001</v>
      </c>
      <c r="K1081" s="7"/>
      <c r="L1081" s="5">
        <f t="shared" ref="L1081:Q1081" si="63">SUM(L389:L400)</f>
        <v>355.53689999999995</v>
      </c>
      <c r="M1081" s="5">
        <f t="shared" si="63"/>
        <v>142.0401</v>
      </c>
      <c r="N1081" s="5">
        <f t="shared" si="63"/>
        <v>58.217499999999994</v>
      </c>
      <c r="O1081" s="5">
        <f t="shared" si="63"/>
        <v>4.4046000000000003</v>
      </c>
      <c r="P1081" s="5">
        <f t="shared" si="63"/>
        <v>14.707600000000001</v>
      </c>
      <c r="Q1081" s="5">
        <f t="shared" si="63"/>
        <v>239.38920000000005</v>
      </c>
      <c r="R1081" s="5"/>
      <c r="S1081" s="6"/>
    </row>
    <row r="1082" spans="1:19" ht="15" customHeight="1">
      <c r="A1082" s="3">
        <f t="shared" si="45"/>
        <v>2047</v>
      </c>
      <c r="B1082" s="8">
        <f t="shared" ref="B1082:J1082" si="64">AVERAGE(B401:B412)</f>
        <v>11.3748</v>
      </c>
      <c r="C1082" s="8">
        <f t="shared" si="64"/>
        <v>11.381075000000001</v>
      </c>
      <c r="D1082" s="8">
        <f t="shared" si="64"/>
        <v>11.394341666666667</v>
      </c>
      <c r="E1082" s="8">
        <f t="shared" si="64"/>
        <v>11.388975</v>
      </c>
      <c r="F1082" s="4">
        <f t="shared" si="64"/>
        <v>12.085699999999997</v>
      </c>
      <c r="G1082" s="8">
        <f t="shared" si="64"/>
        <v>11.246908333333332</v>
      </c>
      <c r="H1082" s="4">
        <f t="shared" si="64"/>
        <v>12.190808333333331</v>
      </c>
      <c r="I1082" s="8">
        <f t="shared" si="64"/>
        <v>11.179050000000002</v>
      </c>
      <c r="J1082" s="4">
        <f t="shared" si="64"/>
        <v>11.02955</v>
      </c>
      <c r="K1082" s="7"/>
      <c r="L1082" s="5">
        <f t="shared" ref="L1082:Q1082" si="65">SUM(L401:L412)</f>
        <v>355.53689999999995</v>
      </c>
      <c r="M1082" s="5">
        <f t="shared" si="65"/>
        <v>142.0401</v>
      </c>
      <c r="N1082" s="5">
        <f t="shared" si="65"/>
        <v>58.217499999999994</v>
      </c>
      <c r="O1082" s="5">
        <f t="shared" si="65"/>
        <v>4.4046000000000003</v>
      </c>
      <c r="P1082" s="5">
        <f t="shared" si="65"/>
        <v>14.707600000000001</v>
      </c>
      <c r="Q1082" s="5">
        <f t="shared" si="65"/>
        <v>238.62270000000004</v>
      </c>
      <c r="R1082" s="5"/>
      <c r="S1082" s="6"/>
    </row>
    <row r="1083" spans="1:19" ht="15" customHeight="1">
      <c r="A1083" s="3">
        <f t="shared" si="45"/>
        <v>2048</v>
      </c>
      <c r="B1083" s="8">
        <f t="shared" ref="B1083:J1083" si="66">AVERAGE(B413:B424)</f>
        <v>11.647841666666666</v>
      </c>
      <c r="C1083" s="8">
        <f t="shared" si="66"/>
        <v>11.6541</v>
      </c>
      <c r="D1083" s="8">
        <f t="shared" si="66"/>
        <v>11.667366666666666</v>
      </c>
      <c r="E1083" s="8">
        <f t="shared" si="66"/>
        <v>11.661999999999999</v>
      </c>
      <c r="F1083" s="4">
        <f t="shared" si="66"/>
        <v>12.358716666666666</v>
      </c>
      <c r="G1083" s="8">
        <f t="shared" si="66"/>
        <v>11.51675</v>
      </c>
      <c r="H1083" s="4">
        <f t="shared" si="66"/>
        <v>12.460641666666668</v>
      </c>
      <c r="I1083" s="8">
        <f t="shared" si="66"/>
        <v>11.444175</v>
      </c>
      <c r="J1083" s="4">
        <f t="shared" si="66"/>
        <v>11.294533333333334</v>
      </c>
      <c r="K1083" s="7"/>
      <c r="L1083" s="5">
        <f t="shared" ref="L1083:Q1083" si="67">SUM(L413:L424)</f>
        <v>356.48229999999995</v>
      </c>
      <c r="M1083" s="5">
        <f t="shared" si="67"/>
        <v>142.42920000000001</v>
      </c>
      <c r="N1083" s="5">
        <f t="shared" si="67"/>
        <v>58.377000000000002</v>
      </c>
      <c r="O1083" s="5">
        <f t="shared" si="67"/>
        <v>4.4165999999999999</v>
      </c>
      <c r="P1083" s="5">
        <f t="shared" si="67"/>
        <v>14.7493</v>
      </c>
      <c r="Q1083" s="5">
        <f t="shared" si="67"/>
        <v>238.50780000000003</v>
      </c>
      <c r="R1083" s="5"/>
      <c r="S1083" s="6"/>
    </row>
    <row r="1084" spans="1:19" ht="15" customHeight="1">
      <c r="A1084" s="3">
        <f t="shared" si="45"/>
        <v>2049</v>
      </c>
      <c r="B1084" s="8">
        <f t="shared" ref="B1084:J1084" si="68">AVERAGE(B425:B436)</f>
        <v>11.927424999999999</v>
      </c>
      <c r="C1084" s="8">
        <f t="shared" si="68"/>
        <v>11.933683333333333</v>
      </c>
      <c r="D1084" s="8">
        <f t="shared" si="68"/>
        <v>11.946966666666663</v>
      </c>
      <c r="E1084" s="8">
        <f t="shared" si="68"/>
        <v>11.941591666666666</v>
      </c>
      <c r="F1084" s="4">
        <f t="shared" si="68"/>
        <v>12.638308333333333</v>
      </c>
      <c r="G1084" s="8">
        <f t="shared" si="68"/>
        <v>11.793075</v>
      </c>
      <c r="H1084" s="4">
        <f t="shared" si="68"/>
        <v>12.736958333333334</v>
      </c>
      <c r="I1084" s="8">
        <f t="shared" si="68"/>
        <v>11.715641666666668</v>
      </c>
      <c r="J1084" s="4">
        <f t="shared" si="68"/>
        <v>11.565891666666666</v>
      </c>
      <c r="K1084" s="7"/>
      <c r="L1084" s="5">
        <f t="shared" ref="L1084:Q1084" si="69">SUM(L425:L436)</f>
        <v>355.53689999999995</v>
      </c>
      <c r="M1084" s="5">
        <f t="shared" si="69"/>
        <v>142.0401</v>
      </c>
      <c r="N1084" s="5">
        <f t="shared" si="69"/>
        <v>58.217499999999994</v>
      </c>
      <c r="O1084" s="5">
        <f t="shared" si="69"/>
        <v>4.4046000000000003</v>
      </c>
      <c r="P1084" s="5">
        <f t="shared" si="69"/>
        <v>14.707600000000001</v>
      </c>
      <c r="Q1084" s="5">
        <f t="shared" si="69"/>
        <v>237.08969999999999</v>
      </c>
      <c r="R1084" s="5"/>
      <c r="S1084" s="6"/>
    </row>
    <row r="1085" spans="1:19" ht="15" customHeight="1">
      <c r="A1085" s="3">
        <f t="shared" si="45"/>
        <v>2050</v>
      </c>
      <c r="B1085" s="8">
        <f t="shared" ref="B1085:J1085" si="70">AVERAGE(B437:B448)</f>
        <v>12.213758333333331</v>
      </c>
      <c r="C1085" s="8">
        <f t="shared" si="70"/>
        <v>12.220016666666666</v>
      </c>
      <c r="D1085" s="8">
        <f t="shared" si="70"/>
        <v>12.233266666666667</v>
      </c>
      <c r="E1085" s="8">
        <f t="shared" si="70"/>
        <v>12.2279</v>
      </c>
      <c r="F1085" s="4">
        <f t="shared" si="70"/>
        <v>12.924633333333331</v>
      </c>
      <c r="G1085" s="8">
        <f t="shared" si="70"/>
        <v>12.076025000000001</v>
      </c>
      <c r="H1085" s="4">
        <f t="shared" si="70"/>
        <v>13.019908333333333</v>
      </c>
      <c r="I1085" s="8">
        <f t="shared" si="70"/>
        <v>11.993641666666667</v>
      </c>
      <c r="J1085" s="4">
        <f t="shared" si="70"/>
        <v>11.843741666666666</v>
      </c>
      <c r="K1085" s="7"/>
      <c r="L1085" s="5">
        <f t="shared" ref="L1085:Q1085" si="71">SUM(L437:L448)</f>
        <v>355.53689999999995</v>
      </c>
      <c r="M1085" s="5">
        <f t="shared" si="71"/>
        <v>142.0401</v>
      </c>
      <c r="N1085" s="5">
        <f t="shared" si="71"/>
        <v>58.217499999999994</v>
      </c>
      <c r="O1085" s="5">
        <f t="shared" si="71"/>
        <v>4.4046000000000003</v>
      </c>
      <c r="P1085" s="5">
        <f t="shared" si="71"/>
        <v>14.707600000000001</v>
      </c>
      <c r="Q1085" s="5">
        <f t="shared" si="71"/>
        <v>236.32320000000004</v>
      </c>
      <c r="R1085" s="5"/>
      <c r="S1085" s="6"/>
    </row>
    <row r="1086" spans="1:19" ht="15" customHeight="1">
      <c r="A1086" s="3">
        <f t="shared" si="45"/>
        <v>2051</v>
      </c>
      <c r="B1086" s="8">
        <f t="shared" ref="B1086:J1086" si="72">AVERAGE(B449:B460)</f>
        <v>12.506941666666668</v>
      </c>
      <c r="C1086" s="8">
        <f t="shared" si="72"/>
        <v>12.513191666666669</v>
      </c>
      <c r="D1086" s="8">
        <f t="shared" si="72"/>
        <v>12.526441666666669</v>
      </c>
      <c r="E1086" s="8">
        <f t="shared" si="72"/>
        <v>12.521091666666665</v>
      </c>
      <c r="F1086" s="4">
        <f t="shared" si="72"/>
        <v>13.217816666666669</v>
      </c>
      <c r="G1086" s="8">
        <f t="shared" si="72"/>
        <v>12.365791666666668</v>
      </c>
      <c r="H1086" s="4">
        <f t="shared" si="72"/>
        <v>13.309675</v>
      </c>
      <c r="I1086" s="8">
        <f t="shared" si="72"/>
        <v>12.278325000000001</v>
      </c>
      <c r="J1086" s="4">
        <f t="shared" si="72"/>
        <v>12.128275</v>
      </c>
      <c r="K1086" s="7"/>
      <c r="L1086" s="5">
        <f t="shared" ref="L1086:Q1086" si="73">SUM(L449:L460)</f>
        <v>355.53689999999995</v>
      </c>
      <c r="M1086" s="5">
        <f t="shared" si="73"/>
        <v>142.0401</v>
      </c>
      <c r="N1086" s="5">
        <f t="shared" si="73"/>
        <v>58.217499999999994</v>
      </c>
      <c r="O1086" s="5">
        <f t="shared" si="73"/>
        <v>4.4046000000000003</v>
      </c>
      <c r="P1086" s="5">
        <f t="shared" si="73"/>
        <v>14.707600000000001</v>
      </c>
      <c r="Q1086" s="5">
        <f t="shared" si="73"/>
        <v>235.57820000000007</v>
      </c>
      <c r="R1086" s="5"/>
      <c r="S1086" s="6"/>
    </row>
    <row r="1087" spans="1:19" ht="15" customHeight="1">
      <c r="A1087" s="3">
        <f t="shared" si="45"/>
        <v>2052</v>
      </c>
      <c r="B1087" s="8">
        <f t="shared" ref="B1087:J1087" si="74">AVERAGE(B461:B472)</f>
        <v>12.807166666666667</v>
      </c>
      <c r="C1087" s="8">
        <f t="shared" si="74"/>
        <v>12.813433333333334</v>
      </c>
      <c r="D1087" s="8">
        <f t="shared" si="74"/>
        <v>12.826691666666667</v>
      </c>
      <c r="E1087" s="8">
        <f t="shared" si="74"/>
        <v>12.821324999999996</v>
      </c>
      <c r="F1087" s="4">
        <f t="shared" si="74"/>
        <v>13.518050000000001</v>
      </c>
      <c r="G1087" s="8">
        <f t="shared" si="74"/>
        <v>12.6625</v>
      </c>
      <c r="H1087" s="4">
        <f t="shared" si="74"/>
        <v>13.606383333333333</v>
      </c>
      <c r="I1087" s="8">
        <f t="shared" si="74"/>
        <v>12.569849999999997</v>
      </c>
      <c r="J1087" s="4">
        <f t="shared" si="74"/>
        <v>12.419649999999999</v>
      </c>
      <c r="K1087" s="7"/>
      <c r="L1087" s="5">
        <f t="shared" ref="L1087:Q1087" si="75">SUM(L461:L472)</f>
        <v>356.48229999999995</v>
      </c>
      <c r="M1087" s="5">
        <f t="shared" si="75"/>
        <v>142.42920000000001</v>
      </c>
      <c r="N1087" s="5">
        <f t="shared" si="75"/>
        <v>58.377000000000002</v>
      </c>
      <c r="O1087" s="5">
        <f t="shared" si="75"/>
        <v>4.4165999999999999</v>
      </c>
      <c r="P1087" s="5">
        <f t="shared" si="75"/>
        <v>14.7493</v>
      </c>
      <c r="Q1087" s="5">
        <f t="shared" si="75"/>
        <v>235.45500000000004</v>
      </c>
      <c r="R1087" s="5"/>
      <c r="S1087" s="6"/>
    </row>
    <row r="1088" spans="1:19" ht="15" customHeight="1">
      <c r="A1088" s="3">
        <f t="shared" si="45"/>
        <v>2053</v>
      </c>
      <c r="B1088" s="8">
        <f t="shared" ref="B1088:J1088" si="76">AVERAGE(B473:B484)</f>
        <v>13.114624999999998</v>
      </c>
      <c r="C1088" s="8">
        <f t="shared" si="76"/>
        <v>13.120875</v>
      </c>
      <c r="D1088" s="8">
        <f t="shared" si="76"/>
        <v>13.134133333333333</v>
      </c>
      <c r="E1088" s="8">
        <f t="shared" si="76"/>
        <v>13.128783333333333</v>
      </c>
      <c r="F1088" s="4">
        <f t="shared" si="76"/>
        <v>13.825508333333334</v>
      </c>
      <c r="G1088" s="8">
        <f t="shared" si="76"/>
        <v>12.966333333333331</v>
      </c>
      <c r="H1088" s="4">
        <f t="shared" si="76"/>
        <v>13.910233333333331</v>
      </c>
      <c r="I1088" s="8">
        <f t="shared" si="76"/>
        <v>12.868366666666669</v>
      </c>
      <c r="J1088" s="4">
        <f t="shared" si="76"/>
        <v>12.718016666666669</v>
      </c>
      <c r="K1088" s="7"/>
      <c r="L1088" s="5">
        <f t="shared" ref="L1088:Q1088" si="77">SUM(L473:L484)</f>
        <v>355.53689999999995</v>
      </c>
      <c r="M1088" s="5">
        <f t="shared" si="77"/>
        <v>142.0401</v>
      </c>
      <c r="N1088" s="5">
        <f t="shared" si="77"/>
        <v>58.217499999999994</v>
      </c>
      <c r="O1088" s="5">
        <f t="shared" si="77"/>
        <v>4.4046000000000003</v>
      </c>
      <c r="P1088" s="5">
        <f t="shared" si="77"/>
        <v>14.707600000000001</v>
      </c>
      <c r="Q1088" s="5">
        <f t="shared" si="77"/>
        <v>234.04520000000002</v>
      </c>
      <c r="R1088" s="5"/>
      <c r="S1088" s="6"/>
    </row>
    <row r="1089" spans="1:19" ht="15" customHeight="1">
      <c r="A1089" s="3">
        <f t="shared" si="45"/>
        <v>2054</v>
      </c>
      <c r="B1089" s="8">
        <f t="shared" ref="B1089:J1089" si="78">AVERAGE(B485:B496)</f>
        <v>13.429449999999997</v>
      </c>
      <c r="C1089" s="8">
        <f t="shared" si="78"/>
        <v>13.435699999999999</v>
      </c>
      <c r="D1089" s="8">
        <f t="shared" si="78"/>
        <v>13.448991666666666</v>
      </c>
      <c r="E1089" s="8">
        <f t="shared" si="78"/>
        <v>13.443608333333335</v>
      </c>
      <c r="F1089" s="4">
        <f t="shared" si="78"/>
        <v>14.140325000000002</v>
      </c>
      <c r="G1089" s="8">
        <f t="shared" si="78"/>
        <v>13.277474999999997</v>
      </c>
      <c r="H1089" s="4">
        <f t="shared" si="78"/>
        <v>14.221375</v>
      </c>
      <c r="I1089" s="8">
        <f t="shared" si="78"/>
        <v>13.174075</v>
      </c>
      <c r="J1089" s="4">
        <f t="shared" si="78"/>
        <v>13.023583333333333</v>
      </c>
      <c r="K1089" s="7"/>
      <c r="L1089" s="5">
        <f t="shared" ref="L1089:Q1089" si="79">SUM(L485:L496)</f>
        <v>355.53689999999995</v>
      </c>
      <c r="M1089" s="5">
        <f t="shared" si="79"/>
        <v>142.0401</v>
      </c>
      <c r="N1089" s="5">
        <f t="shared" si="79"/>
        <v>58.217499999999994</v>
      </c>
      <c r="O1089" s="5">
        <f t="shared" si="79"/>
        <v>4.4046000000000003</v>
      </c>
      <c r="P1089" s="5">
        <f t="shared" si="79"/>
        <v>14.707600000000001</v>
      </c>
      <c r="Q1089" s="5">
        <f t="shared" si="79"/>
        <v>233.30079999999998</v>
      </c>
      <c r="R1089" s="5"/>
      <c r="S1089" s="6"/>
    </row>
    <row r="1090" spans="1:19" ht="15" customHeight="1">
      <c r="A1090" s="3">
        <f t="shared" si="45"/>
        <v>2055</v>
      </c>
      <c r="B1090" s="8">
        <f t="shared" ref="B1090:J1090" si="80">AVERAGE(B497:B508)</f>
        <v>13.751849999999997</v>
      </c>
      <c r="C1090" s="8">
        <f t="shared" si="80"/>
        <v>13.758108333333331</v>
      </c>
      <c r="D1090" s="8">
        <f t="shared" si="80"/>
        <v>13.771383333333334</v>
      </c>
      <c r="E1090" s="8">
        <f t="shared" si="80"/>
        <v>13.766008333333334</v>
      </c>
      <c r="F1090" s="4">
        <f t="shared" si="80"/>
        <v>14.462708333333332</v>
      </c>
      <c r="G1090" s="8">
        <f t="shared" si="80"/>
        <v>13.596116666666665</v>
      </c>
      <c r="H1090" s="4">
        <f t="shared" si="80"/>
        <v>14.539991666666667</v>
      </c>
      <c r="I1090" s="8">
        <f t="shared" si="80"/>
        <v>13.487124999999997</v>
      </c>
      <c r="J1090" s="4">
        <f t="shared" si="80"/>
        <v>13.336466666666666</v>
      </c>
      <c r="K1090" s="7"/>
      <c r="L1090" s="5">
        <f t="shared" ref="L1090:Q1090" si="81">SUM(L497:L508)</f>
        <v>355.53689999999995</v>
      </c>
      <c r="M1090" s="5">
        <f t="shared" si="81"/>
        <v>142.0401</v>
      </c>
      <c r="N1090" s="5">
        <f t="shared" si="81"/>
        <v>58.217499999999994</v>
      </c>
      <c r="O1090" s="5">
        <f t="shared" si="81"/>
        <v>4.4046000000000003</v>
      </c>
      <c r="P1090" s="5">
        <f t="shared" si="81"/>
        <v>14.707600000000001</v>
      </c>
      <c r="Q1090" s="5">
        <f t="shared" si="81"/>
        <v>232.55579999999998</v>
      </c>
      <c r="R1090" s="5"/>
      <c r="S1090" s="6"/>
    </row>
    <row r="1091" spans="1:19" ht="15" customHeight="1">
      <c r="A1091" s="3">
        <f t="shared" si="45"/>
        <v>2056</v>
      </c>
      <c r="B1091" s="8">
        <f t="shared" ref="B1091:J1091" si="82">AVERAGE(B509:B520)</f>
        <v>14.081991666666665</v>
      </c>
      <c r="C1091" s="8">
        <f t="shared" si="82"/>
        <v>14.088258333333334</v>
      </c>
      <c r="D1091" s="8">
        <f t="shared" si="82"/>
        <v>14.101516666666669</v>
      </c>
      <c r="E1091" s="8">
        <f t="shared" si="82"/>
        <v>14.096149999999996</v>
      </c>
      <c r="F1091" s="4">
        <f t="shared" si="82"/>
        <v>14.792875</v>
      </c>
      <c r="G1091" s="8">
        <f t="shared" si="82"/>
        <v>13.92239166666667</v>
      </c>
      <c r="H1091" s="4">
        <f t="shared" si="82"/>
        <v>14.866275</v>
      </c>
      <c r="I1091" s="8">
        <f t="shared" si="82"/>
        <v>13.807699999999997</v>
      </c>
      <c r="J1091" s="4">
        <f t="shared" si="82"/>
        <v>13.656866666666668</v>
      </c>
      <c r="K1091" s="7"/>
      <c r="L1091" s="5">
        <f t="shared" ref="L1091:Q1091" si="83">SUM(L509:L520)</f>
        <v>356.48229999999995</v>
      </c>
      <c r="M1091" s="5">
        <f t="shared" si="83"/>
        <v>142.42920000000001</v>
      </c>
      <c r="N1091" s="5">
        <f t="shared" si="83"/>
        <v>58.377000000000002</v>
      </c>
      <c r="O1091" s="5">
        <f t="shared" si="83"/>
        <v>4.4165999999999999</v>
      </c>
      <c r="P1091" s="5">
        <f t="shared" si="83"/>
        <v>14.7493</v>
      </c>
      <c r="Q1091" s="5">
        <f t="shared" si="83"/>
        <v>232.44659999999996</v>
      </c>
      <c r="R1091" s="5"/>
      <c r="S1091" s="6"/>
    </row>
    <row r="1092" spans="1:19" ht="15" customHeight="1">
      <c r="A1092" s="3">
        <f t="shared" si="45"/>
        <v>2057</v>
      </c>
      <c r="B1092" s="8">
        <f t="shared" ref="B1092:J1092" si="84">AVERAGE(B521:B532)</f>
        <v>14.420083333333336</v>
      </c>
      <c r="C1092" s="8">
        <f t="shared" si="84"/>
        <v>14.426333333333334</v>
      </c>
      <c r="D1092" s="8">
        <f t="shared" si="84"/>
        <v>14.4396</v>
      </c>
      <c r="E1092" s="8">
        <f t="shared" si="84"/>
        <v>14.434233333333333</v>
      </c>
      <c r="F1092" s="4">
        <f t="shared" si="84"/>
        <v>15.130958333333332</v>
      </c>
      <c r="G1092" s="8">
        <f t="shared" si="84"/>
        <v>14.256516666666665</v>
      </c>
      <c r="H1092" s="4">
        <f t="shared" si="84"/>
        <v>15.2004</v>
      </c>
      <c r="I1092" s="8">
        <f t="shared" si="84"/>
        <v>14.135958333333337</v>
      </c>
      <c r="J1092" s="4">
        <f t="shared" si="84"/>
        <v>13.984983333333332</v>
      </c>
      <c r="K1092" s="7"/>
      <c r="L1092" s="5">
        <f t="shared" ref="L1092:Q1092" si="85">SUM(L521:L532)</f>
        <v>355.53689999999995</v>
      </c>
      <c r="M1092" s="5">
        <f t="shared" si="85"/>
        <v>142.0401</v>
      </c>
      <c r="N1092" s="5">
        <f t="shared" si="85"/>
        <v>58.217499999999994</v>
      </c>
      <c r="O1092" s="5">
        <f t="shared" si="85"/>
        <v>4.4046000000000003</v>
      </c>
      <c r="P1092" s="5">
        <f t="shared" si="85"/>
        <v>14.707600000000001</v>
      </c>
      <c r="Q1092" s="5">
        <f t="shared" si="85"/>
        <v>231.81149999999997</v>
      </c>
      <c r="R1092" s="5"/>
      <c r="S1092" s="6"/>
    </row>
    <row r="1093" spans="1:19" ht="15" customHeight="1">
      <c r="A1093" s="3">
        <f t="shared" si="45"/>
        <v>2058</v>
      </c>
      <c r="B1093" s="8">
        <f t="shared" ref="B1093:J1093" si="86">AVERAGE(B533:B544)</f>
        <v>14.766283333333334</v>
      </c>
      <c r="C1093" s="8">
        <f t="shared" si="86"/>
        <v>14.772533333333334</v>
      </c>
      <c r="D1093" s="8">
        <f t="shared" si="86"/>
        <v>14.7858</v>
      </c>
      <c r="E1093" s="8">
        <f t="shared" si="86"/>
        <v>14.780441666666666</v>
      </c>
      <c r="F1093" s="4">
        <f t="shared" si="86"/>
        <v>15.477158333333334</v>
      </c>
      <c r="G1093" s="8">
        <f t="shared" si="86"/>
        <v>14.598666666666665</v>
      </c>
      <c r="H1093" s="4">
        <f t="shared" si="86"/>
        <v>15.542558333333334</v>
      </c>
      <c r="I1093" s="8">
        <f t="shared" si="86"/>
        <v>14.472108333333333</v>
      </c>
      <c r="J1093" s="4">
        <f t="shared" si="86"/>
        <v>14.320958333333335</v>
      </c>
      <c r="K1093" s="7"/>
      <c r="L1093" s="5">
        <f t="shared" ref="L1093:Q1093" si="87">SUM(L533:L544)</f>
        <v>355.53689999999995</v>
      </c>
      <c r="M1093" s="5">
        <f t="shared" si="87"/>
        <v>142.0401</v>
      </c>
      <c r="N1093" s="5">
        <f t="shared" si="87"/>
        <v>58.217499999999994</v>
      </c>
      <c r="O1093" s="5">
        <f t="shared" si="87"/>
        <v>4.4046000000000003</v>
      </c>
      <c r="P1093" s="5">
        <f t="shared" si="87"/>
        <v>14.707600000000001</v>
      </c>
      <c r="Q1093" s="5">
        <f t="shared" si="87"/>
        <v>231.81149999999997</v>
      </c>
      <c r="R1093" s="5"/>
      <c r="S1093" s="6"/>
    </row>
    <row r="1094" spans="1:19" ht="15" customHeight="1">
      <c r="A1094" s="3">
        <f t="shared" si="45"/>
        <v>2059</v>
      </c>
      <c r="B1094" s="8">
        <f t="shared" ref="B1094:J1094" si="88">AVERAGE(B545:B556)</f>
        <v>15.120808333333335</v>
      </c>
      <c r="C1094" s="8">
        <f t="shared" si="88"/>
        <v>15.127050000000004</v>
      </c>
      <c r="D1094" s="8">
        <f t="shared" si="88"/>
        <v>15.140316666666665</v>
      </c>
      <c r="E1094" s="8">
        <f t="shared" si="88"/>
        <v>15.134958333333332</v>
      </c>
      <c r="F1094" s="4">
        <f t="shared" si="88"/>
        <v>15.831666666666669</v>
      </c>
      <c r="G1094" s="8">
        <f t="shared" si="88"/>
        <v>14.949024999999999</v>
      </c>
      <c r="H1094" s="4">
        <f t="shared" si="88"/>
        <v>15.892908333333333</v>
      </c>
      <c r="I1094" s="8">
        <f t="shared" si="88"/>
        <v>14.81635</v>
      </c>
      <c r="J1094" s="4">
        <f t="shared" si="88"/>
        <v>14.665016666666666</v>
      </c>
      <c r="K1094" s="4"/>
      <c r="L1094" s="5">
        <f>SUM(L545:L556)</f>
        <v>355.53689999999995</v>
      </c>
      <c r="M1094" s="5">
        <f>SUM(M545:M556)</f>
        <v>142.0401</v>
      </c>
      <c r="N1094" s="5">
        <f>SUM(N545:N556)</f>
        <v>58.217499999999994</v>
      </c>
      <c r="O1094" s="5">
        <f>SUM(O534:O545)</f>
        <v>4.4046000000000003</v>
      </c>
      <c r="P1094" s="5">
        <f>SUM(P545:P556)</f>
        <v>14.707600000000001</v>
      </c>
      <c r="Q1094" s="5">
        <f>SUM(Q545:Q556)</f>
        <v>231.81149999999997</v>
      </c>
      <c r="R1094" s="5"/>
      <c r="S1094" s="4"/>
    </row>
    <row r="1095" spans="1:19" ht="15" customHeight="1">
      <c r="A1095" s="3">
        <f t="shared" si="45"/>
        <v>2060</v>
      </c>
      <c r="B1095" s="8">
        <f t="shared" ref="B1095:J1095" si="89">AVERAGE(B557:B568)</f>
        <v>15.483833333333335</v>
      </c>
      <c r="C1095" s="8">
        <f t="shared" si="89"/>
        <v>15.490083333333333</v>
      </c>
      <c r="D1095" s="8">
        <f t="shared" si="89"/>
        <v>15.503341666666666</v>
      </c>
      <c r="E1095" s="8">
        <f t="shared" si="89"/>
        <v>15.497991666666666</v>
      </c>
      <c r="F1095" s="4">
        <f t="shared" si="89"/>
        <v>16.194708333333331</v>
      </c>
      <c r="G1095" s="8">
        <f t="shared" si="89"/>
        <v>15.307816666666669</v>
      </c>
      <c r="H1095" s="4">
        <f t="shared" si="89"/>
        <v>16.251699999999996</v>
      </c>
      <c r="I1095" s="8">
        <f t="shared" si="89"/>
        <v>15.168849999999999</v>
      </c>
      <c r="J1095" s="4">
        <f t="shared" si="89"/>
        <v>15.017341666666669</v>
      </c>
      <c r="K1095" s="7"/>
      <c r="L1095" s="5">
        <f>SUM(L557:L568)</f>
        <v>356.48229999999995</v>
      </c>
      <c r="M1095" s="5">
        <f>SUM(M557:M568)</f>
        <v>142.42920000000001</v>
      </c>
      <c r="N1095" s="5">
        <f>SUM(N557:N568)</f>
        <v>58.377000000000002</v>
      </c>
      <c r="O1095" s="5">
        <f>SUM(O535:O546)</f>
        <v>4.4046000000000003</v>
      </c>
      <c r="P1095" s="5">
        <f>SUM(P557:P568)</f>
        <v>14.7493</v>
      </c>
      <c r="Q1095" s="5">
        <f>SUM(Q557:Q568)</f>
        <v>232.44659999999996</v>
      </c>
      <c r="R1095" s="5"/>
      <c r="S1095" s="6"/>
    </row>
    <row r="1096" spans="1:19" ht="15" customHeight="1">
      <c r="A1096" s="3">
        <f t="shared" si="45"/>
        <v>2061</v>
      </c>
      <c r="B1096" s="8">
        <f t="shared" ref="B1096:J1096" si="90">AVERAGE(B569:B580)</f>
        <v>15.85558333333333</v>
      </c>
      <c r="C1096" s="8">
        <f t="shared" si="90"/>
        <v>15.861858333333332</v>
      </c>
      <c r="D1096" s="8">
        <f t="shared" si="90"/>
        <v>15.875125000000002</v>
      </c>
      <c r="E1096" s="8">
        <f t="shared" si="90"/>
        <v>15.869758333333335</v>
      </c>
      <c r="F1096" s="4">
        <f t="shared" si="90"/>
        <v>16.566475000000001</v>
      </c>
      <c r="G1096" s="8">
        <f t="shared" si="90"/>
        <v>15.675216666666669</v>
      </c>
      <c r="H1096" s="4">
        <f t="shared" si="90"/>
        <v>16.619091666666666</v>
      </c>
      <c r="I1096" s="8">
        <f t="shared" si="90"/>
        <v>15.529825000000001</v>
      </c>
      <c r="J1096" s="4">
        <f t="shared" si="90"/>
        <v>15.378158333333333</v>
      </c>
      <c r="K1096" s="7"/>
      <c r="L1096" s="5">
        <f>SUM(L569:L580)</f>
        <v>355.53689999999995</v>
      </c>
      <c r="M1096" s="5">
        <f>SUM(M569:M580)</f>
        <v>142.0401</v>
      </c>
      <c r="N1096" s="5">
        <f>SUM(N569:N580)</f>
        <v>58.217499999999994</v>
      </c>
      <c r="O1096" s="5">
        <f>SUM(O536:O547)</f>
        <v>4.4046000000000003</v>
      </c>
      <c r="P1096" s="5">
        <f>SUM(P569:P580)</f>
        <v>14.707600000000001</v>
      </c>
      <c r="Q1096" s="5">
        <f>SUM(Q569:Q580)</f>
        <v>231.81149999999997</v>
      </c>
      <c r="R1096" s="5"/>
      <c r="S1096" s="6"/>
    </row>
    <row r="1097" spans="1:19" ht="15" customHeight="1">
      <c r="A1097" s="3">
        <f t="shared" si="45"/>
        <v>2062</v>
      </c>
      <c r="B1097" s="4">
        <f t="shared" ref="B1097:J1106" ca="1" si="91">AVERAGE(OFFSET(B$581,($A1097-$A$1097)*12,0,12,1))</f>
        <v>16.236308333333337</v>
      </c>
      <c r="C1097" s="4">
        <f t="shared" ca="1" si="91"/>
        <v>16.242533333333334</v>
      </c>
      <c r="D1097" s="4">
        <f t="shared" ca="1" si="91"/>
        <v>16.255816666666668</v>
      </c>
      <c r="E1097" s="4">
        <f t="shared" ca="1" si="91"/>
        <v>16.250441666666664</v>
      </c>
      <c r="F1097" s="4">
        <f t="shared" ca="1" si="91"/>
        <v>16.947166666666671</v>
      </c>
      <c r="G1097" s="4">
        <f t="shared" ca="1" si="91"/>
        <v>16.051450000000003</v>
      </c>
      <c r="H1097" s="4">
        <f t="shared" ca="1" si="91"/>
        <v>16.995349999999998</v>
      </c>
      <c r="I1097" s="4">
        <f t="shared" ca="1" si="91"/>
        <v>15.899474999999997</v>
      </c>
      <c r="J1097" s="4">
        <f t="shared" ca="1" si="91"/>
        <v>15.7476</v>
      </c>
      <c r="K1097" s="4"/>
      <c r="L1097" s="5">
        <f t="shared" ref="L1097:Q1106" ca="1" si="92">SUM(OFFSET(L$581,($A1097-$A$1097)*12,0,12,1))</f>
        <v>355.53689999999995</v>
      </c>
      <c r="M1097" s="5">
        <f t="shared" ca="1" si="92"/>
        <v>142.0401</v>
      </c>
      <c r="N1097" s="5">
        <f t="shared" ca="1" si="92"/>
        <v>58.217499999999994</v>
      </c>
      <c r="O1097" s="5">
        <f t="shared" ca="1" si="92"/>
        <v>4.4046000000000003</v>
      </c>
      <c r="P1097" s="5">
        <f t="shared" ca="1" si="92"/>
        <v>14.707600000000001</v>
      </c>
      <c r="Q1097" s="5">
        <f t="shared" ca="1" si="92"/>
        <v>231.81149999999997</v>
      </c>
      <c r="R1097" s="4"/>
      <c r="S1097" s="4"/>
    </row>
    <row r="1098" spans="1:19" ht="15" customHeight="1">
      <c r="A1098" s="3">
        <f t="shared" si="45"/>
        <v>2063</v>
      </c>
      <c r="B1098" s="4">
        <f t="shared" ca="1" si="91"/>
        <v>16.626124999999998</v>
      </c>
      <c r="C1098" s="4">
        <f t="shared" ca="1" si="91"/>
        <v>16.632383333333333</v>
      </c>
      <c r="D1098" s="4">
        <f t="shared" ca="1" si="91"/>
        <v>16.645633333333333</v>
      </c>
      <c r="E1098" s="4">
        <f t="shared" ca="1" si="91"/>
        <v>16.640275000000003</v>
      </c>
      <c r="F1098" s="4">
        <f t="shared" ca="1" si="91"/>
        <v>17.337008333333333</v>
      </c>
      <c r="G1098" s="4">
        <f t="shared" ca="1" si="91"/>
        <v>16.436724999999999</v>
      </c>
      <c r="H1098" s="4">
        <f t="shared" ca="1" si="91"/>
        <v>17.380624999999998</v>
      </c>
      <c r="I1098" s="4">
        <f t="shared" ca="1" si="91"/>
        <v>16.277991666666669</v>
      </c>
      <c r="J1098" s="4">
        <f t="shared" ca="1" si="91"/>
        <v>16.125941666666666</v>
      </c>
      <c r="K1098" s="4"/>
      <c r="L1098" s="5">
        <f t="shared" ca="1" si="92"/>
        <v>355.53689999999995</v>
      </c>
      <c r="M1098" s="5">
        <f t="shared" ca="1" si="92"/>
        <v>142.0401</v>
      </c>
      <c r="N1098" s="5">
        <f t="shared" ca="1" si="92"/>
        <v>58.217499999999994</v>
      </c>
      <c r="O1098" s="5">
        <f t="shared" ca="1" si="92"/>
        <v>4.4046000000000003</v>
      </c>
      <c r="P1098" s="5">
        <f t="shared" ca="1" si="92"/>
        <v>14.707600000000001</v>
      </c>
      <c r="Q1098" s="5">
        <f t="shared" ca="1" si="92"/>
        <v>231.81149999999997</v>
      </c>
      <c r="R1098" s="4"/>
      <c r="S1098" s="4"/>
    </row>
    <row r="1099" spans="1:19" ht="15" customHeight="1">
      <c r="A1099" s="3">
        <f t="shared" si="45"/>
        <v>2064</v>
      </c>
      <c r="B1099" s="4">
        <f t="shared" ca="1" si="91"/>
        <v>17.025341666666666</v>
      </c>
      <c r="C1099" s="4">
        <f t="shared" ca="1" si="91"/>
        <v>17.031583333333334</v>
      </c>
      <c r="D1099" s="4">
        <f t="shared" ca="1" si="91"/>
        <v>17.044858333333334</v>
      </c>
      <c r="E1099" s="4">
        <f t="shared" ca="1" si="91"/>
        <v>17.039491666666667</v>
      </c>
      <c r="F1099" s="4">
        <f t="shared" ca="1" si="91"/>
        <v>17.736224999999997</v>
      </c>
      <c r="G1099" s="4">
        <f t="shared" ca="1" si="91"/>
        <v>16.831266666666664</v>
      </c>
      <c r="H1099" s="4">
        <f t="shared" ca="1" si="91"/>
        <v>17.775158333333334</v>
      </c>
      <c r="I1099" s="4">
        <f t="shared" ca="1" si="91"/>
        <v>16.665608333333331</v>
      </c>
      <c r="J1099" s="4">
        <f t="shared" ca="1" si="91"/>
        <v>16.513374999999996</v>
      </c>
      <c r="K1099" s="4"/>
      <c r="L1099" s="5">
        <f t="shared" ca="1" si="92"/>
        <v>356.48229999999995</v>
      </c>
      <c r="M1099" s="5">
        <f t="shared" ca="1" si="92"/>
        <v>142.42920000000001</v>
      </c>
      <c r="N1099" s="5">
        <f t="shared" ca="1" si="92"/>
        <v>58.377000000000002</v>
      </c>
      <c r="O1099" s="5">
        <f t="shared" ca="1" si="92"/>
        <v>4.4165999999999999</v>
      </c>
      <c r="P1099" s="5">
        <f t="shared" ca="1" si="92"/>
        <v>14.7493</v>
      </c>
      <c r="Q1099" s="5">
        <f t="shared" ca="1" si="92"/>
        <v>232.44659999999996</v>
      </c>
      <c r="R1099" s="4"/>
      <c r="S1099" s="4"/>
    </row>
    <row r="1100" spans="1:19" ht="15" customHeight="1">
      <c r="A1100" s="3">
        <f t="shared" si="45"/>
        <v>2065</v>
      </c>
      <c r="B1100" s="4">
        <f t="shared" ca="1" si="91"/>
        <v>17.434125000000002</v>
      </c>
      <c r="C1100" s="4">
        <f t="shared" ca="1" si="91"/>
        <v>17.440391666666667</v>
      </c>
      <c r="D1100" s="4">
        <f t="shared" ca="1" si="91"/>
        <v>17.45365</v>
      </c>
      <c r="E1100" s="4">
        <f t="shared" ca="1" si="91"/>
        <v>17.448266666666665</v>
      </c>
      <c r="F1100" s="4">
        <f t="shared" ca="1" si="91"/>
        <v>18.145</v>
      </c>
      <c r="G1100" s="4">
        <f t="shared" ca="1" si="91"/>
        <v>17.235266666666664</v>
      </c>
      <c r="H1100" s="4">
        <f t="shared" ca="1" si="91"/>
        <v>18.179158333333334</v>
      </c>
      <c r="I1100" s="4">
        <f t="shared" ca="1" si="91"/>
        <v>17.062558333333332</v>
      </c>
      <c r="J1100" s="4">
        <f t="shared" ca="1" si="91"/>
        <v>16.9101</v>
      </c>
      <c r="K1100" s="4"/>
      <c r="L1100" s="5">
        <f t="shared" ca="1" si="92"/>
        <v>355.53689999999995</v>
      </c>
      <c r="M1100" s="5">
        <f t="shared" ca="1" si="92"/>
        <v>142.0401</v>
      </c>
      <c r="N1100" s="5">
        <f t="shared" ca="1" si="92"/>
        <v>58.217499999999994</v>
      </c>
      <c r="O1100" s="5">
        <f t="shared" ca="1" si="92"/>
        <v>4.4046000000000003</v>
      </c>
      <c r="P1100" s="5">
        <f t="shared" ca="1" si="92"/>
        <v>14.707600000000001</v>
      </c>
      <c r="Q1100" s="5">
        <f t="shared" ca="1" si="92"/>
        <v>231.81149999999997</v>
      </c>
      <c r="R1100" s="4"/>
      <c r="S1100" s="4"/>
    </row>
    <row r="1101" spans="1:19" ht="15" customHeight="1">
      <c r="A1101" s="3">
        <f t="shared" si="45"/>
        <v>2066</v>
      </c>
      <c r="B1101" s="4">
        <f t="shared" ca="1" si="91"/>
        <v>17.85275833333333</v>
      </c>
      <c r="C1101" s="4">
        <f t="shared" ca="1" si="91"/>
        <v>17.859024999999999</v>
      </c>
      <c r="D1101" s="4">
        <f t="shared" ca="1" si="91"/>
        <v>17.872283333333332</v>
      </c>
      <c r="E1101" s="4">
        <f t="shared" ca="1" si="91"/>
        <v>17.866924999999998</v>
      </c>
      <c r="F1101" s="4">
        <f t="shared" ca="1" si="91"/>
        <v>18.563641666666669</v>
      </c>
      <c r="G1101" s="4">
        <f t="shared" ca="1" si="91"/>
        <v>17.648991666666664</v>
      </c>
      <c r="H1101" s="4">
        <f t="shared" ca="1" si="91"/>
        <v>18.592874999999999</v>
      </c>
      <c r="I1101" s="4">
        <f t="shared" ca="1" si="91"/>
        <v>17.469024999999998</v>
      </c>
      <c r="J1101" s="4">
        <f t="shared" ca="1" si="91"/>
        <v>17.316383333333331</v>
      </c>
      <c r="K1101" s="4"/>
      <c r="L1101" s="5">
        <f t="shared" ca="1" si="92"/>
        <v>355.53689999999995</v>
      </c>
      <c r="M1101" s="5">
        <f t="shared" ca="1" si="92"/>
        <v>142.0401</v>
      </c>
      <c r="N1101" s="5">
        <f t="shared" ca="1" si="92"/>
        <v>58.217499999999994</v>
      </c>
      <c r="O1101" s="5">
        <f t="shared" ca="1" si="92"/>
        <v>4.4046000000000003</v>
      </c>
      <c r="P1101" s="5">
        <f t="shared" ca="1" si="92"/>
        <v>14.707600000000001</v>
      </c>
      <c r="Q1101" s="5">
        <f t="shared" ca="1" si="92"/>
        <v>231.81149999999997</v>
      </c>
      <c r="R1101" s="4"/>
      <c r="S1101" s="4"/>
    </row>
    <row r="1102" spans="1:19" ht="15" customHeight="1">
      <c r="A1102" s="3">
        <f t="shared" si="45"/>
        <v>2067</v>
      </c>
      <c r="B1102" s="4">
        <f t="shared" ca="1" si="91"/>
        <v>18.281425000000002</v>
      </c>
      <c r="C1102" s="4">
        <f t="shared" ca="1" si="91"/>
        <v>18.28768333333333</v>
      </c>
      <c r="D1102" s="4">
        <f t="shared" ca="1" si="91"/>
        <v>18.30095833333333</v>
      </c>
      <c r="E1102" s="4">
        <f t="shared" ca="1" si="91"/>
        <v>18.295591666666667</v>
      </c>
      <c r="F1102" s="4">
        <f t="shared" ca="1" si="91"/>
        <v>18.992316666666667</v>
      </c>
      <c r="G1102" s="4">
        <f t="shared" ca="1" si="91"/>
        <v>18.072641666666669</v>
      </c>
      <c r="H1102" s="4">
        <f t="shared" ca="1" si="91"/>
        <v>19.016541666666665</v>
      </c>
      <c r="I1102" s="4">
        <f t="shared" ca="1" si="91"/>
        <v>17.885266666666666</v>
      </c>
      <c r="J1102" s="4">
        <f t="shared" ca="1" si="91"/>
        <v>17.732416666666666</v>
      </c>
      <c r="K1102" s="4"/>
      <c r="L1102" s="5">
        <f t="shared" ca="1" si="92"/>
        <v>355.53689999999995</v>
      </c>
      <c r="M1102" s="5">
        <f t="shared" ca="1" si="92"/>
        <v>142.0401</v>
      </c>
      <c r="N1102" s="5">
        <f t="shared" ca="1" si="92"/>
        <v>58.217499999999994</v>
      </c>
      <c r="O1102" s="5">
        <f t="shared" ca="1" si="92"/>
        <v>4.4046000000000003</v>
      </c>
      <c r="P1102" s="5">
        <f t="shared" ca="1" si="92"/>
        <v>14.707600000000001</v>
      </c>
      <c r="Q1102" s="5">
        <f t="shared" ca="1" si="92"/>
        <v>231.81149999999997</v>
      </c>
      <c r="R1102" s="4"/>
      <c r="S1102" s="4"/>
    </row>
    <row r="1103" spans="1:19" ht="15" customHeight="1">
      <c r="A1103" s="3">
        <f t="shared" si="45"/>
        <v>2068</v>
      </c>
      <c r="B1103" s="4">
        <f t="shared" ca="1" si="91"/>
        <v>18.720399999999998</v>
      </c>
      <c r="C1103" s="4">
        <f t="shared" ca="1" si="91"/>
        <v>18.726666666666667</v>
      </c>
      <c r="D1103" s="4">
        <f t="shared" ca="1" si="91"/>
        <v>18.73995</v>
      </c>
      <c r="E1103" s="4">
        <f t="shared" ca="1" si="91"/>
        <v>18.734575</v>
      </c>
      <c r="F1103" s="4">
        <f t="shared" ca="1" si="91"/>
        <v>19.431283333333329</v>
      </c>
      <c r="G1103" s="4">
        <f t="shared" ca="1" si="91"/>
        <v>18.506475000000005</v>
      </c>
      <c r="H1103" s="4">
        <f t="shared" ca="1" si="91"/>
        <v>19.450383333333335</v>
      </c>
      <c r="I1103" s="4">
        <f t="shared" ca="1" si="91"/>
        <v>18.311516666666666</v>
      </c>
      <c r="J1103" s="4">
        <f t="shared" ca="1" si="91"/>
        <v>18.158449999999998</v>
      </c>
      <c r="K1103" s="4"/>
      <c r="L1103" s="5">
        <f t="shared" ca="1" si="92"/>
        <v>356.48229999999995</v>
      </c>
      <c r="M1103" s="5">
        <f t="shared" ca="1" si="92"/>
        <v>142.42920000000001</v>
      </c>
      <c r="N1103" s="5">
        <f t="shared" ca="1" si="92"/>
        <v>58.377000000000002</v>
      </c>
      <c r="O1103" s="5">
        <f t="shared" ca="1" si="92"/>
        <v>4.4165999999999999</v>
      </c>
      <c r="P1103" s="5">
        <f t="shared" ca="1" si="92"/>
        <v>14.7493</v>
      </c>
      <c r="Q1103" s="5">
        <f t="shared" ca="1" si="92"/>
        <v>232.44659999999996</v>
      </c>
      <c r="R1103" s="4"/>
      <c r="S1103" s="4"/>
    </row>
    <row r="1104" spans="1:19" ht="15" customHeight="1">
      <c r="A1104" s="3">
        <f t="shared" si="45"/>
        <v>2069</v>
      </c>
      <c r="B1104" s="4">
        <f t="shared" ca="1" si="91"/>
        <v>19.169933333333333</v>
      </c>
      <c r="C1104" s="4">
        <f t="shared" ca="1" si="91"/>
        <v>19.176183333333331</v>
      </c>
      <c r="D1104" s="4">
        <f t="shared" ca="1" si="91"/>
        <v>19.189458333333331</v>
      </c>
      <c r="E1104" s="4">
        <f t="shared" ca="1" si="91"/>
        <v>19.184091666666667</v>
      </c>
      <c r="F1104" s="4">
        <f t="shared" ca="1" si="91"/>
        <v>19.880816666666664</v>
      </c>
      <c r="G1104" s="4">
        <f t="shared" ca="1" si="91"/>
        <v>18.950749999999999</v>
      </c>
      <c r="H1104" s="4">
        <f t="shared" ca="1" si="91"/>
        <v>19.894616666666664</v>
      </c>
      <c r="I1104" s="4">
        <f t="shared" ca="1" si="91"/>
        <v>18.748016666666668</v>
      </c>
      <c r="J1104" s="4">
        <f t="shared" ca="1" si="91"/>
        <v>18.59473333333333</v>
      </c>
      <c r="K1104" s="4"/>
      <c r="L1104" s="5">
        <f t="shared" ca="1" si="92"/>
        <v>355.53689999999995</v>
      </c>
      <c r="M1104" s="5">
        <f t="shared" ca="1" si="92"/>
        <v>142.0401</v>
      </c>
      <c r="N1104" s="5">
        <f t="shared" ca="1" si="92"/>
        <v>58.217499999999994</v>
      </c>
      <c r="O1104" s="5">
        <f t="shared" ca="1" si="92"/>
        <v>4.4046000000000003</v>
      </c>
      <c r="P1104" s="5">
        <f t="shared" ca="1" si="92"/>
        <v>14.707600000000001</v>
      </c>
      <c r="Q1104" s="5">
        <f t="shared" ca="1" si="92"/>
        <v>231.81149999999997</v>
      </c>
      <c r="R1104" s="4"/>
      <c r="S1104" s="4"/>
    </row>
    <row r="1105" spans="1:19" ht="15" customHeight="1">
      <c r="A1105" s="3">
        <f t="shared" ref="A1105:A1135" si="93">A1104+1</f>
        <v>2070</v>
      </c>
      <c r="B1105" s="4">
        <f t="shared" ca="1" si="91"/>
        <v>19.630274999999997</v>
      </c>
      <c r="C1105" s="4">
        <f t="shared" ca="1" si="91"/>
        <v>19.636516666666665</v>
      </c>
      <c r="D1105" s="4">
        <f t="shared" ca="1" si="91"/>
        <v>19.649791666666665</v>
      </c>
      <c r="E1105" s="4">
        <f t="shared" ca="1" si="91"/>
        <v>19.644416666666668</v>
      </c>
      <c r="F1105" s="4">
        <f t="shared" ca="1" si="91"/>
        <v>20.341133333333335</v>
      </c>
      <c r="G1105" s="4">
        <f t="shared" ca="1" si="91"/>
        <v>19.405691666666666</v>
      </c>
      <c r="H1105" s="4">
        <f t="shared" ca="1" si="91"/>
        <v>20.349566666666668</v>
      </c>
      <c r="I1105" s="4">
        <f t="shared" ca="1" si="91"/>
        <v>19.194974999999999</v>
      </c>
      <c r="J1105" s="4">
        <f t="shared" ca="1" si="91"/>
        <v>19.041450000000001</v>
      </c>
      <c r="K1105" s="4"/>
      <c r="L1105" s="5">
        <f t="shared" ca="1" si="92"/>
        <v>355.53689999999995</v>
      </c>
      <c r="M1105" s="5">
        <f t="shared" ca="1" si="92"/>
        <v>142.0401</v>
      </c>
      <c r="N1105" s="5">
        <f t="shared" ca="1" si="92"/>
        <v>58.217499999999994</v>
      </c>
      <c r="O1105" s="5">
        <f t="shared" ca="1" si="92"/>
        <v>4.4046000000000003</v>
      </c>
      <c r="P1105" s="5">
        <f t="shared" ca="1" si="92"/>
        <v>14.707600000000001</v>
      </c>
      <c r="Q1105" s="5">
        <f t="shared" ca="1" si="92"/>
        <v>231.81149999999997</v>
      </c>
      <c r="R1105" s="4"/>
      <c r="S1105" s="4"/>
    </row>
    <row r="1106" spans="1:19" ht="15" customHeight="1">
      <c r="A1106" s="3">
        <f t="shared" si="93"/>
        <v>2071</v>
      </c>
      <c r="B1106" s="4">
        <f t="shared" ca="1" si="91"/>
        <v>20.101658333333333</v>
      </c>
      <c r="C1106" s="4">
        <f t="shared" ca="1" si="91"/>
        <v>20.107925000000002</v>
      </c>
      <c r="D1106" s="4">
        <f t="shared" ca="1" si="91"/>
        <v>20.121183333333335</v>
      </c>
      <c r="E1106" s="4">
        <f t="shared" ca="1" si="91"/>
        <v>20.115824999999997</v>
      </c>
      <c r="F1106" s="4">
        <f t="shared" ca="1" si="91"/>
        <v>20.812541666666664</v>
      </c>
      <c r="G1106" s="4">
        <f t="shared" ca="1" si="91"/>
        <v>19.871558333333333</v>
      </c>
      <c r="H1106" s="4">
        <f t="shared" ca="1" si="91"/>
        <v>20.815441666666661</v>
      </c>
      <c r="I1106" s="4">
        <f t="shared" ca="1" si="91"/>
        <v>19.652691666666666</v>
      </c>
      <c r="J1106" s="4">
        <f t="shared" ca="1" si="91"/>
        <v>19.498958333333334</v>
      </c>
      <c r="K1106" s="4"/>
      <c r="L1106" s="5">
        <f t="shared" ca="1" si="92"/>
        <v>355.53689999999995</v>
      </c>
      <c r="M1106" s="5">
        <f t="shared" ca="1" si="92"/>
        <v>142.0401</v>
      </c>
      <c r="N1106" s="5">
        <f t="shared" ca="1" si="92"/>
        <v>58.217499999999994</v>
      </c>
      <c r="O1106" s="5">
        <f t="shared" ca="1" si="92"/>
        <v>4.4046000000000003</v>
      </c>
      <c r="P1106" s="5">
        <f t="shared" ca="1" si="92"/>
        <v>14.707600000000001</v>
      </c>
      <c r="Q1106" s="5">
        <f t="shared" ca="1" si="92"/>
        <v>231.81149999999997</v>
      </c>
      <c r="R1106" s="4"/>
      <c r="S1106" s="4"/>
    </row>
    <row r="1107" spans="1:19" ht="15" customHeight="1">
      <c r="A1107" s="3">
        <f t="shared" si="93"/>
        <v>2072</v>
      </c>
      <c r="B1107" s="4">
        <f t="shared" ref="B1107:J1116" ca="1" si="94">AVERAGE(OFFSET(B$581,($A1107-$A$1097)*12,0,12,1))</f>
        <v>20.584375000000001</v>
      </c>
      <c r="C1107" s="4">
        <f t="shared" ca="1" si="94"/>
        <v>20.590616666666669</v>
      </c>
      <c r="D1107" s="4">
        <f t="shared" ca="1" si="94"/>
        <v>20.603883333333332</v>
      </c>
      <c r="E1107" s="4">
        <f t="shared" ca="1" si="94"/>
        <v>20.598525000000002</v>
      </c>
      <c r="F1107" s="4">
        <f t="shared" ca="1" si="94"/>
        <v>21.295258333333333</v>
      </c>
      <c r="G1107" s="4">
        <f t="shared" ca="1" si="94"/>
        <v>20.348608333333331</v>
      </c>
      <c r="H1107" s="4">
        <f t="shared" ca="1" si="94"/>
        <v>21.2925</v>
      </c>
      <c r="I1107" s="4">
        <f t="shared" ca="1" si="94"/>
        <v>20.121383333333334</v>
      </c>
      <c r="J1107" s="4">
        <f t="shared" ca="1" si="94"/>
        <v>19.967416666666669</v>
      </c>
      <c r="K1107" s="4"/>
      <c r="L1107" s="5">
        <f t="shared" ref="L1107:Q1116" ca="1" si="95">SUM(OFFSET(L$581,($A1107-$A$1097)*12,0,12,1))</f>
        <v>356.48229999999995</v>
      </c>
      <c r="M1107" s="5">
        <f t="shared" ca="1" si="95"/>
        <v>142.42920000000001</v>
      </c>
      <c r="N1107" s="5">
        <f t="shared" ca="1" si="95"/>
        <v>58.377000000000002</v>
      </c>
      <c r="O1107" s="5">
        <f t="shared" ca="1" si="95"/>
        <v>4.4165999999999999</v>
      </c>
      <c r="P1107" s="5">
        <f t="shared" ca="1" si="95"/>
        <v>14.7493</v>
      </c>
      <c r="Q1107" s="5">
        <f t="shared" ca="1" si="95"/>
        <v>232.44659999999996</v>
      </c>
      <c r="R1107" s="4"/>
      <c r="S1107" s="4"/>
    </row>
    <row r="1108" spans="1:19" ht="15" customHeight="1">
      <c r="A1108" s="3">
        <f t="shared" si="93"/>
        <v>2073</v>
      </c>
      <c r="B1108" s="4">
        <f t="shared" ca="1" si="94"/>
        <v>21.078691666666671</v>
      </c>
      <c r="C1108" s="4">
        <f t="shared" ca="1" si="94"/>
        <v>21.084933333333336</v>
      </c>
      <c r="D1108" s="4">
        <f t="shared" ca="1" si="94"/>
        <v>21.098199999999999</v>
      </c>
      <c r="E1108" s="4">
        <f t="shared" ca="1" si="94"/>
        <v>21.092841666666668</v>
      </c>
      <c r="F1108" s="4">
        <f t="shared" ca="1" si="94"/>
        <v>21.789566666666669</v>
      </c>
      <c r="G1108" s="4">
        <f t="shared" ca="1" si="94"/>
        <v>20.837150000000001</v>
      </c>
      <c r="H1108" s="4">
        <f t="shared" ca="1" si="94"/>
        <v>21.78103333333333</v>
      </c>
      <c r="I1108" s="4">
        <f t="shared" ca="1" si="94"/>
        <v>20.601366666666667</v>
      </c>
      <c r="J1108" s="4">
        <f t="shared" ca="1" si="94"/>
        <v>20.447149999999997</v>
      </c>
      <c r="K1108" s="4"/>
      <c r="L1108" s="5">
        <f t="shared" ca="1" si="95"/>
        <v>355.53689999999995</v>
      </c>
      <c r="M1108" s="5">
        <f t="shared" ca="1" si="95"/>
        <v>142.0401</v>
      </c>
      <c r="N1108" s="5">
        <f t="shared" ca="1" si="95"/>
        <v>58.217499999999994</v>
      </c>
      <c r="O1108" s="5">
        <f t="shared" ca="1" si="95"/>
        <v>4.4046000000000003</v>
      </c>
      <c r="P1108" s="5">
        <f t="shared" ca="1" si="95"/>
        <v>14.707600000000001</v>
      </c>
      <c r="Q1108" s="5">
        <f t="shared" ca="1" si="95"/>
        <v>231.81149999999997</v>
      </c>
      <c r="R1108" s="4"/>
      <c r="S1108" s="4"/>
    </row>
    <row r="1109" spans="1:19" ht="15" customHeight="1">
      <c r="A1109" s="3">
        <f t="shared" si="93"/>
        <v>2074</v>
      </c>
      <c r="B1109" s="4">
        <f t="shared" ca="1" si="94"/>
        <v>21.584874999999997</v>
      </c>
      <c r="C1109" s="4">
        <f t="shared" ca="1" si="94"/>
        <v>21.591133333333335</v>
      </c>
      <c r="D1109" s="4">
        <f t="shared" ca="1" si="94"/>
        <v>21.604391666666661</v>
      </c>
      <c r="E1109" s="4">
        <f t="shared" ca="1" si="94"/>
        <v>21.599025000000001</v>
      </c>
      <c r="F1109" s="4">
        <f t="shared" ca="1" si="94"/>
        <v>22.295749999999998</v>
      </c>
      <c r="G1109" s="4">
        <f t="shared" ca="1" si="94"/>
        <v>21.337391666666672</v>
      </c>
      <c r="H1109" s="4">
        <f t="shared" ca="1" si="94"/>
        <v>22.281291666666664</v>
      </c>
      <c r="I1109" s="4">
        <f t="shared" ca="1" si="94"/>
        <v>21.092874999999996</v>
      </c>
      <c r="J1109" s="4">
        <f t="shared" ca="1" si="94"/>
        <v>20.938416666666665</v>
      </c>
      <c r="K1109" s="4"/>
      <c r="L1109" s="5">
        <f t="shared" ca="1" si="95"/>
        <v>355.53689999999995</v>
      </c>
      <c r="M1109" s="5">
        <f t="shared" ca="1" si="95"/>
        <v>142.0401</v>
      </c>
      <c r="N1109" s="5">
        <f t="shared" ca="1" si="95"/>
        <v>58.217499999999994</v>
      </c>
      <c r="O1109" s="5">
        <f t="shared" ca="1" si="95"/>
        <v>4.4046000000000003</v>
      </c>
      <c r="P1109" s="5">
        <f t="shared" ca="1" si="95"/>
        <v>14.707600000000001</v>
      </c>
      <c r="Q1109" s="5">
        <f t="shared" ca="1" si="95"/>
        <v>231.81149999999997</v>
      </c>
      <c r="R1109" s="4"/>
      <c r="S1109" s="4"/>
    </row>
    <row r="1110" spans="1:19" ht="15" customHeight="1">
      <c r="A1110" s="3">
        <f t="shared" si="93"/>
        <v>2075</v>
      </c>
      <c r="B1110" s="4">
        <f t="shared" ca="1" si="94"/>
        <v>22.103233333333332</v>
      </c>
      <c r="C1110" s="4">
        <f t="shared" ca="1" si="94"/>
        <v>22.109475000000003</v>
      </c>
      <c r="D1110" s="4">
        <f t="shared" ca="1" si="94"/>
        <v>22.122741666666666</v>
      </c>
      <c r="E1110" s="4">
        <f t="shared" ca="1" si="94"/>
        <v>22.117374999999999</v>
      </c>
      <c r="F1110" s="4">
        <f t="shared" ca="1" si="94"/>
        <v>22.814108333333333</v>
      </c>
      <c r="G1110" s="4">
        <f t="shared" ca="1" si="94"/>
        <v>21.849683333333331</v>
      </c>
      <c r="H1110" s="4">
        <f t="shared" ca="1" si="94"/>
        <v>22.793574999999993</v>
      </c>
      <c r="I1110" s="4">
        <f t="shared" ca="1" si="94"/>
        <v>21.596183333333332</v>
      </c>
      <c r="J1110" s="4">
        <f t="shared" ca="1" si="94"/>
        <v>21.44145833333333</v>
      </c>
      <c r="K1110" s="4"/>
      <c r="L1110" s="5">
        <f t="shared" ca="1" si="95"/>
        <v>355.53689999999995</v>
      </c>
      <c r="M1110" s="5">
        <f t="shared" ca="1" si="95"/>
        <v>142.0401</v>
      </c>
      <c r="N1110" s="5">
        <f t="shared" ca="1" si="95"/>
        <v>58.217499999999994</v>
      </c>
      <c r="O1110" s="5">
        <f t="shared" ca="1" si="95"/>
        <v>4.4046000000000003</v>
      </c>
      <c r="P1110" s="5">
        <f t="shared" ca="1" si="95"/>
        <v>14.707600000000001</v>
      </c>
      <c r="Q1110" s="5">
        <f t="shared" ca="1" si="95"/>
        <v>231.81149999999997</v>
      </c>
      <c r="R1110" s="4"/>
      <c r="S1110" s="4"/>
    </row>
    <row r="1111" spans="1:19" ht="15" customHeight="1">
      <c r="A1111" s="3">
        <f t="shared" si="93"/>
        <v>2076</v>
      </c>
      <c r="B1111" s="4">
        <f t="shared" ca="1" si="94"/>
        <v>22.634050000000002</v>
      </c>
      <c r="C1111" s="4">
        <f t="shared" ca="1" si="94"/>
        <v>22.64029166666667</v>
      </c>
      <c r="D1111" s="4">
        <f t="shared" ca="1" si="94"/>
        <v>22.653558333333336</v>
      </c>
      <c r="E1111" s="4">
        <f t="shared" ca="1" si="94"/>
        <v>22.648191666666666</v>
      </c>
      <c r="F1111" s="4">
        <f t="shared" ca="1" si="94"/>
        <v>23.344916666666666</v>
      </c>
      <c r="G1111" s="4">
        <f t="shared" ca="1" si="94"/>
        <v>22.374266666666667</v>
      </c>
      <c r="H1111" s="4">
        <f t="shared" ca="1" si="94"/>
        <v>23.318149999999999</v>
      </c>
      <c r="I1111" s="4">
        <f t="shared" ca="1" si="94"/>
        <v>22.111591666666666</v>
      </c>
      <c r="J1111" s="4">
        <f t="shared" ca="1" si="94"/>
        <v>21.956616666666665</v>
      </c>
      <c r="K1111" s="4"/>
      <c r="L1111" s="5">
        <f t="shared" ca="1" si="95"/>
        <v>356.48229999999995</v>
      </c>
      <c r="M1111" s="5">
        <f t="shared" ca="1" si="95"/>
        <v>142.42920000000001</v>
      </c>
      <c r="N1111" s="5">
        <f t="shared" ca="1" si="95"/>
        <v>58.377000000000002</v>
      </c>
      <c r="O1111" s="5">
        <f t="shared" ca="1" si="95"/>
        <v>4.4165999999999999</v>
      </c>
      <c r="P1111" s="5">
        <f t="shared" ca="1" si="95"/>
        <v>14.7493</v>
      </c>
      <c r="Q1111" s="5">
        <f t="shared" ca="1" si="95"/>
        <v>232.44659999999996</v>
      </c>
      <c r="R1111" s="4"/>
      <c r="S1111" s="4"/>
    </row>
    <row r="1112" spans="1:19" ht="15" customHeight="1">
      <c r="A1112" s="3">
        <f t="shared" si="93"/>
        <v>2077</v>
      </c>
      <c r="B1112" s="4">
        <f t="shared" ca="1" si="94"/>
        <v>23.177591666666668</v>
      </c>
      <c r="C1112" s="4">
        <f t="shared" ca="1" si="94"/>
        <v>23.183858333333337</v>
      </c>
      <c r="D1112" s="4">
        <f t="shared" ca="1" si="94"/>
        <v>23.19711666666667</v>
      </c>
      <c r="E1112" s="4">
        <f t="shared" ca="1" si="94"/>
        <v>23.191758333333336</v>
      </c>
      <c r="F1112" s="4">
        <f t="shared" ca="1" si="94"/>
        <v>23.888475</v>
      </c>
      <c r="G1112" s="4">
        <f t="shared" ca="1" si="94"/>
        <v>22.911466666666666</v>
      </c>
      <c r="H1112" s="4">
        <f t="shared" ca="1" si="94"/>
        <v>23.855358333333331</v>
      </c>
      <c r="I1112" s="4">
        <f t="shared" ca="1" si="94"/>
        <v>22.639399999999998</v>
      </c>
      <c r="J1112" s="4">
        <f t="shared" ca="1" si="94"/>
        <v>22.48414166666667</v>
      </c>
      <c r="K1112" s="4"/>
      <c r="L1112" s="5">
        <f t="shared" ca="1" si="95"/>
        <v>355.53689999999995</v>
      </c>
      <c r="M1112" s="5">
        <f t="shared" ca="1" si="95"/>
        <v>142.0401</v>
      </c>
      <c r="N1112" s="5">
        <f t="shared" ca="1" si="95"/>
        <v>58.217499999999994</v>
      </c>
      <c r="O1112" s="5">
        <f t="shared" ca="1" si="95"/>
        <v>4.4046000000000003</v>
      </c>
      <c r="P1112" s="5">
        <f t="shared" ca="1" si="95"/>
        <v>14.707600000000001</v>
      </c>
      <c r="Q1112" s="5">
        <f t="shared" ca="1" si="95"/>
        <v>231.81149999999997</v>
      </c>
      <c r="R1112" s="4"/>
      <c r="S1112" s="4"/>
    </row>
    <row r="1113" spans="1:19" ht="15" customHeight="1">
      <c r="A1113" s="3">
        <f t="shared" si="93"/>
        <v>2078</v>
      </c>
      <c r="B1113" s="4">
        <f t="shared" ca="1" si="94"/>
        <v>23.734208333333331</v>
      </c>
      <c r="C1113" s="4">
        <f t="shared" ca="1" si="94"/>
        <v>23.740466666666666</v>
      </c>
      <c r="D1113" s="4">
        <f t="shared" ca="1" si="94"/>
        <v>23.753741666666667</v>
      </c>
      <c r="E1113" s="4">
        <f t="shared" ca="1" si="94"/>
        <v>23.748366666666666</v>
      </c>
      <c r="F1113" s="4">
        <f t="shared" ca="1" si="94"/>
        <v>24.44509166666667</v>
      </c>
      <c r="G1113" s="4">
        <f t="shared" ca="1" si="94"/>
        <v>23.461575</v>
      </c>
      <c r="H1113" s="4">
        <f t="shared" ca="1" si="94"/>
        <v>24.405458333333332</v>
      </c>
      <c r="I1113" s="4">
        <f t="shared" ca="1" si="94"/>
        <v>23.179841666666665</v>
      </c>
      <c r="J1113" s="4">
        <f t="shared" ca="1" si="94"/>
        <v>23.024350000000002</v>
      </c>
      <c r="K1113" s="4"/>
      <c r="L1113" s="5">
        <f t="shared" ca="1" si="95"/>
        <v>355.53689999999995</v>
      </c>
      <c r="M1113" s="5">
        <f t="shared" ca="1" si="95"/>
        <v>142.0401</v>
      </c>
      <c r="N1113" s="5">
        <f t="shared" ca="1" si="95"/>
        <v>58.217499999999994</v>
      </c>
      <c r="O1113" s="5">
        <f t="shared" ca="1" si="95"/>
        <v>4.4046000000000003</v>
      </c>
      <c r="P1113" s="5">
        <f t="shared" ca="1" si="95"/>
        <v>14.707600000000001</v>
      </c>
      <c r="Q1113" s="5">
        <f t="shared" ca="1" si="95"/>
        <v>231.81149999999997</v>
      </c>
      <c r="R1113" s="4"/>
      <c r="S1113" s="4"/>
    </row>
    <row r="1114" spans="1:19" ht="15" customHeight="1">
      <c r="A1114" s="3">
        <f t="shared" si="93"/>
        <v>2079</v>
      </c>
      <c r="B1114" s="4">
        <f t="shared" ca="1" si="94"/>
        <v>24.304208333333335</v>
      </c>
      <c r="C1114" s="4">
        <f t="shared" ca="1" si="94"/>
        <v>24.310466666666667</v>
      </c>
      <c r="D1114" s="4">
        <f t="shared" ca="1" si="94"/>
        <v>24.323733333333337</v>
      </c>
      <c r="E1114" s="4">
        <f t="shared" ca="1" si="94"/>
        <v>24.318366666666666</v>
      </c>
      <c r="F1114" s="4">
        <f t="shared" ca="1" si="94"/>
        <v>25.015083333333333</v>
      </c>
      <c r="G1114" s="4">
        <f t="shared" ca="1" si="94"/>
        <v>24.024899999999999</v>
      </c>
      <c r="H1114" s="4">
        <f t="shared" ca="1" si="94"/>
        <v>24.968783333333334</v>
      </c>
      <c r="I1114" s="4">
        <f t="shared" ca="1" si="94"/>
        <v>23.733308333333337</v>
      </c>
      <c r="J1114" s="4">
        <f t="shared" ca="1" si="94"/>
        <v>23.577525000000005</v>
      </c>
      <c r="K1114" s="4"/>
      <c r="L1114" s="5">
        <f t="shared" ca="1" si="95"/>
        <v>355.53689999999995</v>
      </c>
      <c r="M1114" s="5">
        <f t="shared" ca="1" si="95"/>
        <v>142.0401</v>
      </c>
      <c r="N1114" s="5">
        <f t="shared" ca="1" si="95"/>
        <v>58.217499999999994</v>
      </c>
      <c r="O1114" s="5">
        <f t="shared" ca="1" si="95"/>
        <v>4.4046000000000003</v>
      </c>
      <c r="P1114" s="5">
        <f t="shared" ca="1" si="95"/>
        <v>14.707600000000001</v>
      </c>
      <c r="Q1114" s="5">
        <f t="shared" ca="1" si="95"/>
        <v>231.81149999999997</v>
      </c>
      <c r="R1114" s="4"/>
      <c r="S1114" s="4"/>
    </row>
    <row r="1115" spans="1:19" ht="15" customHeight="1">
      <c r="A1115" s="3">
        <f t="shared" si="93"/>
        <v>2080</v>
      </c>
      <c r="B1115" s="4">
        <f t="shared" ca="1" si="94"/>
        <v>24.887891666666665</v>
      </c>
      <c r="C1115" s="4">
        <f t="shared" ca="1" si="94"/>
        <v>24.89415</v>
      </c>
      <c r="D1115" s="4">
        <f t="shared" ca="1" si="94"/>
        <v>24.907416666666666</v>
      </c>
      <c r="E1115" s="4">
        <f t="shared" ca="1" si="94"/>
        <v>24.902049999999999</v>
      </c>
      <c r="F1115" s="4">
        <f t="shared" ca="1" si="94"/>
        <v>25.598775</v>
      </c>
      <c r="G1115" s="4">
        <f t="shared" ca="1" si="94"/>
        <v>24.601741666666666</v>
      </c>
      <c r="H1115" s="4">
        <f t="shared" ca="1" si="94"/>
        <v>25.545633333333331</v>
      </c>
      <c r="I1115" s="4">
        <f t="shared" ca="1" si="94"/>
        <v>24.300058333333336</v>
      </c>
      <c r="J1115" s="4">
        <f t="shared" ca="1" si="94"/>
        <v>24.144008333333332</v>
      </c>
      <c r="K1115" s="4"/>
      <c r="L1115" s="5">
        <f t="shared" ca="1" si="95"/>
        <v>356.48229999999995</v>
      </c>
      <c r="M1115" s="5">
        <f t="shared" ca="1" si="95"/>
        <v>142.42920000000001</v>
      </c>
      <c r="N1115" s="5">
        <f t="shared" ca="1" si="95"/>
        <v>58.377000000000002</v>
      </c>
      <c r="O1115" s="5">
        <f t="shared" ca="1" si="95"/>
        <v>4.4165999999999999</v>
      </c>
      <c r="P1115" s="5">
        <f t="shared" ca="1" si="95"/>
        <v>14.7493</v>
      </c>
      <c r="Q1115" s="5">
        <f t="shared" ca="1" si="95"/>
        <v>232.44659999999996</v>
      </c>
      <c r="R1115" s="4"/>
      <c r="S1115" s="4"/>
    </row>
    <row r="1116" spans="1:19" ht="15" customHeight="1">
      <c r="A1116" s="3">
        <f t="shared" si="93"/>
        <v>2081</v>
      </c>
      <c r="B1116" s="4">
        <f t="shared" ca="1" si="94"/>
        <v>25.485641666666666</v>
      </c>
      <c r="C1116" s="4">
        <f t="shared" ca="1" si="94"/>
        <v>25.491875000000004</v>
      </c>
      <c r="D1116" s="4">
        <f t="shared" ca="1" si="94"/>
        <v>25.50515</v>
      </c>
      <c r="E1116" s="4">
        <f t="shared" ca="1" si="94"/>
        <v>25.49978333333333</v>
      </c>
      <c r="F1116" s="4">
        <f t="shared" ca="1" si="94"/>
        <v>26.1965</v>
      </c>
      <c r="G1116" s="4">
        <f t="shared" ca="1" si="94"/>
        <v>25.192466666666672</v>
      </c>
      <c r="H1116" s="4">
        <f t="shared" ca="1" si="94"/>
        <v>26.136358333333334</v>
      </c>
      <c r="I1116" s="4">
        <f t="shared" ca="1" si="94"/>
        <v>24.88044166666667</v>
      </c>
      <c r="J1116" s="4">
        <f t="shared" ca="1" si="94"/>
        <v>24.724108333333334</v>
      </c>
      <c r="K1116" s="4"/>
      <c r="L1116" s="5">
        <f t="shared" ca="1" si="95"/>
        <v>355.53689999999995</v>
      </c>
      <c r="M1116" s="5">
        <f t="shared" ca="1" si="95"/>
        <v>142.0401</v>
      </c>
      <c r="N1116" s="5">
        <f t="shared" ca="1" si="95"/>
        <v>58.217499999999994</v>
      </c>
      <c r="O1116" s="5">
        <f t="shared" ca="1" si="95"/>
        <v>4.4046000000000003</v>
      </c>
      <c r="P1116" s="5">
        <f t="shared" ca="1" si="95"/>
        <v>14.707600000000001</v>
      </c>
      <c r="Q1116" s="5">
        <f t="shared" ca="1" si="95"/>
        <v>231.81149999999997</v>
      </c>
      <c r="R1116" s="4"/>
      <c r="S1116" s="4"/>
    </row>
    <row r="1117" spans="1:19" ht="15" customHeight="1">
      <c r="A1117" s="3">
        <f t="shared" si="93"/>
        <v>2082</v>
      </c>
      <c r="B1117" s="4">
        <f t="shared" ref="B1117:J1126" ca="1" si="96">AVERAGE(OFFSET(B$581,($A1117-$A$1097)*12,0,12,1))</f>
        <v>26.0977</v>
      </c>
      <c r="C1117" s="4">
        <f t="shared" ca="1" si="96"/>
        <v>26.103949999999998</v>
      </c>
      <c r="D1117" s="4">
        <f t="shared" ca="1" si="96"/>
        <v>26.117216666666668</v>
      </c>
      <c r="E1117" s="4">
        <f t="shared" ca="1" si="96"/>
        <v>26.111858333333334</v>
      </c>
      <c r="F1117" s="4">
        <f t="shared" ca="1" si="96"/>
        <v>26.808575000000001</v>
      </c>
      <c r="G1117" s="4">
        <f t="shared" ca="1" si="96"/>
        <v>25.797374999999999</v>
      </c>
      <c r="H1117" s="4">
        <f t="shared" ca="1" si="96"/>
        <v>26.741266666666672</v>
      </c>
      <c r="I1117" s="4">
        <f t="shared" ca="1" si="96"/>
        <v>25.47475</v>
      </c>
      <c r="J1117" s="4">
        <f t="shared" ca="1" si="96"/>
        <v>25.318108333333338</v>
      </c>
      <c r="K1117" s="4"/>
      <c r="L1117" s="5">
        <f t="shared" ref="L1117:Q1126" ca="1" si="97">SUM(OFFSET(L$581,($A1117-$A$1097)*12,0,12,1))</f>
        <v>355.53689999999995</v>
      </c>
      <c r="M1117" s="5">
        <f t="shared" ca="1" si="97"/>
        <v>142.0401</v>
      </c>
      <c r="N1117" s="5">
        <f t="shared" ca="1" si="97"/>
        <v>58.217499999999994</v>
      </c>
      <c r="O1117" s="5">
        <f t="shared" ca="1" si="97"/>
        <v>4.4046000000000003</v>
      </c>
      <c r="P1117" s="5">
        <f t="shared" ca="1" si="97"/>
        <v>14.707600000000001</v>
      </c>
      <c r="Q1117" s="5">
        <f t="shared" ca="1" si="97"/>
        <v>231.81149999999997</v>
      </c>
      <c r="R1117" s="4"/>
      <c r="S1117" s="4"/>
    </row>
    <row r="1118" spans="1:19" ht="15" customHeight="1">
      <c r="A1118" s="3">
        <f t="shared" si="93"/>
        <v>2083</v>
      </c>
      <c r="B1118" s="4">
        <f t="shared" ca="1" si="96"/>
        <v>26.724474999999998</v>
      </c>
      <c r="C1118" s="4">
        <f t="shared" ca="1" si="96"/>
        <v>26.73075</v>
      </c>
      <c r="D1118" s="4">
        <f t="shared" ca="1" si="96"/>
        <v>26.74400833333333</v>
      </c>
      <c r="E1118" s="4">
        <f t="shared" ca="1" si="96"/>
        <v>26.738633333333336</v>
      </c>
      <c r="F1118" s="4">
        <f t="shared" ca="1" si="96"/>
        <v>27.435358333333337</v>
      </c>
      <c r="G1118" s="4">
        <f t="shared" ca="1" si="96"/>
        <v>26.416824999999999</v>
      </c>
      <c r="H1118" s="4">
        <f t="shared" ca="1" si="96"/>
        <v>27.360708333333335</v>
      </c>
      <c r="I1118" s="4">
        <f t="shared" ca="1" si="96"/>
        <v>26.083341666666669</v>
      </c>
      <c r="J1118" s="4">
        <f t="shared" ca="1" si="96"/>
        <v>25.926400000000001</v>
      </c>
      <c r="K1118" s="4"/>
      <c r="L1118" s="5">
        <f t="shared" ca="1" si="97"/>
        <v>355.53689999999995</v>
      </c>
      <c r="M1118" s="5">
        <f t="shared" ca="1" si="97"/>
        <v>142.0401</v>
      </c>
      <c r="N1118" s="5">
        <f t="shared" ca="1" si="97"/>
        <v>58.217499999999994</v>
      </c>
      <c r="O1118" s="5">
        <f t="shared" ca="1" si="97"/>
        <v>4.4046000000000003</v>
      </c>
      <c r="P1118" s="5">
        <f t="shared" ca="1" si="97"/>
        <v>14.707600000000001</v>
      </c>
      <c r="Q1118" s="5">
        <f t="shared" ca="1" si="97"/>
        <v>231.81149999999997</v>
      </c>
      <c r="R1118" s="4"/>
      <c r="S1118" s="4"/>
    </row>
    <row r="1119" spans="1:19" ht="15" customHeight="1">
      <c r="A1119" s="3">
        <f t="shared" si="93"/>
        <v>2084</v>
      </c>
      <c r="B1119" s="4">
        <f t="shared" ca="1" si="96"/>
        <v>27.366308333333333</v>
      </c>
      <c r="C1119" s="4">
        <f t="shared" ca="1" si="96"/>
        <v>27.372583333333335</v>
      </c>
      <c r="D1119" s="4">
        <f t="shared" ca="1" si="96"/>
        <v>27.385841666666668</v>
      </c>
      <c r="E1119" s="4">
        <f t="shared" ca="1" si="96"/>
        <v>27.380483333333331</v>
      </c>
      <c r="F1119" s="4">
        <f t="shared" ca="1" si="96"/>
        <v>28.077200000000005</v>
      </c>
      <c r="G1119" s="4">
        <f t="shared" ca="1" si="96"/>
        <v>27.051158333333333</v>
      </c>
      <c r="H1119" s="4">
        <f t="shared" ca="1" si="96"/>
        <v>27.995041666666665</v>
      </c>
      <c r="I1119" s="4">
        <f t="shared" ca="1" si="96"/>
        <v>26.706575000000001</v>
      </c>
      <c r="J1119" s="4">
        <f t="shared" ca="1" si="96"/>
        <v>26.54931666666667</v>
      </c>
      <c r="K1119" s="4"/>
      <c r="L1119" s="5">
        <f t="shared" ca="1" si="97"/>
        <v>356.48229999999995</v>
      </c>
      <c r="M1119" s="5">
        <f t="shared" ca="1" si="97"/>
        <v>142.42920000000001</v>
      </c>
      <c r="N1119" s="5">
        <f t="shared" ca="1" si="97"/>
        <v>58.377000000000002</v>
      </c>
      <c r="O1119" s="5">
        <f t="shared" ca="1" si="97"/>
        <v>4.4165999999999999</v>
      </c>
      <c r="P1119" s="5">
        <f t="shared" ca="1" si="97"/>
        <v>14.7493</v>
      </c>
      <c r="Q1119" s="5">
        <f t="shared" ca="1" si="97"/>
        <v>232.44659999999996</v>
      </c>
      <c r="R1119" s="4"/>
      <c r="S1119" s="4"/>
    </row>
    <row r="1120" spans="1:19" ht="15" customHeight="1">
      <c r="A1120" s="3">
        <f t="shared" si="93"/>
        <v>2085</v>
      </c>
      <c r="B1120" s="4">
        <f t="shared" ca="1" si="96"/>
        <v>28.023591666666665</v>
      </c>
      <c r="C1120" s="4">
        <f t="shared" ca="1" si="96"/>
        <v>28.02984166666667</v>
      </c>
      <c r="D1120" s="4">
        <f t="shared" ca="1" si="96"/>
        <v>28.04313333333333</v>
      </c>
      <c r="E1120" s="4">
        <f t="shared" ca="1" si="96"/>
        <v>28.037749999999999</v>
      </c>
      <c r="F1120" s="4">
        <f t="shared" ca="1" si="96"/>
        <v>28.734466666666666</v>
      </c>
      <c r="G1120" s="4">
        <f t="shared" ca="1" si="96"/>
        <v>27.700716666666668</v>
      </c>
      <c r="H1120" s="4">
        <f t="shared" ca="1" si="96"/>
        <v>28.644600000000001</v>
      </c>
      <c r="I1120" s="4">
        <f t="shared" ca="1" si="96"/>
        <v>27.344791666666669</v>
      </c>
      <c r="J1120" s="4">
        <f t="shared" ca="1" si="96"/>
        <v>27.187191666666667</v>
      </c>
      <c r="K1120" s="4"/>
      <c r="L1120" s="5">
        <f t="shared" ca="1" si="97"/>
        <v>355.53689999999995</v>
      </c>
      <c r="M1120" s="5">
        <f t="shared" ca="1" si="97"/>
        <v>142.0401</v>
      </c>
      <c r="N1120" s="5">
        <f t="shared" ca="1" si="97"/>
        <v>58.217499999999994</v>
      </c>
      <c r="O1120" s="5">
        <f t="shared" ca="1" si="97"/>
        <v>4.4046000000000003</v>
      </c>
      <c r="P1120" s="5">
        <f t="shared" ca="1" si="97"/>
        <v>14.707600000000001</v>
      </c>
      <c r="Q1120" s="5">
        <f t="shared" ca="1" si="97"/>
        <v>231.81149999999997</v>
      </c>
      <c r="R1120" s="4"/>
      <c r="S1120" s="4"/>
    </row>
    <row r="1121" spans="1:19" ht="15" customHeight="1">
      <c r="A1121" s="3">
        <f t="shared" si="93"/>
        <v>2086</v>
      </c>
      <c r="B1121" s="4">
        <f t="shared" ca="1" si="96"/>
        <v>28.696658333333335</v>
      </c>
      <c r="C1121" s="4">
        <f t="shared" ca="1" si="96"/>
        <v>28.702899999999996</v>
      </c>
      <c r="D1121" s="4">
        <f t="shared" ca="1" si="96"/>
        <v>28.716166666666666</v>
      </c>
      <c r="E1121" s="4">
        <f t="shared" ca="1" si="96"/>
        <v>28.710808333333333</v>
      </c>
      <c r="F1121" s="4">
        <f t="shared" ca="1" si="96"/>
        <v>29.407541666666663</v>
      </c>
      <c r="G1121" s="4">
        <f t="shared" ca="1" si="96"/>
        <v>28.3659</v>
      </c>
      <c r="H1121" s="4">
        <f t="shared" ca="1" si="96"/>
        <v>29.309791666666666</v>
      </c>
      <c r="I1121" s="4">
        <f t="shared" ca="1" si="96"/>
        <v>27.9983</v>
      </c>
      <c r="J1121" s="4">
        <f t="shared" ca="1" si="96"/>
        <v>27.840391666666665</v>
      </c>
      <c r="K1121" s="4"/>
      <c r="L1121" s="5">
        <f t="shared" ca="1" si="97"/>
        <v>355.53689999999995</v>
      </c>
      <c r="M1121" s="5">
        <f t="shared" ca="1" si="97"/>
        <v>142.0401</v>
      </c>
      <c r="N1121" s="5">
        <f t="shared" ca="1" si="97"/>
        <v>58.217499999999994</v>
      </c>
      <c r="O1121" s="5">
        <f t="shared" ca="1" si="97"/>
        <v>4.4046000000000003</v>
      </c>
      <c r="P1121" s="5">
        <f t="shared" ca="1" si="97"/>
        <v>14.707600000000001</v>
      </c>
      <c r="Q1121" s="5">
        <f t="shared" ca="1" si="97"/>
        <v>231.81149999999997</v>
      </c>
      <c r="R1121" s="4"/>
      <c r="S1121" s="4"/>
    </row>
    <row r="1122" spans="1:19" ht="15" customHeight="1">
      <c r="A1122" s="3">
        <f t="shared" si="93"/>
        <v>2087</v>
      </c>
      <c r="B1122" s="4">
        <f t="shared" ca="1" si="96"/>
        <v>29.385883333333329</v>
      </c>
      <c r="C1122" s="4">
        <f t="shared" ca="1" si="96"/>
        <v>29.392133333333337</v>
      </c>
      <c r="D1122" s="4">
        <f t="shared" ca="1" si="96"/>
        <v>29.4054</v>
      </c>
      <c r="E1122" s="4">
        <f t="shared" ca="1" si="96"/>
        <v>29.400033333333337</v>
      </c>
      <c r="F1122" s="4">
        <f t="shared" ca="1" si="96"/>
        <v>30.09675833333333</v>
      </c>
      <c r="G1122" s="4">
        <f t="shared" ca="1" si="96"/>
        <v>29.047066666666666</v>
      </c>
      <c r="H1122" s="4">
        <f t="shared" ca="1" si="96"/>
        <v>29.990941666666668</v>
      </c>
      <c r="I1122" s="4">
        <f t="shared" ca="1" si="96"/>
        <v>28.667533333333328</v>
      </c>
      <c r="J1122" s="4">
        <f t="shared" ca="1" si="96"/>
        <v>28.50928333333334</v>
      </c>
      <c r="K1122" s="4"/>
      <c r="L1122" s="5">
        <f t="shared" ca="1" si="97"/>
        <v>355.53689999999995</v>
      </c>
      <c r="M1122" s="5">
        <f t="shared" ca="1" si="97"/>
        <v>142.0401</v>
      </c>
      <c r="N1122" s="5">
        <f t="shared" ca="1" si="97"/>
        <v>58.217499999999994</v>
      </c>
      <c r="O1122" s="5">
        <f t="shared" ca="1" si="97"/>
        <v>4.4046000000000003</v>
      </c>
      <c r="P1122" s="5">
        <f t="shared" ca="1" si="97"/>
        <v>14.707600000000001</v>
      </c>
      <c r="Q1122" s="5">
        <f t="shared" ca="1" si="97"/>
        <v>231.81149999999997</v>
      </c>
      <c r="R1122" s="4"/>
      <c r="S1122" s="4"/>
    </row>
    <row r="1123" spans="1:19" ht="15" customHeight="1">
      <c r="A1123" s="3">
        <f t="shared" si="93"/>
        <v>2088</v>
      </c>
      <c r="B1123" s="4">
        <f t="shared" ca="1" si="96"/>
        <v>30.091658333333331</v>
      </c>
      <c r="C1123" s="4">
        <f t="shared" ca="1" si="96"/>
        <v>30.097933333333334</v>
      </c>
      <c r="D1123" s="4">
        <f t="shared" ca="1" si="96"/>
        <v>30.11119166666667</v>
      </c>
      <c r="E1123" s="4">
        <f t="shared" ca="1" si="96"/>
        <v>30.105833333333333</v>
      </c>
      <c r="F1123" s="4">
        <f t="shared" ca="1" si="96"/>
        <v>30.80255</v>
      </c>
      <c r="G1123" s="4">
        <f t="shared" ca="1" si="96"/>
        <v>29.744574999999998</v>
      </c>
      <c r="H1123" s="4">
        <f t="shared" ca="1" si="96"/>
        <v>30.688466666666667</v>
      </c>
      <c r="I1123" s="4">
        <f t="shared" ca="1" si="96"/>
        <v>29.352833333333333</v>
      </c>
      <c r="J1123" s="4">
        <f t="shared" ca="1" si="96"/>
        <v>29.194266666666667</v>
      </c>
      <c r="K1123" s="4"/>
      <c r="L1123" s="5">
        <f t="shared" ca="1" si="97"/>
        <v>356.48229999999995</v>
      </c>
      <c r="M1123" s="5">
        <f t="shared" ca="1" si="97"/>
        <v>142.42920000000001</v>
      </c>
      <c r="N1123" s="5">
        <f t="shared" ca="1" si="97"/>
        <v>58.377000000000002</v>
      </c>
      <c r="O1123" s="5">
        <f t="shared" ca="1" si="97"/>
        <v>4.4165999999999999</v>
      </c>
      <c r="P1123" s="5">
        <f t="shared" ca="1" si="97"/>
        <v>14.7493</v>
      </c>
      <c r="Q1123" s="5">
        <f t="shared" ca="1" si="97"/>
        <v>232.44659999999996</v>
      </c>
      <c r="R1123" s="4"/>
      <c r="S1123" s="4"/>
    </row>
    <row r="1124" spans="1:19" ht="15" customHeight="1">
      <c r="A1124" s="3">
        <f t="shared" si="93"/>
        <v>2089</v>
      </c>
      <c r="B1124" s="4">
        <f t="shared" ca="1" si="96"/>
        <v>30.81441666666667</v>
      </c>
      <c r="C1124" s="4">
        <f t="shared" ca="1" si="96"/>
        <v>30.820683333333339</v>
      </c>
      <c r="D1124" s="4">
        <f t="shared" ca="1" si="96"/>
        <v>30.833950000000002</v>
      </c>
      <c r="E1124" s="4">
        <f t="shared" ca="1" si="96"/>
        <v>30.828583333333331</v>
      </c>
      <c r="F1124" s="4">
        <f t="shared" ca="1" si="96"/>
        <v>31.525308333333339</v>
      </c>
      <c r="G1124" s="4">
        <f t="shared" ca="1" si="96"/>
        <v>30.458866666666665</v>
      </c>
      <c r="H1124" s="4">
        <f t="shared" ca="1" si="96"/>
        <v>31.402758333333338</v>
      </c>
      <c r="I1124" s="4">
        <f t="shared" ca="1" si="96"/>
        <v>30.054633333333332</v>
      </c>
      <c r="J1124" s="4">
        <f t="shared" ca="1" si="96"/>
        <v>29.895691666666664</v>
      </c>
      <c r="K1124" s="4"/>
      <c r="L1124" s="5">
        <f t="shared" ca="1" si="97"/>
        <v>355.53689999999995</v>
      </c>
      <c r="M1124" s="5">
        <f t="shared" ca="1" si="97"/>
        <v>142.0401</v>
      </c>
      <c r="N1124" s="5">
        <f t="shared" ca="1" si="97"/>
        <v>58.217499999999994</v>
      </c>
      <c r="O1124" s="5">
        <f t="shared" ca="1" si="97"/>
        <v>4.4046000000000003</v>
      </c>
      <c r="P1124" s="5">
        <f t="shared" ca="1" si="97"/>
        <v>14.707600000000001</v>
      </c>
      <c r="Q1124" s="5">
        <f t="shared" ca="1" si="97"/>
        <v>231.81149999999997</v>
      </c>
      <c r="R1124" s="4"/>
      <c r="S1124" s="4"/>
    </row>
    <row r="1125" spans="1:19" ht="15" customHeight="1">
      <c r="A1125" s="3">
        <f t="shared" si="93"/>
        <v>2090</v>
      </c>
      <c r="B1125" s="4">
        <f t="shared" ca="1" si="96"/>
        <v>31.554541666666665</v>
      </c>
      <c r="C1125" s="4">
        <f t="shared" ca="1" si="96"/>
        <v>31.560783333333333</v>
      </c>
      <c r="D1125" s="4">
        <f t="shared" ca="1" si="96"/>
        <v>31.574058333333337</v>
      </c>
      <c r="E1125" s="4">
        <f t="shared" ca="1" si="96"/>
        <v>31.568699999999996</v>
      </c>
      <c r="F1125" s="4">
        <f t="shared" ca="1" si="96"/>
        <v>32.265416666666667</v>
      </c>
      <c r="G1125" s="4">
        <f t="shared" ca="1" si="96"/>
        <v>31.190300000000004</v>
      </c>
      <c r="H1125" s="4">
        <f t="shared" ca="1" si="96"/>
        <v>32.1342</v>
      </c>
      <c r="I1125" s="4">
        <f t="shared" ca="1" si="96"/>
        <v>30.773258333333331</v>
      </c>
      <c r="J1125" s="4">
        <f t="shared" ca="1" si="96"/>
        <v>30.613966666666666</v>
      </c>
      <c r="K1125" s="4"/>
      <c r="L1125" s="5">
        <f t="shared" ca="1" si="97"/>
        <v>355.53689999999995</v>
      </c>
      <c r="M1125" s="5">
        <f t="shared" ca="1" si="97"/>
        <v>142.0401</v>
      </c>
      <c r="N1125" s="5">
        <f t="shared" ca="1" si="97"/>
        <v>58.217499999999994</v>
      </c>
      <c r="O1125" s="5">
        <f t="shared" ca="1" si="97"/>
        <v>4.4046000000000003</v>
      </c>
      <c r="P1125" s="5">
        <f t="shared" ca="1" si="97"/>
        <v>14.707600000000001</v>
      </c>
      <c r="Q1125" s="5">
        <f t="shared" ca="1" si="97"/>
        <v>231.81149999999997</v>
      </c>
      <c r="R1125" s="4"/>
      <c r="S1125" s="4"/>
    </row>
    <row r="1126" spans="1:19" ht="15" customHeight="1">
      <c r="A1126" s="3">
        <f t="shared" si="93"/>
        <v>2091</v>
      </c>
      <c r="B1126" s="4">
        <f t="shared" ca="1" si="96"/>
        <v>32.312441666666665</v>
      </c>
      <c r="C1126" s="4">
        <f t="shared" ca="1" si="96"/>
        <v>32.318691666666666</v>
      </c>
      <c r="D1126" s="4">
        <f t="shared" ca="1" si="96"/>
        <v>32.331941666666665</v>
      </c>
      <c r="E1126" s="4">
        <f t="shared" ca="1" si="96"/>
        <v>32.326591666666666</v>
      </c>
      <c r="F1126" s="4">
        <f t="shared" ca="1" si="96"/>
        <v>33.023316666666666</v>
      </c>
      <c r="G1126" s="4">
        <f t="shared" ca="1" si="96"/>
        <v>31.939341666666664</v>
      </c>
      <c r="H1126" s="4">
        <f t="shared" ca="1" si="96"/>
        <v>32.883216666666662</v>
      </c>
      <c r="I1126" s="4">
        <f t="shared" ca="1" si="96"/>
        <v>31.509191666666663</v>
      </c>
      <c r="J1126" s="4">
        <f t="shared" ca="1" si="96"/>
        <v>31.349491666666665</v>
      </c>
      <c r="K1126" s="4"/>
      <c r="L1126" s="5">
        <f t="shared" ca="1" si="97"/>
        <v>355.53689999999995</v>
      </c>
      <c r="M1126" s="5">
        <f t="shared" ca="1" si="97"/>
        <v>142.0401</v>
      </c>
      <c r="N1126" s="5">
        <f t="shared" ca="1" si="97"/>
        <v>58.217499999999994</v>
      </c>
      <c r="O1126" s="5">
        <f t="shared" ca="1" si="97"/>
        <v>4.4046000000000003</v>
      </c>
      <c r="P1126" s="5">
        <f t="shared" ca="1" si="97"/>
        <v>14.707600000000001</v>
      </c>
      <c r="Q1126" s="5">
        <f t="shared" ca="1" si="97"/>
        <v>231.81149999999997</v>
      </c>
      <c r="R1126" s="4"/>
      <c r="S1126" s="4"/>
    </row>
    <row r="1127" spans="1:19" ht="15" customHeight="1">
      <c r="A1127" s="3">
        <f t="shared" si="93"/>
        <v>2092</v>
      </c>
      <c r="B1127" s="4">
        <f t="shared" ref="B1127:J1135" ca="1" si="98">AVERAGE(OFFSET(B$581,($A1127-$A$1097)*12,0,12,1))</f>
        <v>33.088516666666663</v>
      </c>
      <c r="C1127" s="4">
        <f t="shared" ca="1" si="98"/>
        <v>33.094799999999999</v>
      </c>
      <c r="D1127" s="4">
        <f t="shared" ca="1" si="98"/>
        <v>33.108058333333339</v>
      </c>
      <c r="E1127" s="4">
        <f t="shared" ca="1" si="98"/>
        <v>33.102691666666665</v>
      </c>
      <c r="F1127" s="4">
        <f t="shared" ca="1" si="98"/>
        <v>33.799399999999999</v>
      </c>
      <c r="G1127" s="4">
        <f t="shared" ca="1" si="98"/>
        <v>32.706358333333334</v>
      </c>
      <c r="H1127" s="4">
        <f t="shared" ca="1" si="98"/>
        <v>33.650233333333333</v>
      </c>
      <c r="I1127" s="4">
        <f t="shared" ca="1" si="98"/>
        <v>32.262758333333331</v>
      </c>
      <c r="J1127" s="4">
        <f t="shared" ca="1" si="98"/>
        <v>32.102725</v>
      </c>
      <c r="K1127" s="4"/>
      <c r="L1127" s="5">
        <f t="shared" ref="L1127:Q1135" ca="1" si="99">SUM(OFFSET(L$581,($A1127-$A$1097)*12,0,12,1))</f>
        <v>356.48229999999995</v>
      </c>
      <c r="M1127" s="5">
        <f t="shared" ca="1" si="99"/>
        <v>142.42920000000001</v>
      </c>
      <c r="N1127" s="5">
        <f t="shared" ca="1" si="99"/>
        <v>58.377000000000002</v>
      </c>
      <c r="O1127" s="5">
        <f t="shared" ca="1" si="99"/>
        <v>4.4165999999999999</v>
      </c>
      <c r="P1127" s="5">
        <f t="shared" ca="1" si="99"/>
        <v>14.7493</v>
      </c>
      <c r="Q1127" s="5">
        <f t="shared" ca="1" si="99"/>
        <v>232.44659999999996</v>
      </c>
      <c r="R1127" s="4"/>
      <c r="S1127" s="4"/>
    </row>
    <row r="1128" spans="1:19" ht="15" customHeight="1">
      <c r="A1128" s="3">
        <f t="shared" si="93"/>
        <v>2093</v>
      </c>
      <c r="B1128" s="4">
        <f t="shared" ca="1" si="98"/>
        <v>33.883299999999998</v>
      </c>
      <c r="C1128" s="4">
        <f t="shared" ca="1" si="98"/>
        <v>33.889566666666667</v>
      </c>
      <c r="D1128" s="4">
        <f t="shared" ca="1" si="98"/>
        <v>33.902841666666667</v>
      </c>
      <c r="E1128" s="4">
        <f t="shared" ca="1" si="98"/>
        <v>33.897475</v>
      </c>
      <c r="F1128" s="4">
        <f t="shared" ca="1" si="98"/>
        <v>34.594183333333334</v>
      </c>
      <c r="G1128" s="4">
        <f t="shared" ca="1" si="98"/>
        <v>33.491808333333339</v>
      </c>
      <c r="H1128" s="4">
        <f t="shared" ca="1" si="98"/>
        <v>34.435691666666678</v>
      </c>
      <c r="I1128" s="4">
        <f t="shared" ca="1" si="98"/>
        <v>33.034474999999993</v>
      </c>
      <c r="J1128" s="4">
        <f t="shared" ca="1" si="98"/>
        <v>32.874024999999996</v>
      </c>
      <c r="K1128" s="4"/>
      <c r="L1128" s="5">
        <f t="shared" ca="1" si="99"/>
        <v>355.53689999999995</v>
      </c>
      <c r="M1128" s="5">
        <f t="shared" ca="1" si="99"/>
        <v>142.0401</v>
      </c>
      <c r="N1128" s="5">
        <f t="shared" ca="1" si="99"/>
        <v>58.217499999999994</v>
      </c>
      <c r="O1128" s="5">
        <f t="shared" ca="1" si="99"/>
        <v>4.4046000000000003</v>
      </c>
      <c r="P1128" s="5">
        <f t="shared" ca="1" si="99"/>
        <v>14.707600000000001</v>
      </c>
      <c r="Q1128" s="5">
        <f t="shared" ca="1" si="99"/>
        <v>231.81149999999997</v>
      </c>
      <c r="R1128" s="4"/>
      <c r="S1128" s="4"/>
    </row>
    <row r="1129" spans="1:19" ht="15" customHeight="1">
      <c r="A1129" s="3">
        <f t="shared" si="93"/>
        <v>2094</v>
      </c>
      <c r="B1129" s="4">
        <f t="shared" ca="1" si="98"/>
        <v>34.697141666666667</v>
      </c>
      <c r="C1129" s="4">
        <f t="shared" ca="1" si="98"/>
        <v>34.703408333333336</v>
      </c>
      <c r="D1129" s="4">
        <f t="shared" ca="1" si="98"/>
        <v>34.716675000000002</v>
      </c>
      <c r="E1129" s="4">
        <f t="shared" ca="1" si="98"/>
        <v>34.711308333333328</v>
      </c>
      <c r="F1129" s="4">
        <f t="shared" ca="1" si="98"/>
        <v>35.408025000000002</v>
      </c>
      <c r="G1129" s="4">
        <f t="shared" ca="1" si="98"/>
        <v>34.29611666666667</v>
      </c>
      <c r="H1129" s="4">
        <f t="shared" ca="1" si="98"/>
        <v>35.240016666666669</v>
      </c>
      <c r="I1129" s="4">
        <f t="shared" ca="1" si="98"/>
        <v>33.824683333333333</v>
      </c>
      <c r="J1129" s="4">
        <f t="shared" ca="1" si="98"/>
        <v>33.663866666666671</v>
      </c>
      <c r="K1129" s="4"/>
      <c r="L1129" s="5">
        <f t="shared" ca="1" si="99"/>
        <v>355.53689999999995</v>
      </c>
      <c r="M1129" s="5">
        <f t="shared" ca="1" si="99"/>
        <v>142.0401</v>
      </c>
      <c r="N1129" s="5">
        <f t="shared" ca="1" si="99"/>
        <v>58.217499999999994</v>
      </c>
      <c r="O1129" s="5">
        <f t="shared" ca="1" si="99"/>
        <v>4.4046000000000003</v>
      </c>
      <c r="P1129" s="5">
        <f t="shared" ca="1" si="99"/>
        <v>14.707600000000001</v>
      </c>
      <c r="Q1129" s="5">
        <f t="shared" ca="1" si="99"/>
        <v>231.81149999999997</v>
      </c>
      <c r="R1129" s="4"/>
      <c r="S1129" s="4"/>
    </row>
    <row r="1130" spans="1:19" ht="15" customHeight="1">
      <c r="A1130" s="3">
        <f t="shared" si="93"/>
        <v>2095</v>
      </c>
      <c r="B1130" s="4">
        <f t="shared" ca="1" si="98"/>
        <v>35.530549999999998</v>
      </c>
      <c r="C1130" s="4">
        <f t="shared" ca="1" si="98"/>
        <v>35.536825</v>
      </c>
      <c r="D1130" s="4">
        <f t="shared" ca="1" si="98"/>
        <v>35.550091666666667</v>
      </c>
      <c r="E1130" s="4">
        <f t="shared" ca="1" si="98"/>
        <v>35.544725000000007</v>
      </c>
      <c r="F1130" s="4">
        <f t="shared" ca="1" si="98"/>
        <v>36.241433333333333</v>
      </c>
      <c r="G1130" s="4">
        <f t="shared" ca="1" si="98"/>
        <v>35.119766666666671</v>
      </c>
      <c r="H1130" s="4">
        <f t="shared" ca="1" si="98"/>
        <v>36.06366666666667</v>
      </c>
      <c r="I1130" s="4">
        <f t="shared" ca="1" si="98"/>
        <v>34.633924999999998</v>
      </c>
      <c r="J1130" s="4">
        <f t="shared" ca="1" si="98"/>
        <v>34.472700000000003</v>
      </c>
      <c r="K1130" s="4"/>
      <c r="L1130" s="5">
        <f t="shared" ca="1" si="99"/>
        <v>355.53689999999995</v>
      </c>
      <c r="M1130" s="5">
        <f t="shared" ca="1" si="99"/>
        <v>142.0401</v>
      </c>
      <c r="N1130" s="5">
        <f t="shared" ca="1" si="99"/>
        <v>58.217499999999994</v>
      </c>
      <c r="O1130" s="5">
        <f t="shared" ca="1" si="99"/>
        <v>4.4046000000000003</v>
      </c>
      <c r="P1130" s="5">
        <f t="shared" ca="1" si="99"/>
        <v>14.707600000000001</v>
      </c>
      <c r="Q1130" s="5">
        <f t="shared" ca="1" si="99"/>
        <v>231.81149999999997</v>
      </c>
      <c r="R1130" s="4"/>
      <c r="S1130" s="4"/>
    </row>
    <row r="1131" spans="1:19" ht="15" customHeight="1">
      <c r="A1131" s="3">
        <f t="shared" si="93"/>
        <v>2096</v>
      </c>
      <c r="B1131" s="4">
        <f t="shared" ca="1" si="98"/>
        <v>36.383991666666667</v>
      </c>
      <c r="C1131" s="4">
        <f t="shared" ca="1" si="98"/>
        <v>36.390250000000002</v>
      </c>
      <c r="D1131" s="4">
        <f t="shared" ca="1" si="98"/>
        <v>36.403516666666668</v>
      </c>
      <c r="E1131" s="4">
        <f t="shared" ca="1" si="98"/>
        <v>36.398141666666668</v>
      </c>
      <c r="F1131" s="4">
        <f t="shared" ca="1" si="98"/>
        <v>37.094866666666668</v>
      </c>
      <c r="G1131" s="4">
        <f t="shared" ca="1" si="98"/>
        <v>35.963216666666661</v>
      </c>
      <c r="H1131" s="4">
        <f t="shared" ca="1" si="98"/>
        <v>36.9071</v>
      </c>
      <c r="I1131" s="4">
        <f t="shared" ca="1" si="98"/>
        <v>35.462608333333336</v>
      </c>
      <c r="J1131" s="4">
        <f t="shared" ca="1" si="98"/>
        <v>35.300949999999993</v>
      </c>
      <c r="K1131" s="4"/>
      <c r="L1131" s="5">
        <f t="shared" ca="1" si="99"/>
        <v>356.48229999999995</v>
      </c>
      <c r="M1131" s="5">
        <f t="shared" ca="1" si="99"/>
        <v>142.42920000000001</v>
      </c>
      <c r="N1131" s="5">
        <f t="shared" ca="1" si="99"/>
        <v>58.377000000000002</v>
      </c>
      <c r="O1131" s="5">
        <f t="shared" ca="1" si="99"/>
        <v>4.4165999999999999</v>
      </c>
      <c r="P1131" s="5">
        <f t="shared" ca="1" si="99"/>
        <v>14.7493</v>
      </c>
      <c r="Q1131" s="5">
        <f t="shared" ca="1" si="99"/>
        <v>232.44659999999996</v>
      </c>
      <c r="R1131" s="4"/>
      <c r="S1131" s="4"/>
    </row>
    <row r="1132" spans="1:19" ht="15" customHeight="1">
      <c r="A1132" s="3">
        <f t="shared" si="93"/>
        <v>2097</v>
      </c>
      <c r="B1132" s="4">
        <f t="shared" ca="1" si="98"/>
        <v>37.25794166666666</v>
      </c>
      <c r="C1132" s="4">
        <f t="shared" ca="1" si="98"/>
        <v>37.264166666666668</v>
      </c>
      <c r="D1132" s="4">
        <f t="shared" ca="1" si="98"/>
        <v>37.277458333333328</v>
      </c>
      <c r="E1132" s="4">
        <f t="shared" ca="1" si="98"/>
        <v>37.272083333333327</v>
      </c>
      <c r="F1132" s="4">
        <f t="shared" ca="1" si="98"/>
        <v>37.968808333333335</v>
      </c>
      <c r="G1132" s="4">
        <f t="shared" ca="1" si="98"/>
        <v>36.826916666666669</v>
      </c>
      <c r="H1132" s="4">
        <f t="shared" ca="1" si="98"/>
        <v>37.770808333333335</v>
      </c>
      <c r="I1132" s="4">
        <f t="shared" ca="1" si="98"/>
        <v>36.311175000000006</v>
      </c>
      <c r="J1132" s="4">
        <f t="shared" ca="1" si="98"/>
        <v>36.149133333333339</v>
      </c>
      <c r="K1132" s="4"/>
      <c r="L1132" s="5">
        <f t="shared" ca="1" si="99"/>
        <v>355.53689999999995</v>
      </c>
      <c r="M1132" s="5">
        <f t="shared" ca="1" si="99"/>
        <v>142.0401</v>
      </c>
      <c r="N1132" s="5">
        <f t="shared" ca="1" si="99"/>
        <v>58.217499999999994</v>
      </c>
      <c r="O1132" s="5">
        <f t="shared" ca="1" si="99"/>
        <v>4.4046000000000003</v>
      </c>
      <c r="P1132" s="5">
        <f t="shared" ca="1" si="99"/>
        <v>14.707600000000001</v>
      </c>
      <c r="Q1132" s="5">
        <f t="shared" ca="1" si="99"/>
        <v>231.81149999999997</v>
      </c>
      <c r="R1132" s="4"/>
      <c r="S1132" s="4"/>
    </row>
    <row r="1133" spans="1:19" ht="15" customHeight="1">
      <c r="A1133" s="3">
        <f t="shared" si="93"/>
        <v>2098</v>
      </c>
      <c r="B1133" s="4">
        <f t="shared" ca="1" si="98"/>
        <v>38.152883333333328</v>
      </c>
      <c r="C1133" s="4">
        <f t="shared" ca="1" si="98"/>
        <v>38.159133333333337</v>
      </c>
      <c r="D1133" s="4">
        <f t="shared" ca="1" si="98"/>
        <v>38.172391666666663</v>
      </c>
      <c r="E1133" s="4">
        <f t="shared" ca="1" si="98"/>
        <v>38.167025000000002</v>
      </c>
      <c r="F1133" s="4">
        <f t="shared" ca="1" si="98"/>
        <v>38.863749999999996</v>
      </c>
      <c r="G1133" s="4">
        <f t="shared" ca="1" si="98"/>
        <v>37.71135833333333</v>
      </c>
      <c r="H1133" s="4">
        <f t="shared" ca="1" si="98"/>
        <v>38.655258333333336</v>
      </c>
      <c r="I1133" s="4">
        <f t="shared" ca="1" si="98"/>
        <v>37.180150000000005</v>
      </c>
      <c r="J1133" s="4">
        <f t="shared" ca="1" si="98"/>
        <v>37.017658333333337</v>
      </c>
      <c r="K1133" s="4"/>
      <c r="L1133" s="5">
        <f t="shared" ca="1" si="99"/>
        <v>355.53689999999995</v>
      </c>
      <c r="M1133" s="5">
        <f t="shared" ca="1" si="99"/>
        <v>142.0401</v>
      </c>
      <c r="N1133" s="5">
        <f t="shared" ca="1" si="99"/>
        <v>58.217499999999994</v>
      </c>
      <c r="O1133" s="5">
        <f t="shared" ca="1" si="99"/>
        <v>4.4046000000000003</v>
      </c>
      <c r="P1133" s="5">
        <f t="shared" ca="1" si="99"/>
        <v>14.707600000000001</v>
      </c>
      <c r="Q1133" s="5">
        <f t="shared" ca="1" si="99"/>
        <v>231.81149999999997</v>
      </c>
      <c r="R1133" s="4"/>
      <c r="S1133" s="4"/>
    </row>
    <row r="1134" spans="1:19" ht="15" customHeight="1">
      <c r="A1134" s="3">
        <f t="shared" si="93"/>
        <v>2099</v>
      </c>
      <c r="B1134" s="4">
        <f t="shared" ca="1" si="98"/>
        <v>39.069299999999998</v>
      </c>
      <c r="C1134" s="4">
        <f t="shared" ca="1" si="98"/>
        <v>39.075566666666674</v>
      </c>
      <c r="D1134" s="4">
        <f t="shared" ca="1" si="98"/>
        <v>39.088833333333334</v>
      </c>
      <c r="E1134" s="4">
        <f t="shared" ca="1" si="98"/>
        <v>39.083475</v>
      </c>
      <c r="F1134" s="4">
        <f t="shared" ca="1" si="98"/>
        <v>39.780191666666667</v>
      </c>
      <c r="G1134" s="4">
        <f t="shared" ca="1" si="98"/>
        <v>38.617075</v>
      </c>
      <c r="H1134" s="4">
        <f t="shared" ca="1" si="98"/>
        <v>39.560983333333333</v>
      </c>
      <c r="I1134" s="4">
        <f t="shared" ca="1" si="98"/>
        <v>38.070008333333341</v>
      </c>
      <c r="J1134" s="4">
        <f t="shared" ca="1" si="98"/>
        <v>37.907049999999998</v>
      </c>
      <c r="K1134" s="4"/>
      <c r="L1134" s="5">
        <f t="shared" ca="1" si="99"/>
        <v>355.53689999999995</v>
      </c>
      <c r="M1134" s="5">
        <f t="shared" ca="1" si="99"/>
        <v>142.0401</v>
      </c>
      <c r="N1134" s="5">
        <f t="shared" ca="1" si="99"/>
        <v>58.217499999999994</v>
      </c>
      <c r="O1134" s="5">
        <f t="shared" ca="1" si="99"/>
        <v>4.4046000000000003</v>
      </c>
      <c r="P1134" s="5">
        <f t="shared" ca="1" si="99"/>
        <v>14.707600000000001</v>
      </c>
      <c r="Q1134" s="5">
        <f t="shared" ca="1" si="99"/>
        <v>231.81149999999997</v>
      </c>
      <c r="R1134" s="4"/>
      <c r="S1134" s="4"/>
    </row>
    <row r="1135" spans="1:19" ht="15" customHeight="1">
      <c r="A1135" s="3">
        <f t="shared" si="93"/>
        <v>2100</v>
      </c>
      <c r="B1135" s="4">
        <f t="shared" ca="1" si="98"/>
        <v>40.007766666666662</v>
      </c>
      <c r="C1135" s="4">
        <f t="shared" ca="1" si="98"/>
        <v>40.014025000000004</v>
      </c>
      <c r="D1135" s="4">
        <f t="shared" ca="1" si="98"/>
        <v>40.02729166666667</v>
      </c>
      <c r="E1135" s="4">
        <f t="shared" ca="1" si="98"/>
        <v>40.021924999999989</v>
      </c>
      <c r="F1135" s="4">
        <f t="shared" ca="1" si="98"/>
        <v>40.718641666666663</v>
      </c>
      <c r="G1135" s="4">
        <f t="shared" ca="1" si="98"/>
        <v>39.544549999999994</v>
      </c>
      <c r="H1135" s="4">
        <f t="shared" ca="1" si="98"/>
        <v>40.488441666666667</v>
      </c>
      <c r="I1135" s="4">
        <f t="shared" ca="1" si="98"/>
        <v>38.981233333333336</v>
      </c>
      <c r="J1135" s="4">
        <f t="shared" ca="1" si="98"/>
        <v>38.817833333333333</v>
      </c>
      <c r="K1135" s="4"/>
      <c r="L1135" s="5">
        <f t="shared" ca="1" si="99"/>
        <v>355.53689999999995</v>
      </c>
      <c r="M1135" s="5">
        <f t="shared" ca="1" si="99"/>
        <v>142.0401</v>
      </c>
      <c r="N1135" s="5">
        <f t="shared" ca="1" si="99"/>
        <v>58.217499999999994</v>
      </c>
      <c r="O1135" s="5">
        <f t="shared" ca="1" si="99"/>
        <v>4.4046000000000003</v>
      </c>
      <c r="P1135" s="5">
        <f t="shared" ca="1" si="99"/>
        <v>14.707600000000001</v>
      </c>
      <c r="Q1135" s="5">
        <f t="shared" ca="1" si="99"/>
        <v>231.81149999999997</v>
      </c>
      <c r="R1135" s="4"/>
      <c r="S1135" s="4"/>
    </row>
    <row r="1136" spans="1:19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</sheetData>
  <mergeCells count="2">
    <mergeCell ref="L13:S13"/>
    <mergeCell ref="L14:S14"/>
  </mergeCells>
  <pageMargins left="0.25" right="0.25" top="0.5" bottom="0.5" header="0.25" footer="0.25"/>
  <pageSetup paperSize="119" scale="9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11</xdr:row>
                    <xdr:rowOff>171450</xdr:rowOff>
                  </from>
                  <to>
                    <xdr:col>4</xdr:col>
                    <xdr:colOff>533400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11</xdr:row>
                    <xdr:rowOff>171450</xdr:rowOff>
                  </from>
                  <to>
                    <xdr:col>6</xdr:col>
                    <xdr:colOff>257175</xdr:colOff>
                    <xdr:row>13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55"/>
  <sheetViews>
    <sheetView zoomScale="70" zoomScaleNormal="70" workbookViewId="0">
      <pane xSplit="1" ySplit="16" topLeftCell="B17" activePane="bottomRight" state="frozen"/>
      <selection activeCell="K30" sqref="K30"/>
      <selection pane="topRight" activeCell="K30" sqref="K30"/>
      <selection pane="bottomLeft" activeCell="K30" sqref="K30"/>
      <selection pane="bottomRight" activeCell="B17" sqref="B17"/>
    </sheetView>
  </sheetViews>
  <sheetFormatPr defaultColWidth="7.109375" defaultRowHeight="12.75"/>
  <cols>
    <col min="1" max="1" width="7.5546875" style="33" bestFit="1" customWidth="1"/>
    <col min="2" max="2" width="7.88671875" style="33" customWidth="1"/>
    <col min="3" max="7" width="11.33203125" style="32" customWidth="1"/>
    <col min="8" max="8" width="12.77734375" style="32" bestFit="1" customWidth="1"/>
    <col min="9" max="9" width="13.21875" style="32" customWidth="1"/>
    <col min="10" max="10" width="12.77734375" style="32" customWidth="1"/>
    <col min="11" max="11" width="7.77734375" style="32" customWidth="1"/>
    <col min="12" max="16384" width="7.109375" style="32"/>
  </cols>
  <sheetData>
    <row r="1" spans="1:10" ht="15.75">
      <c r="A1" s="84" t="s">
        <v>64</v>
      </c>
    </row>
    <row r="2" spans="1:10" ht="15.75">
      <c r="A2" s="84" t="s">
        <v>65</v>
      </c>
    </row>
    <row r="3" spans="1:10" ht="15.75">
      <c r="A3" s="84" t="s">
        <v>66</v>
      </c>
    </row>
    <row r="4" spans="1:10" ht="15.75">
      <c r="A4" s="84" t="s">
        <v>67</v>
      </c>
    </row>
    <row r="5" spans="1:10" ht="15.75">
      <c r="A5" s="84" t="s">
        <v>69</v>
      </c>
    </row>
    <row r="6" spans="1:10" ht="15.75">
      <c r="A6" s="84" t="s">
        <v>70</v>
      </c>
    </row>
    <row r="8" spans="1:10" ht="20.25">
      <c r="A8" s="31" t="s">
        <v>35</v>
      </c>
    </row>
    <row r="9" spans="1:10" ht="15.75">
      <c r="A9" s="30" t="s">
        <v>25</v>
      </c>
    </row>
    <row r="11" spans="1:10">
      <c r="A11" s="32"/>
    </row>
    <row r="12" spans="1:10" ht="15.75">
      <c r="A12" s="32"/>
      <c r="B12" s="30"/>
      <c r="C12" s="53"/>
      <c r="I12" s="24"/>
    </row>
    <row r="13" spans="1:10" ht="15.75">
      <c r="A13" s="30"/>
      <c r="B13" s="30"/>
      <c r="C13" s="53"/>
      <c r="I13" s="24"/>
    </row>
    <row r="14" spans="1:10" ht="15.75">
      <c r="A14" s="30"/>
      <c r="C14" s="86" t="s">
        <v>34</v>
      </c>
      <c r="D14" s="86"/>
      <c r="E14" s="86"/>
      <c r="F14" s="52"/>
      <c r="G14" s="51"/>
      <c r="H14" s="50"/>
      <c r="I14" s="49"/>
    </row>
    <row r="15" spans="1:10" ht="97.9" customHeight="1">
      <c r="A15" s="18"/>
      <c r="B15" s="18"/>
      <c r="C15" s="21" t="s">
        <v>20</v>
      </c>
      <c r="D15" s="48" t="s">
        <v>19</v>
      </c>
      <c r="E15" s="21" t="s">
        <v>33</v>
      </c>
      <c r="F15" s="21" t="s">
        <v>32</v>
      </c>
      <c r="G15" s="21" t="s">
        <v>16</v>
      </c>
      <c r="H15" s="47" t="s">
        <v>31</v>
      </c>
      <c r="I15" s="21" t="s">
        <v>30</v>
      </c>
      <c r="J15" s="21" t="s">
        <v>29</v>
      </c>
    </row>
    <row r="16" spans="1:10" ht="15.75">
      <c r="A16" s="20" t="s">
        <v>2</v>
      </c>
      <c r="B16" s="20" t="s">
        <v>28</v>
      </c>
      <c r="C16" s="20" t="s">
        <v>27</v>
      </c>
      <c r="D16" s="20" t="s">
        <v>27</v>
      </c>
      <c r="E16" s="20" t="s">
        <v>27</v>
      </c>
      <c r="F16" s="20" t="s">
        <v>27</v>
      </c>
      <c r="G16" s="20" t="s">
        <v>27</v>
      </c>
      <c r="H16" s="46" t="s">
        <v>27</v>
      </c>
      <c r="I16" s="20" t="s">
        <v>27</v>
      </c>
      <c r="J16" s="20" t="s">
        <v>27</v>
      </c>
    </row>
    <row r="17" spans="1:20" ht="15.75">
      <c r="A17" s="13">
        <v>42005</v>
      </c>
      <c r="B17" s="44">
        <v>31</v>
      </c>
      <c r="C17" s="35">
        <v>122.58</v>
      </c>
      <c r="D17" s="35">
        <v>297.94099999999997</v>
      </c>
      <c r="E17" s="41">
        <v>729.47900000000004</v>
      </c>
      <c r="F17" s="35">
        <v>1150</v>
      </c>
      <c r="G17" s="35">
        <v>100</v>
      </c>
      <c r="H17" s="43"/>
      <c r="I17" s="35">
        <v>695</v>
      </c>
      <c r="J17" s="35">
        <v>50</v>
      </c>
      <c r="K17" s="36"/>
      <c r="L17" s="45"/>
      <c r="M17" s="36"/>
      <c r="N17" s="36"/>
      <c r="O17" s="36"/>
      <c r="P17" s="36"/>
      <c r="Q17" s="36"/>
      <c r="R17" s="36"/>
      <c r="S17" s="36"/>
      <c r="T17" s="36"/>
    </row>
    <row r="18" spans="1:20" ht="15.75">
      <c r="A18" s="13">
        <v>42036</v>
      </c>
      <c r="B18" s="44">
        <v>28</v>
      </c>
      <c r="C18" s="35">
        <v>122.58</v>
      </c>
      <c r="D18" s="35">
        <v>297.94099999999997</v>
      </c>
      <c r="E18" s="41">
        <v>729.47900000000004</v>
      </c>
      <c r="F18" s="35">
        <v>1150</v>
      </c>
      <c r="G18" s="35">
        <v>100</v>
      </c>
      <c r="H18" s="43"/>
      <c r="I18" s="35">
        <v>695</v>
      </c>
      <c r="J18" s="35">
        <v>50</v>
      </c>
      <c r="K18" s="36"/>
      <c r="L18" s="45"/>
      <c r="M18" s="36"/>
      <c r="N18" s="36"/>
      <c r="O18" s="36"/>
      <c r="P18" s="36"/>
      <c r="Q18" s="36"/>
      <c r="R18" s="36"/>
      <c r="S18" s="36"/>
      <c r="T18" s="36"/>
    </row>
    <row r="19" spans="1:20" ht="15.75">
      <c r="A19" s="13">
        <v>42064</v>
      </c>
      <c r="B19" s="44">
        <v>31</v>
      </c>
      <c r="C19" s="35">
        <v>122.58</v>
      </c>
      <c r="D19" s="35">
        <v>297.94099999999997</v>
      </c>
      <c r="E19" s="41">
        <v>729.47900000000004</v>
      </c>
      <c r="F19" s="35">
        <v>1150</v>
      </c>
      <c r="G19" s="35">
        <v>100</v>
      </c>
      <c r="H19" s="43"/>
      <c r="I19" s="35">
        <v>695</v>
      </c>
      <c r="J19" s="35">
        <v>50</v>
      </c>
      <c r="K19" s="36"/>
      <c r="L19" s="45"/>
      <c r="M19" s="36"/>
      <c r="N19" s="36"/>
      <c r="O19" s="36"/>
      <c r="P19" s="36"/>
      <c r="Q19" s="36"/>
      <c r="R19" s="36"/>
      <c r="S19" s="36"/>
      <c r="T19" s="36"/>
    </row>
    <row r="20" spans="1:20" ht="15.75">
      <c r="A20" s="13">
        <v>42095</v>
      </c>
      <c r="B20" s="44">
        <v>30</v>
      </c>
      <c r="C20" s="35">
        <v>141.29300000000001</v>
      </c>
      <c r="D20" s="35">
        <v>267.99299999999999</v>
      </c>
      <c r="E20" s="41">
        <v>829.71400000000006</v>
      </c>
      <c r="F20" s="35">
        <v>1239</v>
      </c>
      <c r="G20" s="35">
        <v>100</v>
      </c>
      <c r="H20" s="43"/>
      <c r="I20" s="35">
        <v>695</v>
      </c>
      <c r="J20" s="35">
        <v>50</v>
      </c>
      <c r="K20" s="36"/>
      <c r="L20" s="45"/>
      <c r="M20" s="36"/>
      <c r="N20" s="36"/>
      <c r="O20" s="36"/>
      <c r="P20" s="36"/>
      <c r="Q20" s="36"/>
      <c r="R20" s="36"/>
      <c r="S20" s="36"/>
      <c r="T20" s="36"/>
    </row>
    <row r="21" spans="1:20" ht="15.75">
      <c r="A21" s="13">
        <v>42125</v>
      </c>
      <c r="B21" s="44">
        <v>31</v>
      </c>
      <c r="C21" s="35">
        <v>194.20500000000001</v>
      </c>
      <c r="D21" s="35">
        <v>267.46600000000001</v>
      </c>
      <c r="E21" s="41">
        <v>912.32899999999995</v>
      </c>
      <c r="F21" s="35">
        <v>1374</v>
      </c>
      <c r="G21" s="35">
        <v>75</v>
      </c>
      <c r="H21" s="43"/>
      <c r="I21" s="35">
        <v>695</v>
      </c>
      <c r="J21" s="35">
        <v>50</v>
      </c>
      <c r="K21" s="36"/>
      <c r="L21" s="45"/>
      <c r="M21" s="36"/>
      <c r="N21" s="36"/>
      <c r="O21" s="36"/>
      <c r="P21" s="36"/>
      <c r="Q21" s="36"/>
      <c r="R21" s="36"/>
      <c r="S21" s="36"/>
      <c r="T21" s="36"/>
    </row>
    <row r="22" spans="1:20" ht="15.75">
      <c r="A22" s="13">
        <v>42156</v>
      </c>
      <c r="B22" s="44">
        <v>30</v>
      </c>
      <c r="C22" s="35">
        <v>194.20500000000001</v>
      </c>
      <c r="D22" s="35">
        <v>267.46600000000001</v>
      </c>
      <c r="E22" s="41">
        <v>912.32899999999995</v>
      </c>
      <c r="F22" s="35">
        <v>1374</v>
      </c>
      <c r="G22" s="35">
        <v>50</v>
      </c>
      <c r="H22" s="43"/>
      <c r="I22" s="35">
        <v>695</v>
      </c>
      <c r="J22" s="35">
        <v>50</v>
      </c>
      <c r="K22" s="36"/>
      <c r="L22" s="45"/>
      <c r="M22" s="36"/>
      <c r="N22" s="36"/>
      <c r="O22" s="36"/>
      <c r="P22" s="36"/>
      <c r="Q22" s="36"/>
      <c r="R22" s="36"/>
      <c r="S22" s="36"/>
      <c r="T22" s="36"/>
    </row>
    <row r="23" spans="1:20" ht="15.75">
      <c r="A23" s="13">
        <v>42186</v>
      </c>
      <c r="B23" s="44">
        <v>31</v>
      </c>
      <c r="C23" s="35">
        <v>194.20500000000001</v>
      </c>
      <c r="D23" s="35">
        <v>267.46600000000001</v>
      </c>
      <c r="E23" s="41">
        <v>912.32899999999995</v>
      </c>
      <c r="F23" s="35">
        <v>1374</v>
      </c>
      <c r="G23" s="35">
        <v>50</v>
      </c>
      <c r="H23" s="43"/>
      <c r="I23" s="35">
        <v>695</v>
      </c>
      <c r="J23" s="35">
        <v>0</v>
      </c>
      <c r="K23" s="36"/>
      <c r="L23" s="45"/>
      <c r="M23" s="36"/>
      <c r="N23" s="36"/>
      <c r="O23" s="36"/>
      <c r="P23" s="36"/>
      <c r="Q23" s="36"/>
      <c r="R23" s="36"/>
      <c r="S23" s="36"/>
      <c r="T23" s="36"/>
    </row>
    <row r="24" spans="1:20" ht="15.75">
      <c r="A24" s="13">
        <v>42217</v>
      </c>
      <c r="B24" s="44">
        <v>31</v>
      </c>
      <c r="C24" s="35">
        <v>194.20500000000001</v>
      </c>
      <c r="D24" s="35">
        <v>267.46600000000001</v>
      </c>
      <c r="E24" s="41">
        <v>912.32899999999995</v>
      </c>
      <c r="F24" s="35">
        <v>1374</v>
      </c>
      <c r="G24" s="35">
        <v>50</v>
      </c>
      <c r="H24" s="43"/>
      <c r="I24" s="35">
        <v>695</v>
      </c>
      <c r="J24" s="35">
        <v>0</v>
      </c>
      <c r="K24" s="36"/>
      <c r="L24" s="45"/>
      <c r="M24" s="36"/>
      <c r="N24" s="36"/>
      <c r="O24" s="36"/>
      <c r="P24" s="36"/>
      <c r="Q24" s="36"/>
      <c r="R24" s="36"/>
      <c r="S24" s="36"/>
      <c r="T24" s="36"/>
    </row>
    <row r="25" spans="1:20" ht="15.75">
      <c r="A25" s="13">
        <v>42248</v>
      </c>
      <c r="B25" s="44">
        <v>30</v>
      </c>
      <c r="C25" s="35">
        <v>194.20500000000001</v>
      </c>
      <c r="D25" s="35">
        <v>267.46600000000001</v>
      </c>
      <c r="E25" s="41">
        <v>912.32899999999995</v>
      </c>
      <c r="F25" s="35">
        <v>1374</v>
      </c>
      <c r="G25" s="35">
        <v>50</v>
      </c>
      <c r="H25" s="43"/>
      <c r="I25" s="35">
        <v>695</v>
      </c>
      <c r="J25" s="35">
        <v>0</v>
      </c>
      <c r="K25" s="36"/>
      <c r="L25" s="45"/>
      <c r="M25" s="36"/>
      <c r="N25" s="36"/>
      <c r="O25" s="36"/>
      <c r="P25" s="36"/>
      <c r="Q25" s="36"/>
      <c r="R25" s="36"/>
      <c r="S25" s="36"/>
      <c r="T25" s="36"/>
    </row>
    <row r="26" spans="1:20" ht="15.75">
      <c r="A26" s="13">
        <v>42278</v>
      </c>
      <c r="B26" s="44">
        <v>31</v>
      </c>
      <c r="C26" s="35">
        <v>131.881</v>
      </c>
      <c r="D26" s="35">
        <v>277.16699999999997</v>
      </c>
      <c r="E26" s="41">
        <v>829.952</v>
      </c>
      <c r="F26" s="35">
        <v>1239</v>
      </c>
      <c r="G26" s="35">
        <v>75</v>
      </c>
      <c r="H26" s="43"/>
      <c r="I26" s="35">
        <v>695</v>
      </c>
      <c r="J26" s="35">
        <v>0</v>
      </c>
      <c r="K26" s="36"/>
      <c r="L26" s="45"/>
      <c r="M26" s="36"/>
      <c r="N26" s="36"/>
      <c r="O26" s="36"/>
      <c r="P26" s="36"/>
      <c r="Q26" s="36"/>
      <c r="R26" s="36"/>
      <c r="S26" s="36"/>
      <c r="T26" s="36"/>
    </row>
    <row r="27" spans="1:20" ht="15.75">
      <c r="A27" s="13">
        <v>42309</v>
      </c>
      <c r="B27" s="44">
        <v>30</v>
      </c>
      <c r="C27" s="35">
        <v>122.58</v>
      </c>
      <c r="D27" s="35">
        <v>297.94099999999997</v>
      </c>
      <c r="E27" s="41">
        <v>729.47900000000004</v>
      </c>
      <c r="F27" s="35">
        <v>1150</v>
      </c>
      <c r="G27" s="35">
        <v>100</v>
      </c>
      <c r="H27" s="43"/>
      <c r="I27" s="35">
        <v>695</v>
      </c>
      <c r="J27" s="35">
        <v>50</v>
      </c>
      <c r="K27" s="36"/>
      <c r="L27" s="45"/>
      <c r="M27" s="36"/>
      <c r="N27" s="36"/>
      <c r="O27" s="36"/>
      <c r="P27" s="36"/>
      <c r="Q27" s="36"/>
      <c r="R27" s="36"/>
      <c r="S27" s="36"/>
      <c r="T27" s="36"/>
    </row>
    <row r="28" spans="1:20" ht="15.75">
      <c r="A28" s="13">
        <v>42339</v>
      </c>
      <c r="B28" s="44">
        <v>31</v>
      </c>
      <c r="C28" s="35">
        <v>122.58</v>
      </c>
      <c r="D28" s="35">
        <v>297.94099999999997</v>
      </c>
      <c r="E28" s="41">
        <v>729.47900000000004</v>
      </c>
      <c r="F28" s="35">
        <v>1150</v>
      </c>
      <c r="G28" s="35">
        <v>100</v>
      </c>
      <c r="H28" s="43"/>
      <c r="I28" s="35">
        <v>695</v>
      </c>
      <c r="J28" s="35">
        <v>50</v>
      </c>
      <c r="K28" s="36"/>
      <c r="L28" s="45"/>
      <c r="M28" s="36"/>
      <c r="N28" s="36"/>
      <c r="O28" s="36"/>
      <c r="P28" s="36"/>
      <c r="Q28" s="36"/>
      <c r="R28" s="36"/>
      <c r="S28" s="36"/>
      <c r="T28" s="36"/>
    </row>
    <row r="29" spans="1:20" ht="15.75">
      <c r="A29" s="13">
        <v>42370</v>
      </c>
      <c r="B29" s="44">
        <v>31</v>
      </c>
      <c r="C29" s="35">
        <v>122.58</v>
      </c>
      <c r="D29" s="35">
        <v>297.94099999999997</v>
      </c>
      <c r="E29" s="41">
        <v>729.47900000000004</v>
      </c>
      <c r="F29" s="35">
        <v>1150</v>
      </c>
      <c r="G29" s="35">
        <v>100</v>
      </c>
      <c r="H29" s="43"/>
      <c r="I29" s="35">
        <v>695</v>
      </c>
      <c r="J29" s="35">
        <v>50</v>
      </c>
      <c r="K29" s="36"/>
      <c r="L29" s="45"/>
      <c r="M29" s="36"/>
      <c r="N29" s="36"/>
      <c r="O29" s="36"/>
      <c r="P29" s="36"/>
      <c r="Q29" s="36"/>
      <c r="R29" s="36"/>
      <c r="S29" s="36"/>
      <c r="T29" s="36"/>
    </row>
    <row r="30" spans="1:20" ht="15.75">
      <c r="A30" s="13">
        <v>42401</v>
      </c>
      <c r="B30" s="44">
        <v>29</v>
      </c>
      <c r="C30" s="35">
        <v>122.58</v>
      </c>
      <c r="D30" s="35">
        <v>297.94099999999997</v>
      </c>
      <c r="E30" s="41">
        <v>729.47900000000004</v>
      </c>
      <c r="F30" s="35">
        <v>1150</v>
      </c>
      <c r="G30" s="35">
        <v>100</v>
      </c>
      <c r="H30" s="43"/>
      <c r="I30" s="35">
        <v>695</v>
      </c>
      <c r="J30" s="35">
        <v>50</v>
      </c>
      <c r="K30" s="36"/>
      <c r="L30" s="45"/>
      <c r="M30" s="36"/>
      <c r="N30" s="36"/>
      <c r="O30" s="36"/>
      <c r="P30" s="36"/>
      <c r="Q30" s="36"/>
      <c r="R30" s="36"/>
      <c r="S30" s="36"/>
      <c r="T30" s="36"/>
    </row>
    <row r="31" spans="1:20" ht="15.75">
      <c r="A31" s="13">
        <v>42430</v>
      </c>
      <c r="B31" s="44">
        <v>31</v>
      </c>
      <c r="C31" s="35">
        <v>122.58</v>
      </c>
      <c r="D31" s="35">
        <v>297.94099999999997</v>
      </c>
      <c r="E31" s="41">
        <v>729.47900000000004</v>
      </c>
      <c r="F31" s="35">
        <v>1150</v>
      </c>
      <c r="G31" s="35">
        <v>100</v>
      </c>
      <c r="H31" s="43"/>
      <c r="I31" s="35">
        <v>695</v>
      </c>
      <c r="J31" s="35">
        <v>50</v>
      </c>
      <c r="K31" s="36"/>
      <c r="L31" s="45"/>
      <c r="M31" s="36"/>
      <c r="N31" s="36"/>
      <c r="O31" s="36"/>
      <c r="P31" s="36"/>
      <c r="Q31" s="36"/>
      <c r="R31" s="36"/>
      <c r="S31" s="36"/>
      <c r="T31" s="36"/>
    </row>
    <row r="32" spans="1:20" ht="15.75">
      <c r="A32" s="13">
        <v>42461</v>
      </c>
      <c r="B32" s="44">
        <v>30</v>
      </c>
      <c r="C32" s="35">
        <v>141.29300000000001</v>
      </c>
      <c r="D32" s="35">
        <v>267.99299999999999</v>
      </c>
      <c r="E32" s="41">
        <v>829.71400000000006</v>
      </c>
      <c r="F32" s="35">
        <v>1239</v>
      </c>
      <c r="G32" s="35">
        <v>100</v>
      </c>
      <c r="H32" s="43"/>
      <c r="I32" s="35">
        <v>695</v>
      </c>
      <c r="J32" s="35">
        <v>50</v>
      </c>
      <c r="K32" s="36"/>
      <c r="L32" s="45"/>
      <c r="M32" s="36"/>
      <c r="N32" s="36"/>
      <c r="O32" s="36"/>
      <c r="P32" s="36"/>
      <c r="Q32" s="36"/>
      <c r="R32" s="36"/>
      <c r="S32" s="36"/>
      <c r="T32" s="36"/>
    </row>
    <row r="33" spans="1:20" ht="15.75">
      <c r="A33" s="13">
        <v>42491</v>
      </c>
      <c r="B33" s="44">
        <v>31</v>
      </c>
      <c r="C33" s="35">
        <v>194.20500000000001</v>
      </c>
      <c r="D33" s="35">
        <v>267.46600000000001</v>
      </c>
      <c r="E33" s="41">
        <v>912.32899999999995</v>
      </c>
      <c r="F33" s="35">
        <v>1374</v>
      </c>
      <c r="G33" s="35">
        <v>75</v>
      </c>
      <c r="H33" s="43"/>
      <c r="I33" s="35">
        <v>695</v>
      </c>
      <c r="J33" s="35">
        <v>50</v>
      </c>
      <c r="K33" s="36"/>
      <c r="L33" s="45"/>
      <c r="M33" s="36"/>
      <c r="N33" s="36"/>
      <c r="O33" s="36"/>
      <c r="P33" s="36"/>
      <c r="Q33" s="36"/>
      <c r="R33" s="36"/>
      <c r="S33" s="36"/>
      <c r="T33" s="36"/>
    </row>
    <row r="34" spans="1:20" ht="15.75">
      <c r="A34" s="13">
        <v>42522</v>
      </c>
      <c r="B34" s="44">
        <v>30</v>
      </c>
      <c r="C34" s="35">
        <v>194.20500000000001</v>
      </c>
      <c r="D34" s="35">
        <v>267.46600000000001</v>
      </c>
      <c r="E34" s="41">
        <v>912.32899999999995</v>
      </c>
      <c r="F34" s="35">
        <v>1374</v>
      </c>
      <c r="G34" s="35">
        <v>50</v>
      </c>
      <c r="H34" s="43"/>
      <c r="I34" s="35">
        <v>695</v>
      </c>
      <c r="J34" s="35">
        <v>50</v>
      </c>
      <c r="K34" s="36"/>
      <c r="L34" s="45"/>
      <c r="M34" s="36"/>
      <c r="N34" s="36"/>
      <c r="O34" s="36"/>
      <c r="P34" s="36"/>
      <c r="Q34" s="36"/>
      <c r="R34" s="36"/>
      <c r="S34" s="36"/>
      <c r="T34" s="36"/>
    </row>
    <row r="35" spans="1:20" ht="15.75">
      <c r="A35" s="13">
        <v>42552</v>
      </c>
      <c r="B35" s="44">
        <v>31</v>
      </c>
      <c r="C35" s="35">
        <v>194.20500000000001</v>
      </c>
      <c r="D35" s="35">
        <v>267.46600000000001</v>
      </c>
      <c r="E35" s="41">
        <v>912.32899999999995</v>
      </c>
      <c r="F35" s="35">
        <v>1374</v>
      </c>
      <c r="G35" s="35">
        <v>50</v>
      </c>
      <c r="H35" s="43"/>
      <c r="I35" s="35">
        <v>695</v>
      </c>
      <c r="J35" s="35">
        <v>0</v>
      </c>
      <c r="K35" s="36"/>
      <c r="L35" s="45"/>
      <c r="M35" s="36"/>
      <c r="N35" s="36"/>
      <c r="O35" s="36"/>
      <c r="P35" s="36"/>
      <c r="Q35" s="36"/>
      <c r="R35" s="36"/>
      <c r="S35" s="36"/>
      <c r="T35" s="36"/>
    </row>
    <row r="36" spans="1:20" ht="15.75">
      <c r="A36" s="13">
        <v>42583</v>
      </c>
      <c r="B36" s="44">
        <v>31</v>
      </c>
      <c r="C36" s="35">
        <v>194.20500000000001</v>
      </c>
      <c r="D36" s="35">
        <v>267.46600000000001</v>
      </c>
      <c r="E36" s="41">
        <v>912.32899999999995</v>
      </c>
      <c r="F36" s="35">
        <v>1374</v>
      </c>
      <c r="G36" s="35">
        <v>50</v>
      </c>
      <c r="H36" s="43"/>
      <c r="I36" s="35">
        <v>695</v>
      </c>
      <c r="J36" s="35">
        <v>0</v>
      </c>
      <c r="K36" s="36"/>
      <c r="L36" s="45"/>
      <c r="M36" s="36"/>
      <c r="N36" s="36"/>
      <c r="O36" s="36"/>
      <c r="P36" s="36"/>
      <c r="Q36" s="36"/>
      <c r="R36" s="36"/>
      <c r="S36" s="36"/>
      <c r="T36" s="36"/>
    </row>
    <row r="37" spans="1:20" ht="15.75">
      <c r="A37" s="13">
        <v>42614</v>
      </c>
      <c r="B37" s="44">
        <v>30</v>
      </c>
      <c r="C37" s="35">
        <v>194.20500000000001</v>
      </c>
      <c r="D37" s="35">
        <v>267.46600000000001</v>
      </c>
      <c r="E37" s="41">
        <v>912.32899999999995</v>
      </c>
      <c r="F37" s="35">
        <v>1374</v>
      </c>
      <c r="G37" s="35">
        <v>50</v>
      </c>
      <c r="H37" s="43"/>
      <c r="I37" s="35">
        <v>695</v>
      </c>
      <c r="J37" s="35">
        <v>0</v>
      </c>
      <c r="K37" s="36"/>
      <c r="L37" s="45"/>
      <c r="M37" s="36"/>
      <c r="N37" s="36"/>
      <c r="O37" s="36"/>
      <c r="P37" s="36"/>
      <c r="Q37" s="36"/>
      <c r="R37" s="36"/>
      <c r="S37" s="36"/>
      <c r="T37" s="36"/>
    </row>
    <row r="38" spans="1:20" ht="15.75">
      <c r="A38" s="13">
        <v>42644</v>
      </c>
      <c r="B38" s="44">
        <v>31</v>
      </c>
      <c r="C38" s="35">
        <v>131.881</v>
      </c>
      <c r="D38" s="35">
        <v>277.16699999999997</v>
      </c>
      <c r="E38" s="41">
        <v>829.952</v>
      </c>
      <c r="F38" s="35">
        <v>1239</v>
      </c>
      <c r="G38" s="35">
        <v>75</v>
      </c>
      <c r="H38" s="43"/>
      <c r="I38" s="35">
        <v>695</v>
      </c>
      <c r="J38" s="35">
        <v>0</v>
      </c>
      <c r="K38" s="36"/>
      <c r="L38" s="45"/>
      <c r="M38" s="36"/>
      <c r="N38" s="36"/>
      <c r="O38" s="36"/>
      <c r="P38" s="36"/>
      <c r="Q38" s="36"/>
      <c r="R38" s="36"/>
      <c r="S38" s="36"/>
      <c r="T38" s="36"/>
    </row>
    <row r="39" spans="1:20" ht="15.75">
      <c r="A39" s="13">
        <v>42675</v>
      </c>
      <c r="B39" s="44">
        <v>30</v>
      </c>
      <c r="C39" s="35">
        <v>122.58</v>
      </c>
      <c r="D39" s="35">
        <v>297.94099999999997</v>
      </c>
      <c r="E39" s="41">
        <v>729.47900000000004</v>
      </c>
      <c r="F39" s="35">
        <v>1150</v>
      </c>
      <c r="G39" s="35">
        <v>100</v>
      </c>
      <c r="H39" s="43"/>
      <c r="I39" s="35">
        <v>695</v>
      </c>
      <c r="J39" s="35">
        <v>50</v>
      </c>
      <c r="K39" s="36"/>
      <c r="L39" s="45"/>
      <c r="M39" s="36"/>
      <c r="N39" s="36"/>
      <c r="O39" s="36"/>
      <c r="P39" s="36"/>
      <c r="Q39" s="36"/>
      <c r="R39" s="36"/>
      <c r="S39" s="36"/>
      <c r="T39" s="36"/>
    </row>
    <row r="40" spans="1:20" ht="15.75">
      <c r="A40" s="13">
        <v>42705</v>
      </c>
      <c r="B40" s="44">
        <v>31</v>
      </c>
      <c r="C40" s="35">
        <v>122.58</v>
      </c>
      <c r="D40" s="35">
        <v>297.94099999999997</v>
      </c>
      <c r="E40" s="41">
        <v>729.47900000000004</v>
      </c>
      <c r="F40" s="35">
        <v>1150</v>
      </c>
      <c r="G40" s="35">
        <v>100</v>
      </c>
      <c r="H40" s="43"/>
      <c r="I40" s="35">
        <v>695</v>
      </c>
      <c r="J40" s="35">
        <v>50</v>
      </c>
      <c r="K40" s="36"/>
      <c r="L40" s="45"/>
      <c r="M40" s="36"/>
      <c r="N40" s="36"/>
      <c r="O40" s="36"/>
      <c r="P40" s="36"/>
      <c r="Q40" s="36"/>
      <c r="R40" s="36"/>
      <c r="S40" s="36"/>
      <c r="T40" s="36"/>
    </row>
    <row r="41" spans="1:20" ht="15.75">
      <c r="A41" s="13">
        <v>42736</v>
      </c>
      <c r="B41" s="44">
        <v>31</v>
      </c>
      <c r="C41" s="35">
        <v>122.58</v>
      </c>
      <c r="D41" s="35">
        <v>297.94099999999997</v>
      </c>
      <c r="E41" s="41">
        <v>729.47900000000004</v>
      </c>
      <c r="F41" s="35">
        <v>1150</v>
      </c>
      <c r="G41" s="35">
        <v>100</v>
      </c>
      <c r="H41" s="43"/>
      <c r="I41" s="35">
        <v>695</v>
      </c>
      <c r="J41" s="35">
        <v>50</v>
      </c>
      <c r="K41" s="36"/>
      <c r="L41" s="45"/>
      <c r="M41" s="36"/>
      <c r="N41" s="36"/>
      <c r="O41" s="36"/>
      <c r="P41" s="36"/>
      <c r="Q41" s="36"/>
      <c r="R41" s="36"/>
      <c r="S41" s="36"/>
      <c r="T41" s="36"/>
    </row>
    <row r="42" spans="1:20" ht="15.75">
      <c r="A42" s="13">
        <v>42767</v>
      </c>
      <c r="B42" s="44">
        <v>28</v>
      </c>
      <c r="C42" s="35">
        <v>122.58</v>
      </c>
      <c r="D42" s="35">
        <v>297.94099999999997</v>
      </c>
      <c r="E42" s="41">
        <v>729.47900000000004</v>
      </c>
      <c r="F42" s="35">
        <v>1150</v>
      </c>
      <c r="G42" s="35">
        <v>100</v>
      </c>
      <c r="H42" s="43"/>
      <c r="I42" s="35">
        <v>695</v>
      </c>
      <c r="J42" s="35">
        <v>50</v>
      </c>
      <c r="K42" s="36"/>
      <c r="L42" s="45"/>
      <c r="M42" s="36"/>
      <c r="N42" s="36"/>
      <c r="O42" s="36"/>
      <c r="P42" s="36"/>
      <c r="Q42" s="36"/>
      <c r="R42" s="36"/>
      <c r="S42" s="36"/>
      <c r="T42" s="36"/>
    </row>
    <row r="43" spans="1:20" ht="15.75">
      <c r="A43" s="13">
        <v>42795</v>
      </c>
      <c r="B43" s="44">
        <v>31</v>
      </c>
      <c r="C43" s="35">
        <v>122.58</v>
      </c>
      <c r="D43" s="35">
        <v>297.94099999999997</v>
      </c>
      <c r="E43" s="41">
        <v>729.47900000000004</v>
      </c>
      <c r="F43" s="35">
        <v>1150</v>
      </c>
      <c r="G43" s="35">
        <v>100</v>
      </c>
      <c r="H43" s="43"/>
      <c r="I43" s="35">
        <v>695</v>
      </c>
      <c r="J43" s="35">
        <v>50</v>
      </c>
      <c r="K43" s="36"/>
      <c r="L43" s="45"/>
      <c r="M43" s="36"/>
      <c r="N43" s="36"/>
      <c r="O43" s="36"/>
      <c r="P43" s="36"/>
      <c r="Q43" s="36"/>
      <c r="R43" s="36"/>
      <c r="S43" s="36"/>
      <c r="T43" s="36"/>
    </row>
    <row r="44" spans="1:20" ht="15.75">
      <c r="A44" s="13">
        <v>42826</v>
      </c>
      <c r="B44" s="44">
        <v>30</v>
      </c>
      <c r="C44" s="35">
        <v>141.29300000000001</v>
      </c>
      <c r="D44" s="35">
        <v>267.99299999999999</v>
      </c>
      <c r="E44" s="41">
        <v>829.71400000000006</v>
      </c>
      <c r="F44" s="35">
        <v>1239</v>
      </c>
      <c r="G44" s="35">
        <v>100</v>
      </c>
      <c r="H44" s="43"/>
      <c r="I44" s="35">
        <v>695</v>
      </c>
      <c r="J44" s="35">
        <v>50</v>
      </c>
      <c r="K44" s="36"/>
      <c r="L44" s="45"/>
      <c r="M44" s="36"/>
      <c r="N44" s="36"/>
      <c r="O44" s="36"/>
      <c r="P44" s="36"/>
      <c r="Q44" s="36"/>
      <c r="R44" s="36"/>
      <c r="S44" s="36"/>
      <c r="T44" s="36"/>
    </row>
    <row r="45" spans="1:20" ht="15.75">
      <c r="A45" s="13">
        <v>42856</v>
      </c>
      <c r="B45" s="44">
        <v>31</v>
      </c>
      <c r="C45" s="35">
        <v>194.20500000000001</v>
      </c>
      <c r="D45" s="35">
        <v>267.46600000000001</v>
      </c>
      <c r="E45" s="41">
        <v>812.32899999999995</v>
      </c>
      <c r="F45" s="35">
        <v>1274</v>
      </c>
      <c r="G45" s="35">
        <v>75</v>
      </c>
      <c r="H45" s="43">
        <v>400</v>
      </c>
      <c r="I45" s="35">
        <v>695</v>
      </c>
      <c r="J45" s="35">
        <v>50</v>
      </c>
      <c r="K45" s="36"/>
      <c r="L45" s="45"/>
      <c r="M45" s="36"/>
      <c r="N45" s="36"/>
      <c r="O45" s="36"/>
      <c r="P45" s="36"/>
      <c r="Q45" s="36"/>
      <c r="R45" s="36"/>
      <c r="S45" s="36"/>
      <c r="T45" s="36"/>
    </row>
    <row r="46" spans="1:20" ht="15.75">
      <c r="A46" s="13">
        <v>42887</v>
      </c>
      <c r="B46" s="44">
        <v>30</v>
      </c>
      <c r="C46" s="35">
        <v>194.20500000000001</v>
      </c>
      <c r="D46" s="35">
        <v>267.46600000000001</v>
      </c>
      <c r="E46" s="41">
        <v>812.32899999999995</v>
      </c>
      <c r="F46" s="35">
        <v>1274</v>
      </c>
      <c r="G46" s="35">
        <v>50</v>
      </c>
      <c r="H46" s="43">
        <v>400</v>
      </c>
      <c r="I46" s="35">
        <v>695</v>
      </c>
      <c r="J46" s="35">
        <v>50</v>
      </c>
      <c r="K46" s="36"/>
      <c r="L46" s="45"/>
      <c r="M46" s="36"/>
      <c r="N46" s="36"/>
      <c r="O46" s="36"/>
      <c r="P46" s="36"/>
      <c r="Q46" s="36"/>
      <c r="R46" s="36"/>
      <c r="S46" s="36"/>
      <c r="T46" s="36"/>
    </row>
    <row r="47" spans="1:20" ht="15.75">
      <c r="A47" s="13">
        <v>42917</v>
      </c>
      <c r="B47" s="44">
        <v>31</v>
      </c>
      <c r="C47" s="35">
        <v>194.20500000000001</v>
      </c>
      <c r="D47" s="35">
        <v>267.46600000000001</v>
      </c>
      <c r="E47" s="41">
        <v>812.32899999999995</v>
      </c>
      <c r="F47" s="35">
        <v>1274</v>
      </c>
      <c r="G47" s="35">
        <v>50</v>
      </c>
      <c r="H47" s="43">
        <v>400</v>
      </c>
      <c r="I47" s="35">
        <v>695</v>
      </c>
      <c r="J47" s="35">
        <v>0</v>
      </c>
      <c r="K47" s="36"/>
      <c r="L47" s="45"/>
      <c r="M47" s="36"/>
      <c r="N47" s="36"/>
      <c r="O47" s="36"/>
      <c r="P47" s="36"/>
      <c r="Q47" s="36"/>
      <c r="R47" s="36"/>
      <c r="S47" s="36"/>
      <c r="T47" s="36"/>
    </row>
    <row r="48" spans="1:20" ht="15.75">
      <c r="A48" s="13">
        <v>42948</v>
      </c>
      <c r="B48" s="44">
        <v>31</v>
      </c>
      <c r="C48" s="35">
        <v>194.20500000000001</v>
      </c>
      <c r="D48" s="35">
        <v>267.46600000000001</v>
      </c>
      <c r="E48" s="41">
        <v>812.32899999999995</v>
      </c>
      <c r="F48" s="35">
        <v>1274</v>
      </c>
      <c r="G48" s="35">
        <v>50</v>
      </c>
      <c r="H48" s="43">
        <v>400</v>
      </c>
      <c r="I48" s="35">
        <v>695</v>
      </c>
      <c r="J48" s="35">
        <v>0</v>
      </c>
      <c r="K48" s="36"/>
      <c r="L48" s="45"/>
      <c r="M48" s="36"/>
      <c r="N48" s="36"/>
      <c r="O48" s="36"/>
      <c r="P48" s="36"/>
      <c r="Q48" s="36"/>
      <c r="R48" s="36"/>
      <c r="S48" s="36"/>
      <c r="T48" s="36"/>
    </row>
    <row r="49" spans="1:20" ht="15.75">
      <c r="A49" s="13">
        <v>42979</v>
      </c>
      <c r="B49" s="44">
        <v>30</v>
      </c>
      <c r="C49" s="35">
        <v>194.20500000000001</v>
      </c>
      <c r="D49" s="35">
        <v>267.46600000000001</v>
      </c>
      <c r="E49" s="41">
        <v>812.32899999999995</v>
      </c>
      <c r="F49" s="35">
        <v>1274</v>
      </c>
      <c r="G49" s="35">
        <v>50</v>
      </c>
      <c r="H49" s="43">
        <v>400</v>
      </c>
      <c r="I49" s="35">
        <v>695</v>
      </c>
      <c r="J49" s="35">
        <v>0</v>
      </c>
      <c r="K49" s="36"/>
      <c r="L49" s="45"/>
      <c r="M49" s="36"/>
      <c r="N49" s="36"/>
      <c r="O49" s="36"/>
      <c r="P49" s="36"/>
      <c r="Q49" s="36"/>
      <c r="R49" s="36"/>
      <c r="S49" s="36"/>
      <c r="T49" s="36"/>
    </row>
    <row r="50" spans="1:20" ht="15.75">
      <c r="A50" s="13">
        <v>43009</v>
      </c>
      <c r="B50" s="44">
        <v>31</v>
      </c>
      <c r="C50" s="35">
        <v>131.881</v>
      </c>
      <c r="D50" s="35">
        <v>277.16699999999997</v>
      </c>
      <c r="E50" s="41">
        <v>829.952</v>
      </c>
      <c r="F50" s="35">
        <v>1239</v>
      </c>
      <c r="G50" s="35">
        <v>75</v>
      </c>
      <c r="H50" s="43">
        <v>400</v>
      </c>
      <c r="I50" s="35">
        <v>695</v>
      </c>
      <c r="J50" s="35">
        <v>0</v>
      </c>
      <c r="K50" s="36"/>
      <c r="L50" s="45"/>
      <c r="M50" s="36"/>
      <c r="N50" s="36"/>
      <c r="O50" s="36"/>
      <c r="P50" s="36"/>
      <c r="Q50" s="36"/>
      <c r="R50" s="36"/>
      <c r="S50" s="36"/>
      <c r="T50" s="36"/>
    </row>
    <row r="51" spans="1:20" ht="15.75">
      <c r="A51" s="13">
        <v>43040</v>
      </c>
      <c r="B51" s="44">
        <v>30</v>
      </c>
      <c r="C51" s="35">
        <v>122.58</v>
      </c>
      <c r="D51" s="35">
        <v>297.94099999999997</v>
      </c>
      <c r="E51" s="41">
        <v>729.47900000000004</v>
      </c>
      <c r="F51" s="35">
        <v>1150</v>
      </c>
      <c r="G51" s="35">
        <v>100</v>
      </c>
      <c r="H51" s="43">
        <v>400</v>
      </c>
      <c r="I51" s="35">
        <v>695</v>
      </c>
      <c r="J51" s="35">
        <v>50</v>
      </c>
      <c r="K51" s="36"/>
      <c r="L51" s="45"/>
      <c r="M51" s="36"/>
      <c r="N51" s="36"/>
      <c r="O51" s="36"/>
      <c r="P51" s="36"/>
      <c r="Q51" s="36"/>
      <c r="R51" s="36"/>
      <c r="S51" s="36"/>
      <c r="T51" s="36"/>
    </row>
    <row r="52" spans="1:20" ht="15.75">
      <c r="A52" s="13">
        <v>43070</v>
      </c>
      <c r="B52" s="44">
        <v>31</v>
      </c>
      <c r="C52" s="35">
        <v>122.58</v>
      </c>
      <c r="D52" s="35">
        <v>297.94099999999997</v>
      </c>
      <c r="E52" s="41">
        <v>729.47900000000004</v>
      </c>
      <c r="F52" s="35">
        <v>1150</v>
      </c>
      <c r="G52" s="35">
        <v>100</v>
      </c>
      <c r="H52" s="43">
        <v>400</v>
      </c>
      <c r="I52" s="35">
        <v>695</v>
      </c>
      <c r="J52" s="35">
        <v>50</v>
      </c>
      <c r="K52" s="36"/>
      <c r="L52" s="45"/>
      <c r="M52" s="36"/>
      <c r="N52" s="36"/>
      <c r="O52" s="36"/>
      <c r="P52" s="36"/>
      <c r="Q52" s="36"/>
      <c r="R52" s="36"/>
      <c r="S52" s="36"/>
      <c r="T52" s="36"/>
    </row>
    <row r="53" spans="1:20" ht="15.75">
      <c r="A53" s="13">
        <v>43101</v>
      </c>
      <c r="B53" s="44">
        <v>31</v>
      </c>
      <c r="C53" s="35">
        <v>122.58</v>
      </c>
      <c r="D53" s="35">
        <v>297.94099999999997</v>
      </c>
      <c r="E53" s="41">
        <v>729.47900000000004</v>
      </c>
      <c r="F53" s="35">
        <v>1150</v>
      </c>
      <c r="G53" s="35">
        <v>100</v>
      </c>
      <c r="H53" s="43">
        <v>400</v>
      </c>
      <c r="I53" s="35">
        <v>695</v>
      </c>
      <c r="J53" s="35">
        <v>50</v>
      </c>
      <c r="K53" s="36"/>
      <c r="L53" s="45"/>
      <c r="M53" s="36"/>
      <c r="N53" s="36"/>
      <c r="O53" s="36"/>
      <c r="P53" s="36"/>
      <c r="Q53" s="36"/>
      <c r="R53" s="36"/>
      <c r="S53" s="36"/>
      <c r="T53" s="36"/>
    </row>
    <row r="54" spans="1:20" ht="15.75">
      <c r="A54" s="13">
        <v>43132</v>
      </c>
      <c r="B54" s="44">
        <v>28</v>
      </c>
      <c r="C54" s="35">
        <v>122.58</v>
      </c>
      <c r="D54" s="35">
        <v>297.94099999999997</v>
      </c>
      <c r="E54" s="41">
        <v>729.47900000000004</v>
      </c>
      <c r="F54" s="35">
        <v>1150</v>
      </c>
      <c r="G54" s="35">
        <v>100</v>
      </c>
      <c r="H54" s="43">
        <v>400</v>
      </c>
      <c r="I54" s="35">
        <v>695</v>
      </c>
      <c r="J54" s="35">
        <v>50</v>
      </c>
      <c r="K54" s="36"/>
      <c r="L54" s="45"/>
      <c r="M54" s="36"/>
      <c r="N54" s="36"/>
      <c r="O54" s="36"/>
      <c r="P54" s="36"/>
      <c r="Q54" s="36"/>
      <c r="R54" s="36"/>
      <c r="S54" s="36"/>
      <c r="T54" s="36"/>
    </row>
    <row r="55" spans="1:20" ht="15.75">
      <c r="A55" s="13">
        <v>43160</v>
      </c>
      <c r="B55" s="44">
        <v>31</v>
      </c>
      <c r="C55" s="35">
        <v>122.58</v>
      </c>
      <c r="D55" s="35">
        <v>297.94099999999997</v>
      </c>
      <c r="E55" s="41">
        <v>729.47900000000004</v>
      </c>
      <c r="F55" s="35">
        <v>1150</v>
      </c>
      <c r="G55" s="35">
        <v>100</v>
      </c>
      <c r="H55" s="43">
        <v>400</v>
      </c>
      <c r="I55" s="35">
        <v>695</v>
      </c>
      <c r="J55" s="35">
        <v>50</v>
      </c>
      <c r="K55" s="36"/>
      <c r="L55" s="45"/>
      <c r="M55" s="36"/>
      <c r="N55" s="36"/>
      <c r="O55" s="36"/>
      <c r="P55" s="36"/>
      <c r="Q55" s="36"/>
      <c r="R55" s="36"/>
      <c r="S55" s="36"/>
      <c r="T55" s="36"/>
    </row>
    <row r="56" spans="1:20" ht="15.75">
      <c r="A56" s="13">
        <v>43191</v>
      </c>
      <c r="B56" s="44">
        <v>30</v>
      </c>
      <c r="C56" s="35">
        <v>141.29300000000001</v>
      </c>
      <c r="D56" s="35">
        <v>267.99299999999999</v>
      </c>
      <c r="E56" s="41">
        <v>829.71400000000006</v>
      </c>
      <c r="F56" s="35">
        <v>1239</v>
      </c>
      <c r="G56" s="35">
        <v>100</v>
      </c>
      <c r="H56" s="43">
        <v>400</v>
      </c>
      <c r="I56" s="35">
        <v>695</v>
      </c>
      <c r="J56" s="35">
        <v>50</v>
      </c>
      <c r="K56" s="36"/>
      <c r="L56" s="45"/>
      <c r="M56" s="36"/>
      <c r="N56" s="36"/>
      <c r="O56" s="36"/>
      <c r="P56" s="36"/>
      <c r="Q56" s="36"/>
      <c r="R56" s="36"/>
      <c r="S56" s="36"/>
      <c r="T56" s="36"/>
    </row>
    <row r="57" spans="1:20" ht="15.75">
      <c r="A57" s="13">
        <v>43221</v>
      </c>
      <c r="B57" s="44">
        <v>31</v>
      </c>
      <c r="C57" s="35">
        <v>194.20500000000001</v>
      </c>
      <c r="D57" s="35">
        <v>267.46600000000001</v>
      </c>
      <c r="E57" s="41">
        <v>812.32899999999995</v>
      </c>
      <c r="F57" s="35">
        <v>1274</v>
      </c>
      <c r="G57" s="35">
        <v>75</v>
      </c>
      <c r="H57" s="43">
        <v>400</v>
      </c>
      <c r="I57" s="35">
        <v>695</v>
      </c>
      <c r="J57" s="35">
        <v>50</v>
      </c>
      <c r="K57" s="36"/>
      <c r="L57" s="45"/>
      <c r="M57" s="36"/>
      <c r="N57" s="36"/>
      <c r="O57" s="36"/>
      <c r="P57" s="36"/>
      <c r="Q57" s="36"/>
      <c r="R57" s="36"/>
      <c r="S57" s="36"/>
      <c r="T57" s="36"/>
    </row>
    <row r="58" spans="1:20" ht="15.75">
      <c r="A58" s="13">
        <v>43252</v>
      </c>
      <c r="B58" s="44">
        <v>30</v>
      </c>
      <c r="C58" s="35">
        <v>194.20500000000001</v>
      </c>
      <c r="D58" s="35">
        <v>267.46600000000001</v>
      </c>
      <c r="E58" s="41">
        <v>812.32899999999995</v>
      </c>
      <c r="F58" s="35">
        <v>1274</v>
      </c>
      <c r="G58" s="35">
        <v>50</v>
      </c>
      <c r="H58" s="43">
        <v>400</v>
      </c>
      <c r="I58" s="35">
        <v>695</v>
      </c>
      <c r="J58" s="35">
        <v>50</v>
      </c>
      <c r="K58" s="36"/>
      <c r="L58" s="45"/>
      <c r="M58" s="36"/>
      <c r="N58" s="36"/>
      <c r="O58" s="36"/>
      <c r="P58" s="36"/>
      <c r="Q58" s="36"/>
      <c r="R58" s="36"/>
      <c r="S58" s="36"/>
      <c r="T58" s="36"/>
    </row>
    <row r="59" spans="1:20" ht="15.75">
      <c r="A59" s="13">
        <v>43282</v>
      </c>
      <c r="B59" s="44">
        <v>31</v>
      </c>
      <c r="C59" s="35">
        <v>194.20500000000001</v>
      </c>
      <c r="D59" s="35">
        <v>267.46600000000001</v>
      </c>
      <c r="E59" s="41">
        <v>812.32899999999995</v>
      </c>
      <c r="F59" s="35">
        <v>1274</v>
      </c>
      <c r="G59" s="35">
        <v>50</v>
      </c>
      <c r="H59" s="43">
        <v>400</v>
      </c>
      <c r="I59" s="35">
        <v>695</v>
      </c>
      <c r="J59" s="35">
        <v>0</v>
      </c>
      <c r="K59" s="36"/>
      <c r="L59" s="45"/>
      <c r="M59" s="36"/>
      <c r="N59" s="36"/>
      <c r="O59" s="36"/>
      <c r="P59" s="36"/>
      <c r="Q59" s="36"/>
      <c r="R59" s="36"/>
      <c r="S59" s="36"/>
      <c r="T59" s="36"/>
    </row>
    <row r="60" spans="1:20" ht="15.75">
      <c r="A60" s="13">
        <v>43313</v>
      </c>
      <c r="B60" s="44">
        <v>31</v>
      </c>
      <c r="C60" s="35">
        <v>194.20500000000001</v>
      </c>
      <c r="D60" s="35">
        <v>267.46600000000001</v>
      </c>
      <c r="E60" s="41">
        <v>812.32899999999995</v>
      </c>
      <c r="F60" s="35">
        <v>1274</v>
      </c>
      <c r="G60" s="35">
        <v>50</v>
      </c>
      <c r="H60" s="43">
        <v>400</v>
      </c>
      <c r="I60" s="35">
        <v>695</v>
      </c>
      <c r="J60" s="35">
        <v>0</v>
      </c>
      <c r="K60" s="36"/>
      <c r="L60" s="45"/>
      <c r="M60" s="36"/>
      <c r="N60" s="36"/>
      <c r="O60" s="36"/>
      <c r="P60" s="36"/>
      <c r="Q60" s="36"/>
      <c r="R60" s="36"/>
      <c r="S60" s="36"/>
      <c r="T60" s="36"/>
    </row>
    <row r="61" spans="1:20" ht="15.75">
      <c r="A61" s="13">
        <v>43344</v>
      </c>
      <c r="B61" s="44">
        <v>30</v>
      </c>
      <c r="C61" s="35">
        <v>194.20500000000001</v>
      </c>
      <c r="D61" s="35">
        <v>267.46600000000001</v>
      </c>
      <c r="E61" s="41">
        <v>812.32899999999995</v>
      </c>
      <c r="F61" s="35">
        <v>1274</v>
      </c>
      <c r="G61" s="35">
        <v>50</v>
      </c>
      <c r="H61" s="43">
        <v>400</v>
      </c>
      <c r="I61" s="35">
        <v>695</v>
      </c>
      <c r="J61" s="35">
        <v>0</v>
      </c>
      <c r="K61" s="36"/>
      <c r="L61" s="45"/>
      <c r="M61" s="36"/>
      <c r="N61" s="36"/>
      <c r="O61" s="36"/>
      <c r="P61" s="36"/>
      <c r="Q61" s="36"/>
      <c r="R61" s="36"/>
      <c r="S61" s="36"/>
      <c r="T61" s="36"/>
    </row>
    <row r="62" spans="1:20" ht="15.75">
      <c r="A62" s="13">
        <v>43374</v>
      </c>
      <c r="B62" s="44">
        <v>31</v>
      </c>
      <c r="C62" s="35">
        <v>131.881</v>
      </c>
      <c r="D62" s="35">
        <v>277.16699999999997</v>
      </c>
      <c r="E62" s="41">
        <v>829.952</v>
      </c>
      <c r="F62" s="35">
        <v>1239</v>
      </c>
      <c r="G62" s="35">
        <v>75</v>
      </c>
      <c r="H62" s="43">
        <v>400</v>
      </c>
      <c r="I62" s="35">
        <v>695</v>
      </c>
      <c r="J62" s="35">
        <v>0</v>
      </c>
      <c r="K62" s="36"/>
      <c r="L62" s="45"/>
      <c r="M62" s="36"/>
      <c r="N62" s="36"/>
      <c r="O62" s="36"/>
      <c r="P62" s="36"/>
      <c r="Q62" s="36"/>
      <c r="R62" s="36"/>
      <c r="S62" s="36"/>
      <c r="T62" s="36"/>
    </row>
    <row r="63" spans="1:20" ht="15.75">
      <c r="A63" s="13">
        <v>43405</v>
      </c>
      <c r="B63" s="44">
        <v>30</v>
      </c>
      <c r="C63" s="35">
        <v>122.58</v>
      </c>
      <c r="D63" s="35">
        <v>297.94099999999997</v>
      </c>
      <c r="E63" s="41">
        <v>729.47900000000004</v>
      </c>
      <c r="F63" s="35">
        <v>1150</v>
      </c>
      <c r="G63" s="35">
        <v>100</v>
      </c>
      <c r="H63" s="43">
        <v>400</v>
      </c>
      <c r="I63" s="35">
        <v>695</v>
      </c>
      <c r="J63" s="35">
        <v>50</v>
      </c>
      <c r="K63" s="36"/>
      <c r="L63" s="45"/>
      <c r="M63" s="36"/>
      <c r="N63" s="36"/>
      <c r="O63" s="36"/>
      <c r="P63" s="36"/>
      <c r="Q63" s="36"/>
      <c r="R63" s="36"/>
      <c r="S63" s="36"/>
      <c r="T63" s="36"/>
    </row>
    <row r="64" spans="1:20" ht="15.75">
      <c r="A64" s="13">
        <v>43435</v>
      </c>
      <c r="B64" s="44">
        <v>31</v>
      </c>
      <c r="C64" s="35">
        <v>122.58</v>
      </c>
      <c r="D64" s="35">
        <v>297.94099999999997</v>
      </c>
      <c r="E64" s="41">
        <v>729.47900000000004</v>
      </c>
      <c r="F64" s="35">
        <v>1150</v>
      </c>
      <c r="G64" s="35">
        <v>100</v>
      </c>
      <c r="H64" s="43">
        <v>400</v>
      </c>
      <c r="I64" s="35">
        <v>695</v>
      </c>
      <c r="J64" s="35">
        <v>50</v>
      </c>
      <c r="K64" s="36"/>
      <c r="L64" s="45"/>
      <c r="M64" s="36"/>
      <c r="N64" s="36"/>
      <c r="O64" s="36"/>
      <c r="P64" s="36"/>
      <c r="Q64" s="36"/>
      <c r="R64" s="36"/>
      <c r="S64" s="36"/>
      <c r="T64" s="36"/>
    </row>
    <row r="65" spans="1:20" ht="15.75">
      <c r="A65" s="13">
        <v>43466</v>
      </c>
      <c r="B65" s="44">
        <v>31</v>
      </c>
      <c r="C65" s="35">
        <v>122.58</v>
      </c>
      <c r="D65" s="35">
        <v>297.94099999999997</v>
      </c>
      <c r="E65" s="41">
        <v>729.47900000000004</v>
      </c>
      <c r="F65" s="35">
        <v>1150</v>
      </c>
      <c r="G65" s="35">
        <v>100</v>
      </c>
      <c r="H65" s="43">
        <v>400</v>
      </c>
      <c r="I65" s="35">
        <v>695</v>
      </c>
      <c r="J65" s="35">
        <v>50</v>
      </c>
      <c r="K65" s="36"/>
      <c r="L65" s="36"/>
      <c r="M65" s="36"/>
      <c r="N65" s="36"/>
      <c r="O65" s="36"/>
      <c r="P65" s="36"/>
      <c r="Q65" s="36"/>
      <c r="R65" s="36"/>
      <c r="S65" s="36"/>
      <c r="T65" s="36"/>
    </row>
    <row r="66" spans="1:20" ht="15.75">
      <c r="A66" s="13">
        <v>43497</v>
      </c>
      <c r="B66" s="44">
        <v>28</v>
      </c>
      <c r="C66" s="35">
        <v>122.58</v>
      </c>
      <c r="D66" s="35">
        <v>297.94099999999997</v>
      </c>
      <c r="E66" s="41">
        <v>729.47900000000004</v>
      </c>
      <c r="F66" s="35">
        <v>1150</v>
      </c>
      <c r="G66" s="35">
        <v>100</v>
      </c>
      <c r="H66" s="43">
        <v>400</v>
      </c>
      <c r="I66" s="35">
        <v>695</v>
      </c>
      <c r="J66" s="35">
        <v>50</v>
      </c>
      <c r="K66" s="36"/>
      <c r="L66" s="36"/>
      <c r="M66" s="36"/>
      <c r="N66" s="36"/>
      <c r="O66" s="36"/>
      <c r="P66" s="36"/>
      <c r="Q66" s="36"/>
      <c r="R66" s="36"/>
      <c r="S66" s="36"/>
      <c r="T66" s="36"/>
    </row>
    <row r="67" spans="1:20" ht="15.75">
      <c r="A67" s="13">
        <v>43525</v>
      </c>
      <c r="B67" s="44">
        <v>31</v>
      </c>
      <c r="C67" s="35">
        <v>122.58</v>
      </c>
      <c r="D67" s="35">
        <v>297.94099999999997</v>
      </c>
      <c r="E67" s="41">
        <v>729.47900000000004</v>
      </c>
      <c r="F67" s="35">
        <v>1150</v>
      </c>
      <c r="G67" s="35">
        <v>100</v>
      </c>
      <c r="H67" s="43">
        <v>400</v>
      </c>
      <c r="I67" s="35">
        <v>695</v>
      </c>
      <c r="J67" s="35">
        <v>50</v>
      </c>
      <c r="K67" s="36"/>
      <c r="L67" s="36"/>
      <c r="M67" s="36"/>
      <c r="N67" s="36"/>
      <c r="O67" s="36"/>
      <c r="P67" s="36"/>
      <c r="Q67" s="36"/>
      <c r="R67" s="36"/>
      <c r="S67" s="36"/>
      <c r="T67" s="36"/>
    </row>
    <row r="68" spans="1:20" ht="15.75">
      <c r="A68" s="13">
        <v>43556</v>
      </c>
      <c r="B68" s="44">
        <v>30</v>
      </c>
      <c r="C68" s="35">
        <v>141.29300000000001</v>
      </c>
      <c r="D68" s="35">
        <v>267.99299999999999</v>
      </c>
      <c r="E68" s="41">
        <v>829.71400000000006</v>
      </c>
      <c r="F68" s="35">
        <v>1239</v>
      </c>
      <c r="G68" s="35">
        <v>100</v>
      </c>
      <c r="H68" s="43">
        <v>400</v>
      </c>
      <c r="I68" s="35">
        <v>695</v>
      </c>
      <c r="J68" s="35">
        <v>50</v>
      </c>
      <c r="K68" s="36"/>
      <c r="L68" s="36"/>
      <c r="M68" s="36"/>
      <c r="N68" s="36"/>
      <c r="O68" s="36"/>
      <c r="P68" s="36"/>
      <c r="Q68" s="36"/>
      <c r="R68" s="36"/>
      <c r="S68" s="36"/>
      <c r="T68" s="36"/>
    </row>
    <row r="69" spans="1:20" ht="15.75">
      <c r="A69" s="13">
        <v>43586</v>
      </c>
      <c r="B69" s="44">
        <v>31</v>
      </c>
      <c r="C69" s="35">
        <v>194.20500000000001</v>
      </c>
      <c r="D69" s="35">
        <v>267.46600000000001</v>
      </c>
      <c r="E69" s="41">
        <v>812.32899999999995</v>
      </c>
      <c r="F69" s="35">
        <v>1274</v>
      </c>
      <c r="G69" s="35">
        <v>75</v>
      </c>
      <c r="H69" s="43">
        <v>400</v>
      </c>
      <c r="I69" s="35">
        <v>695</v>
      </c>
      <c r="J69" s="35">
        <v>50</v>
      </c>
      <c r="K69" s="36"/>
      <c r="L69" s="36"/>
      <c r="M69" s="36"/>
      <c r="N69" s="36"/>
      <c r="O69" s="36"/>
      <c r="P69" s="36"/>
      <c r="Q69" s="36"/>
      <c r="R69" s="36"/>
      <c r="S69" s="36"/>
      <c r="T69" s="36"/>
    </row>
    <row r="70" spans="1:20" ht="15.75">
      <c r="A70" s="13">
        <v>43617</v>
      </c>
      <c r="B70" s="44">
        <v>30</v>
      </c>
      <c r="C70" s="35">
        <v>194.20500000000001</v>
      </c>
      <c r="D70" s="35">
        <v>267.46600000000001</v>
      </c>
      <c r="E70" s="41">
        <v>812.32899999999995</v>
      </c>
      <c r="F70" s="35">
        <v>1274</v>
      </c>
      <c r="G70" s="35">
        <v>50</v>
      </c>
      <c r="H70" s="43">
        <v>400</v>
      </c>
      <c r="I70" s="35">
        <v>695</v>
      </c>
      <c r="J70" s="35">
        <v>50</v>
      </c>
      <c r="K70" s="36"/>
      <c r="L70" s="36"/>
      <c r="M70" s="36"/>
      <c r="N70" s="36"/>
      <c r="O70" s="36"/>
      <c r="P70" s="36"/>
      <c r="Q70" s="36"/>
      <c r="R70" s="36"/>
      <c r="S70" s="36"/>
      <c r="T70" s="36"/>
    </row>
    <row r="71" spans="1:20" ht="15.75">
      <c r="A71" s="13">
        <v>43647</v>
      </c>
      <c r="B71" s="44">
        <v>31</v>
      </c>
      <c r="C71" s="35">
        <v>194.20500000000001</v>
      </c>
      <c r="D71" s="35">
        <v>267.46600000000001</v>
      </c>
      <c r="E71" s="41">
        <v>812.32899999999995</v>
      </c>
      <c r="F71" s="35">
        <v>1274</v>
      </c>
      <c r="G71" s="35">
        <v>50</v>
      </c>
      <c r="H71" s="43">
        <v>400</v>
      </c>
      <c r="I71" s="35">
        <v>695</v>
      </c>
      <c r="J71" s="35">
        <v>0</v>
      </c>
      <c r="K71" s="36"/>
      <c r="L71" s="36"/>
      <c r="M71" s="36"/>
      <c r="N71" s="36"/>
      <c r="O71" s="36"/>
      <c r="P71" s="36"/>
      <c r="Q71" s="36"/>
      <c r="R71" s="36"/>
      <c r="S71" s="36"/>
      <c r="T71" s="36"/>
    </row>
    <row r="72" spans="1:20" ht="15.75">
      <c r="A72" s="13">
        <v>43678</v>
      </c>
      <c r="B72" s="44">
        <v>31</v>
      </c>
      <c r="C72" s="35">
        <v>194.20500000000001</v>
      </c>
      <c r="D72" s="35">
        <v>267.46600000000001</v>
      </c>
      <c r="E72" s="41">
        <v>812.32899999999995</v>
      </c>
      <c r="F72" s="35">
        <v>1274</v>
      </c>
      <c r="G72" s="35">
        <v>50</v>
      </c>
      <c r="H72" s="43">
        <v>400</v>
      </c>
      <c r="I72" s="35">
        <v>695</v>
      </c>
      <c r="J72" s="35">
        <v>0</v>
      </c>
      <c r="K72" s="36"/>
      <c r="L72" s="36"/>
      <c r="M72" s="36"/>
      <c r="N72" s="36"/>
      <c r="O72" s="36"/>
      <c r="P72" s="36"/>
      <c r="Q72" s="36"/>
      <c r="R72" s="36"/>
      <c r="S72" s="36"/>
      <c r="T72" s="36"/>
    </row>
    <row r="73" spans="1:20" ht="15.75">
      <c r="A73" s="13">
        <v>43709</v>
      </c>
      <c r="B73" s="44">
        <v>30</v>
      </c>
      <c r="C73" s="35">
        <v>194.20500000000001</v>
      </c>
      <c r="D73" s="35">
        <v>267.46600000000001</v>
      </c>
      <c r="E73" s="41">
        <v>812.32899999999995</v>
      </c>
      <c r="F73" s="35">
        <v>1274</v>
      </c>
      <c r="G73" s="35">
        <v>50</v>
      </c>
      <c r="H73" s="43">
        <v>400</v>
      </c>
      <c r="I73" s="35">
        <v>695</v>
      </c>
      <c r="J73" s="35">
        <v>0</v>
      </c>
      <c r="K73" s="36"/>
      <c r="L73" s="36"/>
      <c r="M73" s="36"/>
      <c r="N73" s="36"/>
      <c r="O73" s="36"/>
      <c r="P73" s="36"/>
      <c r="Q73" s="36"/>
      <c r="R73" s="36"/>
      <c r="S73" s="36"/>
      <c r="T73" s="36"/>
    </row>
    <row r="74" spans="1:20" ht="15.75">
      <c r="A74" s="13">
        <v>43739</v>
      </c>
      <c r="B74" s="44">
        <v>31</v>
      </c>
      <c r="C74" s="35">
        <v>131.881</v>
      </c>
      <c r="D74" s="35">
        <v>277.16699999999997</v>
      </c>
      <c r="E74" s="41">
        <v>829.952</v>
      </c>
      <c r="F74" s="35">
        <v>1239</v>
      </c>
      <c r="G74" s="35">
        <v>75</v>
      </c>
      <c r="H74" s="43">
        <v>400</v>
      </c>
      <c r="I74" s="35">
        <v>695</v>
      </c>
      <c r="J74" s="35">
        <v>0</v>
      </c>
      <c r="K74" s="36"/>
      <c r="L74" s="36"/>
      <c r="M74" s="36"/>
      <c r="N74" s="36"/>
      <c r="O74" s="36"/>
      <c r="P74" s="36"/>
      <c r="Q74" s="36"/>
      <c r="R74" s="36"/>
      <c r="S74" s="36"/>
      <c r="T74" s="36"/>
    </row>
    <row r="75" spans="1:20" ht="15.75">
      <c r="A75" s="13">
        <v>43770</v>
      </c>
      <c r="B75" s="44">
        <v>30</v>
      </c>
      <c r="C75" s="35">
        <v>122.58</v>
      </c>
      <c r="D75" s="35">
        <v>297.94099999999997</v>
      </c>
      <c r="E75" s="41">
        <v>729.47900000000004</v>
      </c>
      <c r="F75" s="35">
        <v>1150</v>
      </c>
      <c r="G75" s="35">
        <v>100</v>
      </c>
      <c r="H75" s="43">
        <v>400</v>
      </c>
      <c r="I75" s="35">
        <v>695</v>
      </c>
      <c r="J75" s="35">
        <v>50</v>
      </c>
      <c r="K75" s="36"/>
      <c r="L75" s="36"/>
      <c r="M75" s="36"/>
      <c r="N75" s="36"/>
      <c r="O75" s="36"/>
      <c r="P75" s="36"/>
      <c r="Q75" s="36"/>
      <c r="R75" s="36"/>
      <c r="S75" s="36"/>
      <c r="T75" s="36"/>
    </row>
    <row r="76" spans="1:20" ht="15.75">
      <c r="A76" s="13">
        <v>43800</v>
      </c>
      <c r="B76" s="44">
        <v>31</v>
      </c>
      <c r="C76" s="35">
        <v>122.58</v>
      </c>
      <c r="D76" s="35">
        <v>297.94099999999997</v>
      </c>
      <c r="E76" s="41">
        <v>729.47900000000004</v>
      </c>
      <c r="F76" s="35">
        <v>1150</v>
      </c>
      <c r="G76" s="35">
        <v>100</v>
      </c>
      <c r="H76" s="43">
        <v>400</v>
      </c>
      <c r="I76" s="35">
        <v>695</v>
      </c>
      <c r="J76" s="35">
        <v>50</v>
      </c>
      <c r="K76" s="36"/>
      <c r="L76" s="36"/>
      <c r="M76" s="36"/>
      <c r="N76" s="36"/>
      <c r="O76" s="36"/>
      <c r="P76" s="36"/>
      <c r="Q76" s="36"/>
      <c r="R76" s="36"/>
      <c r="S76" s="36"/>
      <c r="T76" s="36"/>
    </row>
    <row r="77" spans="1:20" ht="15.75">
      <c r="A77" s="13">
        <v>43831</v>
      </c>
      <c r="B77" s="44">
        <v>31</v>
      </c>
      <c r="C77" s="35">
        <v>122.58</v>
      </c>
      <c r="D77" s="35">
        <v>297.94099999999997</v>
      </c>
      <c r="E77" s="41">
        <v>729.47900000000004</v>
      </c>
      <c r="F77" s="35">
        <v>1150</v>
      </c>
      <c r="G77" s="35">
        <v>100</v>
      </c>
      <c r="H77" s="43">
        <v>400</v>
      </c>
      <c r="I77" s="35">
        <v>695</v>
      </c>
      <c r="J77" s="35">
        <v>50</v>
      </c>
      <c r="K77" s="36"/>
      <c r="L77" s="36"/>
      <c r="M77" s="36"/>
      <c r="N77" s="36"/>
      <c r="O77" s="36"/>
      <c r="P77" s="36"/>
      <c r="Q77" s="36"/>
      <c r="R77" s="36"/>
      <c r="S77" s="36"/>
      <c r="T77" s="36"/>
    </row>
    <row r="78" spans="1:20" ht="15.75">
      <c r="A78" s="13">
        <v>43862</v>
      </c>
      <c r="B78" s="44">
        <v>29</v>
      </c>
      <c r="C78" s="35">
        <v>122.58</v>
      </c>
      <c r="D78" s="35">
        <v>297.94099999999997</v>
      </c>
      <c r="E78" s="41">
        <v>729.47900000000004</v>
      </c>
      <c r="F78" s="35">
        <v>1150</v>
      </c>
      <c r="G78" s="35">
        <v>100</v>
      </c>
      <c r="H78" s="43">
        <v>400</v>
      </c>
      <c r="I78" s="35">
        <v>695</v>
      </c>
      <c r="J78" s="35">
        <v>50</v>
      </c>
      <c r="K78" s="36"/>
      <c r="L78" s="36"/>
      <c r="M78" s="36"/>
      <c r="N78" s="36"/>
      <c r="O78" s="36"/>
      <c r="P78" s="36"/>
      <c r="Q78" s="36"/>
      <c r="R78" s="36"/>
      <c r="S78" s="36"/>
      <c r="T78" s="36"/>
    </row>
    <row r="79" spans="1:20" ht="15.75">
      <c r="A79" s="13">
        <v>43891</v>
      </c>
      <c r="B79" s="44">
        <v>31</v>
      </c>
      <c r="C79" s="35">
        <v>122.58</v>
      </c>
      <c r="D79" s="35">
        <v>297.94099999999997</v>
      </c>
      <c r="E79" s="41">
        <v>729.47900000000004</v>
      </c>
      <c r="F79" s="35">
        <v>1150</v>
      </c>
      <c r="G79" s="35">
        <v>100</v>
      </c>
      <c r="H79" s="43">
        <v>400</v>
      </c>
      <c r="I79" s="35">
        <v>695</v>
      </c>
      <c r="J79" s="35">
        <v>50</v>
      </c>
      <c r="K79" s="36"/>
      <c r="L79" s="36"/>
      <c r="M79" s="36"/>
      <c r="N79" s="36"/>
      <c r="O79" s="36"/>
      <c r="P79" s="36"/>
      <c r="Q79" s="36"/>
      <c r="R79" s="36"/>
      <c r="S79" s="36"/>
      <c r="T79" s="36"/>
    </row>
    <row r="80" spans="1:20" ht="15.75">
      <c r="A80" s="13">
        <v>43922</v>
      </c>
      <c r="B80" s="44">
        <v>30</v>
      </c>
      <c r="C80" s="35">
        <v>141.29300000000001</v>
      </c>
      <c r="D80" s="35">
        <v>267.99299999999999</v>
      </c>
      <c r="E80" s="41">
        <v>829.71400000000006</v>
      </c>
      <c r="F80" s="35">
        <v>1239</v>
      </c>
      <c r="G80" s="35">
        <v>100</v>
      </c>
      <c r="H80" s="43">
        <v>400</v>
      </c>
      <c r="I80" s="35">
        <v>695</v>
      </c>
      <c r="J80" s="35">
        <v>50</v>
      </c>
      <c r="K80" s="36"/>
      <c r="L80" s="36"/>
      <c r="M80" s="36"/>
      <c r="N80" s="36"/>
      <c r="O80" s="36"/>
      <c r="P80" s="36"/>
      <c r="Q80" s="36"/>
      <c r="R80" s="36"/>
      <c r="S80" s="36"/>
      <c r="T80" s="36"/>
    </row>
    <row r="81" spans="1:20" ht="15.75">
      <c r="A81" s="13">
        <v>43952</v>
      </c>
      <c r="B81" s="44">
        <v>31</v>
      </c>
      <c r="C81" s="35">
        <v>194.20500000000001</v>
      </c>
      <c r="D81" s="35">
        <v>267.46600000000001</v>
      </c>
      <c r="E81" s="41">
        <v>812.32899999999995</v>
      </c>
      <c r="F81" s="35">
        <v>1274</v>
      </c>
      <c r="G81" s="35">
        <v>75</v>
      </c>
      <c r="H81" s="43">
        <v>600</v>
      </c>
      <c r="I81" s="35">
        <v>695</v>
      </c>
      <c r="J81" s="35">
        <v>50</v>
      </c>
      <c r="K81" s="36"/>
      <c r="L81" s="36"/>
      <c r="M81" s="36"/>
      <c r="N81" s="36"/>
      <c r="O81" s="36"/>
      <c r="P81" s="36"/>
      <c r="Q81" s="36"/>
      <c r="R81" s="36"/>
      <c r="S81" s="36"/>
      <c r="T81" s="36"/>
    </row>
    <row r="82" spans="1:20" ht="15.75">
      <c r="A82" s="13">
        <v>43983</v>
      </c>
      <c r="B82" s="44">
        <v>30</v>
      </c>
      <c r="C82" s="35">
        <v>194.20500000000001</v>
      </c>
      <c r="D82" s="35">
        <v>267.46600000000001</v>
      </c>
      <c r="E82" s="41">
        <v>812.32899999999995</v>
      </c>
      <c r="F82" s="35">
        <v>1274</v>
      </c>
      <c r="G82" s="35">
        <v>50</v>
      </c>
      <c r="H82" s="43">
        <v>600</v>
      </c>
      <c r="I82" s="35">
        <v>695</v>
      </c>
      <c r="J82" s="35">
        <v>50</v>
      </c>
      <c r="K82" s="36"/>
      <c r="L82" s="36"/>
      <c r="M82" s="36"/>
      <c r="N82" s="36"/>
      <c r="O82" s="36"/>
      <c r="P82" s="36"/>
      <c r="Q82" s="36"/>
      <c r="R82" s="36"/>
      <c r="S82" s="36"/>
      <c r="T82" s="36"/>
    </row>
    <row r="83" spans="1:20" ht="15.75">
      <c r="A83" s="13">
        <v>44013</v>
      </c>
      <c r="B83" s="44">
        <v>31</v>
      </c>
      <c r="C83" s="35">
        <v>194.20500000000001</v>
      </c>
      <c r="D83" s="35">
        <v>267.46600000000001</v>
      </c>
      <c r="E83" s="41">
        <v>812.32899999999995</v>
      </c>
      <c r="F83" s="35">
        <v>1274</v>
      </c>
      <c r="G83" s="35">
        <v>50</v>
      </c>
      <c r="H83" s="43">
        <v>600</v>
      </c>
      <c r="I83" s="35">
        <v>695</v>
      </c>
      <c r="J83" s="35">
        <v>0</v>
      </c>
      <c r="K83" s="36"/>
      <c r="L83" s="36"/>
      <c r="M83" s="36"/>
      <c r="N83" s="36"/>
      <c r="O83" s="36"/>
      <c r="P83" s="36"/>
      <c r="Q83" s="36"/>
      <c r="R83" s="36"/>
      <c r="S83" s="36"/>
      <c r="T83" s="36"/>
    </row>
    <row r="84" spans="1:20" ht="15.75">
      <c r="A84" s="13">
        <v>44044</v>
      </c>
      <c r="B84" s="44">
        <v>31</v>
      </c>
      <c r="C84" s="35">
        <v>194.20500000000001</v>
      </c>
      <c r="D84" s="35">
        <v>267.46600000000001</v>
      </c>
      <c r="E84" s="41">
        <v>812.32899999999995</v>
      </c>
      <c r="F84" s="35">
        <v>1274</v>
      </c>
      <c r="G84" s="35">
        <v>50</v>
      </c>
      <c r="H84" s="43">
        <v>600</v>
      </c>
      <c r="I84" s="35">
        <v>695</v>
      </c>
      <c r="J84" s="35">
        <v>0</v>
      </c>
      <c r="K84" s="36"/>
      <c r="L84" s="36"/>
      <c r="M84" s="36"/>
      <c r="N84" s="36"/>
      <c r="O84" s="36"/>
      <c r="P84" s="36"/>
      <c r="Q84" s="36"/>
      <c r="R84" s="36"/>
      <c r="S84" s="36"/>
      <c r="T84" s="36"/>
    </row>
    <row r="85" spans="1:20" ht="15.75">
      <c r="A85" s="13">
        <v>44075</v>
      </c>
      <c r="B85" s="44">
        <v>30</v>
      </c>
      <c r="C85" s="35">
        <v>194.20500000000001</v>
      </c>
      <c r="D85" s="35">
        <v>267.46600000000001</v>
      </c>
      <c r="E85" s="41">
        <v>812.32899999999995</v>
      </c>
      <c r="F85" s="35">
        <v>1274</v>
      </c>
      <c r="G85" s="35">
        <v>50</v>
      </c>
      <c r="H85" s="43">
        <v>600</v>
      </c>
      <c r="I85" s="35">
        <v>695</v>
      </c>
      <c r="J85" s="35">
        <v>0</v>
      </c>
      <c r="K85" s="36"/>
      <c r="L85" s="36"/>
      <c r="M85" s="36"/>
      <c r="N85" s="36"/>
      <c r="O85" s="36"/>
      <c r="P85" s="36"/>
      <c r="Q85" s="36"/>
      <c r="R85" s="36"/>
      <c r="S85" s="36"/>
      <c r="T85" s="36"/>
    </row>
    <row r="86" spans="1:20" ht="15.75">
      <c r="A86" s="13">
        <v>44105</v>
      </c>
      <c r="B86" s="44">
        <v>31</v>
      </c>
      <c r="C86" s="35">
        <v>131.881</v>
      </c>
      <c r="D86" s="35">
        <v>277.16699999999997</v>
      </c>
      <c r="E86" s="41">
        <v>829.952</v>
      </c>
      <c r="F86" s="35">
        <v>1239</v>
      </c>
      <c r="G86" s="35">
        <v>75</v>
      </c>
      <c r="H86" s="43">
        <v>600</v>
      </c>
      <c r="I86" s="35">
        <v>695</v>
      </c>
      <c r="J86" s="35">
        <v>0</v>
      </c>
      <c r="K86" s="36"/>
      <c r="L86" s="36"/>
      <c r="M86" s="36"/>
      <c r="N86" s="36"/>
      <c r="O86" s="36"/>
      <c r="P86" s="36"/>
      <c r="Q86" s="36"/>
      <c r="R86" s="36"/>
      <c r="S86" s="36"/>
      <c r="T86" s="36"/>
    </row>
    <row r="87" spans="1:20" ht="15.75">
      <c r="A87" s="13">
        <v>44136</v>
      </c>
      <c r="B87" s="44">
        <v>30</v>
      </c>
      <c r="C87" s="35">
        <v>122.58</v>
      </c>
      <c r="D87" s="35">
        <v>297.94099999999997</v>
      </c>
      <c r="E87" s="41">
        <v>729.47900000000004</v>
      </c>
      <c r="F87" s="35">
        <v>1150</v>
      </c>
      <c r="G87" s="35">
        <v>100</v>
      </c>
      <c r="H87" s="43">
        <v>600</v>
      </c>
      <c r="I87" s="35">
        <v>695</v>
      </c>
      <c r="J87" s="35">
        <v>50</v>
      </c>
      <c r="K87" s="36"/>
      <c r="L87" s="36"/>
      <c r="M87" s="36"/>
      <c r="N87" s="36"/>
      <c r="O87" s="36"/>
      <c r="P87" s="36"/>
      <c r="Q87" s="36"/>
      <c r="R87" s="36"/>
      <c r="S87" s="36"/>
      <c r="T87" s="36"/>
    </row>
    <row r="88" spans="1:20" ht="15.75">
      <c r="A88" s="13">
        <v>44166</v>
      </c>
      <c r="B88" s="44">
        <v>31</v>
      </c>
      <c r="C88" s="35">
        <v>122.58</v>
      </c>
      <c r="D88" s="35">
        <v>297.94099999999997</v>
      </c>
      <c r="E88" s="41">
        <v>729.47900000000004</v>
      </c>
      <c r="F88" s="35">
        <v>1150</v>
      </c>
      <c r="G88" s="35">
        <v>100</v>
      </c>
      <c r="H88" s="43">
        <v>600</v>
      </c>
      <c r="I88" s="35">
        <v>695</v>
      </c>
      <c r="J88" s="35">
        <v>50</v>
      </c>
      <c r="K88" s="36"/>
      <c r="L88" s="36"/>
      <c r="M88" s="36"/>
      <c r="N88" s="36"/>
      <c r="O88" s="36"/>
      <c r="P88" s="36"/>
      <c r="Q88" s="36"/>
      <c r="R88" s="36"/>
      <c r="S88" s="36"/>
      <c r="T88" s="36"/>
    </row>
    <row r="89" spans="1:20" ht="15.75">
      <c r="A89" s="13">
        <v>44197</v>
      </c>
      <c r="B89" s="44">
        <v>31</v>
      </c>
      <c r="C89" s="35">
        <v>122.58</v>
      </c>
      <c r="D89" s="35">
        <v>297.94099999999997</v>
      </c>
      <c r="E89" s="41">
        <v>729.47900000000004</v>
      </c>
      <c r="F89" s="35">
        <v>1150</v>
      </c>
      <c r="G89" s="35">
        <v>100</v>
      </c>
      <c r="H89" s="43">
        <v>600</v>
      </c>
      <c r="I89" s="35">
        <v>695</v>
      </c>
      <c r="J89" s="35">
        <v>50</v>
      </c>
      <c r="K89" s="36"/>
      <c r="L89" s="36"/>
      <c r="M89" s="36"/>
      <c r="N89" s="36"/>
      <c r="O89" s="36"/>
      <c r="P89" s="36"/>
      <c r="Q89" s="36"/>
      <c r="R89" s="36"/>
      <c r="S89" s="36"/>
      <c r="T89" s="36"/>
    </row>
    <row r="90" spans="1:20" ht="15.75">
      <c r="A90" s="13">
        <v>44228</v>
      </c>
      <c r="B90" s="44">
        <v>28</v>
      </c>
      <c r="C90" s="35">
        <v>122.58</v>
      </c>
      <c r="D90" s="35">
        <v>297.94099999999997</v>
      </c>
      <c r="E90" s="41">
        <v>729.47900000000004</v>
      </c>
      <c r="F90" s="35">
        <v>1150</v>
      </c>
      <c r="G90" s="35">
        <v>100</v>
      </c>
      <c r="H90" s="43">
        <v>600</v>
      </c>
      <c r="I90" s="35">
        <v>695</v>
      </c>
      <c r="J90" s="35">
        <v>50</v>
      </c>
      <c r="K90" s="36"/>
      <c r="L90" s="36"/>
      <c r="M90" s="36"/>
      <c r="N90" s="36"/>
      <c r="O90" s="36"/>
      <c r="P90" s="36"/>
      <c r="Q90" s="36"/>
      <c r="R90" s="36"/>
      <c r="S90" s="36"/>
      <c r="T90" s="36"/>
    </row>
    <row r="91" spans="1:20" ht="15.75">
      <c r="A91" s="13">
        <v>44256</v>
      </c>
      <c r="B91" s="44">
        <v>31</v>
      </c>
      <c r="C91" s="35">
        <v>122.58</v>
      </c>
      <c r="D91" s="35">
        <v>297.94099999999997</v>
      </c>
      <c r="E91" s="41">
        <v>729.47900000000004</v>
      </c>
      <c r="F91" s="35">
        <v>1150</v>
      </c>
      <c r="G91" s="35">
        <v>100</v>
      </c>
      <c r="H91" s="43">
        <v>600</v>
      </c>
      <c r="I91" s="35">
        <v>695</v>
      </c>
      <c r="J91" s="35">
        <v>50</v>
      </c>
      <c r="K91" s="36"/>
      <c r="L91" s="36"/>
      <c r="M91" s="36"/>
      <c r="N91" s="36"/>
      <c r="O91" s="36"/>
      <c r="P91" s="36"/>
      <c r="Q91" s="36"/>
      <c r="R91" s="36"/>
      <c r="S91" s="36"/>
      <c r="T91" s="36"/>
    </row>
    <row r="92" spans="1:20" ht="15.75">
      <c r="A92" s="13">
        <v>44287</v>
      </c>
      <c r="B92" s="44">
        <v>30</v>
      </c>
      <c r="C92" s="35">
        <v>141.29300000000001</v>
      </c>
      <c r="D92" s="35">
        <v>267.99299999999999</v>
      </c>
      <c r="E92" s="41">
        <v>829.71400000000006</v>
      </c>
      <c r="F92" s="35">
        <v>1239</v>
      </c>
      <c r="G92" s="35">
        <v>100</v>
      </c>
      <c r="H92" s="43">
        <v>600</v>
      </c>
      <c r="I92" s="35">
        <v>695</v>
      </c>
      <c r="J92" s="35">
        <v>50</v>
      </c>
      <c r="K92" s="36"/>
      <c r="L92" s="36"/>
      <c r="M92" s="36"/>
      <c r="N92" s="36"/>
      <c r="O92" s="36"/>
      <c r="P92" s="36"/>
      <c r="Q92" s="36"/>
      <c r="R92" s="36"/>
      <c r="S92" s="36"/>
      <c r="T92" s="36"/>
    </row>
    <row r="93" spans="1:20" ht="15.75">
      <c r="A93" s="13">
        <v>44317</v>
      </c>
      <c r="B93" s="44">
        <v>31</v>
      </c>
      <c r="C93" s="35">
        <v>194.20500000000001</v>
      </c>
      <c r="D93" s="35">
        <v>267.46600000000001</v>
      </c>
      <c r="E93" s="41">
        <v>812.32899999999995</v>
      </c>
      <c r="F93" s="35">
        <v>1274</v>
      </c>
      <c r="G93" s="35">
        <v>75</v>
      </c>
      <c r="H93" s="43">
        <v>600</v>
      </c>
      <c r="I93" s="35">
        <v>695</v>
      </c>
      <c r="J93" s="35">
        <v>50</v>
      </c>
      <c r="K93" s="36"/>
      <c r="L93" s="36"/>
      <c r="M93" s="36"/>
      <c r="N93" s="36"/>
      <c r="O93" s="36"/>
      <c r="P93" s="36"/>
      <c r="Q93" s="36"/>
      <c r="R93" s="36"/>
      <c r="S93" s="36"/>
      <c r="T93" s="36"/>
    </row>
    <row r="94" spans="1:20" ht="15.75">
      <c r="A94" s="13">
        <v>44348</v>
      </c>
      <c r="B94" s="44">
        <v>30</v>
      </c>
      <c r="C94" s="35">
        <v>194.20500000000001</v>
      </c>
      <c r="D94" s="35">
        <v>267.46600000000001</v>
      </c>
      <c r="E94" s="41">
        <v>812.32899999999995</v>
      </c>
      <c r="F94" s="35">
        <v>1274</v>
      </c>
      <c r="G94" s="35">
        <v>50</v>
      </c>
      <c r="H94" s="43">
        <v>600</v>
      </c>
      <c r="I94" s="35">
        <v>695</v>
      </c>
      <c r="J94" s="35">
        <v>50</v>
      </c>
      <c r="K94" s="36"/>
      <c r="L94" s="36"/>
      <c r="M94" s="36"/>
      <c r="N94" s="36"/>
      <c r="O94" s="36"/>
      <c r="P94" s="36"/>
      <c r="Q94" s="36"/>
      <c r="R94" s="36"/>
      <c r="S94" s="36"/>
      <c r="T94" s="36"/>
    </row>
    <row r="95" spans="1:20" ht="15.75">
      <c r="A95" s="13">
        <v>44378</v>
      </c>
      <c r="B95" s="44">
        <v>31</v>
      </c>
      <c r="C95" s="35">
        <v>194.20500000000001</v>
      </c>
      <c r="D95" s="35">
        <v>267.46600000000001</v>
      </c>
      <c r="E95" s="41">
        <v>812.32899999999995</v>
      </c>
      <c r="F95" s="35">
        <v>1274</v>
      </c>
      <c r="G95" s="35">
        <v>50</v>
      </c>
      <c r="H95" s="43">
        <v>600</v>
      </c>
      <c r="I95" s="35">
        <v>695</v>
      </c>
      <c r="J95" s="35">
        <v>0</v>
      </c>
      <c r="K95" s="36"/>
      <c r="L95" s="36"/>
      <c r="M95" s="36"/>
      <c r="N95" s="36"/>
      <c r="O95" s="36"/>
      <c r="P95" s="36"/>
      <c r="Q95" s="36"/>
      <c r="R95" s="36"/>
      <c r="S95" s="36"/>
      <c r="T95" s="36"/>
    </row>
    <row r="96" spans="1:20" ht="15.75">
      <c r="A96" s="13">
        <v>44409</v>
      </c>
      <c r="B96" s="44">
        <v>31</v>
      </c>
      <c r="C96" s="35">
        <v>194.20500000000001</v>
      </c>
      <c r="D96" s="35">
        <v>267.46600000000001</v>
      </c>
      <c r="E96" s="41">
        <v>812.32899999999995</v>
      </c>
      <c r="F96" s="35">
        <v>1274</v>
      </c>
      <c r="G96" s="35">
        <v>50</v>
      </c>
      <c r="H96" s="43">
        <v>600</v>
      </c>
      <c r="I96" s="35">
        <v>695</v>
      </c>
      <c r="J96" s="35">
        <v>0</v>
      </c>
      <c r="K96" s="36"/>
      <c r="L96" s="36"/>
      <c r="M96" s="36"/>
      <c r="N96" s="36"/>
      <c r="O96" s="36"/>
      <c r="P96" s="36"/>
      <c r="Q96" s="36"/>
      <c r="R96" s="36"/>
      <c r="S96" s="36"/>
      <c r="T96" s="36"/>
    </row>
    <row r="97" spans="1:20" ht="15.75">
      <c r="A97" s="13">
        <v>44440</v>
      </c>
      <c r="B97" s="44">
        <v>30</v>
      </c>
      <c r="C97" s="35">
        <v>194.20500000000001</v>
      </c>
      <c r="D97" s="35">
        <v>267.46600000000001</v>
      </c>
      <c r="E97" s="41">
        <v>812.32899999999995</v>
      </c>
      <c r="F97" s="35">
        <v>1274</v>
      </c>
      <c r="G97" s="35">
        <v>50</v>
      </c>
      <c r="H97" s="43">
        <v>600</v>
      </c>
      <c r="I97" s="35">
        <v>695</v>
      </c>
      <c r="J97" s="35">
        <v>0</v>
      </c>
      <c r="K97" s="36"/>
      <c r="L97" s="36"/>
      <c r="M97" s="36"/>
      <c r="N97" s="36"/>
      <c r="O97" s="36"/>
      <c r="P97" s="36"/>
      <c r="Q97" s="36"/>
      <c r="R97" s="36"/>
      <c r="S97" s="36"/>
      <c r="T97" s="36"/>
    </row>
    <row r="98" spans="1:20" ht="15.75">
      <c r="A98" s="13">
        <v>44470</v>
      </c>
      <c r="B98" s="44">
        <v>31</v>
      </c>
      <c r="C98" s="35">
        <v>131.881</v>
      </c>
      <c r="D98" s="35">
        <v>277.16699999999997</v>
      </c>
      <c r="E98" s="41">
        <v>829.952</v>
      </c>
      <c r="F98" s="35">
        <v>1239</v>
      </c>
      <c r="G98" s="35">
        <v>75</v>
      </c>
      <c r="H98" s="43">
        <v>600</v>
      </c>
      <c r="I98" s="35">
        <v>695</v>
      </c>
      <c r="J98" s="35">
        <v>0</v>
      </c>
      <c r="K98" s="36"/>
      <c r="L98" s="36"/>
      <c r="M98" s="36"/>
      <c r="N98" s="36"/>
      <c r="O98" s="36"/>
      <c r="P98" s="36"/>
      <c r="Q98" s="36"/>
      <c r="R98" s="36"/>
      <c r="S98" s="36"/>
      <c r="T98" s="36"/>
    </row>
    <row r="99" spans="1:20" ht="15.75">
      <c r="A99" s="13">
        <v>44501</v>
      </c>
      <c r="B99" s="44">
        <v>30</v>
      </c>
      <c r="C99" s="35">
        <v>122.58</v>
      </c>
      <c r="D99" s="35">
        <v>297.94099999999997</v>
      </c>
      <c r="E99" s="41">
        <v>729.47900000000004</v>
      </c>
      <c r="F99" s="35">
        <v>1150</v>
      </c>
      <c r="G99" s="35">
        <v>100</v>
      </c>
      <c r="H99" s="43">
        <v>600</v>
      </c>
      <c r="I99" s="35">
        <v>695</v>
      </c>
      <c r="J99" s="35">
        <v>50</v>
      </c>
      <c r="K99" s="36"/>
      <c r="L99" s="36"/>
      <c r="M99" s="36"/>
      <c r="N99" s="36"/>
      <c r="O99" s="36"/>
      <c r="P99" s="36"/>
      <c r="Q99" s="36"/>
      <c r="R99" s="36"/>
      <c r="S99" s="36"/>
      <c r="T99" s="36"/>
    </row>
    <row r="100" spans="1:20" ht="15.75">
      <c r="A100" s="13">
        <v>44531</v>
      </c>
      <c r="B100" s="44">
        <v>31</v>
      </c>
      <c r="C100" s="35">
        <v>122.58</v>
      </c>
      <c r="D100" s="35">
        <v>297.94099999999997</v>
      </c>
      <c r="E100" s="41">
        <v>729.47900000000004</v>
      </c>
      <c r="F100" s="35">
        <v>1150</v>
      </c>
      <c r="G100" s="35">
        <v>100</v>
      </c>
      <c r="H100" s="43">
        <v>600</v>
      </c>
      <c r="I100" s="35">
        <v>695</v>
      </c>
      <c r="J100" s="35">
        <v>50</v>
      </c>
      <c r="K100" s="36"/>
      <c r="L100" s="36"/>
      <c r="M100" s="36"/>
      <c r="N100" s="36"/>
      <c r="O100" s="36"/>
      <c r="P100" s="36"/>
      <c r="Q100" s="36"/>
      <c r="R100" s="36"/>
      <c r="S100" s="36"/>
      <c r="T100" s="36"/>
    </row>
    <row r="101" spans="1:20" ht="15.75">
      <c r="A101" s="13">
        <v>44562</v>
      </c>
      <c r="B101" s="44">
        <v>31</v>
      </c>
      <c r="C101" s="35">
        <v>122.58</v>
      </c>
      <c r="D101" s="35">
        <v>297.94099999999997</v>
      </c>
      <c r="E101" s="41">
        <v>729.47900000000004</v>
      </c>
      <c r="F101" s="35">
        <v>1150</v>
      </c>
      <c r="G101" s="35">
        <v>100</v>
      </c>
      <c r="H101" s="43">
        <v>600</v>
      </c>
      <c r="I101" s="35">
        <v>695</v>
      </c>
      <c r="J101" s="35">
        <v>50</v>
      </c>
      <c r="K101" s="36"/>
      <c r="L101" s="36"/>
      <c r="M101" s="36"/>
      <c r="N101" s="36"/>
      <c r="O101" s="36"/>
      <c r="P101" s="36"/>
      <c r="Q101" s="36"/>
      <c r="R101" s="36"/>
      <c r="S101" s="36"/>
      <c r="T101" s="36"/>
    </row>
    <row r="102" spans="1:20" ht="15.75">
      <c r="A102" s="13">
        <v>44593</v>
      </c>
      <c r="B102" s="44">
        <v>28</v>
      </c>
      <c r="C102" s="35">
        <v>122.58</v>
      </c>
      <c r="D102" s="35">
        <v>297.94099999999997</v>
      </c>
      <c r="E102" s="41">
        <v>729.47900000000004</v>
      </c>
      <c r="F102" s="35">
        <v>1150</v>
      </c>
      <c r="G102" s="35">
        <v>100</v>
      </c>
      <c r="H102" s="43">
        <v>600</v>
      </c>
      <c r="I102" s="35">
        <v>695</v>
      </c>
      <c r="J102" s="35">
        <v>50</v>
      </c>
      <c r="K102" s="36"/>
      <c r="L102" s="36"/>
      <c r="M102" s="36"/>
      <c r="N102" s="36"/>
      <c r="O102" s="36"/>
      <c r="P102" s="36"/>
      <c r="Q102" s="36"/>
      <c r="R102" s="36"/>
      <c r="S102" s="36"/>
      <c r="T102" s="36"/>
    </row>
    <row r="103" spans="1:20" ht="15.75">
      <c r="A103" s="13">
        <v>44621</v>
      </c>
      <c r="B103" s="44">
        <v>31</v>
      </c>
      <c r="C103" s="35">
        <v>122.58</v>
      </c>
      <c r="D103" s="35">
        <v>297.94099999999997</v>
      </c>
      <c r="E103" s="41">
        <v>729.47900000000004</v>
      </c>
      <c r="F103" s="35">
        <v>1150</v>
      </c>
      <c r="G103" s="35">
        <v>100</v>
      </c>
      <c r="H103" s="43">
        <v>600</v>
      </c>
      <c r="I103" s="35">
        <v>695</v>
      </c>
      <c r="J103" s="35">
        <v>50</v>
      </c>
      <c r="K103" s="36"/>
      <c r="L103" s="36"/>
      <c r="M103" s="36"/>
      <c r="N103" s="36"/>
      <c r="O103" s="36"/>
      <c r="P103" s="36"/>
      <c r="Q103" s="36"/>
      <c r="R103" s="36"/>
      <c r="S103" s="36"/>
      <c r="T103" s="36"/>
    </row>
    <row r="104" spans="1:20" ht="15.75">
      <c r="A104" s="13">
        <v>44652</v>
      </c>
      <c r="B104" s="44">
        <v>30</v>
      </c>
      <c r="C104" s="35">
        <v>141.29300000000001</v>
      </c>
      <c r="D104" s="35">
        <v>267.99299999999999</v>
      </c>
      <c r="E104" s="41">
        <v>829.71400000000006</v>
      </c>
      <c r="F104" s="35">
        <v>1239</v>
      </c>
      <c r="G104" s="35">
        <v>100</v>
      </c>
      <c r="H104" s="43">
        <v>600</v>
      </c>
      <c r="I104" s="35">
        <v>695</v>
      </c>
      <c r="J104" s="35">
        <v>50</v>
      </c>
      <c r="K104" s="36"/>
      <c r="L104" s="36"/>
      <c r="M104" s="36"/>
      <c r="N104" s="36"/>
      <c r="O104" s="36"/>
      <c r="P104" s="36"/>
      <c r="Q104" s="36"/>
      <c r="R104" s="36"/>
      <c r="S104" s="36"/>
      <c r="T104" s="36"/>
    </row>
    <row r="105" spans="1:20" ht="15.75">
      <c r="A105" s="13">
        <v>44682</v>
      </c>
      <c r="B105" s="44">
        <v>31</v>
      </c>
      <c r="C105" s="35">
        <v>194.20500000000001</v>
      </c>
      <c r="D105" s="35">
        <v>267.46600000000001</v>
      </c>
      <c r="E105" s="41">
        <v>812.32899999999995</v>
      </c>
      <c r="F105" s="35">
        <v>1274</v>
      </c>
      <c r="G105" s="35">
        <v>75</v>
      </c>
      <c r="H105" s="43">
        <v>600</v>
      </c>
      <c r="I105" s="35">
        <v>695</v>
      </c>
      <c r="J105" s="35">
        <v>50</v>
      </c>
      <c r="K105" s="36"/>
      <c r="L105" s="36"/>
      <c r="M105" s="36"/>
      <c r="N105" s="36"/>
      <c r="O105" s="36"/>
      <c r="P105" s="36"/>
      <c r="Q105" s="36"/>
      <c r="R105" s="36"/>
      <c r="S105" s="36"/>
      <c r="T105" s="36"/>
    </row>
    <row r="106" spans="1:20" ht="15.75">
      <c r="A106" s="13">
        <v>44713</v>
      </c>
      <c r="B106" s="44">
        <v>30</v>
      </c>
      <c r="C106" s="35">
        <v>194.20500000000001</v>
      </c>
      <c r="D106" s="35">
        <v>267.46600000000001</v>
      </c>
      <c r="E106" s="41">
        <v>812.32899999999995</v>
      </c>
      <c r="F106" s="35">
        <v>1274</v>
      </c>
      <c r="G106" s="35">
        <v>50</v>
      </c>
      <c r="H106" s="43">
        <v>600</v>
      </c>
      <c r="I106" s="35">
        <v>695</v>
      </c>
      <c r="J106" s="35">
        <v>50</v>
      </c>
      <c r="K106" s="36"/>
      <c r="L106" s="36"/>
      <c r="M106" s="36"/>
      <c r="N106" s="36"/>
      <c r="O106" s="36"/>
      <c r="P106" s="36"/>
      <c r="Q106" s="36"/>
      <c r="R106" s="36"/>
      <c r="S106" s="36"/>
      <c r="T106" s="36"/>
    </row>
    <row r="107" spans="1:20" ht="15.75">
      <c r="A107" s="13">
        <v>44743</v>
      </c>
      <c r="B107" s="44">
        <v>31</v>
      </c>
      <c r="C107" s="35">
        <v>194.20500000000001</v>
      </c>
      <c r="D107" s="35">
        <v>267.46600000000001</v>
      </c>
      <c r="E107" s="41">
        <v>812.32899999999995</v>
      </c>
      <c r="F107" s="35">
        <v>1274</v>
      </c>
      <c r="G107" s="35">
        <v>50</v>
      </c>
      <c r="H107" s="43">
        <v>600</v>
      </c>
      <c r="I107" s="35">
        <v>695</v>
      </c>
      <c r="J107" s="35">
        <v>0</v>
      </c>
      <c r="K107" s="36"/>
      <c r="L107" s="36"/>
      <c r="M107" s="36"/>
      <c r="N107" s="36"/>
      <c r="O107" s="36"/>
      <c r="P107" s="36"/>
      <c r="Q107" s="36"/>
      <c r="R107" s="36"/>
      <c r="S107" s="36"/>
      <c r="T107" s="36"/>
    </row>
    <row r="108" spans="1:20" ht="15.75">
      <c r="A108" s="13">
        <v>44774</v>
      </c>
      <c r="B108" s="44">
        <v>31</v>
      </c>
      <c r="C108" s="35">
        <v>194.20500000000001</v>
      </c>
      <c r="D108" s="35">
        <v>267.46600000000001</v>
      </c>
      <c r="E108" s="41">
        <v>812.32899999999995</v>
      </c>
      <c r="F108" s="35">
        <v>1274</v>
      </c>
      <c r="G108" s="35">
        <v>50</v>
      </c>
      <c r="H108" s="43">
        <v>600</v>
      </c>
      <c r="I108" s="35">
        <v>695</v>
      </c>
      <c r="J108" s="35">
        <v>0</v>
      </c>
      <c r="K108" s="36"/>
      <c r="L108" s="36"/>
      <c r="M108" s="36"/>
      <c r="N108" s="36"/>
      <c r="O108" s="36"/>
      <c r="P108" s="36"/>
      <c r="Q108" s="36"/>
      <c r="R108" s="36"/>
      <c r="S108" s="36"/>
      <c r="T108" s="36"/>
    </row>
    <row r="109" spans="1:20" ht="15.75">
      <c r="A109" s="13">
        <v>44805</v>
      </c>
      <c r="B109" s="44">
        <v>30</v>
      </c>
      <c r="C109" s="35">
        <v>194.20500000000001</v>
      </c>
      <c r="D109" s="35">
        <v>267.46600000000001</v>
      </c>
      <c r="E109" s="41">
        <v>812.32899999999995</v>
      </c>
      <c r="F109" s="35">
        <v>1274</v>
      </c>
      <c r="G109" s="35">
        <v>50</v>
      </c>
      <c r="H109" s="43">
        <v>600</v>
      </c>
      <c r="I109" s="35">
        <v>695</v>
      </c>
      <c r="J109" s="35">
        <v>0</v>
      </c>
      <c r="K109" s="36"/>
      <c r="L109" s="36"/>
      <c r="M109" s="36"/>
      <c r="N109" s="36"/>
      <c r="O109" s="36"/>
      <c r="P109" s="36"/>
      <c r="Q109" s="36"/>
      <c r="R109" s="36"/>
      <c r="S109" s="36"/>
      <c r="T109" s="36"/>
    </row>
    <row r="110" spans="1:20" ht="15.75">
      <c r="A110" s="13">
        <v>44835</v>
      </c>
      <c r="B110" s="44">
        <v>31</v>
      </c>
      <c r="C110" s="35">
        <v>131.881</v>
      </c>
      <c r="D110" s="35">
        <v>277.16699999999997</v>
      </c>
      <c r="E110" s="41">
        <v>829.952</v>
      </c>
      <c r="F110" s="35">
        <v>1239</v>
      </c>
      <c r="G110" s="35">
        <v>75</v>
      </c>
      <c r="H110" s="43">
        <v>600</v>
      </c>
      <c r="I110" s="35">
        <v>695</v>
      </c>
      <c r="J110" s="35">
        <v>0</v>
      </c>
      <c r="K110" s="36"/>
      <c r="L110" s="36"/>
      <c r="M110" s="36"/>
      <c r="N110" s="36"/>
      <c r="O110" s="36"/>
      <c r="P110" s="36"/>
      <c r="Q110" s="36"/>
      <c r="R110" s="36"/>
      <c r="S110" s="36"/>
      <c r="T110" s="36"/>
    </row>
    <row r="111" spans="1:20" ht="15.75">
      <c r="A111" s="13">
        <v>44866</v>
      </c>
      <c r="B111" s="44">
        <v>30</v>
      </c>
      <c r="C111" s="35">
        <v>122.58</v>
      </c>
      <c r="D111" s="35">
        <v>297.94099999999997</v>
      </c>
      <c r="E111" s="41">
        <v>729.47900000000004</v>
      </c>
      <c r="F111" s="35">
        <v>1150</v>
      </c>
      <c r="G111" s="35">
        <v>100</v>
      </c>
      <c r="H111" s="43">
        <v>600</v>
      </c>
      <c r="I111" s="35">
        <v>695</v>
      </c>
      <c r="J111" s="35">
        <v>50</v>
      </c>
      <c r="K111" s="36"/>
      <c r="L111" s="36"/>
      <c r="M111" s="36"/>
      <c r="N111" s="36"/>
      <c r="O111" s="36"/>
      <c r="P111" s="36"/>
      <c r="Q111" s="36"/>
      <c r="R111" s="36"/>
      <c r="S111" s="36"/>
      <c r="T111" s="36"/>
    </row>
    <row r="112" spans="1:20" ht="15.75">
      <c r="A112" s="13">
        <v>44896</v>
      </c>
      <c r="B112" s="44">
        <v>31</v>
      </c>
      <c r="C112" s="35">
        <v>122.58</v>
      </c>
      <c r="D112" s="35">
        <v>297.94099999999997</v>
      </c>
      <c r="E112" s="41">
        <v>729.47900000000004</v>
      </c>
      <c r="F112" s="35">
        <v>1150</v>
      </c>
      <c r="G112" s="35">
        <v>100</v>
      </c>
      <c r="H112" s="43">
        <v>600</v>
      </c>
      <c r="I112" s="35">
        <v>695</v>
      </c>
      <c r="J112" s="35">
        <v>50</v>
      </c>
      <c r="K112" s="36"/>
      <c r="L112" s="36"/>
      <c r="M112" s="36"/>
      <c r="N112" s="36"/>
      <c r="O112" s="36"/>
      <c r="P112" s="36"/>
      <c r="Q112" s="36"/>
      <c r="R112" s="36"/>
      <c r="S112" s="36"/>
      <c r="T112" s="36"/>
    </row>
    <row r="113" spans="1:20" ht="15.75">
      <c r="A113" s="13">
        <v>44927</v>
      </c>
      <c r="B113" s="44">
        <v>31</v>
      </c>
      <c r="C113" s="35">
        <v>122.58</v>
      </c>
      <c r="D113" s="35">
        <v>297.94099999999997</v>
      </c>
      <c r="E113" s="41">
        <v>729.47900000000004</v>
      </c>
      <c r="F113" s="35">
        <v>1150</v>
      </c>
      <c r="G113" s="35">
        <v>100</v>
      </c>
      <c r="H113" s="43">
        <v>600</v>
      </c>
      <c r="I113" s="35">
        <v>695</v>
      </c>
      <c r="J113" s="35">
        <v>50</v>
      </c>
      <c r="K113" s="36"/>
      <c r="L113" s="36"/>
      <c r="M113" s="36"/>
      <c r="N113" s="36"/>
      <c r="O113" s="36"/>
      <c r="P113" s="36"/>
      <c r="Q113" s="36"/>
      <c r="R113" s="36"/>
      <c r="S113" s="36"/>
      <c r="T113" s="36"/>
    </row>
    <row r="114" spans="1:20" ht="15.75">
      <c r="A114" s="13">
        <v>44958</v>
      </c>
      <c r="B114" s="44">
        <v>28</v>
      </c>
      <c r="C114" s="35">
        <v>122.58</v>
      </c>
      <c r="D114" s="35">
        <v>297.94099999999997</v>
      </c>
      <c r="E114" s="41">
        <v>729.47900000000004</v>
      </c>
      <c r="F114" s="35">
        <v>1150</v>
      </c>
      <c r="G114" s="35">
        <v>100</v>
      </c>
      <c r="H114" s="43">
        <v>600</v>
      </c>
      <c r="I114" s="35">
        <v>695</v>
      </c>
      <c r="J114" s="35">
        <v>50</v>
      </c>
      <c r="K114" s="36"/>
      <c r="L114" s="36"/>
      <c r="M114" s="36"/>
      <c r="N114" s="36"/>
      <c r="O114" s="36"/>
      <c r="P114" s="36"/>
      <c r="Q114" s="36"/>
      <c r="R114" s="36"/>
      <c r="S114" s="36"/>
      <c r="T114" s="36"/>
    </row>
    <row r="115" spans="1:20" ht="15.75">
      <c r="A115" s="13">
        <v>44986</v>
      </c>
      <c r="B115" s="44">
        <v>31</v>
      </c>
      <c r="C115" s="35">
        <v>122.58</v>
      </c>
      <c r="D115" s="35">
        <v>297.94099999999997</v>
      </c>
      <c r="E115" s="41">
        <v>729.47900000000004</v>
      </c>
      <c r="F115" s="35">
        <v>1150</v>
      </c>
      <c r="G115" s="35">
        <v>100</v>
      </c>
      <c r="H115" s="43">
        <v>600</v>
      </c>
      <c r="I115" s="35">
        <v>695</v>
      </c>
      <c r="J115" s="35">
        <v>50</v>
      </c>
      <c r="K115" s="36"/>
      <c r="L115" s="36"/>
      <c r="M115" s="36"/>
      <c r="N115" s="36"/>
      <c r="O115" s="36"/>
      <c r="P115" s="36"/>
      <c r="Q115" s="36"/>
      <c r="R115" s="36"/>
      <c r="S115" s="36"/>
      <c r="T115" s="36"/>
    </row>
    <row r="116" spans="1:20" ht="15.75">
      <c r="A116" s="13">
        <v>45017</v>
      </c>
      <c r="B116" s="44">
        <v>30</v>
      </c>
      <c r="C116" s="35">
        <v>141.29300000000001</v>
      </c>
      <c r="D116" s="35">
        <v>267.99299999999999</v>
      </c>
      <c r="E116" s="41">
        <v>829.71400000000006</v>
      </c>
      <c r="F116" s="35">
        <v>1239</v>
      </c>
      <c r="G116" s="35">
        <v>100</v>
      </c>
      <c r="H116" s="43">
        <v>600</v>
      </c>
      <c r="I116" s="35">
        <v>695</v>
      </c>
      <c r="J116" s="35">
        <v>50</v>
      </c>
      <c r="K116" s="36"/>
      <c r="L116" s="36"/>
      <c r="M116" s="36"/>
      <c r="N116" s="36"/>
      <c r="O116" s="36"/>
      <c r="P116" s="36"/>
      <c r="Q116" s="36"/>
      <c r="R116" s="36"/>
      <c r="S116" s="36"/>
      <c r="T116" s="36"/>
    </row>
    <row r="117" spans="1:20" ht="15.75">
      <c r="A117" s="13">
        <v>45047</v>
      </c>
      <c r="B117" s="44">
        <v>31</v>
      </c>
      <c r="C117" s="35">
        <v>194.20500000000001</v>
      </c>
      <c r="D117" s="35">
        <v>267.46600000000001</v>
      </c>
      <c r="E117" s="41">
        <v>812.32899999999995</v>
      </c>
      <c r="F117" s="35">
        <v>1274</v>
      </c>
      <c r="G117" s="35">
        <v>75</v>
      </c>
      <c r="H117" s="43">
        <v>600</v>
      </c>
      <c r="I117" s="35">
        <v>695</v>
      </c>
      <c r="J117" s="35">
        <v>50</v>
      </c>
      <c r="K117" s="36"/>
      <c r="L117" s="36"/>
      <c r="M117" s="36"/>
      <c r="N117" s="36"/>
      <c r="O117" s="36"/>
      <c r="P117" s="36"/>
      <c r="Q117" s="36"/>
      <c r="R117" s="36"/>
      <c r="S117" s="36"/>
      <c r="T117" s="36"/>
    </row>
    <row r="118" spans="1:20" ht="15.75">
      <c r="A118" s="13">
        <v>45078</v>
      </c>
      <c r="B118" s="44">
        <v>30</v>
      </c>
      <c r="C118" s="35">
        <v>194.20500000000001</v>
      </c>
      <c r="D118" s="35">
        <v>267.46600000000001</v>
      </c>
      <c r="E118" s="41">
        <v>812.32899999999995</v>
      </c>
      <c r="F118" s="35">
        <v>1274</v>
      </c>
      <c r="G118" s="35">
        <v>50</v>
      </c>
      <c r="H118" s="43">
        <v>600</v>
      </c>
      <c r="I118" s="35">
        <v>695</v>
      </c>
      <c r="J118" s="35">
        <v>50</v>
      </c>
      <c r="K118" s="36"/>
      <c r="L118" s="36"/>
      <c r="M118" s="36"/>
      <c r="N118" s="36"/>
      <c r="O118" s="36"/>
      <c r="P118" s="36"/>
      <c r="Q118" s="36"/>
      <c r="R118" s="36"/>
      <c r="S118" s="36"/>
      <c r="T118" s="36"/>
    </row>
    <row r="119" spans="1:20" ht="15.75">
      <c r="A119" s="13">
        <v>45108</v>
      </c>
      <c r="B119" s="44">
        <v>31</v>
      </c>
      <c r="C119" s="35">
        <v>194.20500000000001</v>
      </c>
      <c r="D119" s="35">
        <v>267.46600000000001</v>
      </c>
      <c r="E119" s="41">
        <v>812.32899999999995</v>
      </c>
      <c r="F119" s="35">
        <v>1274</v>
      </c>
      <c r="G119" s="35">
        <v>50</v>
      </c>
      <c r="H119" s="43">
        <v>600</v>
      </c>
      <c r="I119" s="35">
        <v>695</v>
      </c>
      <c r="J119" s="35">
        <v>0</v>
      </c>
      <c r="K119" s="36"/>
      <c r="L119" s="36"/>
      <c r="M119" s="36"/>
      <c r="N119" s="36"/>
      <c r="O119" s="36"/>
      <c r="P119" s="36"/>
      <c r="Q119" s="36"/>
      <c r="R119" s="36"/>
      <c r="S119" s="36"/>
      <c r="T119" s="36"/>
    </row>
    <row r="120" spans="1:20" ht="15.75">
      <c r="A120" s="13">
        <v>45139</v>
      </c>
      <c r="B120" s="44">
        <v>31</v>
      </c>
      <c r="C120" s="35">
        <v>194.20500000000001</v>
      </c>
      <c r="D120" s="35">
        <v>267.46600000000001</v>
      </c>
      <c r="E120" s="41">
        <v>812.32899999999995</v>
      </c>
      <c r="F120" s="35">
        <v>1274</v>
      </c>
      <c r="G120" s="35">
        <v>50</v>
      </c>
      <c r="H120" s="43">
        <v>600</v>
      </c>
      <c r="I120" s="35">
        <v>695</v>
      </c>
      <c r="J120" s="35">
        <v>0</v>
      </c>
      <c r="K120" s="36"/>
      <c r="L120" s="36"/>
      <c r="M120" s="36"/>
      <c r="N120" s="36"/>
      <c r="O120" s="36"/>
      <c r="P120" s="36"/>
      <c r="Q120" s="36"/>
      <c r="R120" s="36"/>
      <c r="S120" s="36"/>
      <c r="T120" s="36"/>
    </row>
    <row r="121" spans="1:20" ht="15.75">
      <c r="A121" s="13">
        <v>45170</v>
      </c>
      <c r="B121" s="44">
        <v>30</v>
      </c>
      <c r="C121" s="35">
        <v>194.20500000000001</v>
      </c>
      <c r="D121" s="35">
        <v>267.46600000000001</v>
      </c>
      <c r="E121" s="41">
        <v>812.32899999999995</v>
      </c>
      <c r="F121" s="35">
        <v>1274</v>
      </c>
      <c r="G121" s="35">
        <v>50</v>
      </c>
      <c r="H121" s="43">
        <v>600</v>
      </c>
      <c r="I121" s="35">
        <v>695</v>
      </c>
      <c r="J121" s="35">
        <v>0</v>
      </c>
      <c r="K121" s="36"/>
      <c r="L121" s="36"/>
      <c r="M121" s="36"/>
      <c r="N121" s="36"/>
      <c r="O121" s="36"/>
      <c r="P121" s="36"/>
      <c r="Q121" s="36"/>
      <c r="R121" s="36"/>
      <c r="S121" s="36"/>
      <c r="T121" s="36"/>
    </row>
    <row r="122" spans="1:20" ht="15.75">
      <c r="A122" s="13">
        <v>45200</v>
      </c>
      <c r="B122" s="44">
        <v>31</v>
      </c>
      <c r="C122" s="35">
        <v>131.881</v>
      </c>
      <c r="D122" s="35">
        <v>277.16699999999997</v>
      </c>
      <c r="E122" s="41">
        <v>829.952</v>
      </c>
      <c r="F122" s="35">
        <v>1239</v>
      </c>
      <c r="G122" s="35">
        <v>75</v>
      </c>
      <c r="H122" s="43">
        <v>600</v>
      </c>
      <c r="I122" s="35">
        <v>695</v>
      </c>
      <c r="J122" s="35">
        <v>0</v>
      </c>
      <c r="K122" s="36"/>
      <c r="L122" s="36"/>
      <c r="M122" s="36"/>
      <c r="N122" s="36"/>
      <c r="O122" s="36"/>
      <c r="P122" s="36"/>
      <c r="Q122" s="36"/>
      <c r="R122" s="36"/>
      <c r="S122" s="36"/>
      <c r="T122" s="36"/>
    </row>
    <row r="123" spans="1:20" ht="15.75">
      <c r="A123" s="13">
        <v>45231</v>
      </c>
      <c r="B123" s="44">
        <v>30</v>
      </c>
      <c r="C123" s="35">
        <v>122.58</v>
      </c>
      <c r="D123" s="35">
        <v>297.94099999999997</v>
      </c>
      <c r="E123" s="41">
        <v>729.47900000000004</v>
      </c>
      <c r="F123" s="35">
        <v>1150</v>
      </c>
      <c r="G123" s="35">
        <v>100</v>
      </c>
      <c r="H123" s="43">
        <v>600</v>
      </c>
      <c r="I123" s="35">
        <v>695</v>
      </c>
      <c r="J123" s="35">
        <v>50</v>
      </c>
      <c r="K123" s="36"/>
      <c r="L123" s="36"/>
      <c r="M123" s="36"/>
      <c r="N123" s="36"/>
      <c r="O123" s="36"/>
      <c r="P123" s="36"/>
      <c r="Q123" s="36"/>
      <c r="R123" s="36"/>
      <c r="S123" s="36"/>
      <c r="T123" s="36"/>
    </row>
    <row r="124" spans="1:20" ht="15.75">
      <c r="A124" s="13">
        <v>45261</v>
      </c>
      <c r="B124" s="44">
        <v>31</v>
      </c>
      <c r="C124" s="35">
        <v>122.58</v>
      </c>
      <c r="D124" s="35">
        <v>297.94099999999997</v>
      </c>
      <c r="E124" s="41">
        <v>729.47900000000004</v>
      </c>
      <c r="F124" s="35">
        <v>1150</v>
      </c>
      <c r="G124" s="35">
        <v>100</v>
      </c>
      <c r="H124" s="43">
        <v>600</v>
      </c>
      <c r="I124" s="35">
        <v>695</v>
      </c>
      <c r="J124" s="35">
        <v>50</v>
      </c>
      <c r="K124" s="36"/>
      <c r="L124" s="36"/>
      <c r="M124" s="36"/>
      <c r="N124" s="36"/>
      <c r="O124" s="36"/>
      <c r="P124" s="36"/>
      <c r="Q124" s="36"/>
      <c r="R124" s="36"/>
      <c r="S124" s="36"/>
      <c r="T124" s="36"/>
    </row>
    <row r="125" spans="1:20" ht="15.75">
      <c r="A125" s="13">
        <v>45292</v>
      </c>
      <c r="B125" s="44">
        <v>31</v>
      </c>
      <c r="C125" s="35">
        <v>122.58</v>
      </c>
      <c r="D125" s="35">
        <v>297.94099999999997</v>
      </c>
      <c r="E125" s="41">
        <v>729.47900000000004</v>
      </c>
      <c r="F125" s="35">
        <v>1150</v>
      </c>
      <c r="G125" s="35">
        <v>100</v>
      </c>
      <c r="H125" s="43">
        <v>600</v>
      </c>
      <c r="I125" s="35">
        <v>695</v>
      </c>
      <c r="J125" s="35">
        <v>50</v>
      </c>
      <c r="K125" s="36"/>
      <c r="L125" s="36"/>
      <c r="M125" s="36"/>
      <c r="N125" s="36"/>
      <c r="O125" s="36"/>
      <c r="P125" s="36"/>
      <c r="Q125" s="36"/>
      <c r="R125" s="36"/>
      <c r="S125" s="36"/>
      <c r="T125" s="36"/>
    </row>
    <row r="126" spans="1:20" ht="15.75">
      <c r="A126" s="13">
        <v>45323</v>
      </c>
      <c r="B126" s="44">
        <v>29</v>
      </c>
      <c r="C126" s="35">
        <v>122.58</v>
      </c>
      <c r="D126" s="35">
        <v>297.94099999999997</v>
      </c>
      <c r="E126" s="41">
        <v>729.47900000000004</v>
      </c>
      <c r="F126" s="35">
        <v>1150</v>
      </c>
      <c r="G126" s="35">
        <v>100</v>
      </c>
      <c r="H126" s="43">
        <v>600</v>
      </c>
      <c r="I126" s="35">
        <v>695</v>
      </c>
      <c r="J126" s="35">
        <v>50</v>
      </c>
      <c r="K126" s="36"/>
      <c r="L126" s="36"/>
      <c r="M126" s="36"/>
      <c r="N126" s="36"/>
      <c r="O126" s="36"/>
      <c r="P126" s="36"/>
      <c r="Q126" s="36"/>
      <c r="R126" s="36"/>
      <c r="S126" s="36"/>
      <c r="T126" s="36"/>
    </row>
    <row r="127" spans="1:20" ht="15.75">
      <c r="A127" s="13">
        <v>45352</v>
      </c>
      <c r="B127" s="44">
        <v>31</v>
      </c>
      <c r="C127" s="35">
        <v>122.58</v>
      </c>
      <c r="D127" s="35">
        <v>297.94099999999997</v>
      </c>
      <c r="E127" s="41">
        <v>729.47900000000004</v>
      </c>
      <c r="F127" s="35">
        <v>1150</v>
      </c>
      <c r="G127" s="35">
        <v>100</v>
      </c>
      <c r="H127" s="43">
        <v>600</v>
      </c>
      <c r="I127" s="35">
        <v>695</v>
      </c>
      <c r="J127" s="35">
        <v>50</v>
      </c>
      <c r="K127" s="36"/>
      <c r="L127" s="36"/>
      <c r="M127" s="36"/>
      <c r="N127" s="36"/>
      <c r="O127" s="36"/>
      <c r="P127" s="36"/>
      <c r="Q127" s="36"/>
      <c r="R127" s="36"/>
      <c r="S127" s="36"/>
      <c r="T127" s="36"/>
    </row>
    <row r="128" spans="1:20" ht="15.75">
      <c r="A128" s="13">
        <v>45383</v>
      </c>
      <c r="B128" s="44">
        <v>30</v>
      </c>
      <c r="C128" s="35">
        <v>141.29300000000001</v>
      </c>
      <c r="D128" s="35">
        <v>267.99299999999999</v>
      </c>
      <c r="E128" s="41">
        <v>829.71400000000006</v>
      </c>
      <c r="F128" s="35">
        <v>1239</v>
      </c>
      <c r="G128" s="35">
        <v>100</v>
      </c>
      <c r="H128" s="43">
        <v>600</v>
      </c>
      <c r="I128" s="35">
        <v>695</v>
      </c>
      <c r="J128" s="35">
        <v>50</v>
      </c>
      <c r="K128" s="36"/>
      <c r="L128" s="36"/>
      <c r="M128" s="36"/>
      <c r="N128" s="36"/>
      <c r="O128" s="36"/>
      <c r="P128" s="36"/>
      <c r="Q128" s="36"/>
      <c r="R128" s="36"/>
      <c r="S128" s="36"/>
      <c r="T128" s="36"/>
    </row>
    <row r="129" spans="1:20" ht="15.75">
      <c r="A129" s="13">
        <v>45413</v>
      </c>
      <c r="B129" s="44">
        <v>31</v>
      </c>
      <c r="C129" s="35">
        <v>194.20500000000001</v>
      </c>
      <c r="D129" s="35">
        <v>267.46600000000001</v>
      </c>
      <c r="E129" s="41">
        <v>812.32899999999995</v>
      </c>
      <c r="F129" s="35">
        <v>1274</v>
      </c>
      <c r="G129" s="35">
        <v>75</v>
      </c>
      <c r="H129" s="43">
        <v>600</v>
      </c>
      <c r="I129" s="35">
        <v>695</v>
      </c>
      <c r="J129" s="35">
        <v>50</v>
      </c>
      <c r="K129" s="36"/>
      <c r="L129" s="36"/>
      <c r="M129" s="36"/>
      <c r="N129" s="36"/>
      <c r="O129" s="36"/>
      <c r="P129" s="36"/>
      <c r="Q129" s="36"/>
      <c r="R129" s="36"/>
      <c r="S129" s="36"/>
      <c r="T129" s="36"/>
    </row>
    <row r="130" spans="1:20" ht="15.75">
      <c r="A130" s="13">
        <v>45444</v>
      </c>
      <c r="B130" s="44">
        <v>30</v>
      </c>
      <c r="C130" s="35">
        <v>194.20500000000001</v>
      </c>
      <c r="D130" s="35">
        <v>267.46600000000001</v>
      </c>
      <c r="E130" s="41">
        <v>812.32899999999995</v>
      </c>
      <c r="F130" s="35">
        <v>1274</v>
      </c>
      <c r="G130" s="35">
        <v>50</v>
      </c>
      <c r="H130" s="43">
        <v>600</v>
      </c>
      <c r="I130" s="35">
        <v>695</v>
      </c>
      <c r="J130" s="35">
        <v>50</v>
      </c>
      <c r="K130" s="36"/>
      <c r="L130" s="36"/>
      <c r="M130" s="36"/>
      <c r="N130" s="36"/>
      <c r="O130" s="36"/>
      <c r="P130" s="36"/>
      <c r="Q130" s="36"/>
      <c r="R130" s="36"/>
      <c r="S130" s="36"/>
      <c r="T130" s="36"/>
    </row>
    <row r="131" spans="1:20" ht="15.75">
      <c r="A131" s="13">
        <v>45474</v>
      </c>
      <c r="B131" s="44">
        <v>31</v>
      </c>
      <c r="C131" s="35">
        <v>194.20500000000001</v>
      </c>
      <c r="D131" s="35">
        <v>267.46600000000001</v>
      </c>
      <c r="E131" s="41">
        <v>812.32899999999995</v>
      </c>
      <c r="F131" s="35">
        <v>1274</v>
      </c>
      <c r="G131" s="35">
        <v>50</v>
      </c>
      <c r="H131" s="43">
        <v>600</v>
      </c>
      <c r="I131" s="35">
        <v>695</v>
      </c>
      <c r="J131" s="35">
        <v>0</v>
      </c>
      <c r="K131" s="36"/>
      <c r="L131" s="36"/>
      <c r="M131" s="36"/>
      <c r="N131" s="36"/>
      <c r="O131" s="36"/>
      <c r="P131" s="36"/>
      <c r="Q131" s="36"/>
      <c r="R131" s="36"/>
      <c r="S131" s="36"/>
      <c r="T131" s="36"/>
    </row>
    <row r="132" spans="1:20" ht="15.75">
      <c r="A132" s="13">
        <v>45505</v>
      </c>
      <c r="B132" s="44">
        <v>31</v>
      </c>
      <c r="C132" s="35">
        <v>194.20500000000001</v>
      </c>
      <c r="D132" s="35">
        <v>267.46600000000001</v>
      </c>
      <c r="E132" s="41">
        <v>812.32899999999995</v>
      </c>
      <c r="F132" s="35">
        <v>1274</v>
      </c>
      <c r="G132" s="35">
        <v>50</v>
      </c>
      <c r="H132" s="43">
        <v>600</v>
      </c>
      <c r="I132" s="35">
        <v>695</v>
      </c>
      <c r="J132" s="35">
        <v>0</v>
      </c>
      <c r="K132" s="36"/>
      <c r="L132" s="36"/>
      <c r="M132" s="36"/>
      <c r="N132" s="36"/>
      <c r="O132" s="36"/>
      <c r="P132" s="36"/>
      <c r="Q132" s="36"/>
      <c r="R132" s="36"/>
      <c r="S132" s="36"/>
      <c r="T132" s="36"/>
    </row>
    <row r="133" spans="1:20" ht="15.75">
      <c r="A133" s="13">
        <v>45536</v>
      </c>
      <c r="B133" s="44">
        <v>30</v>
      </c>
      <c r="C133" s="35">
        <v>194.20500000000001</v>
      </c>
      <c r="D133" s="35">
        <v>267.46600000000001</v>
      </c>
      <c r="E133" s="41">
        <v>812.32899999999995</v>
      </c>
      <c r="F133" s="35">
        <v>1274</v>
      </c>
      <c r="G133" s="35">
        <v>50</v>
      </c>
      <c r="H133" s="43">
        <v>600</v>
      </c>
      <c r="I133" s="35">
        <v>695</v>
      </c>
      <c r="J133" s="35">
        <v>0</v>
      </c>
      <c r="K133" s="36"/>
      <c r="L133" s="36"/>
      <c r="M133" s="36"/>
      <c r="N133" s="36"/>
      <c r="O133" s="36"/>
      <c r="P133" s="36"/>
      <c r="Q133" s="36"/>
      <c r="R133" s="36"/>
      <c r="S133" s="36"/>
      <c r="T133" s="36"/>
    </row>
    <row r="134" spans="1:20" ht="15.75">
      <c r="A134" s="13">
        <v>45566</v>
      </c>
      <c r="B134" s="44">
        <v>31</v>
      </c>
      <c r="C134" s="35">
        <v>131.881</v>
      </c>
      <c r="D134" s="35">
        <v>277.16699999999997</v>
      </c>
      <c r="E134" s="41">
        <v>829.952</v>
      </c>
      <c r="F134" s="35">
        <v>1239</v>
      </c>
      <c r="G134" s="35">
        <v>75</v>
      </c>
      <c r="H134" s="43">
        <v>600</v>
      </c>
      <c r="I134" s="35">
        <v>695</v>
      </c>
      <c r="J134" s="35">
        <v>0</v>
      </c>
      <c r="K134" s="36"/>
      <c r="L134" s="36"/>
      <c r="M134" s="36"/>
      <c r="N134" s="36"/>
      <c r="O134" s="36"/>
      <c r="P134" s="36"/>
      <c r="Q134" s="36"/>
      <c r="R134" s="36"/>
      <c r="S134" s="36"/>
      <c r="T134" s="36"/>
    </row>
    <row r="135" spans="1:20" ht="15.75">
      <c r="A135" s="13">
        <v>45597</v>
      </c>
      <c r="B135" s="44">
        <v>30</v>
      </c>
      <c r="C135" s="35">
        <v>122.58</v>
      </c>
      <c r="D135" s="35">
        <v>297.94099999999997</v>
      </c>
      <c r="E135" s="41">
        <v>729.47900000000004</v>
      </c>
      <c r="F135" s="35">
        <v>1150</v>
      </c>
      <c r="G135" s="35">
        <v>100</v>
      </c>
      <c r="H135" s="43">
        <v>600</v>
      </c>
      <c r="I135" s="35">
        <v>695</v>
      </c>
      <c r="J135" s="35">
        <v>50</v>
      </c>
      <c r="K135" s="36"/>
      <c r="L135" s="36"/>
      <c r="M135" s="36"/>
      <c r="N135" s="36"/>
      <c r="O135" s="36"/>
      <c r="P135" s="36"/>
      <c r="Q135" s="36"/>
      <c r="R135" s="36"/>
      <c r="S135" s="36"/>
      <c r="T135" s="36"/>
    </row>
    <row r="136" spans="1:20" ht="15.75">
      <c r="A136" s="13">
        <v>45627</v>
      </c>
      <c r="B136" s="44">
        <v>31</v>
      </c>
      <c r="C136" s="35">
        <v>122.58</v>
      </c>
      <c r="D136" s="35">
        <v>297.94099999999997</v>
      </c>
      <c r="E136" s="41">
        <v>729.47900000000004</v>
      </c>
      <c r="F136" s="35">
        <v>1150</v>
      </c>
      <c r="G136" s="35">
        <v>100</v>
      </c>
      <c r="H136" s="43">
        <v>600</v>
      </c>
      <c r="I136" s="35">
        <v>695</v>
      </c>
      <c r="J136" s="35">
        <v>50</v>
      </c>
      <c r="K136" s="36"/>
      <c r="L136" s="36"/>
      <c r="M136" s="36"/>
      <c r="N136" s="36"/>
      <c r="O136" s="36"/>
      <c r="P136" s="36"/>
      <c r="Q136" s="36"/>
      <c r="R136" s="36"/>
      <c r="S136" s="36"/>
      <c r="T136" s="36"/>
    </row>
    <row r="137" spans="1:20" ht="15.75">
      <c r="A137" s="13">
        <v>45658</v>
      </c>
      <c r="B137" s="44">
        <v>31</v>
      </c>
      <c r="C137" s="35">
        <v>122.58</v>
      </c>
      <c r="D137" s="35">
        <v>297.94099999999997</v>
      </c>
      <c r="E137" s="41">
        <v>729.47900000000004</v>
      </c>
      <c r="F137" s="35">
        <v>1150</v>
      </c>
      <c r="G137" s="35">
        <v>100</v>
      </c>
      <c r="H137" s="43">
        <v>600</v>
      </c>
      <c r="I137" s="35">
        <v>695</v>
      </c>
      <c r="J137" s="35">
        <v>50</v>
      </c>
      <c r="K137" s="36"/>
      <c r="L137" s="36"/>
      <c r="M137" s="36"/>
      <c r="N137" s="36"/>
      <c r="O137" s="36"/>
      <c r="P137" s="36"/>
      <c r="Q137" s="36"/>
      <c r="R137" s="36"/>
      <c r="S137" s="36"/>
      <c r="T137" s="36"/>
    </row>
    <row r="138" spans="1:20" ht="15.75">
      <c r="A138" s="13">
        <v>45689</v>
      </c>
      <c r="B138" s="44">
        <v>28</v>
      </c>
      <c r="C138" s="35">
        <v>122.58</v>
      </c>
      <c r="D138" s="35">
        <v>297.94099999999997</v>
      </c>
      <c r="E138" s="41">
        <v>729.47900000000004</v>
      </c>
      <c r="F138" s="35">
        <v>1150</v>
      </c>
      <c r="G138" s="35">
        <v>100</v>
      </c>
      <c r="H138" s="43">
        <v>600</v>
      </c>
      <c r="I138" s="35">
        <v>695</v>
      </c>
      <c r="J138" s="35">
        <v>50</v>
      </c>
      <c r="K138" s="36"/>
      <c r="L138" s="36"/>
      <c r="M138" s="36"/>
      <c r="N138" s="36"/>
      <c r="O138" s="36"/>
      <c r="P138" s="36"/>
      <c r="Q138" s="36"/>
      <c r="R138" s="36"/>
      <c r="S138" s="36"/>
      <c r="T138" s="36"/>
    </row>
    <row r="139" spans="1:20" ht="15.75">
      <c r="A139" s="13">
        <v>45717</v>
      </c>
      <c r="B139" s="44">
        <v>31</v>
      </c>
      <c r="C139" s="35">
        <v>122.58</v>
      </c>
      <c r="D139" s="35">
        <v>297.94099999999997</v>
      </c>
      <c r="E139" s="41">
        <v>729.47900000000004</v>
      </c>
      <c r="F139" s="35">
        <v>1150</v>
      </c>
      <c r="G139" s="35">
        <v>100</v>
      </c>
      <c r="H139" s="43">
        <v>600</v>
      </c>
      <c r="I139" s="35">
        <v>695</v>
      </c>
      <c r="J139" s="35">
        <v>50</v>
      </c>
      <c r="K139" s="36"/>
      <c r="L139" s="36"/>
      <c r="M139" s="36"/>
      <c r="N139" s="36"/>
      <c r="O139" s="36"/>
      <c r="P139" s="36"/>
      <c r="Q139" s="36"/>
      <c r="R139" s="36"/>
      <c r="S139" s="36"/>
      <c r="T139" s="36"/>
    </row>
    <row r="140" spans="1:20" ht="15.75">
      <c r="A140" s="13">
        <v>45748</v>
      </c>
      <c r="B140" s="44">
        <v>30</v>
      </c>
      <c r="C140" s="35">
        <v>141.29300000000001</v>
      </c>
      <c r="D140" s="35">
        <v>267.99299999999999</v>
      </c>
      <c r="E140" s="41">
        <v>829.71400000000006</v>
      </c>
      <c r="F140" s="35">
        <v>1239</v>
      </c>
      <c r="G140" s="35">
        <v>100</v>
      </c>
      <c r="H140" s="43">
        <v>600</v>
      </c>
      <c r="I140" s="35">
        <v>695</v>
      </c>
      <c r="J140" s="35">
        <v>50</v>
      </c>
      <c r="K140" s="36"/>
      <c r="L140" s="36"/>
      <c r="M140" s="36"/>
      <c r="N140" s="36"/>
      <c r="O140" s="36"/>
      <c r="P140" s="36"/>
      <c r="Q140" s="36"/>
      <c r="R140" s="36"/>
      <c r="S140" s="36"/>
      <c r="T140" s="36"/>
    </row>
    <row r="141" spans="1:20" ht="15.75">
      <c r="A141" s="13">
        <v>45778</v>
      </c>
      <c r="B141" s="44">
        <v>31</v>
      </c>
      <c r="C141" s="35">
        <v>194.20500000000001</v>
      </c>
      <c r="D141" s="35">
        <v>267.46600000000001</v>
      </c>
      <c r="E141" s="41">
        <v>812.32899999999995</v>
      </c>
      <c r="F141" s="35">
        <v>1274</v>
      </c>
      <c r="G141" s="35">
        <v>75</v>
      </c>
      <c r="H141" s="43">
        <v>600</v>
      </c>
      <c r="I141" s="35">
        <v>695</v>
      </c>
      <c r="J141" s="35">
        <v>50</v>
      </c>
      <c r="K141" s="36"/>
      <c r="L141" s="36"/>
      <c r="M141" s="36"/>
      <c r="N141" s="36"/>
      <c r="O141" s="36"/>
      <c r="P141" s="36"/>
      <c r="Q141" s="36"/>
      <c r="R141" s="36"/>
      <c r="S141" s="36"/>
      <c r="T141" s="36"/>
    </row>
    <row r="142" spans="1:20" ht="15.75">
      <c r="A142" s="13">
        <v>45809</v>
      </c>
      <c r="B142" s="44">
        <v>30</v>
      </c>
      <c r="C142" s="35">
        <v>194.20500000000001</v>
      </c>
      <c r="D142" s="35">
        <v>267.46600000000001</v>
      </c>
      <c r="E142" s="41">
        <v>812.32899999999995</v>
      </c>
      <c r="F142" s="35">
        <v>1274</v>
      </c>
      <c r="G142" s="35">
        <v>50</v>
      </c>
      <c r="H142" s="43">
        <v>600</v>
      </c>
      <c r="I142" s="35">
        <v>695</v>
      </c>
      <c r="J142" s="35">
        <v>50</v>
      </c>
      <c r="K142" s="36"/>
      <c r="L142" s="36"/>
      <c r="M142" s="36"/>
      <c r="N142" s="36"/>
      <c r="O142" s="36"/>
      <c r="P142" s="36"/>
      <c r="Q142" s="36"/>
      <c r="R142" s="36"/>
      <c r="S142" s="36"/>
      <c r="T142" s="36"/>
    </row>
    <row r="143" spans="1:20" ht="15.75">
      <c r="A143" s="13">
        <v>45839</v>
      </c>
      <c r="B143" s="44">
        <v>31</v>
      </c>
      <c r="C143" s="35">
        <v>194.20500000000001</v>
      </c>
      <c r="D143" s="35">
        <v>267.46600000000001</v>
      </c>
      <c r="E143" s="41">
        <v>812.32899999999995</v>
      </c>
      <c r="F143" s="35">
        <v>1274</v>
      </c>
      <c r="G143" s="35">
        <v>50</v>
      </c>
      <c r="H143" s="43">
        <v>600</v>
      </c>
      <c r="I143" s="35">
        <v>695</v>
      </c>
      <c r="J143" s="35">
        <v>0</v>
      </c>
      <c r="K143" s="36"/>
      <c r="L143" s="36"/>
      <c r="M143" s="36"/>
      <c r="N143" s="36"/>
      <c r="O143" s="36"/>
      <c r="P143" s="36"/>
      <c r="Q143" s="36"/>
      <c r="R143" s="36"/>
      <c r="S143" s="36"/>
      <c r="T143" s="36"/>
    </row>
    <row r="144" spans="1:20" ht="15.75">
      <c r="A144" s="13">
        <v>45870</v>
      </c>
      <c r="B144" s="44">
        <v>31</v>
      </c>
      <c r="C144" s="35">
        <v>194.20500000000001</v>
      </c>
      <c r="D144" s="35">
        <v>267.46600000000001</v>
      </c>
      <c r="E144" s="41">
        <v>812.32899999999995</v>
      </c>
      <c r="F144" s="35">
        <v>1274</v>
      </c>
      <c r="G144" s="35">
        <v>50</v>
      </c>
      <c r="H144" s="43">
        <v>600</v>
      </c>
      <c r="I144" s="35">
        <v>695</v>
      </c>
      <c r="J144" s="35">
        <v>0</v>
      </c>
      <c r="K144" s="36"/>
      <c r="L144" s="36"/>
      <c r="M144" s="36"/>
      <c r="N144" s="36"/>
      <c r="O144" s="36"/>
      <c r="P144" s="36"/>
      <c r="Q144" s="36"/>
      <c r="R144" s="36"/>
      <c r="S144" s="36"/>
      <c r="T144" s="36"/>
    </row>
    <row r="145" spans="1:20" ht="15.75">
      <c r="A145" s="13">
        <v>45901</v>
      </c>
      <c r="B145" s="44">
        <v>30</v>
      </c>
      <c r="C145" s="35">
        <v>194.20500000000001</v>
      </c>
      <c r="D145" s="35">
        <v>267.46600000000001</v>
      </c>
      <c r="E145" s="41">
        <v>812.32899999999995</v>
      </c>
      <c r="F145" s="35">
        <v>1274</v>
      </c>
      <c r="G145" s="35">
        <v>50</v>
      </c>
      <c r="H145" s="43">
        <v>600</v>
      </c>
      <c r="I145" s="35">
        <v>695</v>
      </c>
      <c r="J145" s="35">
        <v>0</v>
      </c>
      <c r="K145" s="36"/>
      <c r="L145" s="36"/>
      <c r="M145" s="36"/>
      <c r="N145" s="36"/>
      <c r="O145" s="36"/>
      <c r="P145" s="36"/>
      <c r="Q145" s="36"/>
      <c r="R145" s="36"/>
      <c r="S145" s="36"/>
      <c r="T145" s="36"/>
    </row>
    <row r="146" spans="1:20" ht="15.75">
      <c r="A146" s="13">
        <v>45931</v>
      </c>
      <c r="B146" s="44">
        <v>31</v>
      </c>
      <c r="C146" s="35">
        <v>131.881</v>
      </c>
      <c r="D146" s="35">
        <v>277.16699999999997</v>
      </c>
      <c r="E146" s="41">
        <v>829.952</v>
      </c>
      <c r="F146" s="35">
        <v>1239</v>
      </c>
      <c r="G146" s="35">
        <v>75</v>
      </c>
      <c r="H146" s="43">
        <v>600</v>
      </c>
      <c r="I146" s="35">
        <v>695</v>
      </c>
      <c r="J146" s="35">
        <v>0</v>
      </c>
      <c r="K146" s="36"/>
      <c r="L146" s="36"/>
      <c r="M146" s="36"/>
      <c r="N146" s="36"/>
      <c r="O146" s="36"/>
      <c r="P146" s="36"/>
      <c r="Q146" s="36"/>
      <c r="R146" s="36"/>
      <c r="S146" s="36"/>
      <c r="T146" s="36"/>
    </row>
    <row r="147" spans="1:20" ht="15.75">
      <c r="A147" s="13">
        <v>45962</v>
      </c>
      <c r="B147" s="44">
        <v>30</v>
      </c>
      <c r="C147" s="35">
        <v>122.58</v>
      </c>
      <c r="D147" s="35">
        <v>297.94099999999997</v>
      </c>
      <c r="E147" s="41">
        <v>729.47900000000004</v>
      </c>
      <c r="F147" s="35">
        <v>1150</v>
      </c>
      <c r="G147" s="35">
        <v>100</v>
      </c>
      <c r="H147" s="43">
        <v>600</v>
      </c>
      <c r="I147" s="35">
        <v>695</v>
      </c>
      <c r="J147" s="35">
        <v>50</v>
      </c>
      <c r="K147" s="36"/>
      <c r="L147" s="36"/>
      <c r="M147" s="36"/>
      <c r="N147" s="36"/>
      <c r="O147" s="36"/>
      <c r="P147" s="36"/>
      <c r="Q147" s="36"/>
      <c r="R147" s="36"/>
      <c r="S147" s="36"/>
      <c r="T147" s="36"/>
    </row>
    <row r="148" spans="1:20" ht="15.75">
      <c r="A148" s="13">
        <v>45992</v>
      </c>
      <c r="B148" s="44">
        <v>31</v>
      </c>
      <c r="C148" s="35">
        <v>122.58</v>
      </c>
      <c r="D148" s="35">
        <v>297.94099999999997</v>
      </c>
      <c r="E148" s="41">
        <v>729.47900000000004</v>
      </c>
      <c r="F148" s="35">
        <v>1150</v>
      </c>
      <c r="G148" s="35">
        <v>100</v>
      </c>
      <c r="H148" s="43">
        <v>600</v>
      </c>
      <c r="I148" s="35">
        <v>695</v>
      </c>
      <c r="J148" s="35">
        <v>50</v>
      </c>
      <c r="K148" s="36"/>
      <c r="L148" s="36"/>
      <c r="M148" s="36"/>
      <c r="N148" s="36"/>
      <c r="O148" s="36"/>
      <c r="P148" s="36"/>
      <c r="Q148" s="36"/>
      <c r="R148" s="36"/>
      <c r="S148" s="36"/>
      <c r="T148" s="36"/>
    </row>
    <row r="149" spans="1:20" ht="15.75">
      <c r="A149" s="13">
        <v>46023</v>
      </c>
      <c r="B149" s="44">
        <v>31</v>
      </c>
      <c r="C149" s="35">
        <v>122.58</v>
      </c>
      <c r="D149" s="35">
        <v>297.94099999999997</v>
      </c>
      <c r="E149" s="41">
        <v>729.47900000000004</v>
      </c>
      <c r="F149" s="35">
        <v>1150</v>
      </c>
      <c r="G149" s="35">
        <v>100</v>
      </c>
      <c r="H149" s="43">
        <v>600</v>
      </c>
      <c r="I149" s="35">
        <v>695</v>
      </c>
      <c r="J149" s="35">
        <v>50</v>
      </c>
      <c r="K149" s="36"/>
      <c r="L149" s="36"/>
      <c r="M149" s="36"/>
      <c r="N149" s="36"/>
      <c r="O149" s="36"/>
      <c r="P149" s="36"/>
      <c r="Q149" s="36"/>
      <c r="R149" s="36"/>
      <c r="S149" s="36"/>
      <c r="T149" s="36"/>
    </row>
    <row r="150" spans="1:20" ht="15.75">
      <c r="A150" s="13">
        <v>46054</v>
      </c>
      <c r="B150" s="44">
        <v>28</v>
      </c>
      <c r="C150" s="35">
        <v>122.58</v>
      </c>
      <c r="D150" s="35">
        <v>297.94099999999997</v>
      </c>
      <c r="E150" s="41">
        <v>729.47900000000004</v>
      </c>
      <c r="F150" s="35">
        <v>1150</v>
      </c>
      <c r="G150" s="35">
        <v>100</v>
      </c>
      <c r="H150" s="43">
        <v>600</v>
      </c>
      <c r="I150" s="35">
        <v>695</v>
      </c>
      <c r="J150" s="35">
        <v>50</v>
      </c>
      <c r="K150" s="36"/>
      <c r="L150" s="36"/>
      <c r="M150" s="36"/>
      <c r="N150" s="36"/>
      <c r="O150" s="36"/>
      <c r="P150" s="36"/>
      <c r="Q150" s="36"/>
      <c r="R150" s="36"/>
      <c r="S150" s="36"/>
      <c r="T150" s="36"/>
    </row>
    <row r="151" spans="1:20" ht="15.75">
      <c r="A151" s="13">
        <v>46082</v>
      </c>
      <c r="B151" s="44">
        <v>31</v>
      </c>
      <c r="C151" s="35">
        <v>122.58</v>
      </c>
      <c r="D151" s="35">
        <v>297.94099999999997</v>
      </c>
      <c r="E151" s="41">
        <v>729.47900000000004</v>
      </c>
      <c r="F151" s="35">
        <v>1150</v>
      </c>
      <c r="G151" s="35">
        <v>100</v>
      </c>
      <c r="H151" s="43">
        <v>600</v>
      </c>
      <c r="I151" s="35">
        <v>695</v>
      </c>
      <c r="J151" s="35">
        <v>50</v>
      </c>
      <c r="K151" s="36"/>
      <c r="L151" s="36"/>
      <c r="M151" s="36"/>
      <c r="N151" s="36"/>
      <c r="O151" s="36"/>
      <c r="P151" s="36"/>
      <c r="Q151" s="36"/>
      <c r="R151" s="36"/>
      <c r="S151" s="36"/>
      <c r="T151" s="36"/>
    </row>
    <row r="152" spans="1:20" ht="15.75">
      <c r="A152" s="13">
        <v>46113</v>
      </c>
      <c r="B152" s="44">
        <v>30</v>
      </c>
      <c r="C152" s="35">
        <v>141.29300000000001</v>
      </c>
      <c r="D152" s="35">
        <v>267.99299999999999</v>
      </c>
      <c r="E152" s="41">
        <v>829.71400000000006</v>
      </c>
      <c r="F152" s="35">
        <v>1239</v>
      </c>
      <c r="G152" s="35">
        <v>100</v>
      </c>
      <c r="H152" s="43">
        <v>600</v>
      </c>
      <c r="I152" s="35">
        <v>695</v>
      </c>
      <c r="J152" s="35">
        <v>50</v>
      </c>
      <c r="K152" s="36"/>
      <c r="L152" s="36"/>
      <c r="M152" s="36"/>
      <c r="N152" s="36"/>
      <c r="O152" s="36"/>
      <c r="P152" s="36"/>
      <c r="Q152" s="36"/>
      <c r="R152" s="36"/>
      <c r="S152" s="36"/>
      <c r="T152" s="36"/>
    </row>
    <row r="153" spans="1:20" ht="15.75">
      <c r="A153" s="13">
        <v>46143</v>
      </c>
      <c r="B153" s="44">
        <v>31</v>
      </c>
      <c r="C153" s="35">
        <v>194.20500000000001</v>
      </c>
      <c r="D153" s="35">
        <v>267.46600000000001</v>
      </c>
      <c r="E153" s="41">
        <v>812.32899999999995</v>
      </c>
      <c r="F153" s="35">
        <v>1274</v>
      </c>
      <c r="G153" s="35">
        <v>75</v>
      </c>
      <c r="H153" s="43">
        <v>600</v>
      </c>
      <c r="I153" s="35">
        <v>695</v>
      </c>
      <c r="J153" s="35">
        <v>50</v>
      </c>
      <c r="K153" s="36"/>
      <c r="L153" s="36"/>
      <c r="M153" s="36"/>
      <c r="N153" s="36"/>
      <c r="O153" s="36"/>
      <c r="P153" s="36"/>
      <c r="Q153" s="36"/>
      <c r="R153" s="36"/>
      <c r="S153" s="36"/>
      <c r="T153" s="36"/>
    </row>
    <row r="154" spans="1:20" ht="15.75">
      <c r="A154" s="13">
        <v>46174</v>
      </c>
      <c r="B154" s="44">
        <v>30</v>
      </c>
      <c r="C154" s="35">
        <v>194.20500000000001</v>
      </c>
      <c r="D154" s="35">
        <v>267.46600000000001</v>
      </c>
      <c r="E154" s="41">
        <v>812.32899999999995</v>
      </c>
      <c r="F154" s="35">
        <v>1274</v>
      </c>
      <c r="G154" s="35">
        <v>50</v>
      </c>
      <c r="H154" s="43">
        <v>600</v>
      </c>
      <c r="I154" s="35">
        <v>695</v>
      </c>
      <c r="J154" s="35">
        <v>50</v>
      </c>
      <c r="K154" s="36"/>
      <c r="L154" s="36"/>
      <c r="M154" s="36"/>
      <c r="N154" s="36"/>
      <c r="O154" s="36"/>
      <c r="P154" s="36"/>
      <c r="Q154" s="36"/>
      <c r="R154" s="36"/>
      <c r="S154" s="36"/>
      <c r="T154" s="36"/>
    </row>
    <row r="155" spans="1:20" ht="15.75">
      <c r="A155" s="13">
        <v>46204</v>
      </c>
      <c r="B155" s="44">
        <v>31</v>
      </c>
      <c r="C155" s="35">
        <v>194.20500000000001</v>
      </c>
      <c r="D155" s="35">
        <v>267.46600000000001</v>
      </c>
      <c r="E155" s="41">
        <v>812.32899999999995</v>
      </c>
      <c r="F155" s="35">
        <v>1274</v>
      </c>
      <c r="G155" s="35">
        <v>50</v>
      </c>
      <c r="H155" s="43">
        <v>600</v>
      </c>
      <c r="I155" s="35">
        <v>695</v>
      </c>
      <c r="J155" s="35">
        <v>0</v>
      </c>
      <c r="K155" s="36"/>
      <c r="L155" s="36"/>
      <c r="M155" s="36"/>
      <c r="N155" s="36"/>
      <c r="O155" s="36"/>
      <c r="P155" s="36"/>
      <c r="Q155" s="36"/>
      <c r="R155" s="36"/>
      <c r="S155" s="36"/>
      <c r="T155" s="36"/>
    </row>
    <row r="156" spans="1:20" ht="15.75">
      <c r="A156" s="13">
        <v>46235</v>
      </c>
      <c r="B156" s="44">
        <v>31</v>
      </c>
      <c r="C156" s="35">
        <v>194.20500000000001</v>
      </c>
      <c r="D156" s="35">
        <v>267.46600000000001</v>
      </c>
      <c r="E156" s="41">
        <v>812.32899999999995</v>
      </c>
      <c r="F156" s="35">
        <v>1274</v>
      </c>
      <c r="G156" s="35">
        <v>50</v>
      </c>
      <c r="H156" s="43">
        <v>600</v>
      </c>
      <c r="I156" s="35">
        <v>695</v>
      </c>
      <c r="J156" s="35">
        <v>0</v>
      </c>
      <c r="K156" s="36"/>
      <c r="L156" s="36"/>
      <c r="M156" s="36"/>
      <c r="N156" s="36"/>
      <c r="O156" s="36"/>
      <c r="P156" s="36"/>
      <c r="Q156" s="36"/>
      <c r="R156" s="36"/>
      <c r="S156" s="36"/>
      <c r="T156" s="36"/>
    </row>
    <row r="157" spans="1:20" ht="15.75">
      <c r="A157" s="13">
        <v>46266</v>
      </c>
      <c r="B157" s="44">
        <v>30</v>
      </c>
      <c r="C157" s="35">
        <v>194.20500000000001</v>
      </c>
      <c r="D157" s="35">
        <v>267.46600000000001</v>
      </c>
      <c r="E157" s="41">
        <v>812.32899999999995</v>
      </c>
      <c r="F157" s="35">
        <v>1274</v>
      </c>
      <c r="G157" s="35">
        <v>50</v>
      </c>
      <c r="H157" s="43">
        <v>600</v>
      </c>
      <c r="I157" s="35">
        <v>695</v>
      </c>
      <c r="J157" s="35">
        <v>0</v>
      </c>
      <c r="K157" s="36"/>
      <c r="L157" s="36"/>
      <c r="M157" s="36"/>
      <c r="N157" s="36"/>
      <c r="O157" s="36"/>
      <c r="P157" s="36"/>
      <c r="Q157" s="36"/>
      <c r="R157" s="36"/>
      <c r="S157" s="36"/>
      <c r="T157" s="36"/>
    </row>
    <row r="158" spans="1:20" ht="15.75">
      <c r="A158" s="13">
        <v>46296</v>
      </c>
      <c r="B158" s="44">
        <v>31</v>
      </c>
      <c r="C158" s="35">
        <v>131.881</v>
      </c>
      <c r="D158" s="35">
        <v>277.16699999999997</v>
      </c>
      <c r="E158" s="41">
        <v>829.952</v>
      </c>
      <c r="F158" s="35">
        <v>1239</v>
      </c>
      <c r="G158" s="35">
        <v>75</v>
      </c>
      <c r="H158" s="43">
        <v>600</v>
      </c>
      <c r="I158" s="35">
        <v>695</v>
      </c>
      <c r="J158" s="35">
        <v>0</v>
      </c>
      <c r="K158" s="36"/>
      <c r="L158" s="36"/>
      <c r="M158" s="36"/>
      <c r="N158" s="36"/>
      <c r="O158" s="36"/>
      <c r="P158" s="36"/>
      <c r="Q158" s="36"/>
      <c r="R158" s="36"/>
      <c r="S158" s="36"/>
      <c r="T158" s="36"/>
    </row>
    <row r="159" spans="1:20" ht="15.75">
      <c r="A159" s="13">
        <v>46327</v>
      </c>
      <c r="B159" s="44">
        <v>30</v>
      </c>
      <c r="C159" s="35">
        <v>122.58</v>
      </c>
      <c r="D159" s="35">
        <v>297.94099999999997</v>
      </c>
      <c r="E159" s="41">
        <v>729.47900000000004</v>
      </c>
      <c r="F159" s="35">
        <v>1150</v>
      </c>
      <c r="G159" s="35">
        <v>100</v>
      </c>
      <c r="H159" s="43">
        <v>600</v>
      </c>
      <c r="I159" s="35">
        <v>695</v>
      </c>
      <c r="J159" s="35">
        <v>50</v>
      </c>
      <c r="K159" s="36"/>
      <c r="L159" s="36"/>
      <c r="M159" s="36"/>
      <c r="N159" s="36"/>
      <c r="O159" s="36"/>
      <c r="P159" s="36"/>
      <c r="Q159" s="36"/>
      <c r="R159" s="36"/>
      <c r="S159" s="36"/>
      <c r="T159" s="36"/>
    </row>
    <row r="160" spans="1:20" ht="15.75">
      <c r="A160" s="13">
        <v>46357</v>
      </c>
      <c r="B160" s="44">
        <v>31</v>
      </c>
      <c r="C160" s="35">
        <v>122.58</v>
      </c>
      <c r="D160" s="35">
        <v>297.94099999999997</v>
      </c>
      <c r="E160" s="41">
        <v>729.47900000000004</v>
      </c>
      <c r="F160" s="35">
        <v>1150</v>
      </c>
      <c r="G160" s="35">
        <v>100</v>
      </c>
      <c r="H160" s="43">
        <v>600</v>
      </c>
      <c r="I160" s="35">
        <v>695</v>
      </c>
      <c r="J160" s="35">
        <v>50</v>
      </c>
      <c r="K160" s="36"/>
      <c r="L160" s="36"/>
      <c r="M160" s="36"/>
      <c r="N160" s="36"/>
      <c r="O160" s="36"/>
      <c r="P160" s="36"/>
      <c r="Q160" s="36"/>
      <c r="R160" s="36"/>
      <c r="S160" s="36"/>
      <c r="T160" s="36"/>
    </row>
    <row r="161" spans="1:20" ht="15.75">
      <c r="A161" s="13">
        <v>46388</v>
      </c>
      <c r="B161" s="44">
        <v>31</v>
      </c>
      <c r="C161" s="35">
        <v>122.58</v>
      </c>
      <c r="D161" s="35">
        <v>297.94099999999997</v>
      </c>
      <c r="E161" s="41">
        <v>729.47900000000004</v>
      </c>
      <c r="F161" s="35">
        <v>1150</v>
      </c>
      <c r="G161" s="35">
        <v>100</v>
      </c>
      <c r="H161" s="43">
        <v>600</v>
      </c>
      <c r="I161" s="35">
        <v>695</v>
      </c>
      <c r="J161" s="35">
        <v>50</v>
      </c>
      <c r="K161" s="36"/>
      <c r="L161" s="36"/>
      <c r="M161" s="36"/>
      <c r="N161" s="36"/>
      <c r="O161" s="36"/>
      <c r="P161" s="36"/>
      <c r="Q161" s="36"/>
      <c r="R161" s="36"/>
      <c r="S161" s="36"/>
      <c r="T161" s="36"/>
    </row>
    <row r="162" spans="1:20" ht="15.75">
      <c r="A162" s="13">
        <v>46419</v>
      </c>
      <c r="B162" s="44">
        <v>28</v>
      </c>
      <c r="C162" s="35">
        <v>122.58</v>
      </c>
      <c r="D162" s="35">
        <v>297.94099999999997</v>
      </c>
      <c r="E162" s="41">
        <v>729.47900000000004</v>
      </c>
      <c r="F162" s="35">
        <v>1150</v>
      </c>
      <c r="G162" s="35">
        <v>100</v>
      </c>
      <c r="H162" s="43">
        <v>600</v>
      </c>
      <c r="I162" s="35">
        <v>695</v>
      </c>
      <c r="J162" s="35">
        <v>50</v>
      </c>
      <c r="K162" s="36"/>
      <c r="L162" s="36"/>
      <c r="M162" s="36"/>
      <c r="N162" s="36"/>
      <c r="O162" s="36"/>
      <c r="P162" s="36"/>
      <c r="Q162" s="36"/>
      <c r="R162" s="36"/>
      <c r="S162" s="36"/>
      <c r="T162" s="36"/>
    </row>
    <row r="163" spans="1:20" ht="15.75">
      <c r="A163" s="13">
        <v>46447</v>
      </c>
      <c r="B163" s="44">
        <v>31</v>
      </c>
      <c r="C163" s="35">
        <v>122.58</v>
      </c>
      <c r="D163" s="35">
        <v>297.94099999999997</v>
      </c>
      <c r="E163" s="41">
        <v>729.47900000000004</v>
      </c>
      <c r="F163" s="35">
        <v>1150</v>
      </c>
      <c r="G163" s="35">
        <v>100</v>
      </c>
      <c r="H163" s="43">
        <v>600</v>
      </c>
      <c r="I163" s="35">
        <v>695</v>
      </c>
      <c r="J163" s="35">
        <v>50</v>
      </c>
      <c r="K163" s="36"/>
      <c r="L163" s="36"/>
      <c r="M163" s="36"/>
      <c r="N163" s="36"/>
      <c r="O163" s="36"/>
      <c r="P163" s="36"/>
      <c r="Q163" s="36"/>
      <c r="R163" s="36"/>
      <c r="S163" s="36"/>
      <c r="T163" s="36"/>
    </row>
    <row r="164" spans="1:20" ht="15.75">
      <c r="A164" s="13">
        <v>46478</v>
      </c>
      <c r="B164" s="44">
        <v>30</v>
      </c>
      <c r="C164" s="35">
        <v>141.29300000000001</v>
      </c>
      <c r="D164" s="35">
        <v>267.99299999999999</v>
      </c>
      <c r="E164" s="41">
        <v>829.71400000000006</v>
      </c>
      <c r="F164" s="35">
        <v>1239</v>
      </c>
      <c r="G164" s="35">
        <v>100</v>
      </c>
      <c r="H164" s="43">
        <v>600</v>
      </c>
      <c r="I164" s="35">
        <v>695</v>
      </c>
      <c r="J164" s="35">
        <v>50</v>
      </c>
      <c r="K164" s="36"/>
      <c r="L164" s="36"/>
      <c r="M164" s="36"/>
      <c r="N164" s="36"/>
      <c r="O164" s="36"/>
      <c r="P164" s="36"/>
      <c r="Q164" s="36"/>
      <c r="R164" s="36"/>
      <c r="S164" s="36"/>
      <c r="T164" s="36"/>
    </row>
    <row r="165" spans="1:20" ht="15.75">
      <c r="A165" s="13">
        <v>46508</v>
      </c>
      <c r="B165" s="44">
        <v>31</v>
      </c>
      <c r="C165" s="35">
        <v>194.20500000000001</v>
      </c>
      <c r="D165" s="35">
        <v>267.46600000000001</v>
      </c>
      <c r="E165" s="41">
        <v>812.32899999999995</v>
      </c>
      <c r="F165" s="35">
        <v>1274</v>
      </c>
      <c r="G165" s="35">
        <v>75</v>
      </c>
      <c r="H165" s="43">
        <v>600</v>
      </c>
      <c r="I165" s="35">
        <v>695</v>
      </c>
      <c r="J165" s="35">
        <v>50</v>
      </c>
      <c r="K165" s="36"/>
      <c r="L165" s="36"/>
      <c r="M165" s="36"/>
      <c r="N165" s="36"/>
      <c r="O165" s="36"/>
      <c r="P165" s="36"/>
      <c r="Q165" s="36"/>
      <c r="R165" s="36"/>
      <c r="S165" s="36"/>
      <c r="T165" s="36"/>
    </row>
    <row r="166" spans="1:20" ht="15.75">
      <c r="A166" s="13">
        <v>46539</v>
      </c>
      <c r="B166" s="44">
        <v>30</v>
      </c>
      <c r="C166" s="35">
        <v>194.20500000000001</v>
      </c>
      <c r="D166" s="35">
        <v>267.46600000000001</v>
      </c>
      <c r="E166" s="41">
        <v>812.32899999999995</v>
      </c>
      <c r="F166" s="35">
        <v>1274</v>
      </c>
      <c r="G166" s="35">
        <v>50</v>
      </c>
      <c r="H166" s="43">
        <v>600</v>
      </c>
      <c r="I166" s="35">
        <v>695</v>
      </c>
      <c r="J166" s="35">
        <v>50</v>
      </c>
      <c r="K166" s="36"/>
      <c r="L166" s="36"/>
      <c r="M166" s="36"/>
      <c r="N166" s="36"/>
      <c r="O166" s="36"/>
      <c r="P166" s="36"/>
      <c r="Q166" s="36"/>
      <c r="R166" s="36"/>
      <c r="S166" s="36"/>
      <c r="T166" s="36"/>
    </row>
    <row r="167" spans="1:20" ht="15.75">
      <c r="A167" s="13">
        <v>46569</v>
      </c>
      <c r="B167" s="44">
        <v>31</v>
      </c>
      <c r="C167" s="35">
        <v>194.20500000000001</v>
      </c>
      <c r="D167" s="35">
        <v>267.46600000000001</v>
      </c>
      <c r="E167" s="41">
        <v>812.32899999999995</v>
      </c>
      <c r="F167" s="35">
        <v>1274</v>
      </c>
      <c r="G167" s="35">
        <v>50</v>
      </c>
      <c r="H167" s="43">
        <v>600</v>
      </c>
      <c r="I167" s="35">
        <v>695</v>
      </c>
      <c r="J167" s="35">
        <v>0</v>
      </c>
      <c r="K167" s="36"/>
      <c r="L167" s="36"/>
      <c r="M167" s="36"/>
      <c r="N167" s="36"/>
      <c r="O167" s="36"/>
      <c r="P167" s="36"/>
      <c r="Q167" s="36"/>
      <c r="R167" s="36"/>
      <c r="S167" s="36"/>
      <c r="T167" s="36"/>
    </row>
    <row r="168" spans="1:20" ht="15.75">
      <c r="A168" s="13">
        <v>46600</v>
      </c>
      <c r="B168" s="44">
        <v>31</v>
      </c>
      <c r="C168" s="35">
        <v>194.20500000000001</v>
      </c>
      <c r="D168" s="35">
        <v>267.46600000000001</v>
      </c>
      <c r="E168" s="41">
        <v>812.32899999999995</v>
      </c>
      <c r="F168" s="35">
        <v>1274</v>
      </c>
      <c r="G168" s="35">
        <v>50</v>
      </c>
      <c r="H168" s="43">
        <v>600</v>
      </c>
      <c r="I168" s="35">
        <v>695</v>
      </c>
      <c r="J168" s="35">
        <v>0</v>
      </c>
      <c r="K168" s="36"/>
      <c r="L168" s="36"/>
      <c r="M168" s="36"/>
      <c r="N168" s="36"/>
      <c r="O168" s="36"/>
      <c r="P168" s="36"/>
      <c r="Q168" s="36"/>
      <c r="R168" s="36"/>
      <c r="S168" s="36"/>
      <c r="T168" s="36"/>
    </row>
    <row r="169" spans="1:20" ht="15.75">
      <c r="A169" s="13">
        <v>46631</v>
      </c>
      <c r="B169" s="44">
        <v>30</v>
      </c>
      <c r="C169" s="35">
        <v>194.20500000000001</v>
      </c>
      <c r="D169" s="35">
        <v>267.46600000000001</v>
      </c>
      <c r="E169" s="41">
        <v>812.32899999999995</v>
      </c>
      <c r="F169" s="35">
        <v>1274</v>
      </c>
      <c r="G169" s="35">
        <v>50</v>
      </c>
      <c r="H169" s="43">
        <v>600</v>
      </c>
      <c r="I169" s="35">
        <v>695</v>
      </c>
      <c r="J169" s="35">
        <v>0</v>
      </c>
      <c r="K169" s="36"/>
      <c r="L169" s="36"/>
      <c r="M169" s="36"/>
      <c r="N169" s="36"/>
      <c r="O169" s="36"/>
      <c r="P169" s="36"/>
      <c r="Q169" s="36"/>
      <c r="R169" s="36"/>
      <c r="S169" s="36"/>
      <c r="T169" s="36"/>
    </row>
    <row r="170" spans="1:20" ht="15.75">
      <c r="A170" s="13">
        <v>46661</v>
      </c>
      <c r="B170" s="44">
        <v>31</v>
      </c>
      <c r="C170" s="35">
        <v>131.881</v>
      </c>
      <c r="D170" s="35">
        <v>277.16699999999997</v>
      </c>
      <c r="E170" s="41">
        <v>829.952</v>
      </c>
      <c r="F170" s="35">
        <v>1239</v>
      </c>
      <c r="G170" s="35">
        <v>75</v>
      </c>
      <c r="H170" s="43">
        <v>600</v>
      </c>
      <c r="I170" s="35">
        <v>695</v>
      </c>
      <c r="J170" s="35">
        <v>0</v>
      </c>
      <c r="K170" s="36"/>
      <c r="L170" s="36"/>
      <c r="M170" s="36"/>
      <c r="N170" s="36"/>
      <c r="O170" s="36"/>
      <c r="P170" s="36"/>
      <c r="Q170" s="36"/>
      <c r="R170" s="36"/>
      <c r="S170" s="36"/>
      <c r="T170" s="36"/>
    </row>
    <row r="171" spans="1:20" ht="15.75">
      <c r="A171" s="13">
        <v>46692</v>
      </c>
      <c r="B171" s="44">
        <v>30</v>
      </c>
      <c r="C171" s="35">
        <v>122.58</v>
      </c>
      <c r="D171" s="35">
        <v>297.94099999999997</v>
      </c>
      <c r="E171" s="41">
        <v>729.47900000000004</v>
      </c>
      <c r="F171" s="35">
        <v>1150</v>
      </c>
      <c r="G171" s="35">
        <v>100</v>
      </c>
      <c r="H171" s="43">
        <v>600</v>
      </c>
      <c r="I171" s="35">
        <v>695</v>
      </c>
      <c r="J171" s="35">
        <v>50</v>
      </c>
      <c r="K171" s="36"/>
      <c r="L171" s="36"/>
      <c r="M171" s="36"/>
      <c r="N171" s="36"/>
      <c r="O171" s="36"/>
      <c r="P171" s="36"/>
      <c r="Q171" s="36"/>
      <c r="R171" s="36"/>
      <c r="S171" s="36"/>
      <c r="T171" s="36"/>
    </row>
    <row r="172" spans="1:20" ht="15.75">
      <c r="A172" s="13">
        <v>46722</v>
      </c>
      <c r="B172" s="44">
        <v>31</v>
      </c>
      <c r="C172" s="35">
        <v>122.58</v>
      </c>
      <c r="D172" s="35">
        <v>297.94099999999997</v>
      </c>
      <c r="E172" s="41">
        <v>729.47900000000004</v>
      </c>
      <c r="F172" s="35">
        <v>1150</v>
      </c>
      <c r="G172" s="35">
        <v>100</v>
      </c>
      <c r="H172" s="43">
        <v>600</v>
      </c>
      <c r="I172" s="35">
        <v>695</v>
      </c>
      <c r="J172" s="35">
        <v>50</v>
      </c>
      <c r="K172" s="36"/>
      <c r="L172" s="36"/>
      <c r="M172" s="36"/>
      <c r="N172" s="36"/>
      <c r="O172" s="36"/>
      <c r="P172" s="36"/>
      <c r="Q172" s="36"/>
      <c r="R172" s="36"/>
      <c r="S172" s="36"/>
      <c r="T172" s="36"/>
    </row>
    <row r="173" spans="1:20" ht="15.75">
      <c r="A173" s="13">
        <v>46753</v>
      </c>
      <c r="B173" s="44">
        <v>31</v>
      </c>
      <c r="C173" s="35">
        <v>122.58</v>
      </c>
      <c r="D173" s="35">
        <v>297.94099999999997</v>
      </c>
      <c r="E173" s="41">
        <v>729.47900000000004</v>
      </c>
      <c r="F173" s="35">
        <v>1150</v>
      </c>
      <c r="G173" s="35">
        <v>100</v>
      </c>
      <c r="H173" s="43">
        <v>600</v>
      </c>
      <c r="I173" s="35">
        <v>695</v>
      </c>
      <c r="J173" s="35">
        <v>50</v>
      </c>
      <c r="K173" s="36"/>
      <c r="L173" s="36"/>
      <c r="M173" s="36"/>
      <c r="N173" s="36"/>
      <c r="O173" s="36"/>
      <c r="P173" s="36"/>
      <c r="Q173" s="36"/>
      <c r="R173" s="36"/>
      <c r="S173" s="36"/>
      <c r="T173" s="36"/>
    </row>
    <row r="174" spans="1:20" ht="15.75">
      <c r="A174" s="13">
        <v>46784</v>
      </c>
      <c r="B174" s="44">
        <v>29</v>
      </c>
      <c r="C174" s="35">
        <v>122.58</v>
      </c>
      <c r="D174" s="35">
        <v>297.94099999999997</v>
      </c>
      <c r="E174" s="41">
        <v>729.47900000000004</v>
      </c>
      <c r="F174" s="35">
        <v>1150</v>
      </c>
      <c r="G174" s="35">
        <v>100</v>
      </c>
      <c r="H174" s="43">
        <v>600</v>
      </c>
      <c r="I174" s="35">
        <v>695</v>
      </c>
      <c r="J174" s="35">
        <v>50</v>
      </c>
      <c r="K174" s="36"/>
      <c r="L174" s="36"/>
      <c r="M174" s="36"/>
      <c r="N174" s="36"/>
      <c r="O174" s="36"/>
      <c r="P174" s="36"/>
      <c r="Q174" s="36"/>
      <c r="R174" s="36"/>
      <c r="S174" s="36"/>
      <c r="T174" s="36"/>
    </row>
    <row r="175" spans="1:20" ht="15.75">
      <c r="A175" s="13">
        <v>46813</v>
      </c>
      <c r="B175" s="44">
        <v>31</v>
      </c>
      <c r="C175" s="35">
        <v>122.58</v>
      </c>
      <c r="D175" s="35">
        <v>297.94099999999997</v>
      </c>
      <c r="E175" s="41">
        <v>729.47900000000004</v>
      </c>
      <c r="F175" s="35">
        <v>1150</v>
      </c>
      <c r="G175" s="35">
        <v>100</v>
      </c>
      <c r="H175" s="43">
        <v>600</v>
      </c>
      <c r="I175" s="35">
        <v>695</v>
      </c>
      <c r="J175" s="35">
        <v>50</v>
      </c>
      <c r="K175" s="36"/>
      <c r="L175" s="36"/>
      <c r="M175" s="36"/>
      <c r="N175" s="36"/>
      <c r="O175" s="36"/>
      <c r="P175" s="36"/>
      <c r="Q175" s="36"/>
      <c r="R175" s="36"/>
      <c r="S175" s="36"/>
      <c r="T175" s="36"/>
    </row>
    <row r="176" spans="1:20" ht="15.75">
      <c r="A176" s="13">
        <v>46844</v>
      </c>
      <c r="B176" s="44">
        <v>30</v>
      </c>
      <c r="C176" s="35">
        <v>141.29300000000001</v>
      </c>
      <c r="D176" s="35">
        <v>267.99299999999999</v>
      </c>
      <c r="E176" s="41">
        <v>829.71400000000006</v>
      </c>
      <c r="F176" s="35">
        <v>1239</v>
      </c>
      <c r="G176" s="35">
        <v>100</v>
      </c>
      <c r="H176" s="43">
        <v>600</v>
      </c>
      <c r="I176" s="35">
        <v>695</v>
      </c>
      <c r="J176" s="35">
        <v>50</v>
      </c>
      <c r="K176" s="36"/>
      <c r="L176" s="36"/>
      <c r="M176" s="36"/>
      <c r="N176" s="36"/>
      <c r="O176" s="36"/>
      <c r="P176" s="36"/>
      <c r="Q176" s="36"/>
      <c r="R176" s="36"/>
      <c r="S176" s="36"/>
      <c r="T176" s="36"/>
    </row>
    <row r="177" spans="1:20" ht="15.75">
      <c r="A177" s="13">
        <v>46874</v>
      </c>
      <c r="B177" s="44">
        <v>31</v>
      </c>
      <c r="C177" s="35">
        <v>194.20500000000001</v>
      </c>
      <c r="D177" s="35">
        <v>267.46600000000001</v>
      </c>
      <c r="E177" s="41">
        <v>812.32899999999995</v>
      </c>
      <c r="F177" s="35">
        <v>1274</v>
      </c>
      <c r="G177" s="35">
        <v>75</v>
      </c>
      <c r="H177" s="43">
        <v>600</v>
      </c>
      <c r="I177" s="35">
        <v>695</v>
      </c>
      <c r="J177" s="35">
        <v>50</v>
      </c>
      <c r="K177" s="36"/>
      <c r="L177" s="36"/>
      <c r="M177" s="36"/>
      <c r="N177" s="36"/>
      <c r="O177" s="36"/>
      <c r="P177" s="36"/>
      <c r="Q177" s="36"/>
      <c r="R177" s="36"/>
      <c r="S177" s="36"/>
      <c r="T177" s="36"/>
    </row>
    <row r="178" spans="1:20" ht="15.75">
      <c r="A178" s="13">
        <v>46905</v>
      </c>
      <c r="B178" s="44">
        <v>30</v>
      </c>
      <c r="C178" s="35">
        <v>194.20500000000001</v>
      </c>
      <c r="D178" s="35">
        <v>267.46600000000001</v>
      </c>
      <c r="E178" s="41">
        <v>812.32899999999995</v>
      </c>
      <c r="F178" s="35">
        <v>1274</v>
      </c>
      <c r="G178" s="35">
        <v>50</v>
      </c>
      <c r="H178" s="43">
        <v>600</v>
      </c>
      <c r="I178" s="35">
        <v>695</v>
      </c>
      <c r="J178" s="35">
        <v>50</v>
      </c>
      <c r="K178" s="36"/>
      <c r="L178" s="36"/>
      <c r="M178" s="36"/>
      <c r="N178" s="36"/>
      <c r="O178" s="36"/>
      <c r="P178" s="36"/>
      <c r="Q178" s="36"/>
      <c r="R178" s="36"/>
      <c r="S178" s="36"/>
      <c r="T178" s="36"/>
    </row>
    <row r="179" spans="1:20" ht="15.75">
      <c r="A179" s="13">
        <v>46935</v>
      </c>
      <c r="B179" s="44">
        <v>31</v>
      </c>
      <c r="C179" s="35">
        <v>194.20500000000001</v>
      </c>
      <c r="D179" s="35">
        <v>267.46600000000001</v>
      </c>
      <c r="E179" s="41">
        <v>812.32899999999995</v>
      </c>
      <c r="F179" s="35">
        <v>1274</v>
      </c>
      <c r="G179" s="35">
        <v>50</v>
      </c>
      <c r="H179" s="43">
        <v>600</v>
      </c>
      <c r="I179" s="35">
        <v>695</v>
      </c>
      <c r="J179" s="35">
        <v>0</v>
      </c>
      <c r="K179" s="36"/>
      <c r="L179" s="36"/>
      <c r="M179" s="36"/>
      <c r="N179" s="36"/>
      <c r="O179" s="36"/>
      <c r="P179" s="36"/>
      <c r="Q179" s="36"/>
      <c r="R179" s="36"/>
      <c r="S179" s="36"/>
      <c r="T179" s="36"/>
    </row>
    <row r="180" spans="1:20" ht="15.75">
      <c r="A180" s="13">
        <v>46966</v>
      </c>
      <c r="B180" s="44">
        <v>31</v>
      </c>
      <c r="C180" s="35">
        <v>194.20500000000001</v>
      </c>
      <c r="D180" s="35">
        <v>267.46600000000001</v>
      </c>
      <c r="E180" s="41">
        <v>812.32899999999995</v>
      </c>
      <c r="F180" s="35">
        <v>1274</v>
      </c>
      <c r="G180" s="35">
        <v>50</v>
      </c>
      <c r="H180" s="43">
        <v>600</v>
      </c>
      <c r="I180" s="35">
        <v>695</v>
      </c>
      <c r="J180" s="35">
        <v>0</v>
      </c>
      <c r="K180" s="36"/>
      <c r="L180" s="36"/>
      <c r="M180" s="36"/>
      <c r="N180" s="36"/>
      <c r="O180" s="36"/>
      <c r="P180" s="36"/>
      <c r="Q180" s="36"/>
      <c r="R180" s="36"/>
      <c r="S180" s="36"/>
      <c r="T180" s="36"/>
    </row>
    <row r="181" spans="1:20" ht="15.75">
      <c r="A181" s="13">
        <v>46997</v>
      </c>
      <c r="B181" s="44">
        <v>30</v>
      </c>
      <c r="C181" s="35">
        <v>194.20500000000001</v>
      </c>
      <c r="D181" s="35">
        <v>267.46600000000001</v>
      </c>
      <c r="E181" s="41">
        <v>812.32899999999995</v>
      </c>
      <c r="F181" s="35">
        <v>1274</v>
      </c>
      <c r="G181" s="35">
        <v>50</v>
      </c>
      <c r="H181" s="43">
        <v>600</v>
      </c>
      <c r="I181" s="35">
        <v>695</v>
      </c>
      <c r="J181" s="35">
        <v>0</v>
      </c>
      <c r="K181" s="36"/>
      <c r="L181" s="36"/>
      <c r="M181" s="36"/>
      <c r="N181" s="36"/>
      <c r="O181" s="36"/>
      <c r="P181" s="36"/>
      <c r="Q181" s="36"/>
      <c r="R181" s="36"/>
      <c r="S181" s="36"/>
      <c r="T181" s="36"/>
    </row>
    <row r="182" spans="1:20" ht="15.75">
      <c r="A182" s="13">
        <v>47027</v>
      </c>
      <c r="B182" s="44">
        <v>31</v>
      </c>
      <c r="C182" s="35">
        <v>131.881</v>
      </c>
      <c r="D182" s="35">
        <v>277.16699999999997</v>
      </c>
      <c r="E182" s="41">
        <v>829.952</v>
      </c>
      <c r="F182" s="35">
        <v>1239</v>
      </c>
      <c r="G182" s="35">
        <v>75</v>
      </c>
      <c r="H182" s="43">
        <v>600</v>
      </c>
      <c r="I182" s="35">
        <v>695</v>
      </c>
      <c r="J182" s="35">
        <v>0</v>
      </c>
      <c r="K182" s="36"/>
      <c r="L182" s="36"/>
      <c r="M182" s="36"/>
      <c r="N182" s="36"/>
      <c r="O182" s="36"/>
      <c r="P182" s="36"/>
      <c r="Q182" s="36"/>
      <c r="R182" s="36"/>
      <c r="S182" s="36"/>
      <c r="T182" s="36"/>
    </row>
    <row r="183" spans="1:20" ht="15.75">
      <c r="A183" s="13">
        <v>47058</v>
      </c>
      <c r="B183" s="44">
        <v>30</v>
      </c>
      <c r="C183" s="35">
        <v>122.58</v>
      </c>
      <c r="D183" s="35">
        <v>297.94099999999997</v>
      </c>
      <c r="E183" s="41">
        <v>729.47900000000004</v>
      </c>
      <c r="F183" s="35">
        <v>1150</v>
      </c>
      <c r="G183" s="35">
        <v>100</v>
      </c>
      <c r="H183" s="43">
        <v>600</v>
      </c>
      <c r="I183" s="35">
        <v>695</v>
      </c>
      <c r="J183" s="35">
        <v>50</v>
      </c>
      <c r="K183" s="36"/>
      <c r="L183" s="36"/>
      <c r="M183" s="36"/>
      <c r="N183" s="36"/>
      <c r="O183" s="36"/>
      <c r="P183" s="36"/>
      <c r="Q183" s="36"/>
      <c r="R183" s="36"/>
      <c r="S183" s="36"/>
      <c r="T183" s="36"/>
    </row>
    <row r="184" spans="1:20" ht="15.75">
      <c r="A184" s="13">
        <v>47088</v>
      </c>
      <c r="B184" s="44">
        <v>31</v>
      </c>
      <c r="C184" s="35">
        <v>122.58</v>
      </c>
      <c r="D184" s="35">
        <v>297.94099999999997</v>
      </c>
      <c r="E184" s="41">
        <v>729.47900000000004</v>
      </c>
      <c r="F184" s="35">
        <v>1150</v>
      </c>
      <c r="G184" s="35">
        <v>100</v>
      </c>
      <c r="H184" s="43">
        <v>600</v>
      </c>
      <c r="I184" s="35">
        <v>695</v>
      </c>
      <c r="J184" s="35">
        <v>50</v>
      </c>
      <c r="K184" s="36"/>
      <c r="L184" s="36"/>
      <c r="M184" s="36"/>
      <c r="N184" s="36"/>
      <c r="O184" s="36"/>
      <c r="P184" s="36"/>
      <c r="Q184" s="36"/>
      <c r="R184" s="36"/>
      <c r="S184" s="36"/>
      <c r="T184" s="36"/>
    </row>
    <row r="185" spans="1:20" ht="15.75">
      <c r="A185" s="13">
        <v>47119</v>
      </c>
      <c r="B185" s="44">
        <v>31</v>
      </c>
      <c r="C185" s="35">
        <v>122.58</v>
      </c>
      <c r="D185" s="35">
        <v>297.94099999999997</v>
      </c>
      <c r="E185" s="41">
        <v>729.47900000000004</v>
      </c>
      <c r="F185" s="35">
        <v>1150</v>
      </c>
      <c r="G185" s="35">
        <v>100</v>
      </c>
      <c r="H185" s="43">
        <v>600</v>
      </c>
      <c r="I185" s="35">
        <v>695</v>
      </c>
      <c r="J185" s="35">
        <v>50</v>
      </c>
      <c r="K185" s="36"/>
      <c r="L185" s="36"/>
      <c r="M185" s="36"/>
      <c r="N185" s="36"/>
      <c r="O185" s="36"/>
      <c r="P185" s="36"/>
      <c r="Q185" s="36"/>
      <c r="R185" s="36"/>
      <c r="S185" s="36"/>
      <c r="T185" s="36"/>
    </row>
    <row r="186" spans="1:20" ht="15.75">
      <c r="A186" s="13">
        <v>47150</v>
      </c>
      <c r="B186" s="44">
        <v>28</v>
      </c>
      <c r="C186" s="35">
        <v>122.58</v>
      </c>
      <c r="D186" s="35">
        <v>297.94099999999997</v>
      </c>
      <c r="E186" s="41">
        <v>729.47900000000004</v>
      </c>
      <c r="F186" s="35">
        <v>1150</v>
      </c>
      <c r="G186" s="35">
        <v>100</v>
      </c>
      <c r="H186" s="43">
        <v>600</v>
      </c>
      <c r="I186" s="35">
        <v>695</v>
      </c>
      <c r="J186" s="35">
        <v>50</v>
      </c>
      <c r="K186" s="36"/>
      <c r="L186" s="36"/>
      <c r="M186" s="36"/>
      <c r="N186" s="36"/>
      <c r="O186" s="36"/>
      <c r="P186" s="36"/>
      <c r="Q186" s="36"/>
      <c r="R186" s="36"/>
      <c r="S186" s="36"/>
      <c r="T186" s="36"/>
    </row>
    <row r="187" spans="1:20" ht="15.75">
      <c r="A187" s="13">
        <v>47178</v>
      </c>
      <c r="B187" s="44">
        <v>31</v>
      </c>
      <c r="C187" s="35">
        <v>122.58</v>
      </c>
      <c r="D187" s="35">
        <v>297.94099999999997</v>
      </c>
      <c r="E187" s="41">
        <v>729.47900000000004</v>
      </c>
      <c r="F187" s="35">
        <v>1150</v>
      </c>
      <c r="G187" s="35">
        <v>100</v>
      </c>
      <c r="H187" s="43">
        <v>600</v>
      </c>
      <c r="I187" s="35">
        <v>695</v>
      </c>
      <c r="J187" s="35">
        <v>50</v>
      </c>
      <c r="K187" s="36"/>
      <c r="L187" s="36"/>
      <c r="M187" s="36"/>
      <c r="N187" s="36"/>
      <c r="O187" s="36"/>
      <c r="P187" s="36"/>
      <c r="Q187" s="36"/>
      <c r="R187" s="36"/>
      <c r="S187" s="36"/>
      <c r="T187" s="36"/>
    </row>
    <row r="188" spans="1:20" ht="15.75">
      <c r="A188" s="13">
        <v>47209</v>
      </c>
      <c r="B188" s="44">
        <v>30</v>
      </c>
      <c r="C188" s="35">
        <v>141.29300000000001</v>
      </c>
      <c r="D188" s="35">
        <v>267.99299999999999</v>
      </c>
      <c r="E188" s="41">
        <v>829.71400000000006</v>
      </c>
      <c r="F188" s="35">
        <v>1239</v>
      </c>
      <c r="G188" s="35">
        <v>100</v>
      </c>
      <c r="H188" s="43">
        <v>600</v>
      </c>
      <c r="I188" s="35">
        <v>695</v>
      </c>
      <c r="J188" s="35">
        <v>50</v>
      </c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pans="1:20" ht="15.75">
      <c r="A189" s="13">
        <v>47239</v>
      </c>
      <c r="B189" s="44">
        <v>31</v>
      </c>
      <c r="C189" s="35">
        <v>194.20500000000001</v>
      </c>
      <c r="D189" s="35">
        <v>267.46600000000001</v>
      </c>
      <c r="E189" s="41">
        <v>812.32899999999995</v>
      </c>
      <c r="F189" s="35">
        <v>1274</v>
      </c>
      <c r="G189" s="35">
        <v>75</v>
      </c>
      <c r="H189" s="43">
        <v>600</v>
      </c>
      <c r="I189" s="35">
        <v>695</v>
      </c>
      <c r="J189" s="35">
        <v>50</v>
      </c>
      <c r="K189" s="36"/>
      <c r="L189" s="36"/>
      <c r="M189" s="36"/>
      <c r="N189" s="36"/>
      <c r="O189" s="36"/>
      <c r="P189" s="36"/>
      <c r="Q189" s="36"/>
      <c r="R189" s="36"/>
      <c r="S189" s="36"/>
      <c r="T189" s="36"/>
    </row>
    <row r="190" spans="1:20" ht="15.75">
      <c r="A190" s="13">
        <v>47270</v>
      </c>
      <c r="B190" s="44">
        <v>30</v>
      </c>
      <c r="C190" s="35">
        <v>194.20500000000001</v>
      </c>
      <c r="D190" s="35">
        <v>267.46600000000001</v>
      </c>
      <c r="E190" s="41">
        <v>812.32899999999995</v>
      </c>
      <c r="F190" s="35">
        <v>1274</v>
      </c>
      <c r="G190" s="35">
        <v>50</v>
      </c>
      <c r="H190" s="43">
        <v>600</v>
      </c>
      <c r="I190" s="35">
        <v>695</v>
      </c>
      <c r="J190" s="35">
        <v>50</v>
      </c>
      <c r="K190" s="36"/>
      <c r="L190" s="36"/>
      <c r="M190" s="36"/>
      <c r="N190" s="36"/>
      <c r="O190" s="36"/>
      <c r="P190" s="36"/>
      <c r="Q190" s="36"/>
      <c r="R190" s="36"/>
      <c r="S190" s="36"/>
      <c r="T190" s="36"/>
    </row>
    <row r="191" spans="1:20" ht="15.75">
      <c r="A191" s="13">
        <v>47300</v>
      </c>
      <c r="B191" s="44">
        <v>31</v>
      </c>
      <c r="C191" s="35">
        <v>194.20500000000001</v>
      </c>
      <c r="D191" s="35">
        <v>267.46600000000001</v>
      </c>
      <c r="E191" s="41">
        <v>812.32899999999995</v>
      </c>
      <c r="F191" s="35">
        <v>1274</v>
      </c>
      <c r="G191" s="35">
        <v>50</v>
      </c>
      <c r="H191" s="43">
        <v>600</v>
      </c>
      <c r="I191" s="35">
        <v>695</v>
      </c>
      <c r="J191" s="35">
        <v>0</v>
      </c>
      <c r="K191" s="36"/>
      <c r="L191" s="36"/>
      <c r="M191" s="36"/>
      <c r="N191" s="36"/>
      <c r="O191" s="36"/>
      <c r="P191" s="36"/>
      <c r="Q191" s="36"/>
      <c r="R191" s="36"/>
      <c r="S191" s="36"/>
      <c r="T191" s="36"/>
    </row>
    <row r="192" spans="1:20" ht="15.75">
      <c r="A192" s="13">
        <v>47331</v>
      </c>
      <c r="B192" s="44">
        <v>31</v>
      </c>
      <c r="C192" s="35">
        <v>194.20500000000001</v>
      </c>
      <c r="D192" s="35">
        <v>267.46600000000001</v>
      </c>
      <c r="E192" s="41">
        <v>812.32899999999995</v>
      </c>
      <c r="F192" s="35">
        <v>1274</v>
      </c>
      <c r="G192" s="35">
        <v>50</v>
      </c>
      <c r="H192" s="43">
        <v>600</v>
      </c>
      <c r="I192" s="35">
        <v>695</v>
      </c>
      <c r="J192" s="35">
        <v>0</v>
      </c>
      <c r="K192" s="36"/>
      <c r="L192" s="36"/>
      <c r="M192" s="36"/>
      <c r="N192" s="36"/>
      <c r="O192" s="36"/>
      <c r="P192" s="36"/>
      <c r="Q192" s="36"/>
      <c r="R192" s="36"/>
      <c r="S192" s="36"/>
      <c r="T192" s="36"/>
    </row>
    <row r="193" spans="1:20" ht="15.75">
      <c r="A193" s="13">
        <v>47362</v>
      </c>
      <c r="B193" s="44">
        <v>30</v>
      </c>
      <c r="C193" s="35">
        <v>194.20500000000001</v>
      </c>
      <c r="D193" s="35">
        <v>267.46600000000001</v>
      </c>
      <c r="E193" s="41">
        <v>812.32899999999995</v>
      </c>
      <c r="F193" s="35">
        <v>1274</v>
      </c>
      <c r="G193" s="35">
        <v>50</v>
      </c>
      <c r="H193" s="43">
        <v>600</v>
      </c>
      <c r="I193" s="35">
        <v>695</v>
      </c>
      <c r="J193" s="35">
        <v>0</v>
      </c>
      <c r="K193" s="36"/>
      <c r="L193" s="36"/>
      <c r="M193" s="36"/>
      <c r="N193" s="36"/>
      <c r="O193" s="36"/>
      <c r="P193" s="36"/>
      <c r="Q193" s="36"/>
      <c r="R193" s="36"/>
      <c r="S193" s="36"/>
      <c r="T193" s="36"/>
    </row>
    <row r="194" spans="1:20" ht="15.75">
      <c r="A194" s="13">
        <v>47392</v>
      </c>
      <c r="B194" s="44">
        <v>31</v>
      </c>
      <c r="C194" s="35">
        <v>131.881</v>
      </c>
      <c r="D194" s="35">
        <v>277.16699999999997</v>
      </c>
      <c r="E194" s="41">
        <v>829.952</v>
      </c>
      <c r="F194" s="35">
        <v>1239</v>
      </c>
      <c r="G194" s="35">
        <v>75</v>
      </c>
      <c r="H194" s="43">
        <v>600</v>
      </c>
      <c r="I194" s="35">
        <v>695</v>
      </c>
      <c r="J194" s="35">
        <v>0</v>
      </c>
      <c r="K194" s="36"/>
      <c r="L194" s="36"/>
      <c r="M194" s="36"/>
      <c r="N194" s="36"/>
      <c r="O194" s="36"/>
      <c r="P194" s="36"/>
      <c r="Q194" s="36"/>
      <c r="R194" s="36"/>
      <c r="S194" s="36"/>
      <c r="T194" s="36"/>
    </row>
    <row r="195" spans="1:20" ht="15.75">
      <c r="A195" s="13">
        <v>47423</v>
      </c>
      <c r="B195" s="44">
        <v>30</v>
      </c>
      <c r="C195" s="35">
        <v>122.58</v>
      </c>
      <c r="D195" s="35">
        <v>297.94099999999997</v>
      </c>
      <c r="E195" s="41">
        <v>729.47900000000004</v>
      </c>
      <c r="F195" s="35">
        <v>1150</v>
      </c>
      <c r="G195" s="35">
        <v>100</v>
      </c>
      <c r="H195" s="43">
        <v>600</v>
      </c>
      <c r="I195" s="35">
        <v>695</v>
      </c>
      <c r="J195" s="35">
        <v>50</v>
      </c>
      <c r="K195" s="36"/>
      <c r="L195" s="36"/>
      <c r="M195" s="36"/>
      <c r="N195" s="36"/>
      <c r="O195" s="36"/>
      <c r="P195" s="36"/>
      <c r="Q195" s="36"/>
      <c r="R195" s="36"/>
      <c r="S195" s="36"/>
      <c r="T195" s="36"/>
    </row>
    <row r="196" spans="1:20" ht="15.75">
      <c r="A196" s="13">
        <v>47453</v>
      </c>
      <c r="B196" s="44">
        <v>31</v>
      </c>
      <c r="C196" s="35">
        <v>122.58</v>
      </c>
      <c r="D196" s="35">
        <v>297.94099999999997</v>
      </c>
      <c r="E196" s="41">
        <v>729.47900000000004</v>
      </c>
      <c r="F196" s="35">
        <v>1150</v>
      </c>
      <c r="G196" s="35">
        <v>100</v>
      </c>
      <c r="H196" s="43">
        <v>600</v>
      </c>
      <c r="I196" s="35">
        <v>695</v>
      </c>
      <c r="J196" s="35">
        <v>50</v>
      </c>
      <c r="K196" s="36"/>
      <c r="L196" s="36"/>
      <c r="M196" s="36"/>
      <c r="N196" s="36"/>
      <c r="O196" s="36"/>
      <c r="P196" s="36"/>
      <c r="Q196" s="36"/>
      <c r="R196" s="36"/>
      <c r="S196" s="36"/>
      <c r="T196" s="36"/>
    </row>
    <row r="197" spans="1:20" ht="15.75">
      <c r="A197" s="13">
        <v>47484</v>
      </c>
      <c r="B197" s="44">
        <v>31</v>
      </c>
      <c r="C197" s="35">
        <v>122.58</v>
      </c>
      <c r="D197" s="35">
        <v>297.94099999999997</v>
      </c>
      <c r="E197" s="41">
        <v>729.47900000000004</v>
      </c>
      <c r="F197" s="35">
        <v>1150</v>
      </c>
      <c r="G197" s="35">
        <v>100</v>
      </c>
      <c r="H197" s="43">
        <v>600</v>
      </c>
      <c r="I197" s="35">
        <v>695</v>
      </c>
      <c r="J197" s="35">
        <v>50</v>
      </c>
      <c r="K197" s="36"/>
      <c r="L197" s="36"/>
      <c r="M197" s="36"/>
      <c r="N197" s="36"/>
      <c r="O197" s="36"/>
      <c r="P197" s="36"/>
      <c r="Q197" s="36"/>
      <c r="R197" s="36"/>
      <c r="S197" s="36"/>
      <c r="T197" s="36"/>
    </row>
    <row r="198" spans="1:20" ht="15.75">
      <c r="A198" s="13">
        <v>47515</v>
      </c>
      <c r="B198" s="44">
        <v>28</v>
      </c>
      <c r="C198" s="35">
        <v>122.58</v>
      </c>
      <c r="D198" s="35">
        <v>297.94099999999997</v>
      </c>
      <c r="E198" s="41">
        <v>729.47900000000004</v>
      </c>
      <c r="F198" s="35">
        <v>1150</v>
      </c>
      <c r="G198" s="35">
        <v>100</v>
      </c>
      <c r="H198" s="43">
        <v>600</v>
      </c>
      <c r="I198" s="35">
        <v>695</v>
      </c>
      <c r="J198" s="35">
        <v>50</v>
      </c>
      <c r="K198" s="36"/>
      <c r="L198" s="36"/>
      <c r="M198" s="36"/>
      <c r="N198" s="36"/>
      <c r="O198" s="36"/>
      <c r="P198" s="36"/>
      <c r="Q198" s="36"/>
      <c r="R198" s="36"/>
      <c r="S198" s="36"/>
      <c r="T198" s="36"/>
    </row>
    <row r="199" spans="1:20" ht="15.75">
      <c r="A199" s="13">
        <v>47543</v>
      </c>
      <c r="B199" s="44">
        <v>31</v>
      </c>
      <c r="C199" s="35">
        <v>122.58</v>
      </c>
      <c r="D199" s="35">
        <v>297.94099999999997</v>
      </c>
      <c r="E199" s="41">
        <v>729.47900000000004</v>
      </c>
      <c r="F199" s="35">
        <v>1150</v>
      </c>
      <c r="G199" s="35">
        <v>100</v>
      </c>
      <c r="H199" s="43">
        <v>600</v>
      </c>
      <c r="I199" s="35">
        <v>695</v>
      </c>
      <c r="J199" s="35">
        <v>50</v>
      </c>
      <c r="K199" s="36"/>
      <c r="L199" s="36"/>
      <c r="M199" s="36"/>
      <c r="N199" s="36"/>
      <c r="O199" s="36"/>
      <c r="P199" s="36"/>
      <c r="Q199" s="36"/>
      <c r="R199" s="36"/>
      <c r="S199" s="36"/>
      <c r="T199" s="36"/>
    </row>
    <row r="200" spans="1:20" ht="15.75">
      <c r="A200" s="13">
        <v>47574</v>
      </c>
      <c r="B200" s="44">
        <v>30</v>
      </c>
      <c r="C200" s="35">
        <v>141.29300000000001</v>
      </c>
      <c r="D200" s="35">
        <v>267.99299999999999</v>
      </c>
      <c r="E200" s="41">
        <v>829.71400000000006</v>
      </c>
      <c r="F200" s="35">
        <v>1239</v>
      </c>
      <c r="G200" s="35">
        <v>100</v>
      </c>
      <c r="H200" s="43">
        <v>600</v>
      </c>
      <c r="I200" s="35">
        <v>695</v>
      </c>
      <c r="J200" s="35">
        <v>50</v>
      </c>
      <c r="K200" s="36"/>
      <c r="L200" s="36"/>
      <c r="M200" s="36"/>
      <c r="N200" s="36"/>
      <c r="O200" s="36"/>
      <c r="P200" s="36"/>
      <c r="Q200" s="36"/>
      <c r="R200" s="36"/>
      <c r="S200" s="36"/>
      <c r="T200" s="36"/>
    </row>
    <row r="201" spans="1:20" ht="15.75">
      <c r="A201" s="13">
        <v>47604</v>
      </c>
      <c r="B201" s="44">
        <v>31</v>
      </c>
      <c r="C201" s="35">
        <v>194.20500000000001</v>
      </c>
      <c r="D201" s="35">
        <v>267.46600000000001</v>
      </c>
      <c r="E201" s="41">
        <v>812.32899999999995</v>
      </c>
      <c r="F201" s="35">
        <v>1274</v>
      </c>
      <c r="G201" s="35">
        <v>75</v>
      </c>
      <c r="H201" s="43">
        <v>600</v>
      </c>
      <c r="I201" s="35">
        <v>695</v>
      </c>
      <c r="J201" s="35">
        <v>50</v>
      </c>
      <c r="K201" s="36"/>
      <c r="L201" s="36"/>
      <c r="M201" s="36"/>
      <c r="N201" s="36"/>
      <c r="O201" s="36"/>
      <c r="P201" s="36"/>
      <c r="Q201" s="36"/>
      <c r="R201" s="36"/>
      <c r="S201" s="36"/>
      <c r="T201" s="36"/>
    </row>
    <row r="202" spans="1:20" ht="15.75">
      <c r="A202" s="13">
        <v>47635</v>
      </c>
      <c r="B202" s="44">
        <v>30</v>
      </c>
      <c r="C202" s="35">
        <v>194.20500000000001</v>
      </c>
      <c r="D202" s="35">
        <v>267.46600000000001</v>
      </c>
      <c r="E202" s="41">
        <v>812.32899999999995</v>
      </c>
      <c r="F202" s="35">
        <v>1274</v>
      </c>
      <c r="G202" s="35">
        <v>50</v>
      </c>
      <c r="H202" s="43">
        <v>600</v>
      </c>
      <c r="I202" s="35">
        <v>695</v>
      </c>
      <c r="J202" s="35">
        <v>50</v>
      </c>
      <c r="K202" s="36"/>
      <c r="L202" s="36"/>
      <c r="M202" s="36"/>
      <c r="N202" s="36"/>
      <c r="O202" s="36"/>
      <c r="P202" s="36"/>
      <c r="Q202" s="36"/>
      <c r="R202" s="36"/>
      <c r="S202" s="36"/>
      <c r="T202" s="36"/>
    </row>
    <row r="203" spans="1:20" ht="15.75">
      <c r="A203" s="13">
        <v>47665</v>
      </c>
      <c r="B203" s="44">
        <v>31</v>
      </c>
      <c r="C203" s="35">
        <v>194.20500000000001</v>
      </c>
      <c r="D203" s="35">
        <v>267.46600000000001</v>
      </c>
      <c r="E203" s="41">
        <v>812.32899999999995</v>
      </c>
      <c r="F203" s="35">
        <v>1274</v>
      </c>
      <c r="G203" s="35">
        <v>50</v>
      </c>
      <c r="H203" s="43">
        <v>600</v>
      </c>
      <c r="I203" s="35">
        <v>695</v>
      </c>
      <c r="J203" s="35">
        <v>0</v>
      </c>
      <c r="K203" s="36"/>
      <c r="L203" s="36"/>
      <c r="M203" s="36"/>
      <c r="N203" s="36"/>
      <c r="O203" s="36"/>
      <c r="P203" s="36"/>
      <c r="Q203" s="36"/>
      <c r="R203" s="36"/>
      <c r="S203" s="36"/>
      <c r="T203" s="36"/>
    </row>
    <row r="204" spans="1:20" ht="15.75">
      <c r="A204" s="13">
        <v>47696</v>
      </c>
      <c r="B204" s="44">
        <v>31</v>
      </c>
      <c r="C204" s="35">
        <v>194.20500000000001</v>
      </c>
      <c r="D204" s="35">
        <v>267.46600000000001</v>
      </c>
      <c r="E204" s="41">
        <v>812.32899999999995</v>
      </c>
      <c r="F204" s="35">
        <v>1274</v>
      </c>
      <c r="G204" s="35">
        <v>50</v>
      </c>
      <c r="H204" s="43">
        <v>600</v>
      </c>
      <c r="I204" s="35">
        <v>695</v>
      </c>
      <c r="J204" s="35">
        <v>0</v>
      </c>
      <c r="K204" s="36"/>
      <c r="L204" s="36"/>
      <c r="M204" s="36"/>
      <c r="N204" s="36"/>
      <c r="O204" s="36"/>
      <c r="P204" s="36"/>
      <c r="Q204" s="36"/>
      <c r="R204" s="36"/>
      <c r="S204" s="36"/>
      <c r="T204" s="36"/>
    </row>
    <row r="205" spans="1:20" ht="15.75">
      <c r="A205" s="13">
        <v>47727</v>
      </c>
      <c r="B205" s="44">
        <v>30</v>
      </c>
      <c r="C205" s="35">
        <v>194.20500000000001</v>
      </c>
      <c r="D205" s="35">
        <v>267.46600000000001</v>
      </c>
      <c r="E205" s="41">
        <v>812.32899999999995</v>
      </c>
      <c r="F205" s="35">
        <v>1274</v>
      </c>
      <c r="G205" s="35">
        <v>50</v>
      </c>
      <c r="H205" s="43">
        <v>600</v>
      </c>
      <c r="I205" s="35">
        <v>695</v>
      </c>
      <c r="J205" s="35">
        <v>0</v>
      </c>
      <c r="K205" s="36"/>
      <c r="L205" s="36"/>
      <c r="M205" s="36"/>
      <c r="N205" s="36"/>
      <c r="O205" s="36"/>
      <c r="P205" s="36"/>
      <c r="Q205" s="36"/>
      <c r="R205" s="36"/>
      <c r="S205" s="36"/>
      <c r="T205" s="36"/>
    </row>
    <row r="206" spans="1:20" ht="15.75">
      <c r="A206" s="13">
        <v>47757</v>
      </c>
      <c r="B206" s="44">
        <v>31</v>
      </c>
      <c r="C206" s="35">
        <v>131.881</v>
      </c>
      <c r="D206" s="35">
        <v>277.16699999999997</v>
      </c>
      <c r="E206" s="41">
        <v>829.952</v>
      </c>
      <c r="F206" s="35">
        <v>1239</v>
      </c>
      <c r="G206" s="35">
        <v>75</v>
      </c>
      <c r="H206" s="43">
        <v>600</v>
      </c>
      <c r="I206" s="35">
        <v>695</v>
      </c>
      <c r="J206" s="35">
        <v>0</v>
      </c>
      <c r="K206" s="36"/>
      <c r="L206" s="36"/>
      <c r="M206" s="36"/>
      <c r="N206" s="36"/>
      <c r="O206" s="36"/>
      <c r="P206" s="36"/>
      <c r="Q206" s="36"/>
      <c r="R206" s="36"/>
      <c r="S206" s="36"/>
      <c r="T206" s="36"/>
    </row>
    <row r="207" spans="1:20" ht="15.75">
      <c r="A207" s="13">
        <v>47788</v>
      </c>
      <c r="B207" s="44">
        <v>30</v>
      </c>
      <c r="C207" s="35">
        <v>122.58</v>
      </c>
      <c r="D207" s="35">
        <v>297.94099999999997</v>
      </c>
      <c r="E207" s="41">
        <v>729.47900000000004</v>
      </c>
      <c r="F207" s="35">
        <v>1150</v>
      </c>
      <c r="G207" s="35">
        <v>100</v>
      </c>
      <c r="H207" s="43">
        <v>600</v>
      </c>
      <c r="I207" s="35">
        <v>695</v>
      </c>
      <c r="J207" s="35">
        <v>50</v>
      </c>
      <c r="K207" s="36"/>
      <c r="L207" s="36"/>
      <c r="M207" s="36"/>
      <c r="N207" s="36"/>
      <c r="O207" s="36"/>
      <c r="P207" s="36"/>
      <c r="Q207" s="36"/>
      <c r="R207" s="36"/>
      <c r="S207" s="36"/>
      <c r="T207" s="36"/>
    </row>
    <row r="208" spans="1:20" ht="15.75">
      <c r="A208" s="13">
        <v>47818</v>
      </c>
      <c r="B208" s="44">
        <v>31</v>
      </c>
      <c r="C208" s="35">
        <v>122.58</v>
      </c>
      <c r="D208" s="35">
        <v>297.94099999999997</v>
      </c>
      <c r="E208" s="41">
        <v>729.47900000000004</v>
      </c>
      <c r="F208" s="35">
        <v>1150</v>
      </c>
      <c r="G208" s="35">
        <v>100</v>
      </c>
      <c r="H208" s="43">
        <v>600</v>
      </c>
      <c r="I208" s="35">
        <v>695</v>
      </c>
      <c r="J208" s="35">
        <v>50</v>
      </c>
      <c r="K208" s="36"/>
      <c r="L208" s="36"/>
      <c r="M208" s="36"/>
      <c r="N208" s="36"/>
      <c r="O208" s="36"/>
      <c r="P208" s="36"/>
      <c r="Q208" s="36"/>
      <c r="R208" s="36"/>
      <c r="S208" s="36"/>
      <c r="T208" s="36"/>
    </row>
    <row r="209" spans="1:20" ht="15.75">
      <c r="A209" s="13">
        <v>47849</v>
      </c>
      <c r="B209" s="44">
        <v>31</v>
      </c>
      <c r="C209" s="35">
        <v>122.58</v>
      </c>
      <c r="D209" s="35">
        <v>297.94099999999997</v>
      </c>
      <c r="E209" s="41">
        <v>729.47900000000004</v>
      </c>
      <c r="F209" s="35">
        <v>1150</v>
      </c>
      <c r="G209" s="35">
        <v>100</v>
      </c>
      <c r="H209" s="43">
        <v>600</v>
      </c>
      <c r="I209" s="35">
        <v>695</v>
      </c>
      <c r="J209" s="35">
        <v>50</v>
      </c>
      <c r="K209" s="36"/>
      <c r="L209" s="36"/>
      <c r="M209" s="36"/>
      <c r="N209" s="36"/>
      <c r="O209" s="36"/>
      <c r="P209" s="36"/>
      <c r="Q209" s="36"/>
      <c r="R209" s="36"/>
      <c r="S209" s="36"/>
      <c r="T209" s="36"/>
    </row>
    <row r="210" spans="1:20" ht="15.75">
      <c r="A210" s="13">
        <v>47880</v>
      </c>
      <c r="B210" s="44">
        <v>28</v>
      </c>
      <c r="C210" s="35">
        <v>122.58</v>
      </c>
      <c r="D210" s="35">
        <v>297.94099999999997</v>
      </c>
      <c r="E210" s="41">
        <v>729.47900000000004</v>
      </c>
      <c r="F210" s="35">
        <v>1150</v>
      </c>
      <c r="G210" s="35">
        <v>100</v>
      </c>
      <c r="H210" s="43">
        <v>600</v>
      </c>
      <c r="I210" s="35">
        <v>695</v>
      </c>
      <c r="J210" s="35">
        <v>50</v>
      </c>
      <c r="K210" s="36"/>
      <c r="L210" s="36"/>
      <c r="M210" s="36"/>
      <c r="N210" s="36"/>
      <c r="O210" s="36"/>
      <c r="P210" s="36"/>
      <c r="Q210" s="36"/>
      <c r="R210" s="36"/>
      <c r="S210" s="36"/>
      <c r="T210" s="36"/>
    </row>
    <row r="211" spans="1:20" ht="15.75">
      <c r="A211" s="13">
        <v>47908</v>
      </c>
      <c r="B211" s="44">
        <v>31</v>
      </c>
      <c r="C211" s="35">
        <v>122.58</v>
      </c>
      <c r="D211" s="35">
        <v>297.94099999999997</v>
      </c>
      <c r="E211" s="41">
        <v>729.47900000000004</v>
      </c>
      <c r="F211" s="35">
        <v>1150</v>
      </c>
      <c r="G211" s="35">
        <v>100</v>
      </c>
      <c r="H211" s="43">
        <v>600</v>
      </c>
      <c r="I211" s="35">
        <v>695</v>
      </c>
      <c r="J211" s="35">
        <v>50</v>
      </c>
      <c r="K211" s="36"/>
      <c r="L211" s="36"/>
      <c r="M211" s="36"/>
      <c r="N211" s="36"/>
      <c r="O211" s="36"/>
      <c r="P211" s="36"/>
      <c r="Q211" s="36"/>
      <c r="R211" s="36"/>
      <c r="S211" s="36"/>
      <c r="T211" s="36"/>
    </row>
    <row r="212" spans="1:20" ht="15.75">
      <c r="A212" s="13">
        <v>47939</v>
      </c>
      <c r="B212" s="44">
        <v>30</v>
      </c>
      <c r="C212" s="35">
        <v>141.29300000000001</v>
      </c>
      <c r="D212" s="35">
        <v>267.99299999999999</v>
      </c>
      <c r="E212" s="41">
        <v>829.71400000000006</v>
      </c>
      <c r="F212" s="35">
        <v>1239</v>
      </c>
      <c r="G212" s="35">
        <v>100</v>
      </c>
      <c r="H212" s="43">
        <v>600</v>
      </c>
      <c r="I212" s="35">
        <v>695</v>
      </c>
      <c r="J212" s="35">
        <v>50</v>
      </c>
      <c r="K212" s="36"/>
      <c r="L212" s="36"/>
      <c r="M212" s="36"/>
      <c r="N212" s="36"/>
      <c r="O212" s="36"/>
      <c r="P212" s="36"/>
      <c r="Q212" s="36"/>
      <c r="R212" s="36"/>
      <c r="S212" s="36"/>
      <c r="T212" s="36"/>
    </row>
    <row r="213" spans="1:20" ht="15.75">
      <c r="A213" s="13">
        <v>47969</v>
      </c>
      <c r="B213" s="44">
        <v>31</v>
      </c>
      <c r="C213" s="35">
        <v>194.20500000000001</v>
      </c>
      <c r="D213" s="35">
        <v>267.46600000000001</v>
      </c>
      <c r="E213" s="41">
        <v>812.32899999999995</v>
      </c>
      <c r="F213" s="35">
        <v>1274</v>
      </c>
      <c r="G213" s="35">
        <v>75</v>
      </c>
      <c r="H213" s="43">
        <v>600</v>
      </c>
      <c r="I213" s="35">
        <v>695</v>
      </c>
      <c r="J213" s="35">
        <v>50</v>
      </c>
      <c r="K213" s="36"/>
      <c r="L213" s="36"/>
      <c r="M213" s="36"/>
      <c r="N213" s="36"/>
      <c r="O213" s="36"/>
      <c r="P213" s="36"/>
      <c r="Q213" s="36"/>
      <c r="R213" s="36"/>
      <c r="S213" s="36"/>
      <c r="T213" s="36"/>
    </row>
    <row r="214" spans="1:20" ht="15.75">
      <c r="A214" s="13">
        <v>48000</v>
      </c>
      <c r="B214" s="44">
        <v>30</v>
      </c>
      <c r="C214" s="35">
        <v>194.20500000000001</v>
      </c>
      <c r="D214" s="35">
        <v>267.46600000000001</v>
      </c>
      <c r="E214" s="41">
        <v>812.32899999999995</v>
      </c>
      <c r="F214" s="35">
        <v>1274</v>
      </c>
      <c r="G214" s="35">
        <v>50</v>
      </c>
      <c r="H214" s="43">
        <v>600</v>
      </c>
      <c r="I214" s="35">
        <v>695</v>
      </c>
      <c r="J214" s="35">
        <v>50</v>
      </c>
      <c r="K214" s="36"/>
      <c r="L214" s="36"/>
      <c r="M214" s="36"/>
      <c r="N214" s="36"/>
      <c r="O214" s="36"/>
      <c r="P214" s="36"/>
      <c r="Q214" s="36"/>
      <c r="R214" s="36"/>
      <c r="S214" s="36"/>
      <c r="T214" s="36"/>
    </row>
    <row r="215" spans="1:20" ht="15.75">
      <c r="A215" s="13">
        <v>48030</v>
      </c>
      <c r="B215" s="44">
        <v>31</v>
      </c>
      <c r="C215" s="35">
        <v>194.20500000000001</v>
      </c>
      <c r="D215" s="35">
        <v>267.46600000000001</v>
      </c>
      <c r="E215" s="41">
        <v>812.32899999999995</v>
      </c>
      <c r="F215" s="35">
        <v>1274</v>
      </c>
      <c r="G215" s="35">
        <v>50</v>
      </c>
      <c r="H215" s="43">
        <v>600</v>
      </c>
      <c r="I215" s="35">
        <v>695</v>
      </c>
      <c r="J215" s="35">
        <v>0</v>
      </c>
      <c r="K215" s="36"/>
      <c r="L215" s="36"/>
      <c r="M215" s="36"/>
      <c r="N215" s="36"/>
      <c r="O215" s="36"/>
      <c r="P215" s="36"/>
      <c r="Q215" s="36"/>
      <c r="R215" s="36"/>
      <c r="S215" s="36"/>
      <c r="T215" s="36"/>
    </row>
    <row r="216" spans="1:20" ht="15.75">
      <c r="A216" s="13">
        <v>48061</v>
      </c>
      <c r="B216" s="44">
        <v>31</v>
      </c>
      <c r="C216" s="35">
        <v>194.20500000000001</v>
      </c>
      <c r="D216" s="35">
        <v>267.46600000000001</v>
      </c>
      <c r="E216" s="41">
        <v>812.32899999999995</v>
      </c>
      <c r="F216" s="35">
        <v>1274</v>
      </c>
      <c r="G216" s="35">
        <v>50</v>
      </c>
      <c r="H216" s="43">
        <v>600</v>
      </c>
      <c r="I216" s="35">
        <v>695</v>
      </c>
      <c r="J216" s="35">
        <v>0</v>
      </c>
      <c r="K216" s="36"/>
      <c r="L216" s="36"/>
      <c r="M216" s="36"/>
      <c r="N216" s="36"/>
      <c r="O216" s="36"/>
      <c r="P216" s="36"/>
      <c r="Q216" s="36"/>
      <c r="R216" s="36"/>
      <c r="S216" s="36"/>
      <c r="T216" s="36"/>
    </row>
    <row r="217" spans="1:20" ht="15.75">
      <c r="A217" s="13">
        <v>48092</v>
      </c>
      <c r="B217" s="44">
        <v>30</v>
      </c>
      <c r="C217" s="35">
        <v>194.20500000000001</v>
      </c>
      <c r="D217" s="35">
        <v>267.46600000000001</v>
      </c>
      <c r="E217" s="41">
        <v>812.32899999999995</v>
      </c>
      <c r="F217" s="35">
        <v>1274</v>
      </c>
      <c r="G217" s="35">
        <v>50</v>
      </c>
      <c r="H217" s="43">
        <v>600</v>
      </c>
      <c r="I217" s="35">
        <v>695</v>
      </c>
      <c r="J217" s="35">
        <v>0</v>
      </c>
      <c r="K217" s="36"/>
      <c r="L217" s="36"/>
      <c r="M217" s="36"/>
      <c r="N217" s="36"/>
      <c r="O217" s="36"/>
      <c r="P217" s="36"/>
      <c r="Q217" s="36"/>
      <c r="R217" s="36"/>
      <c r="S217" s="36"/>
      <c r="T217" s="36"/>
    </row>
    <row r="218" spans="1:20" ht="15.75">
      <c r="A218" s="13">
        <v>48122</v>
      </c>
      <c r="B218" s="44">
        <v>31</v>
      </c>
      <c r="C218" s="35">
        <v>131.881</v>
      </c>
      <c r="D218" s="35">
        <v>277.16699999999997</v>
      </c>
      <c r="E218" s="41">
        <v>829.952</v>
      </c>
      <c r="F218" s="35">
        <v>1239</v>
      </c>
      <c r="G218" s="35">
        <v>75</v>
      </c>
      <c r="H218" s="43">
        <v>600</v>
      </c>
      <c r="I218" s="35">
        <v>695</v>
      </c>
      <c r="J218" s="35">
        <v>0</v>
      </c>
      <c r="K218" s="36"/>
      <c r="L218" s="36"/>
      <c r="M218" s="36"/>
      <c r="N218" s="36"/>
      <c r="O218" s="36"/>
      <c r="P218" s="36"/>
      <c r="Q218" s="36"/>
      <c r="R218" s="36"/>
      <c r="S218" s="36"/>
      <c r="T218" s="36"/>
    </row>
    <row r="219" spans="1:20" ht="15.75">
      <c r="A219" s="13">
        <v>48153</v>
      </c>
      <c r="B219" s="44">
        <v>30</v>
      </c>
      <c r="C219" s="35">
        <v>122.58</v>
      </c>
      <c r="D219" s="35">
        <v>297.94099999999997</v>
      </c>
      <c r="E219" s="41">
        <v>729.47900000000004</v>
      </c>
      <c r="F219" s="35">
        <v>1150</v>
      </c>
      <c r="G219" s="35">
        <v>100</v>
      </c>
      <c r="H219" s="43">
        <v>600</v>
      </c>
      <c r="I219" s="35">
        <v>695</v>
      </c>
      <c r="J219" s="35">
        <v>50</v>
      </c>
      <c r="K219" s="36"/>
      <c r="L219" s="36"/>
      <c r="M219" s="36"/>
      <c r="N219" s="36"/>
      <c r="O219" s="36"/>
      <c r="P219" s="36"/>
      <c r="Q219" s="36"/>
      <c r="R219" s="36"/>
      <c r="S219" s="36"/>
      <c r="T219" s="36"/>
    </row>
    <row r="220" spans="1:20" ht="15.75">
      <c r="A220" s="13">
        <v>48183</v>
      </c>
      <c r="B220" s="44">
        <v>31</v>
      </c>
      <c r="C220" s="35">
        <v>122.58</v>
      </c>
      <c r="D220" s="35">
        <v>297.94099999999997</v>
      </c>
      <c r="E220" s="41">
        <v>729.47900000000004</v>
      </c>
      <c r="F220" s="35">
        <v>1150</v>
      </c>
      <c r="G220" s="35">
        <v>100</v>
      </c>
      <c r="H220" s="43">
        <v>600</v>
      </c>
      <c r="I220" s="35">
        <v>695</v>
      </c>
      <c r="J220" s="35">
        <v>50</v>
      </c>
      <c r="K220" s="36"/>
      <c r="L220" s="36"/>
      <c r="M220" s="36"/>
      <c r="N220" s="36"/>
      <c r="O220" s="36"/>
      <c r="P220" s="36"/>
      <c r="Q220" s="36"/>
      <c r="R220" s="36"/>
      <c r="S220" s="36"/>
      <c r="T220" s="36"/>
    </row>
    <row r="221" spans="1:20" ht="15.75">
      <c r="A221" s="13">
        <v>48214</v>
      </c>
      <c r="B221" s="44">
        <v>31</v>
      </c>
      <c r="C221" s="35">
        <v>122.58</v>
      </c>
      <c r="D221" s="35">
        <v>297.94099999999997</v>
      </c>
      <c r="E221" s="41">
        <v>729.47900000000004</v>
      </c>
      <c r="F221" s="35">
        <v>1150</v>
      </c>
      <c r="G221" s="35">
        <v>100</v>
      </c>
      <c r="H221" s="43">
        <v>600</v>
      </c>
      <c r="I221" s="35">
        <v>695</v>
      </c>
      <c r="J221" s="35">
        <v>50</v>
      </c>
      <c r="K221" s="36"/>
      <c r="L221" s="36"/>
      <c r="M221" s="36"/>
      <c r="N221" s="36"/>
      <c r="O221" s="36"/>
      <c r="P221" s="36"/>
      <c r="Q221" s="36"/>
      <c r="R221" s="36"/>
      <c r="S221" s="36"/>
      <c r="T221" s="36"/>
    </row>
    <row r="222" spans="1:20" ht="15.75">
      <c r="A222" s="13">
        <v>48245</v>
      </c>
      <c r="B222" s="44">
        <v>29</v>
      </c>
      <c r="C222" s="35">
        <v>122.58</v>
      </c>
      <c r="D222" s="35">
        <v>297.94099999999997</v>
      </c>
      <c r="E222" s="41">
        <v>729.47900000000004</v>
      </c>
      <c r="F222" s="35">
        <v>1150</v>
      </c>
      <c r="G222" s="35">
        <v>100</v>
      </c>
      <c r="H222" s="43">
        <v>600</v>
      </c>
      <c r="I222" s="35">
        <v>695</v>
      </c>
      <c r="J222" s="35">
        <v>50</v>
      </c>
      <c r="K222" s="36"/>
      <c r="L222" s="36"/>
      <c r="M222" s="36"/>
      <c r="N222" s="36"/>
      <c r="O222" s="36"/>
      <c r="P222" s="36"/>
      <c r="Q222" s="36"/>
      <c r="R222" s="36"/>
      <c r="S222" s="36"/>
      <c r="T222" s="36"/>
    </row>
    <row r="223" spans="1:20" ht="15.75">
      <c r="A223" s="13">
        <v>48274</v>
      </c>
      <c r="B223" s="44">
        <v>31</v>
      </c>
      <c r="C223" s="35">
        <v>122.58</v>
      </c>
      <c r="D223" s="35">
        <v>297.94099999999997</v>
      </c>
      <c r="E223" s="41">
        <v>729.47900000000004</v>
      </c>
      <c r="F223" s="35">
        <v>1150</v>
      </c>
      <c r="G223" s="35">
        <v>100</v>
      </c>
      <c r="H223" s="43">
        <v>600</v>
      </c>
      <c r="I223" s="35">
        <v>695</v>
      </c>
      <c r="J223" s="35">
        <v>50</v>
      </c>
      <c r="K223" s="36"/>
      <c r="L223" s="36"/>
      <c r="M223" s="36"/>
      <c r="N223" s="36"/>
      <c r="O223" s="36"/>
      <c r="P223" s="36"/>
      <c r="Q223" s="36"/>
      <c r="R223" s="36"/>
      <c r="S223" s="36"/>
      <c r="T223" s="36"/>
    </row>
    <row r="224" spans="1:20" ht="15.75">
      <c r="A224" s="13">
        <v>48305</v>
      </c>
      <c r="B224" s="44">
        <v>30</v>
      </c>
      <c r="C224" s="35">
        <v>141.29300000000001</v>
      </c>
      <c r="D224" s="35">
        <v>267.99299999999999</v>
      </c>
      <c r="E224" s="41">
        <v>829.71400000000006</v>
      </c>
      <c r="F224" s="35">
        <v>1239</v>
      </c>
      <c r="G224" s="35">
        <v>100</v>
      </c>
      <c r="H224" s="43">
        <v>600</v>
      </c>
      <c r="I224" s="35">
        <v>695</v>
      </c>
      <c r="J224" s="35">
        <v>50</v>
      </c>
      <c r="K224" s="36"/>
      <c r="L224" s="36"/>
      <c r="M224" s="36"/>
      <c r="N224" s="36"/>
      <c r="O224" s="36"/>
      <c r="P224" s="36"/>
      <c r="Q224" s="36"/>
      <c r="R224" s="36"/>
      <c r="S224" s="36"/>
      <c r="T224" s="36"/>
    </row>
    <row r="225" spans="1:20" ht="15.75">
      <c r="A225" s="13">
        <v>48335</v>
      </c>
      <c r="B225" s="44">
        <v>31</v>
      </c>
      <c r="C225" s="35">
        <v>194.20500000000001</v>
      </c>
      <c r="D225" s="35">
        <v>267.46600000000001</v>
      </c>
      <c r="E225" s="41">
        <v>812.32899999999995</v>
      </c>
      <c r="F225" s="35">
        <v>1274</v>
      </c>
      <c r="G225" s="35">
        <v>75</v>
      </c>
      <c r="H225" s="43">
        <v>600</v>
      </c>
      <c r="I225" s="35">
        <v>695</v>
      </c>
      <c r="J225" s="35">
        <v>50</v>
      </c>
      <c r="K225" s="36"/>
      <c r="L225" s="36"/>
      <c r="M225" s="36"/>
      <c r="N225" s="36"/>
      <c r="O225" s="36"/>
      <c r="P225" s="36"/>
      <c r="Q225" s="36"/>
      <c r="R225" s="36"/>
      <c r="S225" s="36"/>
      <c r="T225" s="36"/>
    </row>
    <row r="226" spans="1:20" ht="15.75">
      <c r="A226" s="13">
        <v>48366</v>
      </c>
      <c r="B226" s="44">
        <v>30</v>
      </c>
      <c r="C226" s="35">
        <v>194.20500000000001</v>
      </c>
      <c r="D226" s="35">
        <v>267.46600000000001</v>
      </c>
      <c r="E226" s="41">
        <v>812.32899999999995</v>
      </c>
      <c r="F226" s="35">
        <v>1274</v>
      </c>
      <c r="G226" s="35">
        <v>50</v>
      </c>
      <c r="H226" s="43">
        <v>600</v>
      </c>
      <c r="I226" s="35">
        <v>695</v>
      </c>
      <c r="J226" s="35">
        <v>50</v>
      </c>
      <c r="K226" s="36"/>
      <c r="L226" s="36"/>
      <c r="M226" s="36"/>
      <c r="N226" s="36"/>
      <c r="O226" s="36"/>
      <c r="P226" s="36"/>
      <c r="Q226" s="36"/>
      <c r="R226" s="36"/>
      <c r="S226" s="36"/>
      <c r="T226" s="36"/>
    </row>
    <row r="227" spans="1:20" ht="15.75">
      <c r="A227" s="13">
        <v>48396</v>
      </c>
      <c r="B227" s="44">
        <v>31</v>
      </c>
      <c r="C227" s="35">
        <v>194.20500000000001</v>
      </c>
      <c r="D227" s="35">
        <v>267.46600000000001</v>
      </c>
      <c r="E227" s="41">
        <v>812.32899999999995</v>
      </c>
      <c r="F227" s="35">
        <v>1274</v>
      </c>
      <c r="G227" s="35">
        <v>50</v>
      </c>
      <c r="H227" s="43">
        <v>600</v>
      </c>
      <c r="I227" s="35">
        <v>695</v>
      </c>
      <c r="J227" s="35">
        <v>0</v>
      </c>
      <c r="K227" s="36"/>
      <c r="L227" s="36"/>
      <c r="M227" s="36"/>
      <c r="N227" s="36"/>
      <c r="O227" s="36"/>
      <c r="P227" s="36"/>
      <c r="Q227" s="36"/>
      <c r="R227" s="36"/>
      <c r="S227" s="36"/>
      <c r="T227" s="36"/>
    </row>
    <row r="228" spans="1:20" ht="15.75">
      <c r="A228" s="13">
        <v>48427</v>
      </c>
      <c r="B228" s="44">
        <v>31</v>
      </c>
      <c r="C228" s="35">
        <v>194.20500000000001</v>
      </c>
      <c r="D228" s="35">
        <v>267.46600000000001</v>
      </c>
      <c r="E228" s="41">
        <v>812.32899999999995</v>
      </c>
      <c r="F228" s="35">
        <v>1274</v>
      </c>
      <c r="G228" s="35">
        <v>50</v>
      </c>
      <c r="H228" s="43">
        <v>600</v>
      </c>
      <c r="I228" s="35">
        <v>695</v>
      </c>
      <c r="J228" s="35">
        <v>0</v>
      </c>
      <c r="K228" s="36"/>
      <c r="L228" s="36"/>
      <c r="M228" s="36"/>
      <c r="N228" s="36"/>
      <c r="O228" s="36"/>
      <c r="P228" s="36"/>
      <c r="Q228" s="36"/>
      <c r="R228" s="36"/>
      <c r="S228" s="36"/>
      <c r="T228" s="36"/>
    </row>
    <row r="229" spans="1:20" ht="15.75">
      <c r="A229" s="13">
        <v>48458</v>
      </c>
      <c r="B229" s="44">
        <v>30</v>
      </c>
      <c r="C229" s="35">
        <v>194.20500000000001</v>
      </c>
      <c r="D229" s="35">
        <v>267.46600000000001</v>
      </c>
      <c r="E229" s="41">
        <v>812.32899999999995</v>
      </c>
      <c r="F229" s="35">
        <v>1274</v>
      </c>
      <c r="G229" s="35">
        <v>50</v>
      </c>
      <c r="H229" s="43">
        <v>600</v>
      </c>
      <c r="I229" s="35">
        <v>695</v>
      </c>
      <c r="J229" s="35">
        <v>0</v>
      </c>
      <c r="K229" s="36"/>
      <c r="L229" s="36"/>
      <c r="M229" s="36"/>
      <c r="N229" s="36"/>
      <c r="O229" s="36"/>
      <c r="P229" s="36"/>
      <c r="Q229" s="36"/>
      <c r="R229" s="36"/>
      <c r="S229" s="36"/>
      <c r="T229" s="36"/>
    </row>
    <row r="230" spans="1:20" ht="15.75">
      <c r="A230" s="13">
        <v>48488</v>
      </c>
      <c r="B230" s="44">
        <v>31</v>
      </c>
      <c r="C230" s="35">
        <v>131.881</v>
      </c>
      <c r="D230" s="35">
        <v>277.16699999999997</v>
      </c>
      <c r="E230" s="41">
        <v>829.952</v>
      </c>
      <c r="F230" s="35">
        <v>1239</v>
      </c>
      <c r="G230" s="35">
        <v>75</v>
      </c>
      <c r="H230" s="43">
        <v>600</v>
      </c>
      <c r="I230" s="35">
        <v>695</v>
      </c>
      <c r="J230" s="35">
        <v>0</v>
      </c>
      <c r="K230" s="36"/>
      <c r="L230" s="36"/>
      <c r="M230" s="36"/>
      <c r="N230" s="36"/>
      <c r="O230" s="36"/>
      <c r="P230" s="36"/>
      <c r="Q230" s="36"/>
      <c r="R230" s="36"/>
      <c r="S230" s="36"/>
      <c r="T230" s="36"/>
    </row>
    <row r="231" spans="1:20" ht="15.75">
      <c r="A231" s="13">
        <v>48519</v>
      </c>
      <c r="B231" s="44">
        <v>30</v>
      </c>
      <c r="C231" s="35">
        <v>122.58</v>
      </c>
      <c r="D231" s="35">
        <v>297.94099999999997</v>
      </c>
      <c r="E231" s="41">
        <v>729.47900000000004</v>
      </c>
      <c r="F231" s="35">
        <v>1150</v>
      </c>
      <c r="G231" s="35">
        <v>100</v>
      </c>
      <c r="H231" s="43">
        <v>600</v>
      </c>
      <c r="I231" s="35">
        <v>695</v>
      </c>
      <c r="J231" s="35">
        <v>50</v>
      </c>
      <c r="K231" s="36"/>
      <c r="L231" s="36"/>
      <c r="M231" s="36"/>
      <c r="N231" s="36"/>
      <c r="O231" s="36"/>
      <c r="P231" s="36"/>
      <c r="Q231" s="36"/>
      <c r="R231" s="36"/>
      <c r="S231" s="36"/>
      <c r="T231" s="36"/>
    </row>
    <row r="232" spans="1:20" ht="15.75">
      <c r="A232" s="13">
        <v>48549</v>
      </c>
      <c r="B232" s="44">
        <v>31</v>
      </c>
      <c r="C232" s="35">
        <v>122.58</v>
      </c>
      <c r="D232" s="35">
        <v>297.94099999999997</v>
      </c>
      <c r="E232" s="41">
        <v>729.47900000000004</v>
      </c>
      <c r="F232" s="35">
        <v>1150</v>
      </c>
      <c r="G232" s="35">
        <v>100</v>
      </c>
      <c r="H232" s="43">
        <v>600</v>
      </c>
      <c r="I232" s="35">
        <v>695</v>
      </c>
      <c r="J232" s="35">
        <v>50</v>
      </c>
      <c r="K232" s="36"/>
      <c r="L232" s="36"/>
      <c r="M232" s="36"/>
      <c r="N232" s="36"/>
      <c r="O232" s="36"/>
      <c r="P232" s="36"/>
      <c r="Q232" s="36"/>
      <c r="R232" s="36"/>
      <c r="S232" s="36"/>
      <c r="T232" s="36"/>
    </row>
    <row r="233" spans="1:20" ht="15.75">
      <c r="A233" s="13">
        <v>48580</v>
      </c>
      <c r="B233" s="44">
        <v>31</v>
      </c>
      <c r="C233" s="35">
        <v>122.58</v>
      </c>
      <c r="D233" s="35">
        <v>297.94099999999997</v>
      </c>
      <c r="E233" s="41">
        <v>729.47900000000004</v>
      </c>
      <c r="F233" s="35">
        <v>1150</v>
      </c>
      <c r="G233" s="35">
        <v>100</v>
      </c>
      <c r="H233" s="43">
        <v>600</v>
      </c>
      <c r="I233" s="35">
        <v>695</v>
      </c>
      <c r="J233" s="35">
        <v>50</v>
      </c>
      <c r="K233" s="36"/>
      <c r="L233" s="36"/>
      <c r="M233" s="36"/>
      <c r="N233" s="36"/>
      <c r="O233" s="36"/>
      <c r="P233" s="36"/>
      <c r="Q233" s="36"/>
      <c r="R233" s="36"/>
      <c r="S233" s="36"/>
      <c r="T233" s="36"/>
    </row>
    <row r="234" spans="1:20" ht="15.75">
      <c r="A234" s="13">
        <v>48611</v>
      </c>
      <c r="B234" s="44">
        <v>28</v>
      </c>
      <c r="C234" s="35">
        <v>122.58</v>
      </c>
      <c r="D234" s="35">
        <v>297.94099999999997</v>
      </c>
      <c r="E234" s="41">
        <v>729.47900000000004</v>
      </c>
      <c r="F234" s="35">
        <v>1150</v>
      </c>
      <c r="G234" s="35">
        <v>100</v>
      </c>
      <c r="H234" s="43">
        <v>600</v>
      </c>
      <c r="I234" s="35">
        <v>695</v>
      </c>
      <c r="J234" s="35">
        <v>50</v>
      </c>
      <c r="K234" s="36"/>
      <c r="L234" s="36"/>
      <c r="M234" s="36"/>
      <c r="N234" s="36"/>
      <c r="O234" s="36"/>
      <c r="P234" s="36"/>
      <c r="Q234" s="36"/>
      <c r="R234" s="36"/>
      <c r="S234" s="36"/>
      <c r="T234" s="36"/>
    </row>
    <row r="235" spans="1:20" ht="15.75">
      <c r="A235" s="13">
        <v>48639</v>
      </c>
      <c r="B235" s="44">
        <v>31</v>
      </c>
      <c r="C235" s="35">
        <v>122.58</v>
      </c>
      <c r="D235" s="35">
        <v>297.94099999999997</v>
      </c>
      <c r="E235" s="41">
        <v>729.47900000000004</v>
      </c>
      <c r="F235" s="35">
        <v>1150</v>
      </c>
      <c r="G235" s="35">
        <v>100</v>
      </c>
      <c r="H235" s="43">
        <v>600</v>
      </c>
      <c r="I235" s="35">
        <v>695</v>
      </c>
      <c r="J235" s="35">
        <v>50</v>
      </c>
      <c r="K235" s="36"/>
      <c r="L235" s="36"/>
      <c r="M235" s="36"/>
      <c r="N235" s="36"/>
      <c r="O235" s="36"/>
      <c r="P235" s="36"/>
      <c r="Q235" s="36"/>
      <c r="R235" s="36"/>
      <c r="S235" s="36"/>
      <c r="T235" s="36"/>
    </row>
    <row r="236" spans="1:20" ht="15.75">
      <c r="A236" s="13">
        <v>48670</v>
      </c>
      <c r="B236" s="44">
        <v>30</v>
      </c>
      <c r="C236" s="35">
        <v>141.29300000000001</v>
      </c>
      <c r="D236" s="35">
        <v>267.99299999999999</v>
      </c>
      <c r="E236" s="41">
        <v>829.71400000000006</v>
      </c>
      <c r="F236" s="35">
        <v>1239</v>
      </c>
      <c r="G236" s="35">
        <v>100</v>
      </c>
      <c r="H236" s="43">
        <v>600</v>
      </c>
      <c r="I236" s="35">
        <v>695</v>
      </c>
      <c r="J236" s="35">
        <v>50</v>
      </c>
      <c r="K236" s="36"/>
      <c r="L236" s="36"/>
      <c r="M236" s="36"/>
      <c r="N236" s="36"/>
      <c r="O236" s="36"/>
      <c r="P236" s="36"/>
      <c r="Q236" s="36"/>
      <c r="R236" s="36"/>
      <c r="S236" s="36"/>
      <c r="T236" s="36"/>
    </row>
    <row r="237" spans="1:20" ht="15.75">
      <c r="A237" s="13">
        <v>48700</v>
      </c>
      <c r="B237" s="44">
        <v>31</v>
      </c>
      <c r="C237" s="35">
        <v>194.20500000000001</v>
      </c>
      <c r="D237" s="35">
        <v>267.46600000000001</v>
      </c>
      <c r="E237" s="41">
        <v>812.32899999999995</v>
      </c>
      <c r="F237" s="35">
        <v>1274</v>
      </c>
      <c r="G237" s="35">
        <v>75</v>
      </c>
      <c r="H237" s="43">
        <v>600</v>
      </c>
      <c r="I237" s="35">
        <v>695</v>
      </c>
      <c r="J237" s="35">
        <v>50</v>
      </c>
      <c r="K237" s="36"/>
      <c r="L237" s="36"/>
      <c r="M237" s="36"/>
      <c r="N237" s="36"/>
      <c r="O237" s="36"/>
      <c r="P237" s="36"/>
      <c r="Q237" s="36"/>
      <c r="R237" s="36"/>
      <c r="S237" s="36"/>
      <c r="T237" s="36"/>
    </row>
    <row r="238" spans="1:20" ht="15.75">
      <c r="A238" s="13">
        <v>48731</v>
      </c>
      <c r="B238" s="44">
        <v>30</v>
      </c>
      <c r="C238" s="35">
        <v>194.20500000000001</v>
      </c>
      <c r="D238" s="35">
        <v>267.46600000000001</v>
      </c>
      <c r="E238" s="41">
        <v>812.32899999999995</v>
      </c>
      <c r="F238" s="35">
        <v>1274</v>
      </c>
      <c r="G238" s="35">
        <v>50</v>
      </c>
      <c r="H238" s="43">
        <v>600</v>
      </c>
      <c r="I238" s="35">
        <v>695</v>
      </c>
      <c r="J238" s="35">
        <v>50</v>
      </c>
      <c r="K238" s="36"/>
      <c r="L238" s="36"/>
      <c r="M238" s="36"/>
      <c r="N238" s="36"/>
      <c r="O238" s="36"/>
      <c r="P238" s="36"/>
      <c r="Q238" s="36"/>
      <c r="R238" s="36"/>
      <c r="S238" s="36"/>
      <c r="T238" s="36"/>
    </row>
    <row r="239" spans="1:20" ht="15.75">
      <c r="A239" s="13">
        <v>48761</v>
      </c>
      <c r="B239" s="44">
        <v>31</v>
      </c>
      <c r="C239" s="35">
        <v>194.20500000000001</v>
      </c>
      <c r="D239" s="35">
        <v>267.46600000000001</v>
      </c>
      <c r="E239" s="41">
        <v>812.32899999999995</v>
      </c>
      <c r="F239" s="35">
        <v>1274</v>
      </c>
      <c r="G239" s="35">
        <v>50</v>
      </c>
      <c r="H239" s="43">
        <v>600</v>
      </c>
      <c r="I239" s="35">
        <v>695</v>
      </c>
      <c r="J239" s="35">
        <v>0</v>
      </c>
      <c r="K239" s="36"/>
      <c r="L239" s="36"/>
      <c r="M239" s="36"/>
      <c r="N239" s="36"/>
      <c r="O239" s="36"/>
      <c r="P239" s="36"/>
      <c r="Q239" s="36"/>
      <c r="R239" s="36"/>
      <c r="S239" s="36"/>
      <c r="T239" s="36"/>
    </row>
    <row r="240" spans="1:20" ht="15.75">
      <c r="A240" s="13">
        <v>48792</v>
      </c>
      <c r="B240" s="44">
        <v>31</v>
      </c>
      <c r="C240" s="35">
        <v>194.20500000000001</v>
      </c>
      <c r="D240" s="35">
        <v>267.46600000000001</v>
      </c>
      <c r="E240" s="41">
        <v>812.32899999999995</v>
      </c>
      <c r="F240" s="35">
        <v>1274</v>
      </c>
      <c r="G240" s="35">
        <v>50</v>
      </c>
      <c r="H240" s="43">
        <v>600</v>
      </c>
      <c r="I240" s="35">
        <v>695</v>
      </c>
      <c r="J240" s="35">
        <v>0</v>
      </c>
      <c r="K240" s="36"/>
      <c r="L240" s="36"/>
      <c r="M240" s="36"/>
      <c r="N240" s="36"/>
      <c r="O240" s="36"/>
      <c r="P240" s="36"/>
      <c r="Q240" s="36"/>
      <c r="R240" s="36"/>
      <c r="S240" s="36"/>
      <c r="T240" s="36"/>
    </row>
    <row r="241" spans="1:20" ht="15.75">
      <c r="A241" s="13">
        <v>48823</v>
      </c>
      <c r="B241" s="44">
        <v>30</v>
      </c>
      <c r="C241" s="35">
        <v>194.20500000000001</v>
      </c>
      <c r="D241" s="35">
        <v>267.46600000000001</v>
      </c>
      <c r="E241" s="41">
        <v>812.32899999999995</v>
      </c>
      <c r="F241" s="35">
        <v>1274</v>
      </c>
      <c r="G241" s="35">
        <v>50</v>
      </c>
      <c r="H241" s="43">
        <v>600</v>
      </c>
      <c r="I241" s="35">
        <v>695</v>
      </c>
      <c r="J241" s="35">
        <v>0</v>
      </c>
      <c r="K241" s="36"/>
      <c r="L241" s="36"/>
      <c r="M241" s="36"/>
      <c r="N241" s="36"/>
      <c r="O241" s="36"/>
      <c r="P241" s="36"/>
      <c r="Q241" s="36"/>
      <c r="R241" s="36"/>
      <c r="S241" s="36"/>
      <c r="T241" s="36"/>
    </row>
    <row r="242" spans="1:20" ht="15.75">
      <c r="A242" s="13">
        <v>48853</v>
      </c>
      <c r="B242" s="44">
        <v>31</v>
      </c>
      <c r="C242" s="35">
        <v>131.881</v>
      </c>
      <c r="D242" s="35">
        <v>277.16699999999997</v>
      </c>
      <c r="E242" s="41">
        <v>829.952</v>
      </c>
      <c r="F242" s="35">
        <v>1239</v>
      </c>
      <c r="G242" s="35">
        <v>75</v>
      </c>
      <c r="H242" s="43">
        <v>600</v>
      </c>
      <c r="I242" s="35">
        <v>695</v>
      </c>
      <c r="J242" s="35">
        <v>0</v>
      </c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pans="1:20" ht="15.75">
      <c r="A243" s="13">
        <v>48884</v>
      </c>
      <c r="B243" s="44">
        <v>30</v>
      </c>
      <c r="C243" s="35">
        <v>122.58</v>
      </c>
      <c r="D243" s="35">
        <v>297.94099999999997</v>
      </c>
      <c r="E243" s="41">
        <v>729.47900000000004</v>
      </c>
      <c r="F243" s="35">
        <v>1150</v>
      </c>
      <c r="G243" s="35">
        <v>100</v>
      </c>
      <c r="H243" s="43">
        <v>600</v>
      </c>
      <c r="I243" s="35">
        <v>695</v>
      </c>
      <c r="J243" s="35">
        <v>50</v>
      </c>
      <c r="K243" s="36"/>
      <c r="L243" s="36"/>
      <c r="M243" s="36"/>
      <c r="N243" s="36"/>
      <c r="O243" s="36"/>
      <c r="P243" s="36"/>
      <c r="Q243" s="36"/>
      <c r="R243" s="36"/>
      <c r="S243" s="36"/>
      <c r="T243" s="36"/>
    </row>
    <row r="244" spans="1:20" ht="15.75">
      <c r="A244" s="13">
        <v>48914</v>
      </c>
      <c r="B244" s="44">
        <v>31</v>
      </c>
      <c r="C244" s="35">
        <v>122.58</v>
      </c>
      <c r="D244" s="35">
        <v>297.94099999999997</v>
      </c>
      <c r="E244" s="41">
        <v>729.47900000000004</v>
      </c>
      <c r="F244" s="35">
        <v>1150</v>
      </c>
      <c r="G244" s="35">
        <v>100</v>
      </c>
      <c r="H244" s="43">
        <v>600</v>
      </c>
      <c r="I244" s="35">
        <v>695</v>
      </c>
      <c r="J244" s="35">
        <v>50</v>
      </c>
      <c r="K244" s="36"/>
      <c r="L244" s="36"/>
      <c r="M244" s="36"/>
      <c r="N244" s="36"/>
      <c r="O244" s="36"/>
      <c r="P244" s="36"/>
      <c r="Q244" s="36"/>
      <c r="R244" s="36"/>
      <c r="S244" s="36"/>
      <c r="T244" s="36"/>
    </row>
    <row r="245" spans="1:20" ht="15.75">
      <c r="A245" s="13">
        <v>48945</v>
      </c>
      <c r="B245" s="44">
        <v>31</v>
      </c>
      <c r="C245" s="35">
        <v>122.58</v>
      </c>
      <c r="D245" s="35">
        <v>297.94099999999997</v>
      </c>
      <c r="E245" s="41">
        <v>729.47900000000004</v>
      </c>
      <c r="F245" s="35">
        <v>1150</v>
      </c>
      <c r="G245" s="35">
        <v>100</v>
      </c>
      <c r="H245" s="43">
        <v>600</v>
      </c>
      <c r="I245" s="35">
        <v>695</v>
      </c>
      <c r="J245" s="35">
        <v>50</v>
      </c>
      <c r="K245" s="36"/>
      <c r="L245" s="36"/>
      <c r="M245" s="36"/>
      <c r="N245" s="36"/>
      <c r="O245" s="36"/>
      <c r="P245" s="36"/>
      <c r="Q245" s="36"/>
      <c r="R245" s="36"/>
      <c r="S245" s="36"/>
      <c r="T245" s="36"/>
    </row>
    <row r="246" spans="1:20" ht="15.75">
      <c r="A246" s="13">
        <v>48976</v>
      </c>
      <c r="B246" s="44">
        <v>28</v>
      </c>
      <c r="C246" s="35">
        <v>122.58</v>
      </c>
      <c r="D246" s="35">
        <v>297.94099999999997</v>
      </c>
      <c r="E246" s="41">
        <v>729.47900000000004</v>
      </c>
      <c r="F246" s="35">
        <v>1150</v>
      </c>
      <c r="G246" s="35">
        <v>100</v>
      </c>
      <c r="H246" s="43">
        <v>600</v>
      </c>
      <c r="I246" s="35">
        <v>695</v>
      </c>
      <c r="J246" s="35">
        <v>50</v>
      </c>
      <c r="K246" s="36"/>
      <c r="L246" s="36"/>
      <c r="M246" s="36"/>
      <c r="N246" s="36"/>
      <c r="O246" s="36"/>
      <c r="P246" s="36"/>
      <c r="Q246" s="36"/>
      <c r="R246" s="36"/>
      <c r="S246" s="36"/>
      <c r="T246" s="36"/>
    </row>
    <row r="247" spans="1:20" ht="15.75">
      <c r="A247" s="13">
        <v>49004</v>
      </c>
      <c r="B247" s="44">
        <v>31</v>
      </c>
      <c r="C247" s="35">
        <v>122.58</v>
      </c>
      <c r="D247" s="35">
        <v>297.94099999999997</v>
      </c>
      <c r="E247" s="41">
        <v>729.47900000000004</v>
      </c>
      <c r="F247" s="35">
        <v>1150</v>
      </c>
      <c r="G247" s="35">
        <v>100</v>
      </c>
      <c r="H247" s="43">
        <v>600</v>
      </c>
      <c r="I247" s="35">
        <v>695</v>
      </c>
      <c r="J247" s="35">
        <v>50</v>
      </c>
      <c r="K247" s="36"/>
      <c r="L247" s="36"/>
      <c r="M247" s="36"/>
      <c r="N247" s="36"/>
      <c r="O247" s="36"/>
      <c r="P247" s="36"/>
      <c r="Q247" s="36"/>
      <c r="R247" s="36"/>
      <c r="S247" s="36"/>
      <c r="T247" s="36"/>
    </row>
    <row r="248" spans="1:20" ht="15.75">
      <c r="A248" s="13">
        <v>49035</v>
      </c>
      <c r="B248" s="44">
        <v>30</v>
      </c>
      <c r="C248" s="35">
        <v>141.29300000000001</v>
      </c>
      <c r="D248" s="35">
        <v>267.99299999999999</v>
      </c>
      <c r="E248" s="41">
        <v>829.71400000000006</v>
      </c>
      <c r="F248" s="35">
        <v>1239</v>
      </c>
      <c r="G248" s="35">
        <v>100</v>
      </c>
      <c r="H248" s="43">
        <v>600</v>
      </c>
      <c r="I248" s="35">
        <v>695</v>
      </c>
      <c r="J248" s="35">
        <v>50</v>
      </c>
      <c r="K248" s="36"/>
      <c r="L248" s="36"/>
      <c r="M248" s="36"/>
      <c r="N248" s="36"/>
      <c r="O248" s="36"/>
      <c r="P248" s="36"/>
      <c r="Q248" s="36"/>
      <c r="R248" s="36"/>
      <c r="S248" s="36"/>
      <c r="T248" s="36"/>
    </row>
    <row r="249" spans="1:20" ht="15.75">
      <c r="A249" s="13">
        <v>49065</v>
      </c>
      <c r="B249" s="44">
        <v>31</v>
      </c>
      <c r="C249" s="35">
        <v>194.20500000000001</v>
      </c>
      <c r="D249" s="35">
        <v>267.46600000000001</v>
      </c>
      <c r="E249" s="41">
        <v>812.32899999999995</v>
      </c>
      <c r="F249" s="35">
        <v>1274</v>
      </c>
      <c r="G249" s="35">
        <v>75</v>
      </c>
      <c r="H249" s="43">
        <v>600</v>
      </c>
      <c r="I249" s="35">
        <v>695</v>
      </c>
      <c r="J249" s="35">
        <v>50</v>
      </c>
      <c r="K249" s="36"/>
      <c r="L249" s="36"/>
      <c r="M249" s="36"/>
      <c r="N249" s="36"/>
      <c r="O249" s="36"/>
      <c r="P249" s="36"/>
      <c r="Q249" s="36"/>
      <c r="R249" s="36"/>
      <c r="S249" s="36"/>
      <c r="T249" s="36"/>
    </row>
    <row r="250" spans="1:20" ht="15.75">
      <c r="A250" s="13">
        <v>49096</v>
      </c>
      <c r="B250" s="44">
        <v>30</v>
      </c>
      <c r="C250" s="35">
        <v>194.20500000000001</v>
      </c>
      <c r="D250" s="35">
        <v>267.46600000000001</v>
      </c>
      <c r="E250" s="41">
        <v>812.32899999999995</v>
      </c>
      <c r="F250" s="35">
        <v>1274</v>
      </c>
      <c r="G250" s="35">
        <v>50</v>
      </c>
      <c r="H250" s="43">
        <v>600</v>
      </c>
      <c r="I250" s="35">
        <v>695</v>
      </c>
      <c r="J250" s="35">
        <v>50</v>
      </c>
      <c r="K250" s="36"/>
      <c r="L250" s="36"/>
      <c r="M250" s="36"/>
      <c r="N250" s="36"/>
      <c r="O250" s="36"/>
      <c r="P250" s="36"/>
      <c r="Q250" s="36"/>
      <c r="R250" s="36"/>
      <c r="S250" s="36"/>
      <c r="T250" s="36"/>
    </row>
    <row r="251" spans="1:20" ht="15.75">
      <c r="A251" s="13">
        <v>49126</v>
      </c>
      <c r="B251" s="44">
        <v>31</v>
      </c>
      <c r="C251" s="35">
        <v>194.20500000000001</v>
      </c>
      <c r="D251" s="35">
        <v>267.46600000000001</v>
      </c>
      <c r="E251" s="41">
        <v>812.32899999999995</v>
      </c>
      <c r="F251" s="35">
        <v>1274</v>
      </c>
      <c r="G251" s="35">
        <v>50</v>
      </c>
      <c r="H251" s="43">
        <v>600</v>
      </c>
      <c r="I251" s="35">
        <v>695</v>
      </c>
      <c r="J251" s="35">
        <v>0</v>
      </c>
      <c r="K251" s="36"/>
      <c r="L251" s="36"/>
      <c r="M251" s="36"/>
      <c r="N251" s="36"/>
      <c r="O251" s="36"/>
      <c r="P251" s="36"/>
      <c r="Q251" s="36"/>
      <c r="R251" s="36"/>
      <c r="S251" s="36"/>
      <c r="T251" s="36"/>
    </row>
    <row r="252" spans="1:20" ht="15.75">
      <c r="A252" s="13">
        <v>49157</v>
      </c>
      <c r="B252" s="44">
        <v>31</v>
      </c>
      <c r="C252" s="35">
        <v>194.20500000000001</v>
      </c>
      <c r="D252" s="35">
        <v>267.46600000000001</v>
      </c>
      <c r="E252" s="41">
        <v>812.32899999999995</v>
      </c>
      <c r="F252" s="35">
        <v>1274</v>
      </c>
      <c r="G252" s="35">
        <v>50</v>
      </c>
      <c r="H252" s="43">
        <v>600</v>
      </c>
      <c r="I252" s="35">
        <v>695</v>
      </c>
      <c r="J252" s="35">
        <v>0</v>
      </c>
      <c r="K252" s="36"/>
      <c r="L252" s="36"/>
      <c r="M252" s="36"/>
      <c r="N252" s="36"/>
      <c r="O252" s="36"/>
      <c r="P252" s="36"/>
      <c r="Q252" s="36"/>
      <c r="R252" s="36"/>
      <c r="S252" s="36"/>
      <c r="T252" s="36"/>
    </row>
    <row r="253" spans="1:20" ht="15.75">
      <c r="A253" s="13">
        <v>49188</v>
      </c>
      <c r="B253" s="44">
        <v>30</v>
      </c>
      <c r="C253" s="35">
        <v>194.20500000000001</v>
      </c>
      <c r="D253" s="35">
        <v>267.46600000000001</v>
      </c>
      <c r="E253" s="41">
        <v>812.32899999999995</v>
      </c>
      <c r="F253" s="35">
        <v>1274</v>
      </c>
      <c r="G253" s="35">
        <v>50</v>
      </c>
      <c r="H253" s="43">
        <v>600</v>
      </c>
      <c r="I253" s="35">
        <v>695</v>
      </c>
      <c r="J253" s="35">
        <v>0</v>
      </c>
      <c r="K253" s="36"/>
      <c r="L253" s="36"/>
      <c r="M253" s="36"/>
      <c r="N253" s="36"/>
      <c r="O253" s="36"/>
      <c r="P253" s="36"/>
      <c r="Q253" s="36"/>
      <c r="R253" s="36"/>
      <c r="S253" s="36"/>
      <c r="T253" s="36"/>
    </row>
    <row r="254" spans="1:20" ht="15.75">
      <c r="A254" s="13">
        <v>49218</v>
      </c>
      <c r="B254" s="44">
        <v>31</v>
      </c>
      <c r="C254" s="35">
        <v>131.881</v>
      </c>
      <c r="D254" s="35">
        <v>277.16699999999997</v>
      </c>
      <c r="E254" s="41">
        <v>829.952</v>
      </c>
      <c r="F254" s="35">
        <v>1239</v>
      </c>
      <c r="G254" s="35">
        <v>75</v>
      </c>
      <c r="H254" s="43">
        <v>600</v>
      </c>
      <c r="I254" s="35">
        <v>695</v>
      </c>
      <c r="J254" s="35">
        <v>0</v>
      </c>
      <c r="K254" s="36"/>
      <c r="L254" s="36"/>
      <c r="M254" s="36"/>
      <c r="N254" s="36"/>
      <c r="O254" s="36"/>
      <c r="P254" s="36"/>
      <c r="Q254" s="36"/>
      <c r="R254" s="36"/>
      <c r="S254" s="36"/>
      <c r="T254" s="36"/>
    </row>
    <row r="255" spans="1:20" ht="15.75">
      <c r="A255" s="13">
        <v>49249</v>
      </c>
      <c r="B255" s="44">
        <v>30</v>
      </c>
      <c r="C255" s="35">
        <v>122.58</v>
      </c>
      <c r="D255" s="35">
        <v>297.94099999999997</v>
      </c>
      <c r="E255" s="41">
        <v>729.47900000000004</v>
      </c>
      <c r="F255" s="35">
        <v>1150</v>
      </c>
      <c r="G255" s="35">
        <v>100</v>
      </c>
      <c r="H255" s="43">
        <v>600</v>
      </c>
      <c r="I255" s="35">
        <v>695</v>
      </c>
      <c r="J255" s="35">
        <v>50</v>
      </c>
      <c r="K255" s="36"/>
      <c r="L255" s="36"/>
      <c r="M255" s="36"/>
      <c r="N255" s="36"/>
      <c r="O255" s="36"/>
      <c r="P255" s="36"/>
      <c r="Q255" s="36"/>
      <c r="R255" s="36"/>
      <c r="S255" s="36"/>
      <c r="T255" s="36"/>
    </row>
    <row r="256" spans="1:20" ht="15.75">
      <c r="A256" s="13">
        <v>49279</v>
      </c>
      <c r="B256" s="44">
        <v>31</v>
      </c>
      <c r="C256" s="35">
        <v>122.58</v>
      </c>
      <c r="D256" s="35">
        <v>297.94099999999997</v>
      </c>
      <c r="E256" s="41">
        <v>729.47900000000004</v>
      </c>
      <c r="F256" s="35">
        <v>1150</v>
      </c>
      <c r="G256" s="35">
        <v>100</v>
      </c>
      <c r="H256" s="43">
        <v>600</v>
      </c>
      <c r="I256" s="35">
        <v>695</v>
      </c>
      <c r="J256" s="35">
        <v>50</v>
      </c>
      <c r="K256" s="36"/>
      <c r="L256" s="36"/>
      <c r="M256" s="36"/>
      <c r="N256" s="36"/>
      <c r="O256" s="36"/>
      <c r="P256" s="36"/>
      <c r="Q256" s="36"/>
      <c r="R256" s="36"/>
      <c r="S256" s="36"/>
      <c r="T256" s="36"/>
    </row>
    <row r="257" spans="1:20" ht="15.75">
      <c r="A257" s="13">
        <v>49310</v>
      </c>
      <c r="B257" s="44">
        <v>31</v>
      </c>
      <c r="C257" s="35">
        <v>122.58</v>
      </c>
      <c r="D257" s="35">
        <v>297.94099999999997</v>
      </c>
      <c r="E257" s="41">
        <v>729.47900000000004</v>
      </c>
      <c r="F257" s="35">
        <v>1150</v>
      </c>
      <c r="G257" s="35">
        <v>100</v>
      </c>
      <c r="H257" s="43">
        <v>600</v>
      </c>
      <c r="I257" s="35">
        <v>695</v>
      </c>
      <c r="J257" s="35">
        <v>50</v>
      </c>
      <c r="K257" s="36"/>
      <c r="L257" s="36"/>
      <c r="M257" s="36"/>
      <c r="N257" s="36"/>
      <c r="O257" s="36"/>
      <c r="P257" s="36"/>
      <c r="Q257" s="36"/>
      <c r="R257" s="36"/>
      <c r="S257" s="36"/>
      <c r="T257" s="36"/>
    </row>
    <row r="258" spans="1:20" ht="15.75">
      <c r="A258" s="13">
        <v>49341</v>
      </c>
      <c r="B258" s="44">
        <v>28</v>
      </c>
      <c r="C258" s="35">
        <v>122.58</v>
      </c>
      <c r="D258" s="35">
        <v>297.94099999999997</v>
      </c>
      <c r="E258" s="41">
        <v>729.47900000000004</v>
      </c>
      <c r="F258" s="35">
        <v>1150</v>
      </c>
      <c r="G258" s="35">
        <v>100</v>
      </c>
      <c r="H258" s="43">
        <v>600</v>
      </c>
      <c r="I258" s="35">
        <v>695</v>
      </c>
      <c r="J258" s="35">
        <v>50</v>
      </c>
      <c r="K258" s="36"/>
      <c r="L258" s="36"/>
      <c r="M258" s="36"/>
      <c r="N258" s="36"/>
      <c r="O258" s="36"/>
      <c r="P258" s="36"/>
      <c r="Q258" s="36"/>
      <c r="R258" s="36"/>
      <c r="S258" s="36"/>
      <c r="T258" s="36"/>
    </row>
    <row r="259" spans="1:20" ht="15.75">
      <c r="A259" s="13">
        <v>49369</v>
      </c>
      <c r="B259" s="44">
        <v>31</v>
      </c>
      <c r="C259" s="35">
        <v>122.58</v>
      </c>
      <c r="D259" s="35">
        <v>297.94099999999997</v>
      </c>
      <c r="E259" s="41">
        <v>729.47900000000004</v>
      </c>
      <c r="F259" s="35">
        <v>1150</v>
      </c>
      <c r="G259" s="35">
        <v>100</v>
      </c>
      <c r="H259" s="43">
        <v>600</v>
      </c>
      <c r="I259" s="35">
        <v>695</v>
      </c>
      <c r="J259" s="35">
        <v>50</v>
      </c>
      <c r="K259" s="36"/>
      <c r="L259" s="36"/>
      <c r="M259" s="36"/>
      <c r="N259" s="36"/>
      <c r="O259" s="36"/>
      <c r="P259" s="36"/>
      <c r="Q259" s="36"/>
      <c r="R259" s="36"/>
      <c r="S259" s="36"/>
      <c r="T259" s="36"/>
    </row>
    <row r="260" spans="1:20" ht="15.75">
      <c r="A260" s="13">
        <v>49400</v>
      </c>
      <c r="B260" s="44">
        <v>30</v>
      </c>
      <c r="C260" s="35">
        <v>141.29300000000001</v>
      </c>
      <c r="D260" s="35">
        <v>267.99299999999999</v>
      </c>
      <c r="E260" s="41">
        <v>829.71400000000006</v>
      </c>
      <c r="F260" s="35">
        <v>1239</v>
      </c>
      <c r="G260" s="35">
        <v>100</v>
      </c>
      <c r="H260" s="43">
        <v>600</v>
      </c>
      <c r="I260" s="35">
        <v>695</v>
      </c>
      <c r="J260" s="35">
        <v>50</v>
      </c>
      <c r="K260" s="36"/>
      <c r="L260" s="36"/>
      <c r="M260" s="36"/>
      <c r="N260" s="36"/>
      <c r="O260" s="36"/>
      <c r="P260" s="36"/>
      <c r="Q260" s="36"/>
      <c r="R260" s="36"/>
      <c r="S260" s="36"/>
      <c r="T260" s="36"/>
    </row>
    <row r="261" spans="1:20" ht="15.75">
      <c r="A261" s="13">
        <v>49430</v>
      </c>
      <c r="B261" s="44">
        <v>31</v>
      </c>
      <c r="C261" s="35">
        <v>194.20500000000001</v>
      </c>
      <c r="D261" s="35">
        <v>267.46600000000001</v>
      </c>
      <c r="E261" s="41">
        <v>812.32899999999995</v>
      </c>
      <c r="F261" s="35">
        <v>1274</v>
      </c>
      <c r="G261" s="35">
        <v>75</v>
      </c>
      <c r="H261" s="43">
        <v>600</v>
      </c>
      <c r="I261" s="35">
        <v>695</v>
      </c>
      <c r="J261" s="35">
        <v>50</v>
      </c>
      <c r="K261" s="36"/>
      <c r="L261" s="36"/>
      <c r="M261" s="36"/>
      <c r="N261" s="36"/>
      <c r="O261" s="36"/>
      <c r="P261" s="36"/>
      <c r="Q261" s="36"/>
      <c r="R261" s="36"/>
      <c r="S261" s="36"/>
      <c r="T261" s="36"/>
    </row>
    <row r="262" spans="1:20" ht="15.75">
      <c r="A262" s="14">
        <v>49461</v>
      </c>
      <c r="B262" s="44">
        <v>30</v>
      </c>
      <c r="C262" s="35">
        <v>194.20500000000001</v>
      </c>
      <c r="D262" s="35">
        <v>267.46600000000001</v>
      </c>
      <c r="E262" s="41">
        <v>812.32899999999995</v>
      </c>
      <c r="F262" s="35">
        <v>1274</v>
      </c>
      <c r="G262" s="35">
        <v>50</v>
      </c>
      <c r="H262" s="43">
        <v>600</v>
      </c>
      <c r="I262" s="35">
        <v>695</v>
      </c>
      <c r="J262" s="35">
        <v>50</v>
      </c>
      <c r="K262" s="36"/>
      <c r="L262" s="36"/>
      <c r="M262" s="36"/>
      <c r="N262" s="36"/>
      <c r="O262" s="36"/>
      <c r="P262" s="36"/>
      <c r="Q262" s="36"/>
      <c r="R262" s="36"/>
      <c r="S262" s="36"/>
      <c r="T262" s="36"/>
    </row>
    <row r="263" spans="1:20" ht="15.75">
      <c r="A263" s="14">
        <v>49491</v>
      </c>
      <c r="B263" s="44">
        <v>31</v>
      </c>
      <c r="C263" s="35">
        <v>194.20500000000001</v>
      </c>
      <c r="D263" s="35">
        <v>267.46600000000001</v>
      </c>
      <c r="E263" s="41">
        <v>812.32899999999995</v>
      </c>
      <c r="F263" s="35">
        <v>1274</v>
      </c>
      <c r="G263" s="35">
        <v>50</v>
      </c>
      <c r="H263" s="43">
        <v>600</v>
      </c>
      <c r="I263" s="35">
        <v>695</v>
      </c>
      <c r="J263" s="35">
        <v>0</v>
      </c>
      <c r="K263" s="36"/>
      <c r="L263" s="36"/>
      <c r="M263" s="36"/>
      <c r="N263" s="36"/>
      <c r="O263" s="36"/>
      <c r="P263" s="36"/>
      <c r="Q263" s="36"/>
      <c r="R263" s="36"/>
      <c r="S263" s="36"/>
      <c r="T263" s="36"/>
    </row>
    <row r="264" spans="1:20" ht="15.75">
      <c r="A264" s="14">
        <v>49522</v>
      </c>
      <c r="B264" s="44">
        <v>31</v>
      </c>
      <c r="C264" s="35">
        <v>194.20500000000001</v>
      </c>
      <c r="D264" s="35">
        <v>267.46600000000001</v>
      </c>
      <c r="E264" s="41">
        <v>812.32899999999995</v>
      </c>
      <c r="F264" s="35">
        <v>1274</v>
      </c>
      <c r="G264" s="35">
        <v>50</v>
      </c>
      <c r="H264" s="43">
        <v>600</v>
      </c>
      <c r="I264" s="35">
        <v>695</v>
      </c>
      <c r="J264" s="35">
        <v>0</v>
      </c>
      <c r="K264" s="36"/>
      <c r="L264" s="36"/>
      <c r="M264" s="36"/>
      <c r="N264" s="36"/>
      <c r="O264" s="36"/>
      <c r="P264" s="36"/>
      <c r="Q264" s="36"/>
      <c r="R264" s="36"/>
      <c r="S264" s="36"/>
      <c r="T264" s="36"/>
    </row>
    <row r="265" spans="1:20" ht="15.75">
      <c r="A265" s="14">
        <v>49553</v>
      </c>
      <c r="B265" s="44">
        <v>30</v>
      </c>
      <c r="C265" s="35">
        <v>194.20500000000001</v>
      </c>
      <c r="D265" s="35">
        <v>267.46600000000001</v>
      </c>
      <c r="E265" s="41">
        <v>812.32899999999995</v>
      </c>
      <c r="F265" s="35">
        <v>1274</v>
      </c>
      <c r="G265" s="35">
        <v>50</v>
      </c>
      <c r="H265" s="43">
        <v>600</v>
      </c>
      <c r="I265" s="35">
        <v>695</v>
      </c>
      <c r="J265" s="35">
        <v>0</v>
      </c>
      <c r="K265" s="36"/>
      <c r="L265" s="36"/>
      <c r="M265" s="36"/>
      <c r="N265" s="36"/>
      <c r="O265" s="36"/>
      <c r="P265" s="36"/>
      <c r="Q265" s="36"/>
      <c r="R265" s="36"/>
      <c r="S265" s="36"/>
      <c r="T265" s="36"/>
    </row>
    <row r="266" spans="1:20" ht="15.75">
      <c r="A266" s="14">
        <v>49583</v>
      </c>
      <c r="B266" s="44">
        <v>31</v>
      </c>
      <c r="C266" s="35">
        <v>131.881</v>
      </c>
      <c r="D266" s="35">
        <v>277.16699999999997</v>
      </c>
      <c r="E266" s="41">
        <v>829.952</v>
      </c>
      <c r="F266" s="35">
        <v>1239</v>
      </c>
      <c r="G266" s="35">
        <v>75</v>
      </c>
      <c r="H266" s="43">
        <v>600</v>
      </c>
      <c r="I266" s="35">
        <v>695</v>
      </c>
      <c r="J266" s="35">
        <v>0</v>
      </c>
      <c r="K266" s="36"/>
      <c r="L266" s="36"/>
      <c r="M266" s="36"/>
      <c r="N266" s="36"/>
      <c r="O266" s="36"/>
      <c r="P266" s="36"/>
      <c r="Q266" s="36"/>
      <c r="R266" s="36"/>
      <c r="S266" s="36"/>
      <c r="T266" s="36"/>
    </row>
    <row r="267" spans="1:20" ht="15.75">
      <c r="A267" s="14">
        <v>49614</v>
      </c>
      <c r="B267" s="44">
        <v>30</v>
      </c>
      <c r="C267" s="35">
        <v>122.58</v>
      </c>
      <c r="D267" s="35">
        <v>297.94099999999997</v>
      </c>
      <c r="E267" s="41">
        <v>729.47900000000004</v>
      </c>
      <c r="F267" s="35">
        <v>1150</v>
      </c>
      <c r="G267" s="35">
        <v>100</v>
      </c>
      <c r="H267" s="43">
        <v>600</v>
      </c>
      <c r="I267" s="35">
        <v>695</v>
      </c>
      <c r="J267" s="35">
        <v>50</v>
      </c>
      <c r="K267" s="36"/>
      <c r="L267" s="36"/>
      <c r="M267" s="36"/>
      <c r="N267" s="36"/>
      <c r="O267" s="36"/>
      <c r="P267" s="36"/>
      <c r="Q267" s="36"/>
      <c r="R267" s="36"/>
      <c r="S267" s="36"/>
      <c r="T267" s="36"/>
    </row>
    <row r="268" spans="1:20" ht="15.75">
      <c r="A268" s="14">
        <v>49644</v>
      </c>
      <c r="B268" s="44">
        <v>31</v>
      </c>
      <c r="C268" s="35">
        <v>122.58</v>
      </c>
      <c r="D268" s="35">
        <v>297.94099999999997</v>
      </c>
      <c r="E268" s="41">
        <v>729.47900000000004</v>
      </c>
      <c r="F268" s="35">
        <v>1150</v>
      </c>
      <c r="G268" s="35">
        <v>100</v>
      </c>
      <c r="H268" s="43">
        <v>600</v>
      </c>
      <c r="I268" s="35">
        <v>695</v>
      </c>
      <c r="J268" s="35">
        <v>50</v>
      </c>
      <c r="K268" s="36"/>
      <c r="L268" s="36"/>
      <c r="M268" s="36"/>
      <c r="N268" s="36"/>
      <c r="O268" s="36"/>
      <c r="P268" s="36"/>
      <c r="Q268" s="36"/>
      <c r="R268" s="36"/>
      <c r="S268" s="36"/>
      <c r="T268" s="36"/>
    </row>
    <row r="269" spans="1:20" ht="15.75">
      <c r="A269" s="14">
        <v>49675</v>
      </c>
      <c r="B269" s="44">
        <v>31</v>
      </c>
      <c r="C269" s="35">
        <v>122.58</v>
      </c>
      <c r="D269" s="35">
        <v>297.94099999999997</v>
      </c>
      <c r="E269" s="41">
        <v>729.47900000000004</v>
      </c>
      <c r="F269" s="35">
        <v>1150</v>
      </c>
      <c r="G269" s="35">
        <v>100</v>
      </c>
      <c r="H269" s="43">
        <v>600</v>
      </c>
      <c r="I269" s="35">
        <v>695</v>
      </c>
      <c r="J269" s="35">
        <v>50</v>
      </c>
      <c r="K269" s="36"/>
      <c r="L269" s="36"/>
      <c r="M269" s="36"/>
      <c r="N269" s="36"/>
      <c r="O269" s="36"/>
      <c r="P269" s="36"/>
      <c r="Q269" s="36"/>
      <c r="R269" s="36"/>
      <c r="S269" s="36"/>
      <c r="T269" s="36"/>
    </row>
    <row r="270" spans="1:20" ht="15.75">
      <c r="A270" s="14">
        <v>49706</v>
      </c>
      <c r="B270" s="44">
        <v>29</v>
      </c>
      <c r="C270" s="35">
        <v>122.58</v>
      </c>
      <c r="D270" s="35">
        <v>297.94099999999997</v>
      </c>
      <c r="E270" s="41">
        <v>729.47900000000004</v>
      </c>
      <c r="F270" s="35">
        <v>1150</v>
      </c>
      <c r="G270" s="35">
        <v>100</v>
      </c>
      <c r="H270" s="43">
        <v>600</v>
      </c>
      <c r="I270" s="35">
        <v>695</v>
      </c>
      <c r="J270" s="35">
        <v>50</v>
      </c>
      <c r="K270" s="36"/>
      <c r="L270" s="36"/>
      <c r="M270" s="36"/>
      <c r="N270" s="36"/>
      <c r="O270" s="36"/>
      <c r="P270" s="36"/>
      <c r="Q270" s="36"/>
      <c r="R270" s="36"/>
      <c r="S270" s="36"/>
      <c r="T270" s="36"/>
    </row>
    <row r="271" spans="1:20" ht="15.75">
      <c r="A271" s="14">
        <v>49735</v>
      </c>
      <c r="B271" s="44">
        <v>31</v>
      </c>
      <c r="C271" s="35">
        <v>122.58</v>
      </c>
      <c r="D271" s="35">
        <v>297.94099999999997</v>
      </c>
      <c r="E271" s="41">
        <v>729.47900000000004</v>
      </c>
      <c r="F271" s="35">
        <v>1150</v>
      </c>
      <c r="G271" s="35">
        <v>100</v>
      </c>
      <c r="H271" s="43">
        <v>600</v>
      </c>
      <c r="I271" s="35">
        <v>695</v>
      </c>
      <c r="J271" s="35">
        <v>50</v>
      </c>
      <c r="K271" s="36"/>
      <c r="L271" s="36"/>
      <c r="M271" s="36"/>
      <c r="N271" s="36"/>
      <c r="O271" s="36"/>
      <c r="P271" s="36"/>
      <c r="Q271" s="36"/>
      <c r="R271" s="36"/>
      <c r="S271" s="36"/>
      <c r="T271" s="36"/>
    </row>
    <row r="272" spans="1:20" ht="15.75">
      <c r="A272" s="14">
        <v>49766</v>
      </c>
      <c r="B272" s="44">
        <v>30</v>
      </c>
      <c r="C272" s="35">
        <v>141.29300000000001</v>
      </c>
      <c r="D272" s="35">
        <v>267.99299999999999</v>
      </c>
      <c r="E272" s="41">
        <v>829.71400000000006</v>
      </c>
      <c r="F272" s="35">
        <v>1239</v>
      </c>
      <c r="G272" s="35">
        <v>100</v>
      </c>
      <c r="H272" s="43">
        <v>600</v>
      </c>
      <c r="I272" s="35">
        <v>695</v>
      </c>
      <c r="J272" s="35">
        <v>50</v>
      </c>
      <c r="K272" s="36"/>
      <c r="L272" s="36"/>
      <c r="M272" s="36"/>
      <c r="N272" s="36"/>
      <c r="O272" s="36"/>
      <c r="P272" s="36"/>
      <c r="Q272" s="36"/>
      <c r="R272" s="36"/>
      <c r="S272" s="36"/>
      <c r="T272" s="36"/>
    </row>
    <row r="273" spans="1:20" ht="15.75">
      <c r="A273" s="14">
        <v>49796</v>
      </c>
      <c r="B273" s="44">
        <v>31</v>
      </c>
      <c r="C273" s="35">
        <v>194.20500000000001</v>
      </c>
      <c r="D273" s="35">
        <v>267.46600000000001</v>
      </c>
      <c r="E273" s="41">
        <v>812.32899999999995</v>
      </c>
      <c r="F273" s="35">
        <v>1274</v>
      </c>
      <c r="G273" s="35">
        <v>75</v>
      </c>
      <c r="H273" s="43">
        <v>600</v>
      </c>
      <c r="I273" s="35">
        <v>695</v>
      </c>
      <c r="J273" s="35">
        <v>50</v>
      </c>
      <c r="K273" s="36"/>
      <c r="L273" s="36"/>
      <c r="M273" s="36"/>
      <c r="N273" s="36"/>
      <c r="O273" s="36"/>
      <c r="P273" s="36"/>
      <c r="Q273" s="36"/>
      <c r="R273" s="36"/>
      <c r="S273" s="36"/>
      <c r="T273" s="36"/>
    </row>
    <row r="274" spans="1:20" ht="15.75">
      <c r="A274" s="14">
        <v>49827</v>
      </c>
      <c r="B274" s="44">
        <v>30</v>
      </c>
      <c r="C274" s="35">
        <v>194.20500000000001</v>
      </c>
      <c r="D274" s="35">
        <v>267.46600000000001</v>
      </c>
      <c r="E274" s="41">
        <v>812.32899999999995</v>
      </c>
      <c r="F274" s="35">
        <v>1274</v>
      </c>
      <c r="G274" s="35">
        <v>50</v>
      </c>
      <c r="H274" s="43">
        <v>600</v>
      </c>
      <c r="I274" s="35">
        <v>695</v>
      </c>
      <c r="J274" s="35">
        <v>50</v>
      </c>
      <c r="K274" s="36"/>
      <c r="L274" s="36"/>
      <c r="M274" s="36"/>
      <c r="N274" s="36"/>
      <c r="O274" s="36"/>
      <c r="P274" s="36"/>
      <c r="Q274" s="36"/>
      <c r="R274" s="36"/>
      <c r="S274" s="36"/>
      <c r="T274" s="36"/>
    </row>
    <row r="275" spans="1:20" ht="15.75">
      <c r="A275" s="14">
        <v>49857</v>
      </c>
      <c r="B275" s="44">
        <v>31</v>
      </c>
      <c r="C275" s="35">
        <v>194.20500000000001</v>
      </c>
      <c r="D275" s="35">
        <v>267.46600000000001</v>
      </c>
      <c r="E275" s="41">
        <v>812.32899999999995</v>
      </c>
      <c r="F275" s="35">
        <v>1274</v>
      </c>
      <c r="G275" s="35">
        <v>50</v>
      </c>
      <c r="H275" s="43">
        <v>600</v>
      </c>
      <c r="I275" s="35">
        <v>695</v>
      </c>
      <c r="J275" s="35">
        <v>0</v>
      </c>
      <c r="K275" s="36"/>
      <c r="L275" s="36"/>
      <c r="M275" s="36"/>
      <c r="N275" s="36"/>
      <c r="O275" s="36"/>
      <c r="P275" s="36"/>
      <c r="Q275" s="36"/>
      <c r="R275" s="36"/>
      <c r="S275" s="36"/>
      <c r="T275" s="36"/>
    </row>
    <row r="276" spans="1:20" ht="15.75">
      <c r="A276" s="14">
        <v>49888</v>
      </c>
      <c r="B276" s="44">
        <v>31</v>
      </c>
      <c r="C276" s="35">
        <v>194.20500000000001</v>
      </c>
      <c r="D276" s="35">
        <v>267.46600000000001</v>
      </c>
      <c r="E276" s="41">
        <v>812.32899999999995</v>
      </c>
      <c r="F276" s="35">
        <v>1274</v>
      </c>
      <c r="G276" s="35">
        <v>50</v>
      </c>
      <c r="H276" s="43">
        <v>600</v>
      </c>
      <c r="I276" s="35">
        <v>695</v>
      </c>
      <c r="J276" s="35">
        <v>0</v>
      </c>
      <c r="K276" s="36"/>
      <c r="L276" s="36"/>
      <c r="M276" s="36"/>
      <c r="N276" s="36"/>
      <c r="O276" s="36"/>
      <c r="P276" s="36"/>
      <c r="Q276" s="36"/>
      <c r="R276" s="36"/>
      <c r="S276" s="36"/>
      <c r="T276" s="36"/>
    </row>
    <row r="277" spans="1:20" ht="15.75">
      <c r="A277" s="14">
        <v>49919</v>
      </c>
      <c r="B277" s="44">
        <v>30</v>
      </c>
      <c r="C277" s="35">
        <v>194.20500000000001</v>
      </c>
      <c r="D277" s="35">
        <v>267.46600000000001</v>
      </c>
      <c r="E277" s="41">
        <v>812.32899999999995</v>
      </c>
      <c r="F277" s="35">
        <v>1274</v>
      </c>
      <c r="G277" s="35">
        <v>50</v>
      </c>
      <c r="H277" s="43">
        <v>600</v>
      </c>
      <c r="I277" s="35">
        <v>695</v>
      </c>
      <c r="J277" s="35">
        <v>0</v>
      </c>
      <c r="K277" s="36"/>
      <c r="L277" s="36"/>
      <c r="M277" s="36"/>
      <c r="N277" s="36"/>
      <c r="O277" s="36"/>
      <c r="P277" s="36"/>
      <c r="Q277" s="36"/>
      <c r="R277" s="36"/>
      <c r="S277" s="36"/>
      <c r="T277" s="36"/>
    </row>
    <row r="278" spans="1:20" ht="15.75">
      <c r="A278" s="14">
        <v>49949</v>
      </c>
      <c r="B278" s="44">
        <v>31</v>
      </c>
      <c r="C278" s="35">
        <v>131.881</v>
      </c>
      <c r="D278" s="35">
        <v>277.16699999999997</v>
      </c>
      <c r="E278" s="41">
        <v>829.952</v>
      </c>
      <c r="F278" s="35">
        <v>1239</v>
      </c>
      <c r="G278" s="35">
        <v>75</v>
      </c>
      <c r="H278" s="43">
        <v>600</v>
      </c>
      <c r="I278" s="35">
        <v>695</v>
      </c>
      <c r="J278" s="35">
        <v>0</v>
      </c>
      <c r="K278" s="36"/>
      <c r="L278" s="36"/>
      <c r="M278" s="36"/>
      <c r="N278" s="36"/>
      <c r="O278" s="36"/>
      <c r="P278" s="36"/>
      <c r="Q278" s="36"/>
      <c r="R278" s="36"/>
      <c r="S278" s="36"/>
      <c r="T278" s="36"/>
    </row>
    <row r="279" spans="1:20" ht="15.75">
      <c r="A279" s="14">
        <v>49980</v>
      </c>
      <c r="B279" s="44">
        <v>30</v>
      </c>
      <c r="C279" s="35">
        <v>122.58</v>
      </c>
      <c r="D279" s="35">
        <v>297.94099999999997</v>
      </c>
      <c r="E279" s="41">
        <v>729.47900000000004</v>
      </c>
      <c r="F279" s="35">
        <v>1150</v>
      </c>
      <c r="G279" s="35">
        <v>100</v>
      </c>
      <c r="H279" s="43">
        <v>600</v>
      </c>
      <c r="I279" s="35">
        <v>695</v>
      </c>
      <c r="J279" s="35">
        <v>50</v>
      </c>
      <c r="K279" s="36"/>
      <c r="L279" s="36"/>
      <c r="M279" s="36"/>
      <c r="N279" s="36"/>
      <c r="O279" s="36"/>
      <c r="P279" s="36"/>
      <c r="Q279" s="36"/>
      <c r="R279" s="36"/>
      <c r="S279" s="36"/>
      <c r="T279" s="36"/>
    </row>
    <row r="280" spans="1:20" ht="15.75">
      <c r="A280" s="14">
        <v>50010</v>
      </c>
      <c r="B280" s="44">
        <v>31</v>
      </c>
      <c r="C280" s="35">
        <v>122.58</v>
      </c>
      <c r="D280" s="35">
        <v>297.94099999999997</v>
      </c>
      <c r="E280" s="41">
        <v>729.47900000000004</v>
      </c>
      <c r="F280" s="35">
        <v>1150</v>
      </c>
      <c r="G280" s="35">
        <v>100</v>
      </c>
      <c r="H280" s="43">
        <v>600</v>
      </c>
      <c r="I280" s="35">
        <v>695</v>
      </c>
      <c r="J280" s="35">
        <v>50</v>
      </c>
      <c r="K280" s="36"/>
      <c r="L280" s="36"/>
      <c r="M280" s="36"/>
      <c r="N280" s="36"/>
      <c r="O280" s="36"/>
      <c r="P280" s="36"/>
      <c r="Q280" s="36"/>
      <c r="R280" s="36"/>
      <c r="S280" s="36"/>
      <c r="T280" s="36"/>
    </row>
    <row r="281" spans="1:20" ht="15.75">
      <c r="A281" s="14">
        <v>50041</v>
      </c>
      <c r="B281" s="44">
        <v>31</v>
      </c>
      <c r="C281" s="35">
        <v>122.58</v>
      </c>
      <c r="D281" s="35">
        <v>297.94099999999997</v>
      </c>
      <c r="E281" s="41">
        <v>729.47900000000004</v>
      </c>
      <c r="F281" s="35">
        <v>1150</v>
      </c>
      <c r="G281" s="35">
        <v>100</v>
      </c>
      <c r="H281" s="43">
        <v>600</v>
      </c>
      <c r="I281" s="35">
        <v>695</v>
      </c>
      <c r="J281" s="35">
        <v>50</v>
      </c>
      <c r="K281" s="36"/>
      <c r="L281" s="36"/>
      <c r="M281" s="36"/>
      <c r="N281" s="36"/>
      <c r="O281" s="36"/>
      <c r="P281" s="36"/>
      <c r="Q281" s="36"/>
      <c r="R281" s="36"/>
      <c r="S281" s="36"/>
      <c r="T281" s="36"/>
    </row>
    <row r="282" spans="1:20" ht="15.75">
      <c r="A282" s="14">
        <v>50072</v>
      </c>
      <c r="B282" s="44">
        <v>28</v>
      </c>
      <c r="C282" s="35">
        <v>122.58</v>
      </c>
      <c r="D282" s="35">
        <v>297.94099999999997</v>
      </c>
      <c r="E282" s="41">
        <v>729.47900000000004</v>
      </c>
      <c r="F282" s="35">
        <v>1150</v>
      </c>
      <c r="G282" s="35">
        <v>100</v>
      </c>
      <c r="H282" s="43">
        <v>600</v>
      </c>
      <c r="I282" s="35">
        <v>695</v>
      </c>
      <c r="J282" s="35">
        <v>50</v>
      </c>
      <c r="K282" s="36"/>
      <c r="L282" s="36"/>
      <c r="M282" s="36"/>
      <c r="N282" s="36"/>
      <c r="O282" s="36"/>
      <c r="P282" s="36"/>
      <c r="Q282" s="36"/>
      <c r="R282" s="36"/>
      <c r="S282" s="36"/>
      <c r="T282" s="36"/>
    </row>
    <row r="283" spans="1:20" ht="15.75">
      <c r="A283" s="14">
        <v>50100</v>
      </c>
      <c r="B283" s="44">
        <v>31</v>
      </c>
      <c r="C283" s="35">
        <v>122.58</v>
      </c>
      <c r="D283" s="35">
        <v>297.94099999999997</v>
      </c>
      <c r="E283" s="41">
        <v>729.47900000000004</v>
      </c>
      <c r="F283" s="35">
        <v>1150</v>
      </c>
      <c r="G283" s="35">
        <v>100</v>
      </c>
      <c r="H283" s="43">
        <v>600</v>
      </c>
      <c r="I283" s="35">
        <v>695</v>
      </c>
      <c r="J283" s="35">
        <v>50</v>
      </c>
      <c r="K283" s="36"/>
      <c r="L283" s="36"/>
      <c r="M283" s="36"/>
      <c r="N283" s="36"/>
      <c r="O283" s="36"/>
      <c r="P283" s="36"/>
      <c r="Q283" s="36"/>
      <c r="R283" s="36"/>
      <c r="S283" s="36"/>
      <c r="T283" s="36"/>
    </row>
    <row r="284" spans="1:20" ht="15.75">
      <c r="A284" s="14">
        <v>50131</v>
      </c>
      <c r="B284" s="44">
        <v>30</v>
      </c>
      <c r="C284" s="35">
        <v>141.29300000000001</v>
      </c>
      <c r="D284" s="35">
        <v>267.99299999999999</v>
      </c>
      <c r="E284" s="41">
        <v>829.71400000000006</v>
      </c>
      <c r="F284" s="35">
        <v>1239</v>
      </c>
      <c r="G284" s="35">
        <v>100</v>
      </c>
      <c r="H284" s="43">
        <v>600</v>
      </c>
      <c r="I284" s="35">
        <v>695</v>
      </c>
      <c r="J284" s="35">
        <v>50</v>
      </c>
      <c r="K284" s="36"/>
      <c r="L284" s="36"/>
      <c r="M284" s="36"/>
      <c r="N284" s="36"/>
      <c r="O284" s="36"/>
      <c r="P284" s="36"/>
      <c r="Q284" s="36"/>
      <c r="R284" s="36"/>
      <c r="S284" s="36"/>
      <c r="T284" s="36"/>
    </row>
    <row r="285" spans="1:20" ht="15.75">
      <c r="A285" s="14">
        <v>50161</v>
      </c>
      <c r="B285" s="44">
        <v>31</v>
      </c>
      <c r="C285" s="35">
        <v>194.20500000000001</v>
      </c>
      <c r="D285" s="35">
        <v>267.46600000000001</v>
      </c>
      <c r="E285" s="41">
        <v>812.32899999999995</v>
      </c>
      <c r="F285" s="35">
        <v>1274</v>
      </c>
      <c r="G285" s="35">
        <v>75</v>
      </c>
      <c r="H285" s="43">
        <v>600</v>
      </c>
      <c r="I285" s="35">
        <v>695</v>
      </c>
      <c r="J285" s="35">
        <v>50</v>
      </c>
      <c r="K285" s="36"/>
      <c r="L285" s="36"/>
      <c r="M285" s="36"/>
      <c r="N285" s="36"/>
      <c r="O285" s="36"/>
      <c r="P285" s="36"/>
      <c r="Q285" s="36"/>
      <c r="R285" s="36"/>
      <c r="S285" s="36"/>
      <c r="T285" s="36"/>
    </row>
    <row r="286" spans="1:20" ht="15.75">
      <c r="A286" s="14">
        <v>50192</v>
      </c>
      <c r="B286" s="44">
        <v>30</v>
      </c>
      <c r="C286" s="35">
        <v>194.20500000000001</v>
      </c>
      <c r="D286" s="35">
        <v>267.46600000000001</v>
      </c>
      <c r="E286" s="41">
        <v>812.32899999999995</v>
      </c>
      <c r="F286" s="35">
        <v>1274</v>
      </c>
      <c r="G286" s="35">
        <v>50</v>
      </c>
      <c r="H286" s="43">
        <v>600</v>
      </c>
      <c r="I286" s="35">
        <v>695</v>
      </c>
      <c r="J286" s="35">
        <v>50</v>
      </c>
      <c r="K286" s="36"/>
      <c r="L286" s="36"/>
      <c r="M286" s="36"/>
      <c r="N286" s="36"/>
      <c r="O286" s="36"/>
      <c r="P286" s="36"/>
      <c r="Q286" s="36"/>
      <c r="R286" s="36"/>
      <c r="S286" s="36"/>
      <c r="T286" s="36"/>
    </row>
    <row r="287" spans="1:20" ht="15.75">
      <c r="A287" s="14">
        <v>50222</v>
      </c>
      <c r="B287" s="44">
        <v>31</v>
      </c>
      <c r="C287" s="35">
        <v>194.20500000000001</v>
      </c>
      <c r="D287" s="35">
        <v>267.46600000000001</v>
      </c>
      <c r="E287" s="41">
        <v>812.32899999999995</v>
      </c>
      <c r="F287" s="35">
        <v>1274</v>
      </c>
      <c r="G287" s="35">
        <v>50</v>
      </c>
      <c r="H287" s="43">
        <v>600</v>
      </c>
      <c r="I287" s="35">
        <v>695</v>
      </c>
      <c r="J287" s="35">
        <v>0</v>
      </c>
      <c r="K287" s="36"/>
      <c r="L287" s="36"/>
      <c r="M287" s="36"/>
      <c r="N287" s="36"/>
      <c r="O287" s="36"/>
      <c r="P287" s="36"/>
      <c r="Q287" s="36"/>
      <c r="R287" s="36"/>
      <c r="S287" s="36"/>
      <c r="T287" s="36"/>
    </row>
    <row r="288" spans="1:20" ht="15.75">
      <c r="A288" s="14">
        <v>50253</v>
      </c>
      <c r="B288" s="44">
        <v>31</v>
      </c>
      <c r="C288" s="35">
        <v>194.20500000000001</v>
      </c>
      <c r="D288" s="35">
        <v>267.46600000000001</v>
      </c>
      <c r="E288" s="41">
        <v>812.32899999999995</v>
      </c>
      <c r="F288" s="35">
        <v>1274</v>
      </c>
      <c r="G288" s="35">
        <v>50</v>
      </c>
      <c r="H288" s="43">
        <v>600</v>
      </c>
      <c r="I288" s="35">
        <v>695</v>
      </c>
      <c r="J288" s="35">
        <v>0</v>
      </c>
      <c r="K288" s="36"/>
      <c r="L288" s="36"/>
      <c r="M288" s="36"/>
      <c r="N288" s="36"/>
      <c r="O288" s="36"/>
      <c r="P288" s="36"/>
      <c r="Q288" s="36"/>
      <c r="R288" s="36"/>
      <c r="S288" s="36"/>
      <c r="T288" s="36"/>
    </row>
    <row r="289" spans="1:20" ht="15.75">
      <c r="A289" s="14">
        <v>50284</v>
      </c>
      <c r="B289" s="44">
        <v>30</v>
      </c>
      <c r="C289" s="35">
        <v>194.20500000000001</v>
      </c>
      <c r="D289" s="35">
        <v>267.46600000000001</v>
      </c>
      <c r="E289" s="41">
        <v>812.32899999999995</v>
      </c>
      <c r="F289" s="35">
        <v>1274</v>
      </c>
      <c r="G289" s="35">
        <v>50</v>
      </c>
      <c r="H289" s="43">
        <v>600</v>
      </c>
      <c r="I289" s="35">
        <v>695</v>
      </c>
      <c r="J289" s="35">
        <v>0</v>
      </c>
      <c r="K289" s="36"/>
      <c r="L289" s="36"/>
      <c r="M289" s="36"/>
      <c r="N289" s="36"/>
      <c r="O289" s="36"/>
      <c r="P289" s="36"/>
      <c r="Q289" s="36"/>
      <c r="R289" s="36"/>
      <c r="S289" s="36"/>
      <c r="T289" s="36"/>
    </row>
    <row r="290" spans="1:20" ht="15.75">
      <c r="A290" s="14">
        <v>50314</v>
      </c>
      <c r="B290" s="44">
        <v>31</v>
      </c>
      <c r="C290" s="35">
        <v>131.881</v>
      </c>
      <c r="D290" s="35">
        <v>277.16699999999997</v>
      </c>
      <c r="E290" s="41">
        <v>829.952</v>
      </c>
      <c r="F290" s="35">
        <v>1239</v>
      </c>
      <c r="G290" s="35">
        <v>75</v>
      </c>
      <c r="H290" s="43">
        <v>600</v>
      </c>
      <c r="I290" s="35">
        <v>695</v>
      </c>
      <c r="J290" s="35">
        <v>0</v>
      </c>
      <c r="K290" s="36"/>
      <c r="L290" s="36"/>
      <c r="M290" s="36"/>
      <c r="N290" s="36"/>
      <c r="O290" s="36"/>
      <c r="P290" s="36"/>
      <c r="Q290" s="36"/>
      <c r="R290" s="36"/>
      <c r="S290" s="36"/>
      <c r="T290" s="36"/>
    </row>
    <row r="291" spans="1:20" ht="15.75">
      <c r="A291" s="14">
        <v>50345</v>
      </c>
      <c r="B291" s="44">
        <v>30</v>
      </c>
      <c r="C291" s="35">
        <v>122.58</v>
      </c>
      <c r="D291" s="35">
        <v>297.94099999999997</v>
      </c>
      <c r="E291" s="41">
        <v>729.47900000000004</v>
      </c>
      <c r="F291" s="35">
        <v>1150</v>
      </c>
      <c r="G291" s="35">
        <v>100</v>
      </c>
      <c r="H291" s="43">
        <v>600</v>
      </c>
      <c r="I291" s="35">
        <v>695</v>
      </c>
      <c r="J291" s="35">
        <v>50</v>
      </c>
      <c r="K291" s="36"/>
      <c r="L291" s="36"/>
      <c r="M291" s="36"/>
      <c r="N291" s="36"/>
      <c r="O291" s="36"/>
      <c r="P291" s="36"/>
      <c r="Q291" s="36"/>
      <c r="R291" s="36"/>
      <c r="S291" s="36"/>
      <c r="T291" s="36"/>
    </row>
    <row r="292" spans="1:20" ht="15.75">
      <c r="A292" s="14">
        <v>50375</v>
      </c>
      <c r="B292" s="44">
        <v>31</v>
      </c>
      <c r="C292" s="35">
        <v>122.58</v>
      </c>
      <c r="D292" s="35">
        <v>297.94099999999997</v>
      </c>
      <c r="E292" s="41">
        <v>729.47900000000004</v>
      </c>
      <c r="F292" s="35">
        <v>1150</v>
      </c>
      <c r="G292" s="35">
        <v>100</v>
      </c>
      <c r="H292" s="43">
        <v>600</v>
      </c>
      <c r="I292" s="35">
        <v>695</v>
      </c>
      <c r="J292" s="35">
        <v>50</v>
      </c>
      <c r="K292" s="36"/>
      <c r="L292" s="36"/>
      <c r="M292" s="36"/>
      <c r="N292" s="36"/>
      <c r="O292" s="36"/>
      <c r="P292" s="36"/>
      <c r="Q292" s="36"/>
      <c r="R292" s="36"/>
      <c r="S292" s="36"/>
      <c r="T292" s="36"/>
    </row>
    <row r="293" spans="1:20" ht="15.75">
      <c r="A293" s="13">
        <v>50436</v>
      </c>
      <c r="B293" s="44">
        <v>31</v>
      </c>
      <c r="C293" s="35">
        <v>122.58</v>
      </c>
      <c r="D293" s="35">
        <v>297.94099999999997</v>
      </c>
      <c r="E293" s="41">
        <v>729.47900000000004</v>
      </c>
      <c r="F293" s="35">
        <v>1150</v>
      </c>
      <c r="G293" s="35">
        <v>100</v>
      </c>
      <c r="H293" s="43">
        <v>600</v>
      </c>
      <c r="I293" s="35">
        <v>695</v>
      </c>
      <c r="J293" s="35">
        <v>50</v>
      </c>
      <c r="K293" s="36"/>
      <c r="L293" s="36"/>
      <c r="M293" s="36"/>
      <c r="N293" s="36"/>
      <c r="O293" s="36"/>
      <c r="P293" s="36"/>
      <c r="Q293" s="36"/>
      <c r="R293" s="36"/>
      <c r="S293" s="36"/>
      <c r="T293" s="36"/>
    </row>
    <row r="294" spans="1:20" ht="15.75">
      <c r="A294" s="13">
        <v>50464</v>
      </c>
      <c r="B294" s="44">
        <v>28</v>
      </c>
      <c r="C294" s="35">
        <v>122.58</v>
      </c>
      <c r="D294" s="35">
        <v>297.94099999999997</v>
      </c>
      <c r="E294" s="41">
        <v>729.47900000000004</v>
      </c>
      <c r="F294" s="35">
        <v>1150</v>
      </c>
      <c r="G294" s="35">
        <v>100</v>
      </c>
      <c r="H294" s="43">
        <v>600</v>
      </c>
      <c r="I294" s="35">
        <v>695</v>
      </c>
      <c r="J294" s="35">
        <v>50</v>
      </c>
      <c r="K294" s="36"/>
      <c r="L294" s="36"/>
      <c r="M294" s="36"/>
      <c r="N294" s="36"/>
      <c r="O294" s="36"/>
      <c r="P294" s="36"/>
      <c r="Q294" s="36"/>
      <c r="R294" s="36"/>
      <c r="S294" s="36"/>
      <c r="T294" s="36"/>
    </row>
    <row r="295" spans="1:20" ht="15.75">
      <c r="A295" s="13">
        <v>50495</v>
      </c>
      <c r="B295" s="44">
        <v>31</v>
      </c>
      <c r="C295" s="35">
        <v>122.58</v>
      </c>
      <c r="D295" s="35">
        <v>297.94099999999997</v>
      </c>
      <c r="E295" s="41">
        <v>729.47900000000004</v>
      </c>
      <c r="F295" s="35">
        <v>1150</v>
      </c>
      <c r="G295" s="35">
        <v>100</v>
      </c>
      <c r="H295" s="43">
        <v>600</v>
      </c>
      <c r="I295" s="35">
        <v>695</v>
      </c>
      <c r="J295" s="35">
        <v>50</v>
      </c>
      <c r="K295" s="36"/>
      <c r="L295" s="36"/>
      <c r="M295" s="36"/>
      <c r="N295" s="36"/>
      <c r="O295" s="36"/>
      <c r="P295" s="36"/>
      <c r="Q295" s="36"/>
      <c r="R295" s="36"/>
      <c r="S295" s="36"/>
      <c r="T295" s="36"/>
    </row>
    <row r="296" spans="1:20" ht="15.75">
      <c r="A296" s="13">
        <v>50525</v>
      </c>
      <c r="B296" s="44">
        <v>30</v>
      </c>
      <c r="C296" s="35">
        <v>141.29300000000001</v>
      </c>
      <c r="D296" s="35">
        <v>267.99299999999999</v>
      </c>
      <c r="E296" s="41">
        <v>829.71400000000006</v>
      </c>
      <c r="F296" s="35">
        <v>1239</v>
      </c>
      <c r="G296" s="35">
        <v>100</v>
      </c>
      <c r="H296" s="43">
        <v>600</v>
      </c>
      <c r="I296" s="35">
        <v>695</v>
      </c>
      <c r="J296" s="35">
        <v>50</v>
      </c>
      <c r="K296" s="36"/>
      <c r="L296" s="36"/>
      <c r="M296" s="36"/>
      <c r="N296" s="36"/>
      <c r="O296" s="36"/>
      <c r="P296" s="36"/>
      <c r="Q296" s="36"/>
      <c r="R296" s="36"/>
      <c r="S296" s="36"/>
      <c r="T296" s="36"/>
    </row>
    <row r="297" spans="1:20" ht="15.75">
      <c r="A297" s="13">
        <v>50556</v>
      </c>
      <c r="B297" s="44">
        <v>31</v>
      </c>
      <c r="C297" s="35">
        <v>194.20500000000001</v>
      </c>
      <c r="D297" s="35">
        <v>267.46600000000001</v>
      </c>
      <c r="E297" s="41">
        <v>812.32899999999995</v>
      </c>
      <c r="F297" s="35">
        <v>1274</v>
      </c>
      <c r="G297" s="35">
        <v>75</v>
      </c>
      <c r="H297" s="43">
        <v>600</v>
      </c>
      <c r="I297" s="35">
        <v>695</v>
      </c>
      <c r="J297" s="35">
        <v>50</v>
      </c>
      <c r="K297" s="36"/>
      <c r="L297" s="36"/>
      <c r="M297" s="36"/>
      <c r="N297" s="36"/>
      <c r="O297" s="36"/>
      <c r="P297" s="36"/>
      <c r="Q297" s="36"/>
      <c r="R297" s="36"/>
      <c r="S297" s="36"/>
      <c r="T297" s="36"/>
    </row>
    <row r="298" spans="1:20" ht="15.75">
      <c r="A298" s="13">
        <v>50586</v>
      </c>
      <c r="B298" s="44">
        <v>30</v>
      </c>
      <c r="C298" s="35">
        <v>194.20500000000001</v>
      </c>
      <c r="D298" s="35">
        <v>267.46600000000001</v>
      </c>
      <c r="E298" s="41">
        <v>812.32899999999995</v>
      </c>
      <c r="F298" s="35">
        <v>1274</v>
      </c>
      <c r="G298" s="35">
        <v>50</v>
      </c>
      <c r="H298" s="43">
        <v>600</v>
      </c>
      <c r="I298" s="35">
        <v>695</v>
      </c>
      <c r="J298" s="35">
        <v>50</v>
      </c>
      <c r="K298" s="36"/>
      <c r="L298" s="36"/>
      <c r="M298" s="36"/>
      <c r="N298" s="36"/>
      <c r="O298" s="36"/>
      <c r="P298" s="36"/>
      <c r="Q298" s="36"/>
      <c r="R298" s="36"/>
      <c r="S298" s="36"/>
      <c r="T298" s="36"/>
    </row>
    <row r="299" spans="1:20" ht="15.75">
      <c r="A299" s="13">
        <v>50617</v>
      </c>
      <c r="B299" s="44">
        <v>31</v>
      </c>
      <c r="C299" s="35">
        <v>194.20500000000001</v>
      </c>
      <c r="D299" s="35">
        <v>267.46600000000001</v>
      </c>
      <c r="E299" s="41">
        <v>812.32899999999995</v>
      </c>
      <c r="F299" s="35">
        <v>1274</v>
      </c>
      <c r="G299" s="35">
        <v>50</v>
      </c>
      <c r="H299" s="43">
        <v>600</v>
      </c>
      <c r="I299" s="35">
        <v>695</v>
      </c>
      <c r="J299" s="35">
        <v>0</v>
      </c>
      <c r="K299" s="36"/>
      <c r="L299" s="36"/>
      <c r="M299" s="36"/>
      <c r="N299" s="36"/>
      <c r="O299" s="36"/>
      <c r="P299" s="36"/>
      <c r="Q299" s="36"/>
      <c r="R299" s="36"/>
      <c r="S299" s="36"/>
      <c r="T299" s="36"/>
    </row>
    <row r="300" spans="1:20" ht="15.75">
      <c r="A300" s="13">
        <v>50648</v>
      </c>
      <c r="B300" s="44">
        <v>31</v>
      </c>
      <c r="C300" s="35">
        <v>194.20500000000001</v>
      </c>
      <c r="D300" s="35">
        <v>267.46600000000001</v>
      </c>
      <c r="E300" s="41">
        <v>812.32899999999995</v>
      </c>
      <c r="F300" s="35">
        <v>1274</v>
      </c>
      <c r="G300" s="35">
        <v>50</v>
      </c>
      <c r="H300" s="43">
        <v>600</v>
      </c>
      <c r="I300" s="35">
        <v>695</v>
      </c>
      <c r="J300" s="35">
        <v>0</v>
      </c>
      <c r="K300" s="36"/>
      <c r="L300" s="36"/>
      <c r="M300" s="36"/>
      <c r="N300" s="36"/>
      <c r="O300" s="36"/>
      <c r="P300" s="36"/>
      <c r="Q300" s="36"/>
      <c r="R300" s="36"/>
      <c r="S300" s="36"/>
      <c r="T300" s="36"/>
    </row>
    <row r="301" spans="1:20" ht="15.75">
      <c r="A301" s="13">
        <v>50678</v>
      </c>
      <c r="B301" s="44">
        <v>30</v>
      </c>
      <c r="C301" s="35">
        <v>194.20500000000001</v>
      </c>
      <c r="D301" s="35">
        <v>267.46600000000001</v>
      </c>
      <c r="E301" s="41">
        <v>812.32899999999995</v>
      </c>
      <c r="F301" s="35">
        <v>1274</v>
      </c>
      <c r="G301" s="35">
        <v>50</v>
      </c>
      <c r="H301" s="43">
        <v>600</v>
      </c>
      <c r="I301" s="35">
        <v>695</v>
      </c>
      <c r="J301" s="35">
        <v>0</v>
      </c>
      <c r="K301" s="36"/>
      <c r="L301" s="36"/>
      <c r="M301" s="36"/>
      <c r="N301" s="36"/>
      <c r="O301" s="36"/>
      <c r="P301" s="36"/>
      <c r="Q301" s="36"/>
      <c r="R301" s="36"/>
      <c r="S301" s="36"/>
      <c r="T301" s="36"/>
    </row>
    <row r="302" spans="1:20" ht="15.75">
      <c r="A302" s="13">
        <v>50709</v>
      </c>
      <c r="B302" s="44">
        <v>31</v>
      </c>
      <c r="C302" s="35">
        <v>131.881</v>
      </c>
      <c r="D302" s="35">
        <v>277.16699999999997</v>
      </c>
      <c r="E302" s="41">
        <v>829.952</v>
      </c>
      <c r="F302" s="35">
        <v>1239</v>
      </c>
      <c r="G302" s="35">
        <v>75</v>
      </c>
      <c r="H302" s="43">
        <v>600</v>
      </c>
      <c r="I302" s="35">
        <v>695</v>
      </c>
      <c r="J302" s="35">
        <v>0</v>
      </c>
      <c r="K302" s="36"/>
      <c r="L302" s="36"/>
      <c r="M302" s="36"/>
      <c r="N302" s="36"/>
      <c r="O302" s="36"/>
      <c r="P302" s="36"/>
      <c r="Q302" s="36"/>
      <c r="R302" s="36"/>
      <c r="S302" s="36"/>
      <c r="T302" s="36"/>
    </row>
    <row r="303" spans="1:20" ht="15.75">
      <c r="A303" s="13">
        <v>50739</v>
      </c>
      <c r="B303" s="44">
        <v>30</v>
      </c>
      <c r="C303" s="35">
        <v>122.58</v>
      </c>
      <c r="D303" s="35">
        <v>297.94099999999997</v>
      </c>
      <c r="E303" s="41">
        <v>729.47900000000004</v>
      </c>
      <c r="F303" s="35">
        <v>1150</v>
      </c>
      <c r="G303" s="35">
        <v>100</v>
      </c>
      <c r="H303" s="43">
        <v>600</v>
      </c>
      <c r="I303" s="35">
        <v>695</v>
      </c>
      <c r="J303" s="35">
        <v>50</v>
      </c>
      <c r="K303" s="36"/>
      <c r="L303" s="36"/>
      <c r="M303" s="36"/>
      <c r="N303" s="36"/>
      <c r="O303" s="36"/>
      <c r="P303" s="36"/>
      <c r="Q303" s="36"/>
      <c r="R303" s="36"/>
      <c r="S303" s="36"/>
      <c r="T303" s="36"/>
    </row>
    <row r="304" spans="1:20" ht="15.75">
      <c r="A304" s="13">
        <v>50770</v>
      </c>
      <c r="B304" s="44">
        <v>31</v>
      </c>
      <c r="C304" s="35">
        <v>122.58</v>
      </c>
      <c r="D304" s="35">
        <v>297.94099999999997</v>
      </c>
      <c r="E304" s="41">
        <v>729.47900000000004</v>
      </c>
      <c r="F304" s="35">
        <v>1150</v>
      </c>
      <c r="G304" s="35">
        <v>100</v>
      </c>
      <c r="H304" s="43">
        <v>600</v>
      </c>
      <c r="I304" s="35">
        <v>695</v>
      </c>
      <c r="J304" s="35">
        <v>50</v>
      </c>
      <c r="K304" s="36"/>
      <c r="L304" s="36"/>
      <c r="M304" s="36"/>
      <c r="N304" s="36"/>
      <c r="O304" s="36"/>
      <c r="P304" s="36"/>
      <c r="Q304" s="36"/>
      <c r="R304" s="36"/>
      <c r="S304" s="36"/>
      <c r="T304" s="36"/>
    </row>
    <row r="305" spans="1:20" ht="15.75">
      <c r="A305" s="13">
        <v>50801</v>
      </c>
      <c r="B305" s="44">
        <v>31</v>
      </c>
      <c r="C305" s="35">
        <v>122.58</v>
      </c>
      <c r="D305" s="35">
        <v>297.94099999999997</v>
      </c>
      <c r="E305" s="41">
        <v>729.47900000000004</v>
      </c>
      <c r="F305" s="35">
        <v>1150</v>
      </c>
      <c r="G305" s="35">
        <v>100</v>
      </c>
      <c r="H305" s="43">
        <v>600</v>
      </c>
      <c r="I305" s="35">
        <v>695</v>
      </c>
      <c r="J305" s="35">
        <v>50</v>
      </c>
      <c r="K305" s="36"/>
      <c r="L305" s="36"/>
      <c r="M305" s="36"/>
      <c r="N305" s="36"/>
      <c r="O305" s="36"/>
      <c r="P305" s="36"/>
      <c r="Q305" s="36"/>
      <c r="R305" s="36"/>
      <c r="S305" s="36"/>
      <c r="T305" s="36"/>
    </row>
    <row r="306" spans="1:20" ht="15.75">
      <c r="A306" s="13">
        <v>50829</v>
      </c>
      <c r="B306" s="44">
        <v>28</v>
      </c>
      <c r="C306" s="35">
        <v>122.58</v>
      </c>
      <c r="D306" s="35">
        <v>297.94099999999997</v>
      </c>
      <c r="E306" s="41">
        <v>729.47900000000004</v>
      </c>
      <c r="F306" s="35">
        <v>1150</v>
      </c>
      <c r="G306" s="35">
        <v>100</v>
      </c>
      <c r="H306" s="43">
        <v>600</v>
      </c>
      <c r="I306" s="35">
        <v>695</v>
      </c>
      <c r="J306" s="35">
        <v>50</v>
      </c>
      <c r="K306" s="36"/>
      <c r="L306" s="36"/>
      <c r="M306" s="36"/>
      <c r="N306" s="36"/>
      <c r="O306" s="36"/>
      <c r="P306" s="36"/>
      <c r="Q306" s="36"/>
      <c r="R306" s="36"/>
      <c r="S306" s="36"/>
      <c r="T306" s="36"/>
    </row>
    <row r="307" spans="1:20" ht="15.75">
      <c r="A307" s="13">
        <v>50860</v>
      </c>
      <c r="B307" s="44">
        <v>31</v>
      </c>
      <c r="C307" s="35">
        <v>122.58</v>
      </c>
      <c r="D307" s="35">
        <v>297.94099999999997</v>
      </c>
      <c r="E307" s="41">
        <v>729.47900000000004</v>
      </c>
      <c r="F307" s="35">
        <v>1150</v>
      </c>
      <c r="G307" s="35">
        <v>100</v>
      </c>
      <c r="H307" s="43">
        <v>600</v>
      </c>
      <c r="I307" s="35">
        <v>695</v>
      </c>
      <c r="J307" s="35">
        <v>50</v>
      </c>
      <c r="K307" s="36"/>
      <c r="L307" s="36"/>
      <c r="M307" s="36"/>
      <c r="N307" s="36"/>
      <c r="O307" s="36"/>
      <c r="P307" s="36"/>
      <c r="Q307" s="36"/>
      <c r="R307" s="36"/>
      <c r="S307" s="36"/>
      <c r="T307" s="36"/>
    </row>
    <row r="308" spans="1:20" ht="15.75">
      <c r="A308" s="13">
        <v>50890</v>
      </c>
      <c r="B308" s="44">
        <v>30</v>
      </c>
      <c r="C308" s="35">
        <v>141.29300000000001</v>
      </c>
      <c r="D308" s="35">
        <v>267.99299999999999</v>
      </c>
      <c r="E308" s="41">
        <v>829.71400000000006</v>
      </c>
      <c r="F308" s="35">
        <v>1239</v>
      </c>
      <c r="G308" s="35">
        <v>100</v>
      </c>
      <c r="H308" s="43">
        <v>600</v>
      </c>
      <c r="I308" s="35">
        <v>695</v>
      </c>
      <c r="J308" s="35">
        <v>50</v>
      </c>
      <c r="K308" s="36"/>
      <c r="L308" s="36"/>
      <c r="M308" s="36"/>
      <c r="N308" s="36"/>
      <c r="O308" s="36"/>
      <c r="P308" s="36"/>
      <c r="Q308" s="36"/>
      <c r="R308" s="36"/>
      <c r="S308" s="36"/>
      <c r="T308" s="36"/>
    </row>
    <row r="309" spans="1:20" ht="15.75">
      <c r="A309" s="13">
        <v>50921</v>
      </c>
      <c r="B309" s="44">
        <v>31</v>
      </c>
      <c r="C309" s="35">
        <v>194.20500000000001</v>
      </c>
      <c r="D309" s="35">
        <v>267.46600000000001</v>
      </c>
      <c r="E309" s="41">
        <v>812.32899999999995</v>
      </c>
      <c r="F309" s="35">
        <v>1274</v>
      </c>
      <c r="G309" s="35">
        <v>75</v>
      </c>
      <c r="H309" s="43">
        <v>600</v>
      </c>
      <c r="I309" s="35">
        <v>695</v>
      </c>
      <c r="J309" s="35">
        <v>50</v>
      </c>
      <c r="K309" s="36"/>
      <c r="L309" s="36"/>
      <c r="M309" s="36"/>
      <c r="N309" s="36"/>
      <c r="O309" s="36"/>
      <c r="P309" s="36"/>
      <c r="Q309" s="36"/>
      <c r="R309" s="36"/>
      <c r="S309" s="36"/>
      <c r="T309" s="36"/>
    </row>
    <row r="310" spans="1:20" ht="15.75">
      <c r="A310" s="13">
        <v>50951</v>
      </c>
      <c r="B310" s="44">
        <v>30</v>
      </c>
      <c r="C310" s="35">
        <v>194.20500000000001</v>
      </c>
      <c r="D310" s="35">
        <v>267.46600000000001</v>
      </c>
      <c r="E310" s="41">
        <v>812.32899999999995</v>
      </c>
      <c r="F310" s="35">
        <v>1274</v>
      </c>
      <c r="G310" s="35">
        <v>50</v>
      </c>
      <c r="H310" s="43">
        <v>600</v>
      </c>
      <c r="I310" s="35">
        <v>695</v>
      </c>
      <c r="J310" s="35">
        <v>50</v>
      </c>
      <c r="K310" s="36"/>
      <c r="L310" s="36"/>
      <c r="M310" s="36"/>
      <c r="N310" s="36"/>
      <c r="O310" s="36"/>
      <c r="P310" s="36"/>
      <c r="Q310" s="36"/>
      <c r="R310" s="36"/>
      <c r="S310" s="36"/>
      <c r="T310" s="36"/>
    </row>
    <row r="311" spans="1:20" ht="15.75">
      <c r="A311" s="13">
        <v>50982</v>
      </c>
      <c r="B311" s="44">
        <v>31</v>
      </c>
      <c r="C311" s="35">
        <v>194.20500000000001</v>
      </c>
      <c r="D311" s="35">
        <v>267.46600000000001</v>
      </c>
      <c r="E311" s="41">
        <v>812.32899999999995</v>
      </c>
      <c r="F311" s="35">
        <v>1274</v>
      </c>
      <c r="G311" s="35">
        <v>50</v>
      </c>
      <c r="H311" s="43">
        <v>600</v>
      </c>
      <c r="I311" s="35">
        <v>695</v>
      </c>
      <c r="J311" s="35">
        <v>0</v>
      </c>
      <c r="K311" s="36"/>
      <c r="L311" s="36"/>
      <c r="M311" s="36"/>
      <c r="N311" s="36"/>
      <c r="O311" s="36"/>
      <c r="P311" s="36"/>
      <c r="Q311" s="36"/>
      <c r="R311" s="36"/>
      <c r="S311" s="36"/>
      <c r="T311" s="36"/>
    </row>
    <row r="312" spans="1:20" ht="15.75">
      <c r="A312" s="13">
        <v>51013</v>
      </c>
      <c r="B312" s="44">
        <v>31</v>
      </c>
      <c r="C312" s="35">
        <v>194.20500000000001</v>
      </c>
      <c r="D312" s="35">
        <v>267.46600000000001</v>
      </c>
      <c r="E312" s="41">
        <v>812.32899999999995</v>
      </c>
      <c r="F312" s="35">
        <v>1274</v>
      </c>
      <c r="G312" s="35">
        <v>50</v>
      </c>
      <c r="H312" s="43">
        <v>600</v>
      </c>
      <c r="I312" s="35">
        <v>695</v>
      </c>
      <c r="J312" s="35">
        <v>0</v>
      </c>
      <c r="K312" s="36"/>
      <c r="L312" s="36"/>
      <c r="M312" s="36"/>
      <c r="N312" s="36"/>
      <c r="O312" s="36"/>
      <c r="P312" s="36"/>
      <c r="Q312" s="36"/>
      <c r="R312" s="36"/>
      <c r="S312" s="36"/>
      <c r="T312" s="36"/>
    </row>
    <row r="313" spans="1:20" ht="15.75">
      <c r="A313" s="13">
        <v>51043</v>
      </c>
      <c r="B313" s="44">
        <v>30</v>
      </c>
      <c r="C313" s="35">
        <v>194.20500000000001</v>
      </c>
      <c r="D313" s="35">
        <v>267.46600000000001</v>
      </c>
      <c r="E313" s="41">
        <v>812.32899999999995</v>
      </c>
      <c r="F313" s="35">
        <v>1274</v>
      </c>
      <c r="G313" s="35">
        <v>50</v>
      </c>
      <c r="H313" s="43">
        <v>600</v>
      </c>
      <c r="I313" s="35">
        <v>695</v>
      </c>
      <c r="J313" s="35">
        <v>0</v>
      </c>
      <c r="K313" s="36"/>
      <c r="L313" s="36"/>
      <c r="M313" s="36"/>
      <c r="N313" s="36"/>
      <c r="O313" s="36"/>
      <c r="P313" s="36"/>
      <c r="Q313" s="36"/>
      <c r="R313" s="36"/>
      <c r="S313" s="36"/>
      <c r="T313" s="36"/>
    </row>
    <row r="314" spans="1:20" ht="15.75">
      <c r="A314" s="13">
        <v>51074</v>
      </c>
      <c r="B314" s="44">
        <v>31</v>
      </c>
      <c r="C314" s="35">
        <v>131.881</v>
      </c>
      <c r="D314" s="35">
        <v>277.16699999999997</v>
      </c>
      <c r="E314" s="41">
        <v>829.952</v>
      </c>
      <c r="F314" s="35">
        <v>1239</v>
      </c>
      <c r="G314" s="35">
        <v>75</v>
      </c>
      <c r="H314" s="43">
        <v>600</v>
      </c>
      <c r="I314" s="35">
        <v>695</v>
      </c>
      <c r="J314" s="35">
        <v>0</v>
      </c>
      <c r="K314" s="36"/>
      <c r="L314" s="36"/>
      <c r="M314" s="36"/>
      <c r="N314" s="36"/>
      <c r="O314" s="36"/>
      <c r="P314" s="36"/>
      <c r="Q314" s="36"/>
      <c r="R314" s="36"/>
      <c r="S314" s="36"/>
      <c r="T314" s="36"/>
    </row>
    <row r="315" spans="1:20" ht="15.75">
      <c r="A315" s="13">
        <v>51104</v>
      </c>
      <c r="B315" s="44">
        <v>30</v>
      </c>
      <c r="C315" s="35">
        <v>122.58</v>
      </c>
      <c r="D315" s="35">
        <v>297.94099999999997</v>
      </c>
      <c r="E315" s="41">
        <v>729.47900000000004</v>
      </c>
      <c r="F315" s="35">
        <v>1150</v>
      </c>
      <c r="G315" s="35">
        <v>100</v>
      </c>
      <c r="H315" s="43">
        <v>600</v>
      </c>
      <c r="I315" s="35">
        <v>695</v>
      </c>
      <c r="J315" s="35">
        <v>50</v>
      </c>
      <c r="K315" s="36"/>
      <c r="L315" s="36"/>
      <c r="M315" s="36"/>
      <c r="N315" s="36"/>
      <c r="O315" s="36"/>
      <c r="P315" s="36"/>
      <c r="Q315" s="36"/>
      <c r="R315" s="36"/>
      <c r="S315" s="36"/>
      <c r="T315" s="36"/>
    </row>
    <row r="316" spans="1:20" ht="15.75">
      <c r="A316" s="13">
        <v>51135</v>
      </c>
      <c r="B316" s="44">
        <v>31</v>
      </c>
      <c r="C316" s="35">
        <v>122.58</v>
      </c>
      <c r="D316" s="35">
        <v>297.94099999999997</v>
      </c>
      <c r="E316" s="41">
        <v>729.47900000000004</v>
      </c>
      <c r="F316" s="35">
        <v>1150</v>
      </c>
      <c r="G316" s="35">
        <v>100</v>
      </c>
      <c r="H316" s="43">
        <v>600</v>
      </c>
      <c r="I316" s="35">
        <v>695</v>
      </c>
      <c r="J316" s="35">
        <v>50</v>
      </c>
      <c r="K316" s="36"/>
      <c r="L316" s="36"/>
      <c r="M316" s="36"/>
      <c r="N316" s="36"/>
      <c r="O316" s="36"/>
      <c r="P316" s="36"/>
      <c r="Q316" s="36"/>
      <c r="R316" s="36"/>
      <c r="S316" s="36"/>
      <c r="T316" s="36"/>
    </row>
    <row r="317" spans="1:20" ht="15.75">
      <c r="A317" s="13">
        <v>51166</v>
      </c>
      <c r="B317" s="44">
        <v>31</v>
      </c>
      <c r="C317" s="35">
        <v>122.58</v>
      </c>
      <c r="D317" s="35">
        <v>297.94099999999997</v>
      </c>
      <c r="E317" s="41">
        <v>729.47900000000004</v>
      </c>
      <c r="F317" s="35">
        <v>1150</v>
      </c>
      <c r="G317" s="35">
        <v>100</v>
      </c>
      <c r="H317" s="43">
        <v>600</v>
      </c>
      <c r="I317" s="35">
        <v>695</v>
      </c>
      <c r="J317" s="35">
        <v>50</v>
      </c>
      <c r="K317" s="36"/>
      <c r="L317" s="36"/>
      <c r="M317" s="36"/>
      <c r="N317" s="36"/>
      <c r="O317" s="36"/>
      <c r="P317" s="36"/>
      <c r="Q317" s="36"/>
      <c r="R317" s="36"/>
      <c r="S317" s="36"/>
      <c r="T317" s="36"/>
    </row>
    <row r="318" spans="1:20" ht="15.75">
      <c r="A318" s="13">
        <v>51194</v>
      </c>
      <c r="B318" s="44">
        <v>29</v>
      </c>
      <c r="C318" s="35">
        <v>122.58</v>
      </c>
      <c r="D318" s="35">
        <v>297.94099999999997</v>
      </c>
      <c r="E318" s="41">
        <v>729.47900000000004</v>
      </c>
      <c r="F318" s="35">
        <v>1150</v>
      </c>
      <c r="G318" s="35">
        <v>100</v>
      </c>
      <c r="H318" s="43">
        <v>600</v>
      </c>
      <c r="I318" s="35">
        <v>695</v>
      </c>
      <c r="J318" s="35">
        <v>50</v>
      </c>
      <c r="K318" s="36"/>
      <c r="L318" s="36"/>
      <c r="M318" s="36"/>
      <c r="N318" s="36"/>
      <c r="O318" s="36"/>
      <c r="P318" s="36"/>
      <c r="Q318" s="36"/>
      <c r="R318" s="36"/>
      <c r="S318" s="36"/>
      <c r="T318" s="36"/>
    </row>
    <row r="319" spans="1:20" ht="15.75">
      <c r="A319" s="13">
        <v>51226</v>
      </c>
      <c r="B319" s="44">
        <v>31</v>
      </c>
      <c r="C319" s="35">
        <v>122.58</v>
      </c>
      <c r="D319" s="35">
        <v>297.94099999999997</v>
      </c>
      <c r="E319" s="41">
        <v>729.47900000000004</v>
      </c>
      <c r="F319" s="35">
        <v>1150</v>
      </c>
      <c r="G319" s="35">
        <v>100</v>
      </c>
      <c r="H319" s="43">
        <v>600</v>
      </c>
      <c r="I319" s="35">
        <v>695</v>
      </c>
      <c r="J319" s="35">
        <v>50</v>
      </c>
      <c r="K319" s="36"/>
      <c r="L319" s="36"/>
      <c r="M319" s="36"/>
      <c r="N319" s="36"/>
      <c r="O319" s="36"/>
      <c r="P319" s="36"/>
      <c r="Q319" s="36"/>
      <c r="R319" s="36"/>
      <c r="S319" s="36"/>
      <c r="T319" s="36"/>
    </row>
    <row r="320" spans="1:20" ht="15.75">
      <c r="A320" s="13">
        <v>51256</v>
      </c>
      <c r="B320" s="44">
        <v>30</v>
      </c>
      <c r="C320" s="35">
        <v>141.29300000000001</v>
      </c>
      <c r="D320" s="35">
        <v>267.99299999999999</v>
      </c>
      <c r="E320" s="41">
        <v>829.71400000000006</v>
      </c>
      <c r="F320" s="35">
        <v>1239</v>
      </c>
      <c r="G320" s="35">
        <v>100</v>
      </c>
      <c r="H320" s="43">
        <v>600</v>
      </c>
      <c r="I320" s="35">
        <v>695</v>
      </c>
      <c r="J320" s="35">
        <v>50</v>
      </c>
      <c r="K320" s="36"/>
      <c r="L320" s="36"/>
      <c r="M320" s="36"/>
      <c r="N320" s="36"/>
      <c r="O320" s="36"/>
      <c r="P320" s="36"/>
      <c r="Q320" s="36"/>
      <c r="R320" s="36"/>
      <c r="S320" s="36"/>
      <c r="T320" s="36"/>
    </row>
    <row r="321" spans="1:20" ht="15.75">
      <c r="A321" s="13">
        <v>51287</v>
      </c>
      <c r="B321" s="44">
        <v>31</v>
      </c>
      <c r="C321" s="35">
        <v>194.20500000000001</v>
      </c>
      <c r="D321" s="35">
        <v>267.46600000000001</v>
      </c>
      <c r="E321" s="41">
        <v>812.32899999999995</v>
      </c>
      <c r="F321" s="35">
        <v>1274</v>
      </c>
      <c r="G321" s="35">
        <v>75</v>
      </c>
      <c r="H321" s="43">
        <v>600</v>
      </c>
      <c r="I321" s="35">
        <v>695</v>
      </c>
      <c r="J321" s="35">
        <v>50</v>
      </c>
      <c r="K321" s="36"/>
      <c r="L321" s="36"/>
      <c r="M321" s="36"/>
      <c r="N321" s="36"/>
      <c r="O321" s="36"/>
      <c r="P321" s="36"/>
      <c r="Q321" s="36"/>
      <c r="R321" s="36"/>
      <c r="S321" s="36"/>
      <c r="T321" s="36"/>
    </row>
    <row r="322" spans="1:20" ht="15.75">
      <c r="A322" s="13">
        <v>51317</v>
      </c>
      <c r="B322" s="44">
        <v>30</v>
      </c>
      <c r="C322" s="35">
        <v>194.20500000000001</v>
      </c>
      <c r="D322" s="35">
        <v>267.46600000000001</v>
      </c>
      <c r="E322" s="41">
        <v>812.32899999999995</v>
      </c>
      <c r="F322" s="35">
        <v>1274</v>
      </c>
      <c r="G322" s="35">
        <v>50</v>
      </c>
      <c r="H322" s="43">
        <v>600</v>
      </c>
      <c r="I322" s="35">
        <v>695</v>
      </c>
      <c r="J322" s="35">
        <v>50</v>
      </c>
      <c r="K322" s="36"/>
      <c r="L322" s="36"/>
      <c r="M322" s="36"/>
      <c r="N322" s="36"/>
      <c r="O322" s="36"/>
      <c r="P322" s="36"/>
      <c r="Q322" s="36"/>
      <c r="R322" s="36"/>
      <c r="S322" s="36"/>
      <c r="T322" s="36"/>
    </row>
    <row r="323" spans="1:20" ht="15.75">
      <c r="A323" s="13">
        <v>51348</v>
      </c>
      <c r="B323" s="44">
        <v>31</v>
      </c>
      <c r="C323" s="35">
        <v>194.20500000000001</v>
      </c>
      <c r="D323" s="35">
        <v>267.46600000000001</v>
      </c>
      <c r="E323" s="41">
        <v>812.32899999999995</v>
      </c>
      <c r="F323" s="35">
        <v>1274</v>
      </c>
      <c r="G323" s="35">
        <v>50</v>
      </c>
      <c r="H323" s="43">
        <v>600</v>
      </c>
      <c r="I323" s="35">
        <v>695</v>
      </c>
      <c r="J323" s="35">
        <v>0</v>
      </c>
      <c r="K323" s="36"/>
      <c r="L323" s="36"/>
      <c r="M323" s="36"/>
      <c r="N323" s="36"/>
      <c r="O323" s="36"/>
      <c r="P323" s="36"/>
      <c r="Q323" s="36"/>
      <c r="R323" s="36"/>
      <c r="S323" s="36"/>
      <c r="T323" s="36"/>
    </row>
    <row r="324" spans="1:20" ht="15.75">
      <c r="A324" s="13">
        <v>51379</v>
      </c>
      <c r="B324" s="44">
        <v>31</v>
      </c>
      <c r="C324" s="35">
        <v>194.20500000000001</v>
      </c>
      <c r="D324" s="35">
        <v>267.46600000000001</v>
      </c>
      <c r="E324" s="41">
        <v>812.32899999999995</v>
      </c>
      <c r="F324" s="35">
        <v>1274</v>
      </c>
      <c r="G324" s="35">
        <v>50</v>
      </c>
      <c r="H324" s="43">
        <v>600</v>
      </c>
      <c r="I324" s="35">
        <v>695</v>
      </c>
      <c r="J324" s="35">
        <v>0</v>
      </c>
      <c r="K324" s="36"/>
      <c r="L324" s="36"/>
      <c r="M324" s="36"/>
      <c r="N324" s="36"/>
      <c r="O324" s="36"/>
      <c r="P324" s="36"/>
      <c r="Q324" s="36"/>
      <c r="R324" s="36"/>
      <c r="S324" s="36"/>
      <c r="T324" s="36"/>
    </row>
    <row r="325" spans="1:20" ht="15.75">
      <c r="A325" s="13">
        <v>51409</v>
      </c>
      <c r="B325" s="44">
        <v>30</v>
      </c>
      <c r="C325" s="35">
        <v>194.20500000000001</v>
      </c>
      <c r="D325" s="35">
        <v>267.46600000000001</v>
      </c>
      <c r="E325" s="41">
        <v>812.32899999999995</v>
      </c>
      <c r="F325" s="35">
        <v>1274</v>
      </c>
      <c r="G325" s="35">
        <v>50</v>
      </c>
      <c r="H325" s="43">
        <v>600</v>
      </c>
      <c r="I325" s="35">
        <v>695</v>
      </c>
      <c r="J325" s="35">
        <v>0</v>
      </c>
      <c r="K325" s="36"/>
      <c r="L325" s="36"/>
      <c r="M325" s="36"/>
      <c r="N325" s="36"/>
      <c r="O325" s="36"/>
      <c r="P325" s="36"/>
      <c r="Q325" s="36"/>
      <c r="R325" s="36"/>
      <c r="S325" s="36"/>
      <c r="T325" s="36"/>
    </row>
    <row r="326" spans="1:20" ht="15.75">
      <c r="A326" s="13">
        <v>51440</v>
      </c>
      <c r="B326" s="44">
        <v>31</v>
      </c>
      <c r="C326" s="35">
        <v>131.881</v>
      </c>
      <c r="D326" s="35">
        <v>277.16699999999997</v>
      </c>
      <c r="E326" s="41">
        <v>829.952</v>
      </c>
      <c r="F326" s="35">
        <v>1239</v>
      </c>
      <c r="G326" s="35">
        <v>75</v>
      </c>
      <c r="H326" s="43">
        <v>600</v>
      </c>
      <c r="I326" s="35">
        <v>695</v>
      </c>
      <c r="J326" s="35">
        <v>0</v>
      </c>
      <c r="K326" s="36"/>
      <c r="L326" s="36"/>
      <c r="M326" s="36"/>
      <c r="N326" s="36"/>
      <c r="O326" s="36"/>
      <c r="P326" s="36"/>
      <c r="Q326" s="36"/>
      <c r="R326" s="36"/>
      <c r="S326" s="36"/>
      <c r="T326" s="36"/>
    </row>
    <row r="327" spans="1:20" ht="15.75">
      <c r="A327" s="13">
        <v>51470</v>
      </c>
      <c r="B327" s="44">
        <v>30</v>
      </c>
      <c r="C327" s="35">
        <v>122.58</v>
      </c>
      <c r="D327" s="35">
        <v>297.94099999999997</v>
      </c>
      <c r="E327" s="41">
        <v>729.47900000000004</v>
      </c>
      <c r="F327" s="35">
        <v>1150</v>
      </c>
      <c r="G327" s="35">
        <v>100</v>
      </c>
      <c r="H327" s="43">
        <v>600</v>
      </c>
      <c r="I327" s="35">
        <v>695</v>
      </c>
      <c r="J327" s="35">
        <v>50</v>
      </c>
      <c r="K327" s="36"/>
      <c r="L327" s="36"/>
      <c r="M327" s="36"/>
      <c r="N327" s="36"/>
      <c r="O327" s="36"/>
      <c r="P327" s="36"/>
      <c r="Q327" s="36"/>
      <c r="R327" s="36"/>
      <c r="S327" s="36"/>
      <c r="T327" s="36"/>
    </row>
    <row r="328" spans="1:20" ht="15.75">
      <c r="A328" s="13">
        <v>51501</v>
      </c>
      <c r="B328" s="44">
        <v>31</v>
      </c>
      <c r="C328" s="35">
        <v>122.58</v>
      </c>
      <c r="D328" s="35">
        <v>297.94099999999997</v>
      </c>
      <c r="E328" s="41">
        <v>729.47900000000004</v>
      </c>
      <c r="F328" s="35">
        <v>1150</v>
      </c>
      <c r="G328" s="35">
        <v>100</v>
      </c>
      <c r="H328" s="43">
        <v>600</v>
      </c>
      <c r="I328" s="35">
        <v>695</v>
      </c>
      <c r="J328" s="35">
        <v>50</v>
      </c>
      <c r="K328" s="36"/>
      <c r="L328" s="36"/>
      <c r="M328" s="36"/>
      <c r="N328" s="36"/>
      <c r="O328" s="36"/>
      <c r="P328" s="36"/>
      <c r="Q328" s="36"/>
      <c r="R328" s="36"/>
      <c r="S328" s="36"/>
      <c r="T328" s="36"/>
    </row>
    <row r="329" spans="1:20" ht="15.75">
      <c r="A329" s="13">
        <v>51532</v>
      </c>
      <c r="B329" s="44">
        <v>31</v>
      </c>
      <c r="C329" s="35">
        <v>122.58</v>
      </c>
      <c r="D329" s="35">
        <v>297.94099999999997</v>
      </c>
      <c r="E329" s="41">
        <v>729.47900000000004</v>
      </c>
      <c r="F329" s="35">
        <v>1150</v>
      </c>
      <c r="G329" s="35">
        <v>100</v>
      </c>
      <c r="H329" s="43">
        <v>600</v>
      </c>
      <c r="I329" s="35">
        <v>695</v>
      </c>
      <c r="J329" s="35">
        <v>50</v>
      </c>
      <c r="K329" s="36"/>
      <c r="L329" s="36"/>
      <c r="M329" s="36"/>
      <c r="N329" s="36"/>
      <c r="O329" s="36"/>
      <c r="P329" s="36"/>
      <c r="Q329" s="36"/>
      <c r="R329" s="36"/>
      <c r="S329" s="36"/>
      <c r="T329" s="36"/>
    </row>
    <row r="330" spans="1:20" ht="15.75">
      <c r="A330" s="13">
        <v>51560</v>
      </c>
      <c r="B330" s="44">
        <v>28</v>
      </c>
      <c r="C330" s="35">
        <v>122.58</v>
      </c>
      <c r="D330" s="35">
        <v>297.94099999999997</v>
      </c>
      <c r="E330" s="41">
        <v>729.47900000000004</v>
      </c>
      <c r="F330" s="35">
        <v>1150</v>
      </c>
      <c r="G330" s="35">
        <v>100</v>
      </c>
      <c r="H330" s="43">
        <v>600</v>
      </c>
      <c r="I330" s="35">
        <v>695</v>
      </c>
      <c r="J330" s="35">
        <v>50</v>
      </c>
      <c r="K330" s="36"/>
      <c r="L330" s="36"/>
      <c r="M330" s="36"/>
      <c r="N330" s="36"/>
      <c r="O330" s="36"/>
      <c r="P330" s="36"/>
      <c r="Q330" s="36"/>
      <c r="R330" s="36"/>
      <c r="S330" s="36"/>
      <c r="T330" s="36"/>
    </row>
    <row r="331" spans="1:20" ht="15.75">
      <c r="A331" s="13">
        <v>51591</v>
      </c>
      <c r="B331" s="44">
        <v>31</v>
      </c>
      <c r="C331" s="35">
        <v>122.58</v>
      </c>
      <c r="D331" s="35">
        <v>297.94099999999997</v>
      </c>
      <c r="E331" s="41">
        <v>729.47900000000004</v>
      </c>
      <c r="F331" s="35">
        <v>1150</v>
      </c>
      <c r="G331" s="35">
        <v>100</v>
      </c>
      <c r="H331" s="43">
        <v>600</v>
      </c>
      <c r="I331" s="35">
        <v>695</v>
      </c>
      <c r="J331" s="35">
        <v>50</v>
      </c>
      <c r="K331" s="36"/>
      <c r="L331" s="36"/>
      <c r="M331" s="36"/>
      <c r="N331" s="36"/>
      <c r="O331" s="36"/>
      <c r="P331" s="36"/>
      <c r="Q331" s="36"/>
      <c r="R331" s="36"/>
      <c r="S331" s="36"/>
      <c r="T331" s="36"/>
    </row>
    <row r="332" spans="1:20" ht="15.75">
      <c r="A332" s="13">
        <v>51621</v>
      </c>
      <c r="B332" s="44">
        <v>30</v>
      </c>
      <c r="C332" s="35">
        <v>141.29300000000001</v>
      </c>
      <c r="D332" s="35">
        <v>267.99299999999999</v>
      </c>
      <c r="E332" s="41">
        <v>829.71400000000006</v>
      </c>
      <c r="F332" s="35">
        <v>1239</v>
      </c>
      <c r="G332" s="35">
        <v>100</v>
      </c>
      <c r="H332" s="43">
        <v>600</v>
      </c>
      <c r="I332" s="35">
        <v>695</v>
      </c>
      <c r="J332" s="35">
        <v>50</v>
      </c>
      <c r="K332" s="36"/>
      <c r="L332" s="36"/>
      <c r="M332" s="36"/>
      <c r="N332" s="36"/>
      <c r="O332" s="36"/>
      <c r="P332" s="36"/>
      <c r="Q332" s="36"/>
      <c r="R332" s="36"/>
      <c r="S332" s="36"/>
      <c r="T332" s="36"/>
    </row>
    <row r="333" spans="1:20" ht="15.75">
      <c r="A333" s="13">
        <v>51652</v>
      </c>
      <c r="B333" s="44">
        <v>31</v>
      </c>
      <c r="C333" s="35">
        <v>194.20500000000001</v>
      </c>
      <c r="D333" s="35">
        <v>267.46600000000001</v>
      </c>
      <c r="E333" s="41">
        <v>812.32899999999995</v>
      </c>
      <c r="F333" s="35">
        <v>1274</v>
      </c>
      <c r="G333" s="35">
        <v>75</v>
      </c>
      <c r="H333" s="43">
        <v>600</v>
      </c>
      <c r="I333" s="35">
        <v>695</v>
      </c>
      <c r="J333" s="35">
        <v>50</v>
      </c>
      <c r="K333" s="36"/>
      <c r="L333" s="36"/>
      <c r="M333" s="36"/>
      <c r="N333" s="36"/>
      <c r="O333" s="36"/>
      <c r="P333" s="36"/>
      <c r="Q333" s="36"/>
      <c r="R333" s="36"/>
      <c r="S333" s="36"/>
      <c r="T333" s="36"/>
    </row>
    <row r="334" spans="1:20" ht="15.75">
      <c r="A334" s="13">
        <v>51682</v>
      </c>
      <c r="B334" s="44">
        <v>30</v>
      </c>
      <c r="C334" s="35">
        <v>194.20500000000001</v>
      </c>
      <c r="D334" s="35">
        <v>267.46600000000001</v>
      </c>
      <c r="E334" s="41">
        <v>812.32899999999995</v>
      </c>
      <c r="F334" s="35">
        <v>1274</v>
      </c>
      <c r="G334" s="35">
        <v>50</v>
      </c>
      <c r="H334" s="43">
        <v>600</v>
      </c>
      <c r="I334" s="35">
        <v>695</v>
      </c>
      <c r="J334" s="35">
        <v>50</v>
      </c>
      <c r="K334" s="36"/>
      <c r="L334" s="36"/>
      <c r="M334" s="36"/>
      <c r="N334" s="36"/>
      <c r="O334" s="36"/>
      <c r="P334" s="36"/>
      <c r="Q334" s="36"/>
      <c r="R334" s="36"/>
      <c r="S334" s="36"/>
      <c r="T334" s="36"/>
    </row>
    <row r="335" spans="1:20" ht="15.75">
      <c r="A335" s="13">
        <v>51713</v>
      </c>
      <c r="B335" s="44">
        <v>31</v>
      </c>
      <c r="C335" s="35">
        <v>194.20500000000001</v>
      </c>
      <c r="D335" s="35">
        <v>267.46600000000001</v>
      </c>
      <c r="E335" s="41">
        <v>812.32899999999995</v>
      </c>
      <c r="F335" s="35">
        <v>1274</v>
      </c>
      <c r="G335" s="35">
        <v>50</v>
      </c>
      <c r="H335" s="43">
        <v>600</v>
      </c>
      <c r="I335" s="35">
        <v>695</v>
      </c>
      <c r="J335" s="35">
        <v>0</v>
      </c>
      <c r="K335" s="36"/>
      <c r="L335" s="36"/>
      <c r="M335" s="36"/>
      <c r="N335" s="36"/>
      <c r="O335" s="36"/>
      <c r="P335" s="36"/>
      <c r="Q335" s="36"/>
      <c r="R335" s="36"/>
      <c r="S335" s="36"/>
      <c r="T335" s="36"/>
    </row>
    <row r="336" spans="1:20" ht="15.75">
      <c r="A336" s="13">
        <v>51744</v>
      </c>
      <c r="B336" s="44">
        <v>31</v>
      </c>
      <c r="C336" s="35">
        <v>194.20500000000001</v>
      </c>
      <c r="D336" s="35">
        <v>267.46600000000001</v>
      </c>
      <c r="E336" s="41">
        <v>812.32899999999995</v>
      </c>
      <c r="F336" s="35">
        <v>1274</v>
      </c>
      <c r="G336" s="35">
        <v>50</v>
      </c>
      <c r="H336" s="43">
        <v>600</v>
      </c>
      <c r="I336" s="35">
        <v>695</v>
      </c>
      <c r="J336" s="35">
        <v>0</v>
      </c>
      <c r="K336" s="36"/>
      <c r="L336" s="36"/>
      <c r="M336" s="36"/>
      <c r="N336" s="36"/>
      <c r="O336" s="36"/>
      <c r="P336" s="36"/>
      <c r="Q336" s="36"/>
      <c r="R336" s="36"/>
      <c r="S336" s="36"/>
      <c r="T336" s="36"/>
    </row>
    <row r="337" spans="1:20" ht="15.75">
      <c r="A337" s="13">
        <v>51774</v>
      </c>
      <c r="B337" s="44">
        <v>30</v>
      </c>
      <c r="C337" s="35">
        <v>194.20500000000001</v>
      </c>
      <c r="D337" s="35">
        <v>267.46600000000001</v>
      </c>
      <c r="E337" s="41">
        <v>812.32899999999995</v>
      </c>
      <c r="F337" s="35">
        <v>1274</v>
      </c>
      <c r="G337" s="35">
        <v>50</v>
      </c>
      <c r="H337" s="43">
        <v>600</v>
      </c>
      <c r="I337" s="35">
        <v>695</v>
      </c>
      <c r="J337" s="35">
        <v>0</v>
      </c>
      <c r="K337" s="36"/>
      <c r="L337" s="36"/>
      <c r="M337" s="36"/>
      <c r="N337" s="36"/>
      <c r="O337" s="36"/>
      <c r="P337" s="36"/>
      <c r="Q337" s="36"/>
      <c r="R337" s="36"/>
      <c r="S337" s="36"/>
      <c r="T337" s="36"/>
    </row>
    <row r="338" spans="1:20" ht="15.75">
      <c r="A338" s="13">
        <v>51805</v>
      </c>
      <c r="B338" s="44">
        <v>31</v>
      </c>
      <c r="C338" s="35">
        <v>131.881</v>
      </c>
      <c r="D338" s="35">
        <v>277.16699999999997</v>
      </c>
      <c r="E338" s="41">
        <v>829.952</v>
      </c>
      <c r="F338" s="35">
        <v>1239</v>
      </c>
      <c r="G338" s="35">
        <v>75</v>
      </c>
      <c r="H338" s="43">
        <v>600</v>
      </c>
      <c r="I338" s="35">
        <v>695</v>
      </c>
      <c r="J338" s="35">
        <v>0</v>
      </c>
      <c r="K338" s="36"/>
      <c r="L338" s="36"/>
      <c r="M338" s="36"/>
      <c r="N338" s="36"/>
      <c r="O338" s="36"/>
      <c r="P338" s="36"/>
      <c r="Q338" s="36"/>
      <c r="R338" s="36"/>
      <c r="S338" s="36"/>
      <c r="T338" s="36"/>
    </row>
    <row r="339" spans="1:20" ht="15.75">
      <c r="A339" s="13">
        <v>51835</v>
      </c>
      <c r="B339" s="44">
        <v>30</v>
      </c>
      <c r="C339" s="35">
        <v>122.58</v>
      </c>
      <c r="D339" s="35">
        <v>297.94099999999997</v>
      </c>
      <c r="E339" s="41">
        <v>729.47900000000004</v>
      </c>
      <c r="F339" s="35">
        <v>1150</v>
      </c>
      <c r="G339" s="35">
        <v>100</v>
      </c>
      <c r="H339" s="43">
        <v>600</v>
      </c>
      <c r="I339" s="35">
        <v>695</v>
      </c>
      <c r="J339" s="35">
        <v>50</v>
      </c>
      <c r="K339" s="36"/>
      <c r="L339" s="36"/>
      <c r="M339" s="36"/>
      <c r="N339" s="36"/>
      <c r="O339" s="36"/>
      <c r="P339" s="36"/>
      <c r="Q339" s="36"/>
      <c r="R339" s="36"/>
      <c r="S339" s="36"/>
      <c r="T339" s="36"/>
    </row>
    <row r="340" spans="1:20" ht="15.75">
      <c r="A340" s="13">
        <v>51866</v>
      </c>
      <c r="B340" s="44">
        <v>31</v>
      </c>
      <c r="C340" s="35">
        <v>122.58</v>
      </c>
      <c r="D340" s="35">
        <v>297.94099999999997</v>
      </c>
      <c r="E340" s="41">
        <v>729.47900000000004</v>
      </c>
      <c r="F340" s="35">
        <v>1150</v>
      </c>
      <c r="G340" s="35">
        <v>100</v>
      </c>
      <c r="H340" s="43">
        <v>600</v>
      </c>
      <c r="I340" s="35">
        <v>695</v>
      </c>
      <c r="J340" s="35">
        <v>50</v>
      </c>
      <c r="K340" s="36"/>
      <c r="L340" s="36"/>
      <c r="M340" s="36"/>
      <c r="N340" s="36"/>
      <c r="O340" s="36"/>
      <c r="P340" s="36"/>
      <c r="Q340" s="36"/>
      <c r="R340" s="36"/>
      <c r="S340" s="36"/>
      <c r="T340" s="36"/>
    </row>
    <row r="341" spans="1:20" ht="15.75">
      <c r="A341" s="13">
        <v>51897</v>
      </c>
      <c r="B341" s="44">
        <v>31</v>
      </c>
      <c r="C341" s="35">
        <v>122.58</v>
      </c>
      <c r="D341" s="35">
        <v>297.94099999999997</v>
      </c>
      <c r="E341" s="41">
        <v>729.47900000000004</v>
      </c>
      <c r="F341" s="35">
        <v>1150</v>
      </c>
      <c r="G341" s="35">
        <v>100</v>
      </c>
      <c r="H341" s="43">
        <v>600</v>
      </c>
      <c r="I341" s="35">
        <v>695</v>
      </c>
      <c r="J341" s="35">
        <v>50</v>
      </c>
      <c r="K341" s="36"/>
      <c r="L341" s="36"/>
      <c r="M341" s="36"/>
      <c r="N341" s="36"/>
      <c r="O341" s="36"/>
      <c r="P341" s="36"/>
      <c r="Q341" s="36"/>
      <c r="R341" s="36"/>
      <c r="S341" s="36"/>
      <c r="T341" s="36"/>
    </row>
    <row r="342" spans="1:20" ht="15.75">
      <c r="A342" s="13">
        <v>51925</v>
      </c>
      <c r="B342" s="44">
        <v>28</v>
      </c>
      <c r="C342" s="35">
        <v>122.58</v>
      </c>
      <c r="D342" s="35">
        <v>297.94099999999997</v>
      </c>
      <c r="E342" s="41">
        <v>729.47900000000004</v>
      </c>
      <c r="F342" s="35">
        <v>1150</v>
      </c>
      <c r="G342" s="35">
        <v>100</v>
      </c>
      <c r="H342" s="43">
        <v>600</v>
      </c>
      <c r="I342" s="35">
        <v>695</v>
      </c>
      <c r="J342" s="35">
        <v>50</v>
      </c>
      <c r="K342" s="36"/>
      <c r="L342" s="36"/>
      <c r="M342" s="36"/>
      <c r="N342" s="36"/>
      <c r="O342" s="36"/>
      <c r="P342" s="36"/>
      <c r="Q342" s="36"/>
      <c r="R342" s="36"/>
      <c r="S342" s="36"/>
      <c r="T342" s="36"/>
    </row>
    <row r="343" spans="1:20" ht="15.75">
      <c r="A343" s="13">
        <v>51956</v>
      </c>
      <c r="B343" s="44">
        <v>31</v>
      </c>
      <c r="C343" s="35">
        <v>122.58</v>
      </c>
      <c r="D343" s="35">
        <v>297.94099999999997</v>
      </c>
      <c r="E343" s="41">
        <v>729.47900000000004</v>
      </c>
      <c r="F343" s="35">
        <v>1150</v>
      </c>
      <c r="G343" s="35">
        <v>100</v>
      </c>
      <c r="H343" s="43">
        <v>600</v>
      </c>
      <c r="I343" s="35">
        <v>695</v>
      </c>
      <c r="J343" s="35">
        <v>50</v>
      </c>
      <c r="K343" s="36"/>
      <c r="L343" s="36"/>
      <c r="M343" s="36"/>
      <c r="N343" s="36"/>
      <c r="O343" s="36"/>
      <c r="P343" s="36"/>
      <c r="Q343" s="36"/>
      <c r="R343" s="36"/>
      <c r="S343" s="36"/>
      <c r="T343" s="36"/>
    </row>
    <row r="344" spans="1:20" ht="15.75">
      <c r="A344" s="13">
        <v>51986</v>
      </c>
      <c r="B344" s="44">
        <v>30</v>
      </c>
      <c r="C344" s="35">
        <v>141.29300000000001</v>
      </c>
      <c r="D344" s="35">
        <v>267.99299999999999</v>
      </c>
      <c r="E344" s="41">
        <v>829.71400000000006</v>
      </c>
      <c r="F344" s="35">
        <v>1239</v>
      </c>
      <c r="G344" s="35">
        <v>100</v>
      </c>
      <c r="H344" s="43">
        <v>600</v>
      </c>
      <c r="I344" s="35">
        <v>695</v>
      </c>
      <c r="J344" s="35">
        <v>50</v>
      </c>
      <c r="K344" s="36"/>
      <c r="L344" s="36"/>
      <c r="M344" s="36"/>
      <c r="N344" s="36"/>
      <c r="O344" s="36"/>
      <c r="P344" s="36"/>
      <c r="Q344" s="36"/>
      <c r="R344" s="36"/>
      <c r="S344" s="36"/>
      <c r="T344" s="36"/>
    </row>
    <row r="345" spans="1:20" ht="15.75">
      <c r="A345" s="13">
        <v>52017</v>
      </c>
      <c r="B345" s="44">
        <v>31</v>
      </c>
      <c r="C345" s="35">
        <v>194.20500000000001</v>
      </c>
      <c r="D345" s="35">
        <v>267.46600000000001</v>
      </c>
      <c r="E345" s="41">
        <v>812.32899999999995</v>
      </c>
      <c r="F345" s="35">
        <v>1274</v>
      </c>
      <c r="G345" s="35">
        <v>75</v>
      </c>
      <c r="H345" s="43">
        <v>600</v>
      </c>
      <c r="I345" s="35">
        <v>695</v>
      </c>
      <c r="J345" s="35">
        <v>50</v>
      </c>
      <c r="K345" s="36"/>
      <c r="L345" s="36"/>
      <c r="M345" s="36"/>
      <c r="N345" s="36"/>
      <c r="O345" s="36"/>
      <c r="P345" s="36"/>
      <c r="Q345" s="36"/>
      <c r="R345" s="36"/>
      <c r="S345" s="36"/>
      <c r="T345" s="36"/>
    </row>
    <row r="346" spans="1:20" ht="15.75">
      <c r="A346" s="13">
        <v>52047</v>
      </c>
      <c r="B346" s="44">
        <v>30</v>
      </c>
      <c r="C346" s="35">
        <v>194.20500000000001</v>
      </c>
      <c r="D346" s="35">
        <v>267.46600000000001</v>
      </c>
      <c r="E346" s="41">
        <v>812.32899999999995</v>
      </c>
      <c r="F346" s="35">
        <v>1274</v>
      </c>
      <c r="G346" s="35">
        <v>50</v>
      </c>
      <c r="H346" s="43">
        <v>600</v>
      </c>
      <c r="I346" s="35">
        <v>695</v>
      </c>
      <c r="J346" s="35">
        <v>50</v>
      </c>
      <c r="K346" s="36"/>
      <c r="L346" s="36"/>
      <c r="M346" s="36"/>
      <c r="N346" s="36"/>
      <c r="O346" s="36"/>
      <c r="P346" s="36"/>
      <c r="Q346" s="36"/>
      <c r="R346" s="36"/>
      <c r="S346" s="36"/>
      <c r="T346" s="36"/>
    </row>
    <row r="347" spans="1:20" ht="15.75">
      <c r="A347" s="13">
        <v>52078</v>
      </c>
      <c r="B347" s="44">
        <v>31</v>
      </c>
      <c r="C347" s="35">
        <v>194.20500000000001</v>
      </c>
      <c r="D347" s="35">
        <v>267.46600000000001</v>
      </c>
      <c r="E347" s="41">
        <v>812.32899999999995</v>
      </c>
      <c r="F347" s="35">
        <v>1274</v>
      </c>
      <c r="G347" s="35">
        <v>50</v>
      </c>
      <c r="H347" s="43">
        <v>600</v>
      </c>
      <c r="I347" s="35">
        <v>695</v>
      </c>
      <c r="J347" s="35">
        <v>0</v>
      </c>
      <c r="K347" s="36"/>
      <c r="L347" s="36"/>
      <c r="M347" s="36"/>
      <c r="N347" s="36"/>
      <c r="O347" s="36"/>
      <c r="P347" s="36"/>
      <c r="Q347" s="36"/>
      <c r="R347" s="36"/>
      <c r="S347" s="36"/>
      <c r="T347" s="36"/>
    </row>
    <row r="348" spans="1:20" ht="15.75">
      <c r="A348" s="13">
        <v>52109</v>
      </c>
      <c r="B348" s="44">
        <v>31</v>
      </c>
      <c r="C348" s="35">
        <v>194.20500000000001</v>
      </c>
      <c r="D348" s="35">
        <v>267.46600000000001</v>
      </c>
      <c r="E348" s="41">
        <v>812.32899999999995</v>
      </c>
      <c r="F348" s="35">
        <v>1274</v>
      </c>
      <c r="G348" s="35">
        <v>50</v>
      </c>
      <c r="H348" s="43">
        <v>600</v>
      </c>
      <c r="I348" s="35">
        <v>695</v>
      </c>
      <c r="J348" s="35">
        <v>0</v>
      </c>
      <c r="K348" s="36"/>
      <c r="L348" s="36"/>
      <c r="M348" s="36"/>
      <c r="N348" s="36"/>
      <c r="O348" s="36"/>
      <c r="P348" s="36"/>
      <c r="Q348" s="36"/>
      <c r="R348" s="36"/>
      <c r="S348" s="36"/>
      <c r="T348" s="36"/>
    </row>
    <row r="349" spans="1:20" ht="15.75">
      <c r="A349" s="13">
        <v>52139</v>
      </c>
      <c r="B349" s="44">
        <v>30</v>
      </c>
      <c r="C349" s="35">
        <v>194.20500000000001</v>
      </c>
      <c r="D349" s="35">
        <v>267.46600000000001</v>
      </c>
      <c r="E349" s="41">
        <v>812.32899999999995</v>
      </c>
      <c r="F349" s="35">
        <v>1274</v>
      </c>
      <c r="G349" s="35">
        <v>50</v>
      </c>
      <c r="H349" s="43">
        <v>600</v>
      </c>
      <c r="I349" s="35">
        <v>695</v>
      </c>
      <c r="J349" s="35">
        <v>0</v>
      </c>
      <c r="K349" s="36"/>
      <c r="L349" s="36"/>
      <c r="M349" s="36"/>
      <c r="N349" s="36"/>
      <c r="O349" s="36"/>
      <c r="P349" s="36"/>
      <c r="Q349" s="36"/>
      <c r="R349" s="36"/>
      <c r="S349" s="36"/>
      <c r="T349" s="36"/>
    </row>
    <row r="350" spans="1:20" ht="15.75">
      <c r="A350" s="13">
        <v>52170</v>
      </c>
      <c r="B350" s="44">
        <v>31</v>
      </c>
      <c r="C350" s="35">
        <v>131.881</v>
      </c>
      <c r="D350" s="35">
        <v>277.16699999999997</v>
      </c>
      <c r="E350" s="41">
        <v>829.952</v>
      </c>
      <c r="F350" s="35">
        <v>1239</v>
      </c>
      <c r="G350" s="35">
        <v>75</v>
      </c>
      <c r="H350" s="43">
        <v>600</v>
      </c>
      <c r="I350" s="35">
        <v>695</v>
      </c>
      <c r="J350" s="35">
        <v>0</v>
      </c>
      <c r="K350" s="36"/>
      <c r="L350" s="36"/>
      <c r="M350" s="36"/>
      <c r="N350" s="36"/>
      <c r="O350" s="36"/>
      <c r="P350" s="36"/>
      <c r="Q350" s="36"/>
      <c r="R350" s="36"/>
      <c r="S350" s="36"/>
      <c r="T350" s="36"/>
    </row>
    <row r="351" spans="1:20" ht="15.75">
      <c r="A351" s="13">
        <v>52200</v>
      </c>
      <c r="B351" s="44">
        <v>30</v>
      </c>
      <c r="C351" s="35">
        <v>122.58</v>
      </c>
      <c r="D351" s="35">
        <v>297.94099999999997</v>
      </c>
      <c r="E351" s="41">
        <v>729.47900000000004</v>
      </c>
      <c r="F351" s="35">
        <v>1150</v>
      </c>
      <c r="G351" s="35">
        <v>100</v>
      </c>
      <c r="H351" s="43">
        <v>600</v>
      </c>
      <c r="I351" s="35">
        <v>695</v>
      </c>
      <c r="J351" s="35">
        <v>50</v>
      </c>
      <c r="K351" s="36"/>
      <c r="L351" s="36"/>
      <c r="M351" s="36"/>
      <c r="N351" s="36"/>
      <c r="O351" s="36"/>
      <c r="P351" s="36"/>
      <c r="Q351" s="36"/>
      <c r="R351" s="36"/>
      <c r="S351" s="36"/>
      <c r="T351" s="36"/>
    </row>
    <row r="352" spans="1:20" ht="15.75">
      <c r="A352" s="13">
        <v>52231</v>
      </c>
      <c r="B352" s="44">
        <v>31</v>
      </c>
      <c r="C352" s="35">
        <v>122.58</v>
      </c>
      <c r="D352" s="35">
        <v>297.94099999999997</v>
      </c>
      <c r="E352" s="41">
        <v>729.47900000000004</v>
      </c>
      <c r="F352" s="35">
        <v>1150</v>
      </c>
      <c r="G352" s="35">
        <v>100</v>
      </c>
      <c r="H352" s="43">
        <v>600</v>
      </c>
      <c r="I352" s="35">
        <v>695</v>
      </c>
      <c r="J352" s="35">
        <v>50</v>
      </c>
      <c r="K352" s="36"/>
      <c r="L352" s="36"/>
      <c r="M352" s="36"/>
      <c r="N352" s="36"/>
      <c r="O352" s="36"/>
      <c r="P352" s="36"/>
      <c r="Q352" s="36"/>
      <c r="R352" s="36"/>
      <c r="S352" s="36"/>
      <c r="T352" s="36"/>
    </row>
    <row r="353" spans="1:20" ht="15.75">
      <c r="A353" s="13">
        <v>52262</v>
      </c>
      <c r="B353" s="44">
        <v>31</v>
      </c>
      <c r="C353" s="35">
        <v>122.58</v>
      </c>
      <c r="D353" s="35">
        <v>297.94099999999997</v>
      </c>
      <c r="E353" s="41">
        <v>729.47900000000004</v>
      </c>
      <c r="F353" s="35">
        <v>1150</v>
      </c>
      <c r="G353" s="35">
        <v>100</v>
      </c>
      <c r="H353" s="43">
        <v>600</v>
      </c>
      <c r="I353" s="35">
        <v>695</v>
      </c>
      <c r="J353" s="35">
        <v>50</v>
      </c>
      <c r="K353" s="36"/>
      <c r="L353" s="36"/>
      <c r="M353" s="36"/>
      <c r="N353" s="36"/>
      <c r="O353" s="36"/>
      <c r="P353" s="36"/>
      <c r="Q353" s="36"/>
      <c r="R353" s="36"/>
      <c r="S353" s="36"/>
      <c r="T353" s="36"/>
    </row>
    <row r="354" spans="1:20" ht="15.75">
      <c r="A354" s="13">
        <v>52290</v>
      </c>
      <c r="B354" s="44">
        <v>28</v>
      </c>
      <c r="C354" s="35">
        <v>122.58</v>
      </c>
      <c r="D354" s="35">
        <v>297.94099999999997</v>
      </c>
      <c r="E354" s="41">
        <v>729.47900000000004</v>
      </c>
      <c r="F354" s="35">
        <v>1150</v>
      </c>
      <c r="G354" s="35">
        <v>100</v>
      </c>
      <c r="H354" s="43">
        <v>600</v>
      </c>
      <c r="I354" s="35">
        <v>695</v>
      </c>
      <c r="J354" s="35">
        <v>50</v>
      </c>
      <c r="K354" s="36"/>
      <c r="L354" s="36"/>
      <c r="M354" s="36"/>
      <c r="N354" s="36"/>
      <c r="O354" s="36"/>
      <c r="P354" s="36"/>
      <c r="Q354" s="36"/>
      <c r="R354" s="36"/>
      <c r="S354" s="36"/>
      <c r="T354" s="36"/>
    </row>
    <row r="355" spans="1:20" ht="15.75">
      <c r="A355" s="13">
        <v>52321</v>
      </c>
      <c r="B355" s="44">
        <v>31</v>
      </c>
      <c r="C355" s="35">
        <v>122.58</v>
      </c>
      <c r="D355" s="35">
        <v>297.94099999999997</v>
      </c>
      <c r="E355" s="41">
        <v>729.47900000000004</v>
      </c>
      <c r="F355" s="35">
        <v>1150</v>
      </c>
      <c r="G355" s="35">
        <v>100</v>
      </c>
      <c r="H355" s="43">
        <v>600</v>
      </c>
      <c r="I355" s="35">
        <v>695</v>
      </c>
      <c r="J355" s="35">
        <v>50</v>
      </c>
      <c r="K355" s="36"/>
      <c r="L355" s="36"/>
      <c r="M355" s="36"/>
      <c r="N355" s="36"/>
      <c r="O355" s="36"/>
      <c r="P355" s="36"/>
      <c r="Q355" s="36"/>
      <c r="R355" s="36"/>
      <c r="S355" s="36"/>
      <c r="T355" s="36"/>
    </row>
    <row r="356" spans="1:20" ht="15.75">
      <c r="A356" s="13">
        <v>52351</v>
      </c>
      <c r="B356" s="44">
        <v>30</v>
      </c>
      <c r="C356" s="35">
        <v>141.29300000000001</v>
      </c>
      <c r="D356" s="35">
        <v>267.99299999999999</v>
      </c>
      <c r="E356" s="41">
        <v>829.71400000000006</v>
      </c>
      <c r="F356" s="35">
        <v>1239</v>
      </c>
      <c r="G356" s="35">
        <v>100</v>
      </c>
      <c r="H356" s="43">
        <v>600</v>
      </c>
      <c r="I356" s="35">
        <v>695</v>
      </c>
      <c r="J356" s="35">
        <v>50</v>
      </c>
      <c r="K356" s="36"/>
      <c r="L356" s="36"/>
      <c r="M356" s="36"/>
      <c r="N356" s="36"/>
      <c r="O356" s="36"/>
      <c r="P356" s="36"/>
      <c r="Q356" s="36"/>
      <c r="R356" s="36"/>
      <c r="S356" s="36"/>
      <c r="T356" s="36"/>
    </row>
    <row r="357" spans="1:20" ht="15.75">
      <c r="A357" s="13">
        <v>52382</v>
      </c>
      <c r="B357" s="44">
        <v>31</v>
      </c>
      <c r="C357" s="35">
        <v>194.20500000000001</v>
      </c>
      <c r="D357" s="35">
        <v>267.46600000000001</v>
      </c>
      <c r="E357" s="41">
        <v>812.32899999999995</v>
      </c>
      <c r="F357" s="35">
        <v>1274</v>
      </c>
      <c r="G357" s="35">
        <v>75</v>
      </c>
      <c r="H357" s="43">
        <v>600</v>
      </c>
      <c r="I357" s="35">
        <v>695</v>
      </c>
      <c r="J357" s="35">
        <v>50</v>
      </c>
      <c r="K357" s="36"/>
      <c r="L357" s="36"/>
      <c r="M357" s="36"/>
      <c r="N357" s="36"/>
      <c r="O357" s="36"/>
      <c r="P357" s="36"/>
      <c r="Q357" s="36"/>
      <c r="R357" s="36"/>
      <c r="S357" s="36"/>
      <c r="T357" s="36"/>
    </row>
    <row r="358" spans="1:20" ht="15.75">
      <c r="A358" s="13">
        <v>52412</v>
      </c>
      <c r="B358" s="44">
        <v>30</v>
      </c>
      <c r="C358" s="35">
        <v>194.20500000000001</v>
      </c>
      <c r="D358" s="35">
        <v>267.46600000000001</v>
      </c>
      <c r="E358" s="41">
        <v>812.32899999999995</v>
      </c>
      <c r="F358" s="35">
        <v>1274</v>
      </c>
      <c r="G358" s="35">
        <v>50</v>
      </c>
      <c r="H358" s="43">
        <v>600</v>
      </c>
      <c r="I358" s="35">
        <v>695</v>
      </c>
      <c r="J358" s="35">
        <v>50</v>
      </c>
      <c r="K358" s="36"/>
      <c r="L358" s="36"/>
      <c r="M358" s="36"/>
      <c r="N358" s="36"/>
      <c r="O358" s="36"/>
      <c r="P358" s="36"/>
      <c r="Q358" s="36"/>
      <c r="R358" s="36"/>
      <c r="S358" s="36"/>
      <c r="T358" s="36"/>
    </row>
    <row r="359" spans="1:20" ht="15.75">
      <c r="A359" s="13">
        <v>52443</v>
      </c>
      <c r="B359" s="44">
        <v>31</v>
      </c>
      <c r="C359" s="35">
        <v>194.20500000000001</v>
      </c>
      <c r="D359" s="35">
        <v>267.46600000000001</v>
      </c>
      <c r="E359" s="41">
        <v>812.32899999999995</v>
      </c>
      <c r="F359" s="35">
        <v>1274</v>
      </c>
      <c r="G359" s="35">
        <v>50</v>
      </c>
      <c r="H359" s="43">
        <v>600</v>
      </c>
      <c r="I359" s="35">
        <v>695</v>
      </c>
      <c r="J359" s="35">
        <v>0</v>
      </c>
      <c r="K359" s="36"/>
      <c r="L359" s="36"/>
      <c r="M359" s="36"/>
      <c r="N359" s="36"/>
      <c r="O359" s="36"/>
      <c r="P359" s="36"/>
      <c r="Q359" s="36"/>
      <c r="R359" s="36"/>
      <c r="S359" s="36"/>
      <c r="T359" s="36"/>
    </row>
    <row r="360" spans="1:20" ht="15.75">
      <c r="A360" s="13">
        <v>52474</v>
      </c>
      <c r="B360" s="44">
        <v>31</v>
      </c>
      <c r="C360" s="35">
        <v>194.20500000000001</v>
      </c>
      <c r="D360" s="35">
        <v>267.46600000000001</v>
      </c>
      <c r="E360" s="41">
        <v>812.32899999999995</v>
      </c>
      <c r="F360" s="35">
        <v>1274</v>
      </c>
      <c r="G360" s="35">
        <v>50</v>
      </c>
      <c r="H360" s="43">
        <v>600</v>
      </c>
      <c r="I360" s="35">
        <v>695</v>
      </c>
      <c r="J360" s="35">
        <v>0</v>
      </c>
      <c r="K360" s="36"/>
      <c r="L360" s="36"/>
      <c r="M360" s="36"/>
      <c r="N360" s="36"/>
      <c r="O360" s="36"/>
      <c r="P360" s="36"/>
      <c r="Q360" s="36"/>
      <c r="R360" s="36"/>
      <c r="S360" s="36"/>
      <c r="T360" s="36"/>
    </row>
    <row r="361" spans="1:20" ht="15.75">
      <c r="A361" s="13">
        <v>52504</v>
      </c>
      <c r="B361" s="44">
        <v>30</v>
      </c>
      <c r="C361" s="35">
        <v>194.20500000000001</v>
      </c>
      <c r="D361" s="35">
        <v>267.46600000000001</v>
      </c>
      <c r="E361" s="41">
        <v>812.32899999999995</v>
      </c>
      <c r="F361" s="35">
        <v>1274</v>
      </c>
      <c r="G361" s="35">
        <v>50</v>
      </c>
      <c r="H361" s="43">
        <v>600</v>
      </c>
      <c r="I361" s="35">
        <v>695</v>
      </c>
      <c r="J361" s="35">
        <v>0</v>
      </c>
      <c r="K361" s="36"/>
      <c r="L361" s="36"/>
      <c r="M361" s="36"/>
      <c r="N361" s="36"/>
      <c r="O361" s="36"/>
      <c r="P361" s="36"/>
      <c r="Q361" s="36"/>
      <c r="R361" s="36"/>
      <c r="S361" s="36"/>
      <c r="T361" s="36"/>
    </row>
    <row r="362" spans="1:20" ht="15.75">
      <c r="A362" s="13">
        <v>52535</v>
      </c>
      <c r="B362" s="44">
        <v>31</v>
      </c>
      <c r="C362" s="35">
        <v>131.881</v>
      </c>
      <c r="D362" s="35">
        <v>277.16699999999997</v>
      </c>
      <c r="E362" s="41">
        <v>829.952</v>
      </c>
      <c r="F362" s="35">
        <v>1239</v>
      </c>
      <c r="G362" s="35">
        <v>75</v>
      </c>
      <c r="H362" s="43">
        <v>600</v>
      </c>
      <c r="I362" s="35">
        <v>695</v>
      </c>
      <c r="J362" s="35">
        <v>0</v>
      </c>
      <c r="K362" s="36"/>
      <c r="L362" s="36"/>
      <c r="M362" s="36"/>
      <c r="N362" s="36"/>
      <c r="O362" s="36"/>
      <c r="P362" s="36"/>
      <c r="Q362" s="36"/>
      <c r="R362" s="36"/>
      <c r="S362" s="36"/>
      <c r="T362" s="36"/>
    </row>
    <row r="363" spans="1:20" ht="15.75">
      <c r="A363" s="13">
        <v>52565</v>
      </c>
      <c r="B363" s="44">
        <v>30</v>
      </c>
      <c r="C363" s="35">
        <v>122.58</v>
      </c>
      <c r="D363" s="35">
        <v>297.94099999999997</v>
      </c>
      <c r="E363" s="41">
        <v>729.47900000000004</v>
      </c>
      <c r="F363" s="35">
        <v>1150</v>
      </c>
      <c r="G363" s="35">
        <v>100</v>
      </c>
      <c r="H363" s="43">
        <v>600</v>
      </c>
      <c r="I363" s="35">
        <v>695</v>
      </c>
      <c r="J363" s="35">
        <v>50</v>
      </c>
      <c r="K363" s="36"/>
      <c r="L363" s="36"/>
      <c r="M363" s="36"/>
      <c r="N363" s="36"/>
      <c r="O363" s="36"/>
      <c r="P363" s="36"/>
      <c r="Q363" s="36"/>
      <c r="R363" s="36"/>
      <c r="S363" s="36"/>
      <c r="T363" s="36"/>
    </row>
    <row r="364" spans="1:20" ht="15.75">
      <c r="A364" s="13">
        <v>52596</v>
      </c>
      <c r="B364" s="44">
        <v>31</v>
      </c>
      <c r="C364" s="35">
        <v>122.58</v>
      </c>
      <c r="D364" s="35">
        <v>297.94099999999997</v>
      </c>
      <c r="E364" s="41">
        <v>729.47900000000004</v>
      </c>
      <c r="F364" s="35">
        <v>1150</v>
      </c>
      <c r="G364" s="35">
        <v>100</v>
      </c>
      <c r="H364" s="43">
        <v>600</v>
      </c>
      <c r="I364" s="35">
        <v>695</v>
      </c>
      <c r="J364" s="35">
        <v>50</v>
      </c>
      <c r="K364" s="36"/>
      <c r="L364" s="36"/>
      <c r="M364" s="36"/>
      <c r="N364" s="36"/>
      <c r="O364" s="36"/>
      <c r="P364" s="36"/>
      <c r="Q364" s="36"/>
      <c r="R364" s="36"/>
      <c r="S364" s="36"/>
      <c r="T364" s="36"/>
    </row>
    <row r="365" spans="1:20" ht="15.75">
      <c r="A365" s="13">
        <v>52627</v>
      </c>
      <c r="B365" s="44">
        <v>31</v>
      </c>
      <c r="C365" s="35">
        <v>122.58</v>
      </c>
      <c r="D365" s="35">
        <v>297.94099999999997</v>
      </c>
      <c r="E365" s="41">
        <v>729.47900000000004</v>
      </c>
      <c r="F365" s="35">
        <v>1150</v>
      </c>
      <c r="G365" s="35">
        <v>100</v>
      </c>
      <c r="H365" s="43">
        <v>600</v>
      </c>
      <c r="I365" s="35">
        <v>695</v>
      </c>
      <c r="J365" s="35">
        <v>50</v>
      </c>
      <c r="K365" s="36"/>
      <c r="L365" s="36"/>
      <c r="M365" s="36"/>
      <c r="N365" s="36"/>
      <c r="O365" s="36"/>
      <c r="P365" s="36"/>
      <c r="Q365" s="36"/>
      <c r="R365" s="36"/>
      <c r="S365" s="36"/>
      <c r="T365" s="36"/>
    </row>
    <row r="366" spans="1:20" ht="15.75">
      <c r="A366" s="13">
        <v>52655</v>
      </c>
      <c r="B366" s="44">
        <v>29</v>
      </c>
      <c r="C366" s="35">
        <v>122.58</v>
      </c>
      <c r="D366" s="35">
        <v>297.94099999999997</v>
      </c>
      <c r="E366" s="41">
        <v>729.47900000000004</v>
      </c>
      <c r="F366" s="35">
        <v>1150</v>
      </c>
      <c r="G366" s="35">
        <v>100</v>
      </c>
      <c r="H366" s="43">
        <v>600</v>
      </c>
      <c r="I366" s="35">
        <v>695</v>
      </c>
      <c r="J366" s="35">
        <v>50</v>
      </c>
      <c r="K366" s="36"/>
      <c r="L366" s="36"/>
      <c r="M366" s="36"/>
      <c r="N366" s="36"/>
      <c r="O366" s="36"/>
      <c r="P366" s="36"/>
      <c r="Q366" s="36"/>
      <c r="R366" s="36"/>
      <c r="S366" s="36"/>
      <c r="T366" s="36"/>
    </row>
    <row r="367" spans="1:20" ht="15.75">
      <c r="A367" s="13">
        <v>52687</v>
      </c>
      <c r="B367" s="44">
        <v>31</v>
      </c>
      <c r="C367" s="35">
        <v>122.58</v>
      </c>
      <c r="D367" s="35">
        <v>297.94099999999997</v>
      </c>
      <c r="E367" s="41">
        <v>729.47900000000004</v>
      </c>
      <c r="F367" s="35">
        <v>1150</v>
      </c>
      <c r="G367" s="35">
        <v>100</v>
      </c>
      <c r="H367" s="43">
        <v>600</v>
      </c>
      <c r="I367" s="35">
        <v>695</v>
      </c>
      <c r="J367" s="35">
        <v>50</v>
      </c>
      <c r="K367" s="36"/>
      <c r="L367" s="36"/>
      <c r="M367" s="36"/>
      <c r="N367" s="36"/>
      <c r="O367" s="36"/>
      <c r="P367" s="36"/>
      <c r="Q367" s="36"/>
      <c r="R367" s="36"/>
      <c r="S367" s="36"/>
      <c r="T367" s="36"/>
    </row>
    <row r="368" spans="1:20" ht="15.75">
      <c r="A368" s="13">
        <v>52717</v>
      </c>
      <c r="B368" s="44">
        <v>30</v>
      </c>
      <c r="C368" s="35">
        <v>141.29300000000001</v>
      </c>
      <c r="D368" s="35">
        <v>267.99299999999999</v>
      </c>
      <c r="E368" s="41">
        <v>829.71400000000006</v>
      </c>
      <c r="F368" s="35">
        <v>1239</v>
      </c>
      <c r="G368" s="35">
        <v>100</v>
      </c>
      <c r="H368" s="43">
        <v>600</v>
      </c>
      <c r="I368" s="35">
        <v>695</v>
      </c>
      <c r="J368" s="35">
        <v>50</v>
      </c>
      <c r="K368" s="36"/>
      <c r="L368" s="36"/>
      <c r="M368" s="36"/>
      <c r="N368" s="36"/>
      <c r="O368" s="36"/>
      <c r="P368" s="36"/>
      <c r="Q368" s="36"/>
      <c r="R368" s="36"/>
      <c r="S368" s="36"/>
      <c r="T368" s="36"/>
    </row>
    <row r="369" spans="1:20" ht="15.75">
      <c r="A369" s="13">
        <v>52748</v>
      </c>
      <c r="B369" s="44">
        <v>31</v>
      </c>
      <c r="C369" s="35">
        <v>194.20500000000001</v>
      </c>
      <c r="D369" s="35">
        <v>267.46600000000001</v>
      </c>
      <c r="E369" s="41">
        <v>812.32899999999995</v>
      </c>
      <c r="F369" s="35">
        <v>1274</v>
      </c>
      <c r="G369" s="35">
        <v>75</v>
      </c>
      <c r="H369" s="43">
        <v>600</v>
      </c>
      <c r="I369" s="35">
        <v>695</v>
      </c>
      <c r="J369" s="35">
        <v>50</v>
      </c>
      <c r="K369" s="36"/>
      <c r="L369" s="36"/>
      <c r="M369" s="36"/>
      <c r="N369" s="36"/>
      <c r="O369" s="36"/>
      <c r="P369" s="36"/>
      <c r="Q369" s="36"/>
      <c r="R369" s="36"/>
      <c r="S369" s="36"/>
      <c r="T369" s="36"/>
    </row>
    <row r="370" spans="1:20" ht="15.75">
      <c r="A370" s="13">
        <v>52778</v>
      </c>
      <c r="B370" s="44">
        <v>30</v>
      </c>
      <c r="C370" s="35">
        <v>194.20500000000001</v>
      </c>
      <c r="D370" s="35">
        <v>267.46600000000001</v>
      </c>
      <c r="E370" s="41">
        <v>812.32899999999995</v>
      </c>
      <c r="F370" s="35">
        <v>1274</v>
      </c>
      <c r="G370" s="35">
        <v>50</v>
      </c>
      <c r="H370" s="43">
        <v>600</v>
      </c>
      <c r="I370" s="35">
        <v>695</v>
      </c>
      <c r="J370" s="35">
        <v>50</v>
      </c>
      <c r="K370" s="36"/>
      <c r="L370" s="36"/>
      <c r="M370" s="36"/>
      <c r="N370" s="36"/>
      <c r="O370" s="36"/>
      <c r="P370" s="36"/>
      <c r="Q370" s="36"/>
      <c r="R370" s="36"/>
      <c r="S370" s="36"/>
      <c r="T370" s="36"/>
    </row>
    <row r="371" spans="1:20" ht="15.75">
      <c r="A371" s="13">
        <v>52809</v>
      </c>
      <c r="B371" s="44">
        <v>31</v>
      </c>
      <c r="C371" s="35">
        <v>194.20500000000001</v>
      </c>
      <c r="D371" s="35">
        <v>267.46600000000001</v>
      </c>
      <c r="E371" s="41">
        <v>812.32899999999995</v>
      </c>
      <c r="F371" s="35">
        <v>1274</v>
      </c>
      <c r="G371" s="35">
        <v>50</v>
      </c>
      <c r="H371" s="43">
        <v>600</v>
      </c>
      <c r="I371" s="35">
        <v>695</v>
      </c>
      <c r="J371" s="35">
        <v>0</v>
      </c>
      <c r="K371" s="36"/>
      <c r="L371" s="36"/>
      <c r="M371" s="36"/>
      <c r="N371" s="36"/>
      <c r="O371" s="36"/>
      <c r="P371" s="36"/>
      <c r="Q371" s="36"/>
      <c r="R371" s="36"/>
      <c r="S371" s="36"/>
      <c r="T371" s="36"/>
    </row>
    <row r="372" spans="1:20" ht="15.75">
      <c r="A372" s="13">
        <v>52840</v>
      </c>
      <c r="B372" s="44">
        <v>31</v>
      </c>
      <c r="C372" s="35">
        <v>194.20500000000001</v>
      </c>
      <c r="D372" s="35">
        <v>267.46600000000001</v>
      </c>
      <c r="E372" s="41">
        <v>812.32899999999995</v>
      </c>
      <c r="F372" s="35">
        <v>1274</v>
      </c>
      <c r="G372" s="35">
        <v>50</v>
      </c>
      <c r="H372" s="43">
        <v>600</v>
      </c>
      <c r="I372" s="35">
        <v>695</v>
      </c>
      <c r="J372" s="35">
        <v>0</v>
      </c>
      <c r="K372" s="36"/>
      <c r="L372" s="36"/>
      <c r="M372" s="36"/>
      <c r="N372" s="36"/>
      <c r="O372" s="36"/>
      <c r="P372" s="36"/>
      <c r="Q372" s="36"/>
      <c r="R372" s="36"/>
      <c r="S372" s="36"/>
      <c r="T372" s="36"/>
    </row>
    <row r="373" spans="1:20" ht="15.75">
      <c r="A373" s="13">
        <v>52870</v>
      </c>
      <c r="B373" s="44">
        <v>30</v>
      </c>
      <c r="C373" s="35">
        <v>194.20500000000001</v>
      </c>
      <c r="D373" s="35">
        <v>267.46600000000001</v>
      </c>
      <c r="E373" s="41">
        <v>812.32899999999995</v>
      </c>
      <c r="F373" s="35">
        <v>1274</v>
      </c>
      <c r="G373" s="35">
        <v>50</v>
      </c>
      <c r="H373" s="43">
        <v>600</v>
      </c>
      <c r="I373" s="35">
        <v>695</v>
      </c>
      <c r="J373" s="35">
        <v>0</v>
      </c>
      <c r="K373" s="36"/>
      <c r="L373" s="36"/>
      <c r="M373" s="36"/>
      <c r="N373" s="36"/>
      <c r="O373" s="36"/>
      <c r="P373" s="36"/>
      <c r="Q373" s="36"/>
      <c r="R373" s="36"/>
      <c r="S373" s="36"/>
      <c r="T373" s="36"/>
    </row>
    <row r="374" spans="1:20" ht="15.75">
      <c r="A374" s="13">
        <v>52901</v>
      </c>
      <c r="B374" s="44">
        <v>31</v>
      </c>
      <c r="C374" s="35">
        <v>131.881</v>
      </c>
      <c r="D374" s="35">
        <v>277.16699999999997</v>
      </c>
      <c r="E374" s="41">
        <v>829.952</v>
      </c>
      <c r="F374" s="35">
        <v>1239</v>
      </c>
      <c r="G374" s="35">
        <v>75</v>
      </c>
      <c r="H374" s="43">
        <v>600</v>
      </c>
      <c r="I374" s="35">
        <v>695</v>
      </c>
      <c r="J374" s="35">
        <v>0</v>
      </c>
      <c r="K374" s="36"/>
      <c r="L374" s="36"/>
      <c r="M374" s="36"/>
      <c r="N374" s="36"/>
      <c r="O374" s="36"/>
      <c r="P374" s="36"/>
      <c r="Q374" s="36"/>
      <c r="R374" s="36"/>
      <c r="S374" s="36"/>
      <c r="T374" s="36"/>
    </row>
    <row r="375" spans="1:20" ht="15.75">
      <c r="A375" s="13">
        <v>52931</v>
      </c>
      <c r="B375" s="44">
        <v>30</v>
      </c>
      <c r="C375" s="35">
        <v>122.58</v>
      </c>
      <c r="D375" s="35">
        <v>297.94099999999997</v>
      </c>
      <c r="E375" s="41">
        <v>729.47900000000004</v>
      </c>
      <c r="F375" s="35">
        <v>1150</v>
      </c>
      <c r="G375" s="35">
        <v>100</v>
      </c>
      <c r="H375" s="43">
        <v>600</v>
      </c>
      <c r="I375" s="35">
        <v>695</v>
      </c>
      <c r="J375" s="35">
        <v>50</v>
      </c>
      <c r="K375" s="36"/>
      <c r="L375" s="36"/>
      <c r="M375" s="36"/>
      <c r="N375" s="36"/>
      <c r="O375" s="36"/>
      <c r="P375" s="36"/>
      <c r="Q375" s="36"/>
      <c r="R375" s="36"/>
      <c r="S375" s="36"/>
      <c r="T375" s="36"/>
    </row>
    <row r="376" spans="1:20" ht="15.75">
      <c r="A376" s="13">
        <v>52962</v>
      </c>
      <c r="B376" s="44">
        <v>31</v>
      </c>
      <c r="C376" s="35">
        <v>122.58</v>
      </c>
      <c r="D376" s="35">
        <v>297.94099999999997</v>
      </c>
      <c r="E376" s="41">
        <v>729.47900000000004</v>
      </c>
      <c r="F376" s="35">
        <v>1150</v>
      </c>
      <c r="G376" s="35">
        <v>100</v>
      </c>
      <c r="H376" s="43">
        <v>600</v>
      </c>
      <c r="I376" s="35">
        <v>695</v>
      </c>
      <c r="J376" s="35">
        <v>50</v>
      </c>
      <c r="K376" s="36"/>
      <c r="L376" s="36"/>
      <c r="M376" s="36"/>
      <c r="N376" s="36"/>
      <c r="O376" s="36"/>
      <c r="P376" s="36"/>
      <c r="Q376" s="36"/>
      <c r="R376" s="36"/>
      <c r="S376" s="36"/>
      <c r="T376" s="36"/>
    </row>
    <row r="377" spans="1:20" ht="15.75">
      <c r="A377" s="13">
        <v>52993</v>
      </c>
      <c r="B377" s="44">
        <v>31</v>
      </c>
      <c r="C377" s="35">
        <v>122.58</v>
      </c>
      <c r="D377" s="35">
        <v>297.94099999999997</v>
      </c>
      <c r="E377" s="41">
        <v>729.47900000000004</v>
      </c>
      <c r="F377" s="35">
        <v>1150</v>
      </c>
      <c r="G377" s="35">
        <v>100</v>
      </c>
      <c r="H377" s="43">
        <v>600</v>
      </c>
      <c r="I377" s="35">
        <v>695</v>
      </c>
      <c r="J377" s="35">
        <v>50</v>
      </c>
      <c r="K377" s="36"/>
      <c r="L377" s="36"/>
      <c r="M377" s="36"/>
      <c r="N377" s="36"/>
      <c r="O377" s="36"/>
      <c r="P377" s="36"/>
      <c r="Q377" s="36"/>
      <c r="R377" s="36"/>
      <c r="S377" s="36"/>
      <c r="T377" s="36"/>
    </row>
    <row r="378" spans="1:20" ht="15.75">
      <c r="A378" s="13">
        <v>53021</v>
      </c>
      <c r="B378" s="44">
        <v>28</v>
      </c>
      <c r="C378" s="35">
        <v>122.58</v>
      </c>
      <c r="D378" s="35">
        <v>297.94099999999997</v>
      </c>
      <c r="E378" s="41">
        <v>729.47900000000004</v>
      </c>
      <c r="F378" s="35">
        <v>1150</v>
      </c>
      <c r="G378" s="35">
        <v>100</v>
      </c>
      <c r="H378" s="43">
        <v>600</v>
      </c>
      <c r="I378" s="35">
        <v>695</v>
      </c>
      <c r="J378" s="35">
        <v>50</v>
      </c>
      <c r="K378" s="36"/>
      <c r="L378" s="36"/>
      <c r="M378" s="36"/>
      <c r="N378" s="36"/>
      <c r="O378" s="36"/>
      <c r="P378" s="36"/>
      <c r="Q378" s="36"/>
      <c r="R378" s="36"/>
      <c r="S378" s="36"/>
      <c r="T378" s="36"/>
    </row>
    <row r="379" spans="1:20" ht="15.75">
      <c r="A379" s="13">
        <v>53052</v>
      </c>
      <c r="B379" s="44">
        <v>31</v>
      </c>
      <c r="C379" s="35">
        <v>122.58</v>
      </c>
      <c r="D379" s="35">
        <v>297.94099999999997</v>
      </c>
      <c r="E379" s="41">
        <v>729.47900000000004</v>
      </c>
      <c r="F379" s="35">
        <v>1150</v>
      </c>
      <c r="G379" s="35">
        <v>100</v>
      </c>
      <c r="H379" s="43">
        <v>600</v>
      </c>
      <c r="I379" s="35">
        <v>695</v>
      </c>
      <c r="J379" s="35">
        <v>50</v>
      </c>
      <c r="K379" s="36"/>
      <c r="L379" s="36"/>
      <c r="M379" s="36"/>
      <c r="N379" s="36"/>
      <c r="O379" s="36"/>
      <c r="P379" s="36"/>
      <c r="Q379" s="36"/>
      <c r="R379" s="36"/>
      <c r="S379" s="36"/>
      <c r="T379" s="36"/>
    </row>
    <row r="380" spans="1:20" ht="15.75">
      <c r="A380" s="13">
        <v>53082</v>
      </c>
      <c r="B380" s="44">
        <v>30</v>
      </c>
      <c r="C380" s="35">
        <v>141.29300000000001</v>
      </c>
      <c r="D380" s="35">
        <v>267.99299999999999</v>
      </c>
      <c r="E380" s="41">
        <v>829.71400000000006</v>
      </c>
      <c r="F380" s="35">
        <v>1239</v>
      </c>
      <c r="G380" s="35">
        <v>100</v>
      </c>
      <c r="H380" s="43">
        <v>600</v>
      </c>
      <c r="I380" s="35">
        <v>695</v>
      </c>
      <c r="J380" s="35">
        <v>50</v>
      </c>
      <c r="K380" s="36"/>
      <c r="L380" s="36"/>
      <c r="M380" s="36"/>
      <c r="N380" s="36"/>
      <c r="O380" s="36"/>
      <c r="P380" s="36"/>
      <c r="Q380" s="36"/>
      <c r="R380" s="36"/>
      <c r="S380" s="36"/>
      <c r="T380" s="36"/>
    </row>
    <row r="381" spans="1:20" ht="15.75">
      <c r="A381" s="13">
        <v>53113</v>
      </c>
      <c r="B381" s="44">
        <v>31</v>
      </c>
      <c r="C381" s="35">
        <v>194.20500000000001</v>
      </c>
      <c r="D381" s="35">
        <v>267.46600000000001</v>
      </c>
      <c r="E381" s="41">
        <v>812.32899999999995</v>
      </c>
      <c r="F381" s="35">
        <v>1274</v>
      </c>
      <c r="G381" s="35">
        <v>75</v>
      </c>
      <c r="H381" s="43">
        <v>600</v>
      </c>
      <c r="I381" s="35">
        <v>695</v>
      </c>
      <c r="J381" s="35">
        <v>50</v>
      </c>
      <c r="K381" s="36"/>
      <c r="L381" s="36"/>
      <c r="M381" s="36"/>
      <c r="N381" s="36"/>
      <c r="O381" s="36"/>
      <c r="P381" s="36"/>
      <c r="Q381" s="36"/>
      <c r="R381" s="36"/>
      <c r="S381" s="36"/>
      <c r="T381" s="36"/>
    </row>
    <row r="382" spans="1:20" ht="15.75">
      <c r="A382" s="13">
        <v>53143</v>
      </c>
      <c r="B382" s="44">
        <v>30</v>
      </c>
      <c r="C382" s="35">
        <v>194.20500000000001</v>
      </c>
      <c r="D382" s="35">
        <v>267.46600000000001</v>
      </c>
      <c r="E382" s="41">
        <v>812.32899999999995</v>
      </c>
      <c r="F382" s="35">
        <v>1274</v>
      </c>
      <c r="G382" s="35">
        <v>50</v>
      </c>
      <c r="H382" s="43">
        <v>600</v>
      </c>
      <c r="I382" s="35">
        <v>695</v>
      </c>
      <c r="J382" s="35">
        <v>50</v>
      </c>
      <c r="K382" s="36"/>
      <c r="L382" s="36"/>
      <c r="M382" s="36"/>
      <c r="N382" s="36"/>
      <c r="O382" s="36"/>
      <c r="P382" s="36"/>
      <c r="Q382" s="36"/>
      <c r="R382" s="36"/>
      <c r="S382" s="36"/>
      <c r="T382" s="36"/>
    </row>
    <row r="383" spans="1:20" ht="15.75">
      <c r="A383" s="13">
        <v>53174</v>
      </c>
      <c r="B383" s="44">
        <v>31</v>
      </c>
      <c r="C383" s="35">
        <v>194.20500000000001</v>
      </c>
      <c r="D383" s="35">
        <v>267.46600000000001</v>
      </c>
      <c r="E383" s="41">
        <v>812.32899999999995</v>
      </c>
      <c r="F383" s="35">
        <v>1274</v>
      </c>
      <c r="G383" s="35">
        <v>50</v>
      </c>
      <c r="H383" s="43">
        <v>600</v>
      </c>
      <c r="I383" s="35">
        <v>695</v>
      </c>
      <c r="J383" s="35">
        <v>0</v>
      </c>
      <c r="K383" s="36"/>
      <c r="L383" s="36"/>
      <c r="M383" s="36"/>
      <c r="N383" s="36"/>
      <c r="O383" s="36"/>
      <c r="P383" s="36"/>
      <c r="Q383" s="36"/>
      <c r="R383" s="36"/>
      <c r="S383" s="36"/>
      <c r="T383" s="36"/>
    </row>
    <row r="384" spans="1:20" ht="15.75">
      <c r="A384" s="13">
        <v>53205</v>
      </c>
      <c r="B384" s="44">
        <v>31</v>
      </c>
      <c r="C384" s="35">
        <v>194.20500000000001</v>
      </c>
      <c r="D384" s="35">
        <v>267.46600000000001</v>
      </c>
      <c r="E384" s="41">
        <v>812.32899999999995</v>
      </c>
      <c r="F384" s="35">
        <v>1274</v>
      </c>
      <c r="G384" s="35">
        <v>50</v>
      </c>
      <c r="H384" s="43">
        <v>600</v>
      </c>
      <c r="I384" s="35">
        <v>695</v>
      </c>
      <c r="J384" s="35">
        <v>0</v>
      </c>
      <c r="K384" s="36"/>
      <c r="L384" s="36"/>
      <c r="M384" s="36"/>
      <c r="N384" s="36"/>
      <c r="O384" s="36"/>
      <c r="P384" s="36"/>
      <c r="Q384" s="36"/>
      <c r="R384" s="36"/>
      <c r="S384" s="36"/>
      <c r="T384" s="36"/>
    </row>
    <row r="385" spans="1:20" ht="15.75">
      <c r="A385" s="13">
        <v>53235</v>
      </c>
      <c r="B385" s="44">
        <v>30</v>
      </c>
      <c r="C385" s="35">
        <v>194.20500000000001</v>
      </c>
      <c r="D385" s="35">
        <v>267.46600000000001</v>
      </c>
      <c r="E385" s="41">
        <v>812.32899999999995</v>
      </c>
      <c r="F385" s="35">
        <v>1274</v>
      </c>
      <c r="G385" s="35">
        <v>50</v>
      </c>
      <c r="H385" s="43">
        <v>600</v>
      </c>
      <c r="I385" s="35">
        <v>695</v>
      </c>
      <c r="J385" s="35">
        <v>0</v>
      </c>
      <c r="K385" s="36"/>
      <c r="L385" s="36"/>
      <c r="M385" s="36"/>
      <c r="N385" s="36"/>
      <c r="O385" s="36"/>
      <c r="P385" s="36"/>
      <c r="Q385" s="36"/>
      <c r="R385" s="36"/>
      <c r="S385" s="36"/>
      <c r="T385" s="36"/>
    </row>
    <row r="386" spans="1:20" ht="15.75">
      <c r="A386" s="13">
        <v>53266</v>
      </c>
      <c r="B386" s="44">
        <v>31</v>
      </c>
      <c r="C386" s="35">
        <v>131.881</v>
      </c>
      <c r="D386" s="35">
        <v>277.16699999999997</v>
      </c>
      <c r="E386" s="41">
        <v>829.952</v>
      </c>
      <c r="F386" s="35">
        <v>1239</v>
      </c>
      <c r="G386" s="35">
        <v>75</v>
      </c>
      <c r="H386" s="43">
        <v>600</v>
      </c>
      <c r="I386" s="35">
        <v>695</v>
      </c>
      <c r="J386" s="35">
        <v>0</v>
      </c>
      <c r="K386" s="36"/>
      <c r="L386" s="36"/>
      <c r="M386" s="36"/>
      <c r="N386" s="36"/>
      <c r="O386" s="36"/>
      <c r="P386" s="36"/>
      <c r="Q386" s="36"/>
      <c r="R386" s="36"/>
      <c r="S386" s="36"/>
      <c r="T386" s="36"/>
    </row>
    <row r="387" spans="1:20" ht="15.75">
      <c r="A387" s="13">
        <v>53296</v>
      </c>
      <c r="B387" s="44">
        <v>30</v>
      </c>
      <c r="C387" s="35">
        <v>122.58</v>
      </c>
      <c r="D387" s="35">
        <v>297.94099999999997</v>
      </c>
      <c r="E387" s="41">
        <v>729.47900000000004</v>
      </c>
      <c r="F387" s="35">
        <v>1150</v>
      </c>
      <c r="G387" s="35">
        <v>100</v>
      </c>
      <c r="H387" s="43">
        <v>600</v>
      </c>
      <c r="I387" s="35">
        <v>695</v>
      </c>
      <c r="J387" s="35">
        <v>50</v>
      </c>
      <c r="K387" s="36"/>
      <c r="L387" s="36"/>
      <c r="M387" s="36"/>
      <c r="N387" s="36"/>
      <c r="O387" s="36"/>
      <c r="P387" s="36"/>
      <c r="Q387" s="36"/>
      <c r="R387" s="36"/>
      <c r="S387" s="36"/>
      <c r="T387" s="36"/>
    </row>
    <row r="388" spans="1:20" ht="15.75">
      <c r="A388" s="13">
        <v>53327</v>
      </c>
      <c r="B388" s="44">
        <v>31</v>
      </c>
      <c r="C388" s="35">
        <v>122.58</v>
      </c>
      <c r="D388" s="35">
        <v>297.94099999999997</v>
      </c>
      <c r="E388" s="41">
        <v>729.47900000000004</v>
      </c>
      <c r="F388" s="35">
        <v>1150</v>
      </c>
      <c r="G388" s="35">
        <v>100</v>
      </c>
      <c r="H388" s="43">
        <v>600</v>
      </c>
      <c r="I388" s="35">
        <v>695</v>
      </c>
      <c r="J388" s="35">
        <v>50</v>
      </c>
      <c r="K388" s="36"/>
      <c r="L388" s="36"/>
      <c r="M388" s="36"/>
      <c r="N388" s="36"/>
      <c r="O388" s="36"/>
      <c r="P388" s="36"/>
      <c r="Q388" s="36"/>
      <c r="R388" s="36"/>
      <c r="S388" s="36"/>
      <c r="T388" s="36"/>
    </row>
    <row r="389" spans="1:20" ht="15.75">
      <c r="A389" s="13">
        <v>53358</v>
      </c>
      <c r="B389" s="44">
        <v>31</v>
      </c>
      <c r="C389" s="35">
        <v>122.58</v>
      </c>
      <c r="D389" s="35">
        <v>297.94099999999997</v>
      </c>
      <c r="E389" s="41">
        <v>729.47900000000004</v>
      </c>
      <c r="F389" s="35">
        <v>1150</v>
      </c>
      <c r="G389" s="35">
        <v>100</v>
      </c>
      <c r="H389" s="43">
        <v>600</v>
      </c>
      <c r="I389" s="35">
        <v>695</v>
      </c>
      <c r="J389" s="35">
        <v>50</v>
      </c>
      <c r="K389" s="36"/>
      <c r="L389" s="36"/>
      <c r="M389" s="36"/>
      <c r="N389" s="36"/>
      <c r="O389" s="36"/>
      <c r="P389" s="36"/>
      <c r="Q389" s="36"/>
      <c r="R389" s="36"/>
      <c r="S389" s="36"/>
      <c r="T389" s="36"/>
    </row>
    <row r="390" spans="1:20" ht="15.75">
      <c r="A390" s="13">
        <v>53386</v>
      </c>
      <c r="B390" s="44">
        <v>28</v>
      </c>
      <c r="C390" s="35">
        <v>122.58</v>
      </c>
      <c r="D390" s="35">
        <v>297.94099999999997</v>
      </c>
      <c r="E390" s="41">
        <v>729.47900000000004</v>
      </c>
      <c r="F390" s="35">
        <v>1150</v>
      </c>
      <c r="G390" s="35">
        <v>100</v>
      </c>
      <c r="H390" s="43">
        <v>600</v>
      </c>
      <c r="I390" s="35">
        <v>695</v>
      </c>
      <c r="J390" s="35">
        <v>50</v>
      </c>
      <c r="K390" s="36"/>
      <c r="L390" s="36"/>
      <c r="M390" s="36"/>
      <c r="N390" s="36"/>
      <c r="O390" s="36"/>
      <c r="P390" s="36"/>
      <c r="Q390" s="36"/>
      <c r="R390" s="36"/>
      <c r="S390" s="36"/>
      <c r="T390" s="36"/>
    </row>
    <row r="391" spans="1:20" ht="15.75">
      <c r="A391" s="13">
        <v>53417</v>
      </c>
      <c r="B391" s="44">
        <v>31</v>
      </c>
      <c r="C391" s="35">
        <v>122.58</v>
      </c>
      <c r="D391" s="35">
        <v>297.94099999999997</v>
      </c>
      <c r="E391" s="41">
        <v>729.47900000000004</v>
      </c>
      <c r="F391" s="35">
        <v>1150</v>
      </c>
      <c r="G391" s="35">
        <v>100</v>
      </c>
      <c r="H391" s="43">
        <v>600</v>
      </c>
      <c r="I391" s="35">
        <v>695</v>
      </c>
      <c r="J391" s="35">
        <v>50</v>
      </c>
      <c r="K391" s="36"/>
      <c r="L391" s="36"/>
      <c r="M391" s="36"/>
      <c r="N391" s="36"/>
      <c r="O391" s="36"/>
      <c r="P391" s="36"/>
      <c r="Q391" s="36"/>
      <c r="R391" s="36"/>
      <c r="S391" s="36"/>
      <c r="T391" s="36"/>
    </row>
    <row r="392" spans="1:20" ht="15.75">
      <c r="A392" s="13">
        <v>53447</v>
      </c>
      <c r="B392" s="44">
        <v>30</v>
      </c>
      <c r="C392" s="35">
        <v>141.29300000000001</v>
      </c>
      <c r="D392" s="35">
        <v>267.99299999999999</v>
      </c>
      <c r="E392" s="41">
        <v>829.71400000000006</v>
      </c>
      <c r="F392" s="35">
        <v>1239</v>
      </c>
      <c r="G392" s="35">
        <v>100</v>
      </c>
      <c r="H392" s="43">
        <v>600</v>
      </c>
      <c r="I392" s="35">
        <v>695</v>
      </c>
      <c r="J392" s="35">
        <v>50</v>
      </c>
      <c r="K392" s="36"/>
      <c r="L392" s="36"/>
      <c r="M392" s="36"/>
      <c r="N392" s="36"/>
      <c r="O392" s="36"/>
      <c r="P392" s="36"/>
      <c r="Q392" s="36"/>
      <c r="R392" s="36"/>
      <c r="S392" s="36"/>
      <c r="T392" s="36"/>
    </row>
    <row r="393" spans="1:20" ht="15.75">
      <c r="A393" s="13">
        <v>53478</v>
      </c>
      <c r="B393" s="44">
        <v>31</v>
      </c>
      <c r="C393" s="35">
        <v>194.20500000000001</v>
      </c>
      <c r="D393" s="35">
        <v>267.46600000000001</v>
      </c>
      <c r="E393" s="41">
        <v>812.32899999999995</v>
      </c>
      <c r="F393" s="35">
        <v>1274</v>
      </c>
      <c r="G393" s="35">
        <v>75</v>
      </c>
      <c r="H393" s="43">
        <v>600</v>
      </c>
      <c r="I393" s="35">
        <v>695</v>
      </c>
      <c r="J393" s="35">
        <v>50</v>
      </c>
      <c r="K393" s="36"/>
      <c r="L393" s="36"/>
      <c r="M393" s="36"/>
      <c r="N393" s="36"/>
      <c r="O393" s="36"/>
      <c r="P393" s="36"/>
      <c r="Q393" s="36"/>
      <c r="R393" s="36"/>
      <c r="S393" s="36"/>
      <c r="T393" s="36"/>
    </row>
    <row r="394" spans="1:20" ht="15.75">
      <c r="A394" s="13">
        <v>53508</v>
      </c>
      <c r="B394" s="44">
        <v>30</v>
      </c>
      <c r="C394" s="35">
        <v>194.20500000000001</v>
      </c>
      <c r="D394" s="35">
        <v>267.46600000000001</v>
      </c>
      <c r="E394" s="41">
        <v>812.32899999999995</v>
      </c>
      <c r="F394" s="35">
        <v>1274</v>
      </c>
      <c r="G394" s="35">
        <v>50</v>
      </c>
      <c r="H394" s="43">
        <v>600</v>
      </c>
      <c r="I394" s="35">
        <v>695</v>
      </c>
      <c r="J394" s="35">
        <v>50</v>
      </c>
      <c r="K394" s="36"/>
      <c r="L394" s="36"/>
      <c r="M394" s="36"/>
      <c r="N394" s="36"/>
      <c r="O394" s="36"/>
      <c r="P394" s="36"/>
      <c r="Q394" s="36"/>
      <c r="R394" s="36"/>
      <c r="S394" s="36"/>
      <c r="T394" s="36"/>
    </row>
    <row r="395" spans="1:20" ht="15.75">
      <c r="A395" s="13">
        <v>53539</v>
      </c>
      <c r="B395" s="44">
        <v>31</v>
      </c>
      <c r="C395" s="35">
        <v>194.20500000000001</v>
      </c>
      <c r="D395" s="35">
        <v>267.46600000000001</v>
      </c>
      <c r="E395" s="41">
        <v>812.32899999999995</v>
      </c>
      <c r="F395" s="35">
        <v>1274</v>
      </c>
      <c r="G395" s="35">
        <v>50</v>
      </c>
      <c r="H395" s="43">
        <v>600</v>
      </c>
      <c r="I395" s="35">
        <v>695</v>
      </c>
      <c r="J395" s="35">
        <v>0</v>
      </c>
      <c r="K395" s="36"/>
      <c r="L395" s="36"/>
      <c r="M395" s="36"/>
      <c r="N395" s="36"/>
      <c r="O395" s="36"/>
      <c r="P395" s="36"/>
      <c r="Q395" s="36"/>
      <c r="R395" s="36"/>
      <c r="S395" s="36"/>
      <c r="T395" s="36"/>
    </row>
    <row r="396" spans="1:20" ht="15.75">
      <c r="A396" s="13">
        <v>53570</v>
      </c>
      <c r="B396" s="44">
        <v>31</v>
      </c>
      <c r="C396" s="35">
        <v>194.20500000000001</v>
      </c>
      <c r="D396" s="35">
        <v>267.46600000000001</v>
      </c>
      <c r="E396" s="41">
        <v>812.32899999999995</v>
      </c>
      <c r="F396" s="35">
        <v>1274</v>
      </c>
      <c r="G396" s="35">
        <v>50</v>
      </c>
      <c r="H396" s="43">
        <v>600</v>
      </c>
      <c r="I396" s="35">
        <v>695</v>
      </c>
      <c r="J396" s="35">
        <v>0</v>
      </c>
      <c r="K396" s="36"/>
      <c r="L396" s="36"/>
      <c r="M396" s="36"/>
      <c r="N396" s="36"/>
      <c r="O396" s="36"/>
      <c r="P396" s="36"/>
      <c r="Q396" s="36"/>
      <c r="R396" s="36"/>
      <c r="S396" s="36"/>
      <c r="T396" s="36"/>
    </row>
    <row r="397" spans="1:20" ht="15.75">
      <c r="A397" s="13">
        <v>53600</v>
      </c>
      <c r="B397" s="44">
        <v>30</v>
      </c>
      <c r="C397" s="35">
        <v>194.20500000000001</v>
      </c>
      <c r="D397" s="35">
        <v>267.46600000000001</v>
      </c>
      <c r="E397" s="41">
        <v>812.32899999999995</v>
      </c>
      <c r="F397" s="35">
        <v>1274</v>
      </c>
      <c r="G397" s="35">
        <v>50</v>
      </c>
      <c r="H397" s="43">
        <v>600</v>
      </c>
      <c r="I397" s="35">
        <v>695</v>
      </c>
      <c r="J397" s="35">
        <v>0</v>
      </c>
      <c r="K397" s="36"/>
      <c r="L397" s="36"/>
      <c r="M397" s="36"/>
      <c r="N397" s="36"/>
      <c r="O397" s="36"/>
      <c r="P397" s="36"/>
      <c r="Q397" s="36"/>
      <c r="R397" s="36"/>
      <c r="S397" s="36"/>
      <c r="T397" s="36"/>
    </row>
    <row r="398" spans="1:20" ht="15.75">
      <c r="A398" s="13">
        <v>53631</v>
      </c>
      <c r="B398" s="44">
        <v>31</v>
      </c>
      <c r="C398" s="35">
        <v>131.881</v>
      </c>
      <c r="D398" s="35">
        <v>277.16699999999997</v>
      </c>
      <c r="E398" s="41">
        <v>829.952</v>
      </c>
      <c r="F398" s="35">
        <v>1239</v>
      </c>
      <c r="G398" s="35">
        <v>75</v>
      </c>
      <c r="H398" s="43">
        <v>600</v>
      </c>
      <c r="I398" s="35">
        <v>695</v>
      </c>
      <c r="J398" s="35">
        <v>0</v>
      </c>
      <c r="K398" s="36"/>
      <c r="L398" s="36"/>
      <c r="M398" s="36"/>
      <c r="N398" s="36"/>
      <c r="O398" s="36"/>
      <c r="P398" s="36"/>
      <c r="Q398" s="36"/>
      <c r="R398" s="36"/>
      <c r="S398" s="36"/>
      <c r="T398" s="36"/>
    </row>
    <row r="399" spans="1:20" ht="15.75">
      <c r="A399" s="13">
        <v>53661</v>
      </c>
      <c r="B399" s="44">
        <v>30</v>
      </c>
      <c r="C399" s="35">
        <v>122.58</v>
      </c>
      <c r="D399" s="35">
        <v>297.94099999999997</v>
      </c>
      <c r="E399" s="41">
        <v>729.47900000000004</v>
      </c>
      <c r="F399" s="35">
        <v>1150</v>
      </c>
      <c r="G399" s="35">
        <v>100</v>
      </c>
      <c r="H399" s="43">
        <v>600</v>
      </c>
      <c r="I399" s="35">
        <v>695</v>
      </c>
      <c r="J399" s="35">
        <v>50</v>
      </c>
      <c r="K399" s="36"/>
      <c r="L399" s="36"/>
      <c r="M399" s="36"/>
      <c r="N399" s="36"/>
      <c r="O399" s="36"/>
      <c r="P399" s="36"/>
      <c r="Q399" s="36"/>
      <c r="R399" s="36"/>
      <c r="S399" s="36"/>
      <c r="T399" s="36"/>
    </row>
    <row r="400" spans="1:20" ht="15.75">
      <c r="A400" s="13">
        <v>53692</v>
      </c>
      <c r="B400" s="44">
        <v>31</v>
      </c>
      <c r="C400" s="35">
        <v>122.58</v>
      </c>
      <c r="D400" s="35">
        <v>297.94099999999997</v>
      </c>
      <c r="E400" s="41">
        <v>729.47900000000004</v>
      </c>
      <c r="F400" s="35">
        <v>1150</v>
      </c>
      <c r="G400" s="35">
        <v>100</v>
      </c>
      <c r="H400" s="43">
        <v>600</v>
      </c>
      <c r="I400" s="35">
        <v>695</v>
      </c>
      <c r="J400" s="35">
        <v>50</v>
      </c>
      <c r="K400" s="36"/>
      <c r="L400" s="36"/>
      <c r="M400" s="36"/>
      <c r="N400" s="36"/>
      <c r="O400" s="36"/>
      <c r="P400" s="36"/>
      <c r="Q400" s="36"/>
      <c r="R400" s="36"/>
      <c r="S400" s="36"/>
      <c r="T400" s="36"/>
    </row>
    <row r="401" spans="1:20" ht="15.75">
      <c r="A401" s="13">
        <v>53723</v>
      </c>
      <c r="B401" s="44">
        <v>31</v>
      </c>
      <c r="C401" s="35">
        <v>122.58</v>
      </c>
      <c r="D401" s="35">
        <v>297.94099999999997</v>
      </c>
      <c r="E401" s="41">
        <v>729.47900000000004</v>
      </c>
      <c r="F401" s="35">
        <v>1150</v>
      </c>
      <c r="G401" s="35">
        <v>100</v>
      </c>
      <c r="H401" s="43">
        <v>600</v>
      </c>
      <c r="I401" s="35">
        <v>695</v>
      </c>
      <c r="J401" s="35">
        <v>50</v>
      </c>
      <c r="K401" s="36"/>
      <c r="L401" s="36"/>
      <c r="M401" s="36"/>
      <c r="N401" s="36"/>
      <c r="O401" s="36"/>
      <c r="P401" s="36"/>
      <c r="Q401" s="36"/>
      <c r="R401" s="36"/>
      <c r="S401" s="36"/>
      <c r="T401" s="36"/>
    </row>
    <row r="402" spans="1:20" ht="15.75">
      <c r="A402" s="13">
        <v>53751</v>
      </c>
      <c r="B402" s="44">
        <v>28</v>
      </c>
      <c r="C402" s="35">
        <v>122.58</v>
      </c>
      <c r="D402" s="35">
        <v>297.94099999999997</v>
      </c>
      <c r="E402" s="41">
        <v>729.47900000000004</v>
      </c>
      <c r="F402" s="35">
        <v>1150</v>
      </c>
      <c r="G402" s="35">
        <v>100</v>
      </c>
      <c r="H402" s="43">
        <v>600</v>
      </c>
      <c r="I402" s="35">
        <v>695</v>
      </c>
      <c r="J402" s="35">
        <v>50</v>
      </c>
      <c r="K402" s="36"/>
      <c r="L402" s="36"/>
      <c r="M402" s="36"/>
      <c r="N402" s="36"/>
      <c r="O402" s="36"/>
      <c r="P402" s="36"/>
      <c r="Q402" s="36"/>
      <c r="R402" s="36"/>
      <c r="S402" s="36"/>
      <c r="T402" s="36"/>
    </row>
    <row r="403" spans="1:20" ht="15.75">
      <c r="A403" s="13">
        <v>53782</v>
      </c>
      <c r="B403" s="44">
        <v>31</v>
      </c>
      <c r="C403" s="35">
        <v>122.58</v>
      </c>
      <c r="D403" s="35">
        <v>297.94099999999997</v>
      </c>
      <c r="E403" s="41">
        <v>729.47900000000004</v>
      </c>
      <c r="F403" s="35">
        <v>1150</v>
      </c>
      <c r="G403" s="35">
        <v>100</v>
      </c>
      <c r="H403" s="43">
        <v>600</v>
      </c>
      <c r="I403" s="35">
        <v>695</v>
      </c>
      <c r="J403" s="35">
        <v>50</v>
      </c>
      <c r="K403" s="36"/>
      <c r="L403" s="36"/>
      <c r="M403" s="36"/>
      <c r="N403" s="36"/>
      <c r="O403" s="36"/>
      <c r="P403" s="36"/>
      <c r="Q403" s="36"/>
      <c r="R403" s="36"/>
      <c r="S403" s="36"/>
      <c r="T403" s="36"/>
    </row>
    <row r="404" spans="1:20" ht="15.75">
      <c r="A404" s="13">
        <v>53812</v>
      </c>
      <c r="B404" s="44">
        <v>30</v>
      </c>
      <c r="C404" s="35">
        <v>141.29300000000001</v>
      </c>
      <c r="D404" s="35">
        <v>267.99299999999999</v>
      </c>
      <c r="E404" s="41">
        <v>829.71400000000006</v>
      </c>
      <c r="F404" s="35">
        <v>1239</v>
      </c>
      <c r="G404" s="35">
        <v>100</v>
      </c>
      <c r="H404" s="43">
        <v>600</v>
      </c>
      <c r="I404" s="35">
        <v>695</v>
      </c>
      <c r="J404" s="35">
        <v>50</v>
      </c>
      <c r="K404" s="36"/>
      <c r="L404" s="36"/>
      <c r="M404" s="36"/>
      <c r="N404" s="36"/>
      <c r="O404" s="36"/>
      <c r="P404" s="36"/>
      <c r="Q404" s="36"/>
      <c r="R404" s="36"/>
      <c r="S404" s="36"/>
      <c r="T404" s="36"/>
    </row>
    <row r="405" spans="1:20" ht="15.75">
      <c r="A405" s="13">
        <v>53843</v>
      </c>
      <c r="B405" s="44">
        <v>31</v>
      </c>
      <c r="C405" s="35">
        <v>194.20500000000001</v>
      </c>
      <c r="D405" s="35">
        <v>267.46600000000001</v>
      </c>
      <c r="E405" s="41">
        <v>812.32899999999995</v>
      </c>
      <c r="F405" s="35">
        <v>1274</v>
      </c>
      <c r="G405" s="35">
        <v>75</v>
      </c>
      <c r="H405" s="43">
        <v>600</v>
      </c>
      <c r="I405" s="35">
        <v>695</v>
      </c>
      <c r="J405" s="35">
        <v>50</v>
      </c>
      <c r="K405" s="36"/>
      <c r="L405" s="36"/>
      <c r="M405" s="36"/>
      <c r="N405" s="36"/>
      <c r="O405" s="36"/>
      <c r="P405" s="36"/>
      <c r="Q405" s="36"/>
      <c r="R405" s="36"/>
      <c r="S405" s="36"/>
      <c r="T405" s="36"/>
    </row>
    <row r="406" spans="1:20" ht="15.75">
      <c r="A406" s="13">
        <v>53873</v>
      </c>
      <c r="B406" s="44">
        <v>30</v>
      </c>
      <c r="C406" s="35">
        <v>194.20500000000001</v>
      </c>
      <c r="D406" s="35">
        <v>267.46600000000001</v>
      </c>
      <c r="E406" s="41">
        <v>812.32899999999995</v>
      </c>
      <c r="F406" s="35">
        <v>1274</v>
      </c>
      <c r="G406" s="35">
        <v>50</v>
      </c>
      <c r="H406" s="43">
        <v>600</v>
      </c>
      <c r="I406" s="35">
        <v>695</v>
      </c>
      <c r="J406" s="35">
        <v>50</v>
      </c>
      <c r="K406" s="36"/>
      <c r="L406" s="36"/>
      <c r="M406" s="36"/>
      <c r="N406" s="36"/>
      <c r="O406" s="36"/>
      <c r="P406" s="36"/>
      <c r="Q406" s="36"/>
      <c r="R406" s="36"/>
      <c r="S406" s="36"/>
      <c r="T406" s="36"/>
    </row>
    <row r="407" spans="1:20" ht="15.75">
      <c r="A407" s="13">
        <v>53904</v>
      </c>
      <c r="B407" s="44">
        <v>31</v>
      </c>
      <c r="C407" s="35">
        <v>194.20500000000001</v>
      </c>
      <c r="D407" s="35">
        <v>267.46600000000001</v>
      </c>
      <c r="E407" s="41">
        <v>812.32899999999995</v>
      </c>
      <c r="F407" s="35">
        <v>1274</v>
      </c>
      <c r="G407" s="35">
        <v>50</v>
      </c>
      <c r="H407" s="43">
        <v>600</v>
      </c>
      <c r="I407" s="35">
        <v>695</v>
      </c>
      <c r="J407" s="35">
        <v>0</v>
      </c>
      <c r="K407" s="36"/>
      <c r="L407" s="36"/>
      <c r="M407" s="36"/>
      <c r="N407" s="36"/>
      <c r="O407" s="36"/>
      <c r="P407" s="36"/>
      <c r="Q407" s="36"/>
      <c r="R407" s="36"/>
      <c r="S407" s="36"/>
      <c r="T407" s="36"/>
    </row>
    <row r="408" spans="1:20" ht="15.75">
      <c r="A408" s="13">
        <v>53935</v>
      </c>
      <c r="B408" s="44">
        <v>31</v>
      </c>
      <c r="C408" s="35">
        <v>194.20500000000001</v>
      </c>
      <c r="D408" s="35">
        <v>267.46600000000001</v>
      </c>
      <c r="E408" s="41">
        <v>812.32899999999995</v>
      </c>
      <c r="F408" s="35">
        <v>1274</v>
      </c>
      <c r="G408" s="35">
        <v>50</v>
      </c>
      <c r="H408" s="43">
        <v>600</v>
      </c>
      <c r="I408" s="35">
        <v>695</v>
      </c>
      <c r="J408" s="35">
        <v>0</v>
      </c>
      <c r="K408" s="36"/>
      <c r="L408" s="36"/>
      <c r="M408" s="36"/>
      <c r="N408" s="36"/>
      <c r="O408" s="36"/>
      <c r="P408" s="36"/>
      <c r="Q408" s="36"/>
      <c r="R408" s="36"/>
      <c r="S408" s="36"/>
      <c r="T408" s="36"/>
    </row>
    <row r="409" spans="1:20" ht="15.75">
      <c r="A409" s="13">
        <v>53965</v>
      </c>
      <c r="B409" s="44">
        <v>30</v>
      </c>
      <c r="C409" s="35">
        <v>194.20500000000001</v>
      </c>
      <c r="D409" s="35">
        <v>267.46600000000001</v>
      </c>
      <c r="E409" s="41">
        <v>812.32899999999995</v>
      </c>
      <c r="F409" s="35">
        <v>1274</v>
      </c>
      <c r="G409" s="35">
        <v>50</v>
      </c>
      <c r="H409" s="43">
        <v>600</v>
      </c>
      <c r="I409" s="35">
        <v>695</v>
      </c>
      <c r="J409" s="35">
        <v>0</v>
      </c>
      <c r="K409" s="36"/>
      <c r="L409" s="36"/>
      <c r="M409" s="36"/>
      <c r="N409" s="36"/>
      <c r="O409" s="36"/>
      <c r="P409" s="36"/>
      <c r="Q409" s="36"/>
      <c r="R409" s="36"/>
      <c r="S409" s="36"/>
      <c r="T409" s="36"/>
    </row>
    <row r="410" spans="1:20" ht="15.75">
      <c r="A410" s="13">
        <v>53996</v>
      </c>
      <c r="B410" s="44">
        <v>31</v>
      </c>
      <c r="C410" s="35">
        <v>131.881</v>
      </c>
      <c r="D410" s="35">
        <v>277.16699999999997</v>
      </c>
      <c r="E410" s="41">
        <v>829.952</v>
      </c>
      <c r="F410" s="35">
        <v>1239</v>
      </c>
      <c r="G410" s="35">
        <v>75</v>
      </c>
      <c r="H410" s="43">
        <v>600</v>
      </c>
      <c r="I410" s="35">
        <v>695</v>
      </c>
      <c r="J410" s="35">
        <v>0</v>
      </c>
      <c r="K410" s="36"/>
      <c r="L410" s="36"/>
      <c r="M410" s="36"/>
      <c r="N410" s="36"/>
      <c r="O410" s="36"/>
      <c r="P410" s="36"/>
      <c r="Q410" s="36"/>
      <c r="R410" s="36"/>
      <c r="S410" s="36"/>
      <c r="T410" s="36"/>
    </row>
    <row r="411" spans="1:20" ht="15.75">
      <c r="A411" s="13">
        <v>54026</v>
      </c>
      <c r="B411" s="44">
        <v>30</v>
      </c>
      <c r="C411" s="35">
        <v>122.58</v>
      </c>
      <c r="D411" s="35">
        <v>297.94099999999997</v>
      </c>
      <c r="E411" s="41">
        <v>729.47900000000004</v>
      </c>
      <c r="F411" s="35">
        <v>1150</v>
      </c>
      <c r="G411" s="35">
        <v>100</v>
      </c>
      <c r="H411" s="43">
        <v>600</v>
      </c>
      <c r="I411" s="35">
        <v>695</v>
      </c>
      <c r="J411" s="35">
        <v>50</v>
      </c>
      <c r="K411" s="36"/>
      <c r="L411" s="36"/>
      <c r="M411" s="36"/>
      <c r="N411" s="36"/>
      <c r="O411" s="36"/>
      <c r="P411" s="36"/>
      <c r="Q411" s="36"/>
      <c r="R411" s="36"/>
      <c r="S411" s="36"/>
      <c r="T411" s="36"/>
    </row>
    <row r="412" spans="1:20" ht="15.75">
      <c r="A412" s="13">
        <v>54057</v>
      </c>
      <c r="B412" s="44">
        <v>31</v>
      </c>
      <c r="C412" s="35">
        <v>122.58</v>
      </c>
      <c r="D412" s="35">
        <v>297.94099999999997</v>
      </c>
      <c r="E412" s="41">
        <v>729.47900000000004</v>
      </c>
      <c r="F412" s="35">
        <v>1150</v>
      </c>
      <c r="G412" s="35">
        <v>100</v>
      </c>
      <c r="H412" s="43">
        <v>600</v>
      </c>
      <c r="I412" s="35">
        <v>695</v>
      </c>
      <c r="J412" s="35">
        <v>50</v>
      </c>
      <c r="K412" s="36"/>
      <c r="L412" s="36"/>
      <c r="M412" s="36"/>
      <c r="N412" s="36"/>
      <c r="O412" s="36"/>
      <c r="P412" s="36"/>
      <c r="Q412" s="36"/>
      <c r="R412" s="36"/>
      <c r="S412" s="36"/>
      <c r="T412" s="36"/>
    </row>
    <row r="413" spans="1:20" ht="15.75">
      <c r="A413" s="13">
        <v>54088</v>
      </c>
      <c r="B413" s="44">
        <v>31</v>
      </c>
      <c r="C413" s="35">
        <v>122.58</v>
      </c>
      <c r="D413" s="35">
        <v>297.94099999999997</v>
      </c>
      <c r="E413" s="41">
        <v>729.47900000000004</v>
      </c>
      <c r="F413" s="35">
        <v>1150</v>
      </c>
      <c r="G413" s="35">
        <v>100</v>
      </c>
      <c r="H413" s="43">
        <v>600</v>
      </c>
      <c r="I413" s="35">
        <v>695</v>
      </c>
      <c r="J413" s="35">
        <v>50</v>
      </c>
      <c r="K413" s="36"/>
      <c r="L413" s="36"/>
      <c r="M413" s="36"/>
      <c r="N413" s="36"/>
      <c r="O413" s="36"/>
      <c r="P413" s="36"/>
      <c r="Q413" s="36"/>
      <c r="R413" s="36"/>
      <c r="S413" s="36"/>
      <c r="T413" s="36"/>
    </row>
    <row r="414" spans="1:20" ht="15.75">
      <c r="A414" s="13">
        <v>54116</v>
      </c>
      <c r="B414" s="44">
        <v>29</v>
      </c>
      <c r="C414" s="35">
        <v>122.58</v>
      </c>
      <c r="D414" s="35">
        <v>297.94099999999997</v>
      </c>
      <c r="E414" s="41">
        <v>729.47900000000004</v>
      </c>
      <c r="F414" s="35">
        <v>1150</v>
      </c>
      <c r="G414" s="35">
        <v>100</v>
      </c>
      <c r="H414" s="43">
        <v>600</v>
      </c>
      <c r="I414" s="35">
        <v>695</v>
      </c>
      <c r="J414" s="35">
        <v>50</v>
      </c>
      <c r="K414" s="36"/>
      <c r="L414" s="36"/>
      <c r="M414" s="36"/>
      <c r="N414" s="36"/>
      <c r="O414" s="36"/>
      <c r="P414" s="36"/>
      <c r="Q414" s="36"/>
      <c r="R414" s="36"/>
      <c r="S414" s="36"/>
      <c r="T414" s="36"/>
    </row>
    <row r="415" spans="1:20" ht="15.75">
      <c r="A415" s="13">
        <v>54148</v>
      </c>
      <c r="B415" s="44">
        <v>31</v>
      </c>
      <c r="C415" s="35">
        <v>122.58</v>
      </c>
      <c r="D415" s="35">
        <v>297.94099999999997</v>
      </c>
      <c r="E415" s="41">
        <v>729.47900000000004</v>
      </c>
      <c r="F415" s="35">
        <v>1150</v>
      </c>
      <c r="G415" s="35">
        <v>100</v>
      </c>
      <c r="H415" s="43">
        <v>600</v>
      </c>
      <c r="I415" s="35">
        <v>695</v>
      </c>
      <c r="J415" s="35">
        <v>50</v>
      </c>
      <c r="K415" s="36"/>
      <c r="L415" s="36"/>
      <c r="M415" s="36"/>
      <c r="N415" s="36"/>
      <c r="O415" s="36"/>
      <c r="P415" s="36"/>
      <c r="Q415" s="36"/>
      <c r="R415" s="36"/>
      <c r="S415" s="36"/>
      <c r="T415" s="36"/>
    </row>
    <row r="416" spans="1:20" ht="15.75">
      <c r="A416" s="13">
        <v>54178</v>
      </c>
      <c r="B416" s="44">
        <v>30</v>
      </c>
      <c r="C416" s="35">
        <v>141.29300000000001</v>
      </c>
      <c r="D416" s="35">
        <v>267.99299999999999</v>
      </c>
      <c r="E416" s="41">
        <v>829.71400000000006</v>
      </c>
      <c r="F416" s="35">
        <v>1239</v>
      </c>
      <c r="G416" s="35">
        <v>100</v>
      </c>
      <c r="H416" s="43">
        <v>600</v>
      </c>
      <c r="I416" s="35">
        <v>695</v>
      </c>
      <c r="J416" s="35">
        <v>50</v>
      </c>
      <c r="K416" s="36"/>
      <c r="L416" s="36"/>
      <c r="M416" s="36"/>
      <c r="N416" s="36"/>
      <c r="O416" s="36"/>
      <c r="P416" s="36"/>
      <c r="Q416" s="36"/>
      <c r="R416" s="36"/>
      <c r="S416" s="36"/>
      <c r="T416" s="36"/>
    </row>
    <row r="417" spans="1:20" ht="15.75">
      <c r="A417" s="13">
        <v>54209</v>
      </c>
      <c r="B417" s="44">
        <v>31</v>
      </c>
      <c r="C417" s="35">
        <v>194.20500000000001</v>
      </c>
      <c r="D417" s="35">
        <v>267.46600000000001</v>
      </c>
      <c r="E417" s="41">
        <v>812.32899999999995</v>
      </c>
      <c r="F417" s="35">
        <v>1274</v>
      </c>
      <c r="G417" s="35">
        <v>75</v>
      </c>
      <c r="H417" s="43">
        <v>600</v>
      </c>
      <c r="I417" s="35">
        <v>695</v>
      </c>
      <c r="J417" s="35">
        <v>50</v>
      </c>
      <c r="K417" s="36"/>
      <c r="L417" s="36"/>
      <c r="M417" s="36"/>
      <c r="N417" s="36"/>
      <c r="O417" s="36"/>
      <c r="P417" s="36"/>
      <c r="Q417" s="36"/>
      <c r="R417" s="36"/>
      <c r="S417" s="36"/>
      <c r="T417" s="36"/>
    </row>
    <row r="418" spans="1:20" ht="15.75">
      <c r="A418" s="13">
        <v>54239</v>
      </c>
      <c r="B418" s="44">
        <v>30</v>
      </c>
      <c r="C418" s="35">
        <v>194.20500000000001</v>
      </c>
      <c r="D418" s="35">
        <v>267.46600000000001</v>
      </c>
      <c r="E418" s="41">
        <v>812.32899999999995</v>
      </c>
      <c r="F418" s="35">
        <v>1274</v>
      </c>
      <c r="G418" s="35">
        <v>50</v>
      </c>
      <c r="H418" s="43">
        <v>600</v>
      </c>
      <c r="I418" s="35">
        <v>695</v>
      </c>
      <c r="J418" s="35">
        <v>50</v>
      </c>
      <c r="K418" s="36"/>
      <c r="L418" s="36"/>
      <c r="M418" s="36"/>
      <c r="N418" s="36"/>
      <c r="O418" s="36"/>
      <c r="P418" s="36"/>
      <c r="Q418" s="36"/>
      <c r="R418" s="36"/>
      <c r="S418" s="36"/>
      <c r="T418" s="36"/>
    </row>
    <row r="419" spans="1:20" ht="15.75">
      <c r="A419" s="13">
        <v>54270</v>
      </c>
      <c r="B419" s="44">
        <v>31</v>
      </c>
      <c r="C419" s="35">
        <v>194.20500000000001</v>
      </c>
      <c r="D419" s="35">
        <v>267.46600000000001</v>
      </c>
      <c r="E419" s="41">
        <v>812.32899999999995</v>
      </c>
      <c r="F419" s="35">
        <v>1274</v>
      </c>
      <c r="G419" s="35">
        <v>50</v>
      </c>
      <c r="H419" s="43">
        <v>600</v>
      </c>
      <c r="I419" s="35">
        <v>695</v>
      </c>
      <c r="J419" s="35">
        <v>0</v>
      </c>
      <c r="K419" s="36"/>
      <c r="L419" s="36"/>
      <c r="M419" s="36"/>
      <c r="N419" s="36"/>
      <c r="O419" s="36"/>
      <c r="P419" s="36"/>
      <c r="Q419" s="36"/>
      <c r="R419" s="36"/>
      <c r="S419" s="36"/>
      <c r="T419" s="36"/>
    </row>
    <row r="420" spans="1:20" ht="15.75">
      <c r="A420" s="13">
        <v>54301</v>
      </c>
      <c r="B420" s="44">
        <v>31</v>
      </c>
      <c r="C420" s="35">
        <v>194.20500000000001</v>
      </c>
      <c r="D420" s="35">
        <v>267.46600000000001</v>
      </c>
      <c r="E420" s="41">
        <v>812.32899999999995</v>
      </c>
      <c r="F420" s="35">
        <v>1274</v>
      </c>
      <c r="G420" s="35">
        <v>50</v>
      </c>
      <c r="H420" s="43">
        <v>600</v>
      </c>
      <c r="I420" s="35">
        <v>695</v>
      </c>
      <c r="J420" s="35">
        <v>0</v>
      </c>
      <c r="K420" s="36"/>
      <c r="L420" s="36"/>
      <c r="M420" s="36"/>
      <c r="N420" s="36"/>
      <c r="O420" s="36"/>
      <c r="P420" s="36"/>
      <c r="Q420" s="36"/>
      <c r="R420" s="36"/>
      <c r="S420" s="36"/>
      <c r="T420" s="36"/>
    </row>
    <row r="421" spans="1:20" ht="15.75">
      <c r="A421" s="13">
        <v>54331</v>
      </c>
      <c r="B421" s="44">
        <v>30</v>
      </c>
      <c r="C421" s="35">
        <v>194.20500000000001</v>
      </c>
      <c r="D421" s="35">
        <v>267.46600000000001</v>
      </c>
      <c r="E421" s="41">
        <v>812.32899999999995</v>
      </c>
      <c r="F421" s="35">
        <v>1274</v>
      </c>
      <c r="G421" s="35">
        <v>50</v>
      </c>
      <c r="H421" s="43">
        <v>600</v>
      </c>
      <c r="I421" s="35">
        <v>695</v>
      </c>
      <c r="J421" s="35">
        <v>0</v>
      </c>
      <c r="K421" s="36"/>
      <c r="L421" s="36"/>
      <c r="M421" s="36"/>
      <c r="N421" s="36"/>
      <c r="O421" s="36"/>
      <c r="P421" s="36"/>
      <c r="Q421" s="36"/>
      <c r="R421" s="36"/>
      <c r="S421" s="36"/>
      <c r="T421" s="36"/>
    </row>
    <row r="422" spans="1:20" ht="15.75">
      <c r="A422" s="13">
        <v>54362</v>
      </c>
      <c r="B422" s="44">
        <v>31</v>
      </c>
      <c r="C422" s="35">
        <v>131.881</v>
      </c>
      <c r="D422" s="35">
        <v>277.16699999999997</v>
      </c>
      <c r="E422" s="41">
        <v>829.952</v>
      </c>
      <c r="F422" s="35">
        <v>1239</v>
      </c>
      <c r="G422" s="35">
        <v>75</v>
      </c>
      <c r="H422" s="43">
        <v>600</v>
      </c>
      <c r="I422" s="35">
        <v>695</v>
      </c>
      <c r="J422" s="35">
        <v>0</v>
      </c>
      <c r="K422" s="36"/>
      <c r="L422" s="36"/>
      <c r="M422" s="36"/>
      <c r="N422" s="36"/>
      <c r="O422" s="36"/>
      <c r="P422" s="36"/>
      <c r="Q422" s="36"/>
      <c r="R422" s="36"/>
      <c r="S422" s="36"/>
      <c r="T422" s="36"/>
    </row>
    <row r="423" spans="1:20" ht="15.75">
      <c r="A423" s="13">
        <v>54392</v>
      </c>
      <c r="B423" s="44">
        <v>30</v>
      </c>
      <c r="C423" s="35">
        <v>122.58</v>
      </c>
      <c r="D423" s="35">
        <v>297.94099999999997</v>
      </c>
      <c r="E423" s="41">
        <v>729.47900000000004</v>
      </c>
      <c r="F423" s="35">
        <v>1150</v>
      </c>
      <c r="G423" s="35">
        <v>100</v>
      </c>
      <c r="H423" s="43">
        <v>600</v>
      </c>
      <c r="I423" s="35">
        <v>695</v>
      </c>
      <c r="J423" s="35">
        <v>50</v>
      </c>
      <c r="K423" s="36"/>
      <c r="L423" s="36"/>
      <c r="M423" s="36"/>
      <c r="N423" s="36"/>
      <c r="O423" s="36"/>
      <c r="P423" s="36"/>
      <c r="Q423" s="36"/>
      <c r="R423" s="36"/>
      <c r="S423" s="36"/>
      <c r="T423" s="36"/>
    </row>
    <row r="424" spans="1:20" ht="15.75">
      <c r="A424" s="13">
        <v>54423</v>
      </c>
      <c r="B424" s="44">
        <v>31</v>
      </c>
      <c r="C424" s="35">
        <v>122.58</v>
      </c>
      <c r="D424" s="35">
        <v>297.94099999999997</v>
      </c>
      <c r="E424" s="41">
        <v>729.47900000000004</v>
      </c>
      <c r="F424" s="35">
        <v>1150</v>
      </c>
      <c r="G424" s="35">
        <v>100</v>
      </c>
      <c r="H424" s="43">
        <v>600</v>
      </c>
      <c r="I424" s="35">
        <v>695</v>
      </c>
      <c r="J424" s="35">
        <v>50</v>
      </c>
      <c r="K424" s="36"/>
      <c r="L424" s="36"/>
      <c r="M424" s="36"/>
      <c r="N424" s="36"/>
      <c r="O424" s="36"/>
      <c r="P424" s="36"/>
      <c r="Q424" s="36"/>
      <c r="R424" s="36"/>
      <c r="S424" s="36"/>
      <c r="T424" s="36"/>
    </row>
    <row r="425" spans="1:20" ht="15.75">
      <c r="A425" s="13">
        <v>54454</v>
      </c>
      <c r="B425" s="44">
        <v>31</v>
      </c>
      <c r="C425" s="35">
        <v>122.58</v>
      </c>
      <c r="D425" s="35">
        <v>297.94099999999997</v>
      </c>
      <c r="E425" s="41">
        <v>729.47900000000004</v>
      </c>
      <c r="F425" s="35">
        <v>1150</v>
      </c>
      <c r="G425" s="35">
        <v>100</v>
      </c>
      <c r="H425" s="43">
        <v>600</v>
      </c>
      <c r="I425" s="35">
        <v>695</v>
      </c>
      <c r="J425" s="35">
        <v>50</v>
      </c>
      <c r="K425" s="36"/>
      <c r="L425" s="36"/>
      <c r="M425" s="36"/>
      <c r="N425" s="36"/>
      <c r="O425" s="36"/>
      <c r="P425" s="36"/>
      <c r="Q425" s="36"/>
      <c r="R425" s="36"/>
      <c r="S425" s="36"/>
      <c r="T425" s="36"/>
    </row>
    <row r="426" spans="1:20" ht="15.75">
      <c r="A426" s="13">
        <v>54482</v>
      </c>
      <c r="B426" s="44">
        <v>28</v>
      </c>
      <c r="C426" s="35">
        <v>122.58</v>
      </c>
      <c r="D426" s="35">
        <v>297.94099999999997</v>
      </c>
      <c r="E426" s="41">
        <v>729.47900000000004</v>
      </c>
      <c r="F426" s="35">
        <v>1150</v>
      </c>
      <c r="G426" s="35">
        <v>100</v>
      </c>
      <c r="H426" s="43">
        <v>600</v>
      </c>
      <c r="I426" s="35">
        <v>695</v>
      </c>
      <c r="J426" s="35">
        <v>50</v>
      </c>
      <c r="K426" s="36"/>
      <c r="L426" s="36"/>
      <c r="M426" s="36"/>
      <c r="N426" s="36"/>
      <c r="O426" s="36"/>
      <c r="P426" s="36"/>
      <c r="Q426" s="36"/>
      <c r="R426" s="36"/>
      <c r="S426" s="36"/>
      <c r="T426" s="36"/>
    </row>
    <row r="427" spans="1:20" ht="15.75">
      <c r="A427" s="13">
        <v>54513</v>
      </c>
      <c r="B427" s="44">
        <v>31</v>
      </c>
      <c r="C427" s="35">
        <v>122.58</v>
      </c>
      <c r="D427" s="35">
        <v>297.94099999999997</v>
      </c>
      <c r="E427" s="41">
        <v>729.47900000000004</v>
      </c>
      <c r="F427" s="35">
        <v>1150</v>
      </c>
      <c r="G427" s="35">
        <v>100</v>
      </c>
      <c r="H427" s="43">
        <v>600</v>
      </c>
      <c r="I427" s="35">
        <v>695</v>
      </c>
      <c r="J427" s="35">
        <v>50</v>
      </c>
      <c r="K427" s="36"/>
      <c r="L427" s="36"/>
      <c r="M427" s="36"/>
      <c r="N427" s="36"/>
      <c r="O427" s="36"/>
      <c r="P427" s="36"/>
      <c r="Q427" s="36"/>
      <c r="R427" s="36"/>
      <c r="S427" s="36"/>
      <c r="T427" s="36"/>
    </row>
    <row r="428" spans="1:20" ht="15.75">
      <c r="A428" s="13">
        <v>54543</v>
      </c>
      <c r="B428" s="44">
        <v>30</v>
      </c>
      <c r="C428" s="35">
        <v>141.29300000000001</v>
      </c>
      <c r="D428" s="35">
        <v>267.99299999999999</v>
      </c>
      <c r="E428" s="41">
        <v>829.71400000000006</v>
      </c>
      <c r="F428" s="35">
        <v>1239</v>
      </c>
      <c r="G428" s="35">
        <v>100</v>
      </c>
      <c r="H428" s="43">
        <v>600</v>
      </c>
      <c r="I428" s="35">
        <v>695</v>
      </c>
      <c r="J428" s="35">
        <v>50</v>
      </c>
      <c r="K428" s="36"/>
      <c r="L428" s="36"/>
      <c r="M428" s="36"/>
      <c r="N428" s="36"/>
      <c r="O428" s="36"/>
      <c r="P428" s="36"/>
      <c r="Q428" s="36"/>
      <c r="R428" s="36"/>
      <c r="S428" s="36"/>
      <c r="T428" s="36"/>
    </row>
    <row r="429" spans="1:20" ht="15.75">
      <c r="A429" s="13">
        <v>54574</v>
      </c>
      <c r="B429" s="44">
        <v>31</v>
      </c>
      <c r="C429" s="35">
        <v>194.20500000000001</v>
      </c>
      <c r="D429" s="35">
        <v>267.46600000000001</v>
      </c>
      <c r="E429" s="41">
        <v>812.32899999999995</v>
      </c>
      <c r="F429" s="35">
        <v>1274</v>
      </c>
      <c r="G429" s="35">
        <v>75</v>
      </c>
      <c r="H429" s="43">
        <v>600</v>
      </c>
      <c r="I429" s="35">
        <v>695</v>
      </c>
      <c r="J429" s="35">
        <v>50</v>
      </c>
      <c r="K429" s="36"/>
      <c r="L429" s="36"/>
      <c r="M429" s="36"/>
      <c r="N429" s="36"/>
      <c r="O429" s="36"/>
      <c r="P429" s="36"/>
      <c r="Q429" s="36"/>
      <c r="R429" s="36"/>
      <c r="S429" s="36"/>
      <c r="T429" s="36"/>
    </row>
    <row r="430" spans="1:20" ht="15.75">
      <c r="A430" s="13">
        <v>54604</v>
      </c>
      <c r="B430" s="44">
        <v>30</v>
      </c>
      <c r="C430" s="35">
        <v>194.20500000000001</v>
      </c>
      <c r="D430" s="35">
        <v>267.46600000000001</v>
      </c>
      <c r="E430" s="41">
        <v>812.32899999999995</v>
      </c>
      <c r="F430" s="35">
        <v>1274</v>
      </c>
      <c r="G430" s="35">
        <v>50</v>
      </c>
      <c r="H430" s="43">
        <v>600</v>
      </c>
      <c r="I430" s="35">
        <v>695</v>
      </c>
      <c r="J430" s="35">
        <v>50</v>
      </c>
      <c r="K430" s="36"/>
      <c r="L430" s="36"/>
      <c r="M430" s="36"/>
      <c r="N430" s="36"/>
      <c r="O430" s="36"/>
      <c r="P430" s="36"/>
      <c r="Q430" s="36"/>
      <c r="R430" s="36"/>
      <c r="S430" s="36"/>
      <c r="T430" s="36"/>
    </row>
    <row r="431" spans="1:20" ht="15.75">
      <c r="A431" s="13">
        <v>54635</v>
      </c>
      <c r="B431" s="44">
        <v>31</v>
      </c>
      <c r="C431" s="35">
        <v>194.20500000000001</v>
      </c>
      <c r="D431" s="35">
        <v>267.46600000000001</v>
      </c>
      <c r="E431" s="41">
        <v>812.32899999999995</v>
      </c>
      <c r="F431" s="35">
        <v>1274</v>
      </c>
      <c r="G431" s="35">
        <v>50</v>
      </c>
      <c r="H431" s="43">
        <v>600</v>
      </c>
      <c r="I431" s="35">
        <v>695</v>
      </c>
      <c r="J431" s="35">
        <v>0</v>
      </c>
      <c r="K431" s="36"/>
      <c r="L431" s="36"/>
      <c r="M431" s="36"/>
      <c r="N431" s="36"/>
      <c r="O431" s="36"/>
      <c r="P431" s="36"/>
      <c r="Q431" s="36"/>
      <c r="R431" s="36"/>
      <c r="S431" s="36"/>
      <c r="T431" s="36"/>
    </row>
    <row r="432" spans="1:20" ht="15.75">
      <c r="A432" s="13">
        <v>54666</v>
      </c>
      <c r="B432" s="44">
        <v>31</v>
      </c>
      <c r="C432" s="35">
        <v>194.20500000000001</v>
      </c>
      <c r="D432" s="35">
        <v>267.46600000000001</v>
      </c>
      <c r="E432" s="41">
        <v>812.32899999999995</v>
      </c>
      <c r="F432" s="35">
        <v>1274</v>
      </c>
      <c r="G432" s="35">
        <v>50</v>
      </c>
      <c r="H432" s="43">
        <v>600</v>
      </c>
      <c r="I432" s="35">
        <v>695</v>
      </c>
      <c r="J432" s="35">
        <v>0</v>
      </c>
      <c r="K432" s="36"/>
      <c r="L432" s="36"/>
      <c r="M432" s="36"/>
      <c r="N432" s="36"/>
      <c r="O432" s="36"/>
      <c r="P432" s="36"/>
      <c r="Q432" s="36"/>
      <c r="R432" s="36"/>
      <c r="S432" s="36"/>
      <c r="T432" s="36"/>
    </row>
    <row r="433" spans="1:20" ht="15.75">
      <c r="A433" s="13">
        <v>54696</v>
      </c>
      <c r="B433" s="44">
        <v>30</v>
      </c>
      <c r="C433" s="35">
        <v>194.20500000000001</v>
      </c>
      <c r="D433" s="35">
        <v>267.46600000000001</v>
      </c>
      <c r="E433" s="41">
        <v>812.32899999999995</v>
      </c>
      <c r="F433" s="35">
        <v>1274</v>
      </c>
      <c r="G433" s="35">
        <v>50</v>
      </c>
      <c r="H433" s="43">
        <v>600</v>
      </c>
      <c r="I433" s="35">
        <v>695</v>
      </c>
      <c r="J433" s="35">
        <v>0</v>
      </c>
      <c r="K433" s="36"/>
      <c r="L433" s="36"/>
      <c r="M433" s="36"/>
      <c r="N433" s="36"/>
      <c r="O433" s="36"/>
      <c r="P433" s="36"/>
      <c r="Q433" s="36"/>
      <c r="R433" s="36"/>
      <c r="S433" s="36"/>
      <c r="T433" s="36"/>
    </row>
    <row r="434" spans="1:20" ht="15.75">
      <c r="A434" s="13">
        <v>54727</v>
      </c>
      <c r="B434" s="44">
        <v>31</v>
      </c>
      <c r="C434" s="35">
        <v>131.881</v>
      </c>
      <c r="D434" s="35">
        <v>277.16699999999997</v>
      </c>
      <c r="E434" s="41">
        <v>829.952</v>
      </c>
      <c r="F434" s="35">
        <v>1239</v>
      </c>
      <c r="G434" s="35">
        <v>75</v>
      </c>
      <c r="H434" s="43">
        <v>600</v>
      </c>
      <c r="I434" s="35">
        <v>695</v>
      </c>
      <c r="J434" s="35">
        <v>0</v>
      </c>
      <c r="K434" s="36"/>
      <c r="L434" s="36"/>
      <c r="M434" s="36"/>
      <c r="N434" s="36"/>
      <c r="O434" s="36"/>
      <c r="P434" s="36"/>
      <c r="Q434" s="36"/>
      <c r="R434" s="36"/>
      <c r="S434" s="36"/>
      <c r="T434" s="36"/>
    </row>
    <row r="435" spans="1:20" ht="15.75">
      <c r="A435" s="13">
        <v>54757</v>
      </c>
      <c r="B435" s="44">
        <v>30</v>
      </c>
      <c r="C435" s="35">
        <v>122.58</v>
      </c>
      <c r="D435" s="35">
        <v>297.94099999999997</v>
      </c>
      <c r="E435" s="41">
        <v>729.47900000000004</v>
      </c>
      <c r="F435" s="35">
        <v>1150</v>
      </c>
      <c r="G435" s="35">
        <v>100</v>
      </c>
      <c r="H435" s="43">
        <v>600</v>
      </c>
      <c r="I435" s="35">
        <v>695</v>
      </c>
      <c r="J435" s="35">
        <v>50</v>
      </c>
      <c r="K435" s="36"/>
      <c r="L435" s="36"/>
      <c r="M435" s="36"/>
      <c r="N435" s="36"/>
      <c r="O435" s="36"/>
      <c r="P435" s="36"/>
      <c r="Q435" s="36"/>
      <c r="R435" s="36"/>
      <c r="S435" s="36"/>
      <c r="T435" s="36"/>
    </row>
    <row r="436" spans="1:20" ht="15.75">
      <c r="A436" s="13">
        <v>54788</v>
      </c>
      <c r="B436" s="44">
        <v>31</v>
      </c>
      <c r="C436" s="35">
        <v>122.58</v>
      </c>
      <c r="D436" s="35">
        <v>297.94099999999997</v>
      </c>
      <c r="E436" s="41">
        <v>729.47900000000004</v>
      </c>
      <c r="F436" s="35">
        <v>1150</v>
      </c>
      <c r="G436" s="35">
        <v>100</v>
      </c>
      <c r="H436" s="43">
        <v>600</v>
      </c>
      <c r="I436" s="35">
        <v>695</v>
      </c>
      <c r="J436" s="35">
        <v>50</v>
      </c>
      <c r="K436" s="36"/>
      <c r="L436" s="36"/>
      <c r="M436" s="36"/>
      <c r="N436" s="36"/>
      <c r="O436" s="36"/>
      <c r="P436" s="36"/>
      <c r="Q436" s="36"/>
      <c r="R436" s="36"/>
      <c r="S436" s="36"/>
      <c r="T436" s="36"/>
    </row>
    <row r="437" spans="1:20" ht="15.75">
      <c r="A437" s="13">
        <v>54819</v>
      </c>
      <c r="B437" s="44">
        <v>31</v>
      </c>
      <c r="C437" s="35">
        <v>122.58</v>
      </c>
      <c r="D437" s="35">
        <v>297.94099999999997</v>
      </c>
      <c r="E437" s="41">
        <v>729.47900000000004</v>
      </c>
      <c r="F437" s="35">
        <v>1150</v>
      </c>
      <c r="G437" s="35">
        <v>100</v>
      </c>
      <c r="H437" s="43">
        <v>600</v>
      </c>
      <c r="I437" s="35">
        <v>695</v>
      </c>
      <c r="J437" s="35">
        <v>50</v>
      </c>
      <c r="K437" s="36"/>
      <c r="L437" s="36"/>
      <c r="M437" s="36"/>
      <c r="N437" s="36"/>
      <c r="O437" s="36"/>
      <c r="P437" s="36"/>
      <c r="Q437" s="36"/>
      <c r="R437" s="36"/>
      <c r="S437" s="36"/>
      <c r="T437" s="36"/>
    </row>
    <row r="438" spans="1:20" ht="15.75">
      <c r="A438" s="13">
        <v>54847</v>
      </c>
      <c r="B438" s="44">
        <v>28</v>
      </c>
      <c r="C438" s="35">
        <v>122.58</v>
      </c>
      <c r="D438" s="35">
        <v>297.94099999999997</v>
      </c>
      <c r="E438" s="41">
        <v>729.47900000000004</v>
      </c>
      <c r="F438" s="35">
        <v>1150</v>
      </c>
      <c r="G438" s="35">
        <v>100</v>
      </c>
      <c r="H438" s="43">
        <v>600</v>
      </c>
      <c r="I438" s="35">
        <v>695</v>
      </c>
      <c r="J438" s="35">
        <v>50</v>
      </c>
      <c r="K438" s="36"/>
      <c r="L438" s="36"/>
      <c r="M438" s="36"/>
      <c r="N438" s="36"/>
      <c r="O438" s="36"/>
      <c r="P438" s="36"/>
      <c r="Q438" s="36"/>
      <c r="R438" s="36"/>
      <c r="S438" s="36"/>
      <c r="T438" s="36"/>
    </row>
    <row r="439" spans="1:20" ht="15.75">
      <c r="A439" s="13">
        <v>54878</v>
      </c>
      <c r="B439" s="44">
        <v>31</v>
      </c>
      <c r="C439" s="35">
        <v>122.58</v>
      </c>
      <c r="D439" s="35">
        <v>297.94099999999997</v>
      </c>
      <c r="E439" s="41">
        <v>729.47900000000004</v>
      </c>
      <c r="F439" s="35">
        <v>1150</v>
      </c>
      <c r="G439" s="35">
        <v>100</v>
      </c>
      <c r="H439" s="43">
        <v>600</v>
      </c>
      <c r="I439" s="35">
        <v>695</v>
      </c>
      <c r="J439" s="35">
        <v>50</v>
      </c>
      <c r="K439" s="36"/>
      <c r="L439" s="36"/>
      <c r="M439" s="36"/>
      <c r="N439" s="36"/>
      <c r="O439" s="36"/>
      <c r="P439" s="36"/>
      <c r="Q439" s="36"/>
      <c r="R439" s="36"/>
      <c r="S439" s="36"/>
      <c r="T439" s="36"/>
    </row>
    <row r="440" spans="1:20" ht="15.75">
      <c r="A440" s="13">
        <v>54908</v>
      </c>
      <c r="B440" s="44">
        <v>30</v>
      </c>
      <c r="C440" s="35">
        <v>141.29300000000001</v>
      </c>
      <c r="D440" s="35">
        <v>267.99299999999999</v>
      </c>
      <c r="E440" s="41">
        <v>829.71400000000006</v>
      </c>
      <c r="F440" s="35">
        <v>1239</v>
      </c>
      <c r="G440" s="35">
        <v>100</v>
      </c>
      <c r="H440" s="43">
        <v>600</v>
      </c>
      <c r="I440" s="35">
        <v>695</v>
      </c>
      <c r="J440" s="35">
        <v>50</v>
      </c>
      <c r="K440" s="36"/>
      <c r="L440" s="36"/>
      <c r="M440" s="36"/>
      <c r="N440" s="36"/>
      <c r="O440" s="36"/>
      <c r="P440" s="36"/>
      <c r="Q440" s="36"/>
      <c r="R440" s="36"/>
      <c r="S440" s="36"/>
      <c r="T440" s="36"/>
    </row>
    <row r="441" spans="1:20" ht="15.75">
      <c r="A441" s="13">
        <v>54939</v>
      </c>
      <c r="B441" s="44">
        <v>31</v>
      </c>
      <c r="C441" s="35">
        <v>194.20500000000001</v>
      </c>
      <c r="D441" s="35">
        <v>267.46600000000001</v>
      </c>
      <c r="E441" s="41">
        <v>812.32899999999995</v>
      </c>
      <c r="F441" s="35">
        <v>1274</v>
      </c>
      <c r="G441" s="35">
        <v>75</v>
      </c>
      <c r="H441" s="43">
        <v>600</v>
      </c>
      <c r="I441" s="35">
        <v>695</v>
      </c>
      <c r="J441" s="35">
        <v>50</v>
      </c>
      <c r="K441" s="36"/>
      <c r="L441" s="36"/>
      <c r="M441" s="36"/>
      <c r="N441" s="36"/>
      <c r="O441" s="36"/>
      <c r="P441" s="36"/>
      <c r="Q441" s="36"/>
      <c r="R441" s="36"/>
      <c r="S441" s="36"/>
      <c r="T441" s="36"/>
    </row>
    <row r="442" spans="1:20" ht="15.75">
      <c r="A442" s="13">
        <v>54969</v>
      </c>
      <c r="B442" s="44">
        <v>30</v>
      </c>
      <c r="C442" s="35">
        <v>194.20500000000001</v>
      </c>
      <c r="D442" s="35">
        <v>267.46600000000001</v>
      </c>
      <c r="E442" s="41">
        <v>812.32899999999995</v>
      </c>
      <c r="F442" s="35">
        <v>1274</v>
      </c>
      <c r="G442" s="35">
        <v>50</v>
      </c>
      <c r="H442" s="43">
        <v>600</v>
      </c>
      <c r="I442" s="35">
        <v>695</v>
      </c>
      <c r="J442" s="35">
        <v>50</v>
      </c>
      <c r="K442" s="36"/>
      <c r="L442" s="36"/>
      <c r="M442" s="36"/>
      <c r="N442" s="36"/>
      <c r="O442" s="36"/>
      <c r="P442" s="36"/>
      <c r="Q442" s="36"/>
      <c r="R442" s="36"/>
      <c r="S442" s="36"/>
      <c r="T442" s="36"/>
    </row>
    <row r="443" spans="1:20" ht="15.75">
      <c r="A443" s="13">
        <v>55000</v>
      </c>
      <c r="B443" s="44">
        <v>31</v>
      </c>
      <c r="C443" s="35">
        <v>194.20500000000001</v>
      </c>
      <c r="D443" s="35">
        <v>267.46600000000001</v>
      </c>
      <c r="E443" s="41">
        <v>812.32899999999995</v>
      </c>
      <c r="F443" s="35">
        <v>1274</v>
      </c>
      <c r="G443" s="35">
        <v>50</v>
      </c>
      <c r="H443" s="43">
        <v>600</v>
      </c>
      <c r="I443" s="35">
        <v>695</v>
      </c>
      <c r="J443" s="35">
        <v>0</v>
      </c>
      <c r="K443" s="36"/>
      <c r="L443" s="36"/>
      <c r="M443" s="36"/>
      <c r="N443" s="36"/>
      <c r="O443" s="36"/>
      <c r="P443" s="36"/>
      <c r="Q443" s="36"/>
      <c r="R443" s="36"/>
      <c r="S443" s="36"/>
      <c r="T443" s="36"/>
    </row>
    <row r="444" spans="1:20" ht="15.75">
      <c r="A444" s="13">
        <v>55031</v>
      </c>
      <c r="B444" s="44">
        <v>31</v>
      </c>
      <c r="C444" s="35">
        <v>194.20500000000001</v>
      </c>
      <c r="D444" s="35">
        <v>267.46600000000001</v>
      </c>
      <c r="E444" s="41">
        <v>812.32899999999995</v>
      </c>
      <c r="F444" s="35">
        <v>1274</v>
      </c>
      <c r="G444" s="35">
        <v>50</v>
      </c>
      <c r="H444" s="43">
        <v>600</v>
      </c>
      <c r="I444" s="35">
        <v>695</v>
      </c>
      <c r="J444" s="35">
        <v>0</v>
      </c>
      <c r="K444" s="36"/>
      <c r="L444" s="36"/>
      <c r="M444" s="36"/>
      <c r="N444" s="36"/>
      <c r="O444" s="36"/>
      <c r="P444" s="36"/>
      <c r="Q444" s="36"/>
      <c r="R444" s="36"/>
      <c r="S444" s="36"/>
      <c r="T444" s="36"/>
    </row>
    <row r="445" spans="1:20" ht="15.75">
      <c r="A445" s="13">
        <v>55061</v>
      </c>
      <c r="B445" s="44">
        <v>30</v>
      </c>
      <c r="C445" s="35">
        <v>194.20500000000001</v>
      </c>
      <c r="D445" s="35">
        <v>267.46600000000001</v>
      </c>
      <c r="E445" s="41">
        <v>812.32899999999995</v>
      </c>
      <c r="F445" s="35">
        <v>1274</v>
      </c>
      <c r="G445" s="35">
        <v>50</v>
      </c>
      <c r="H445" s="43">
        <v>600</v>
      </c>
      <c r="I445" s="35">
        <v>695</v>
      </c>
      <c r="J445" s="35">
        <v>0</v>
      </c>
      <c r="K445" s="36"/>
      <c r="L445" s="36"/>
      <c r="M445" s="36"/>
      <c r="N445" s="36"/>
      <c r="O445" s="36"/>
      <c r="P445" s="36"/>
      <c r="Q445" s="36"/>
      <c r="R445" s="36"/>
      <c r="S445" s="36"/>
      <c r="T445" s="36"/>
    </row>
    <row r="446" spans="1:20" ht="15.75">
      <c r="A446" s="13">
        <v>55092</v>
      </c>
      <c r="B446" s="44">
        <v>31</v>
      </c>
      <c r="C446" s="35">
        <v>131.881</v>
      </c>
      <c r="D446" s="35">
        <v>277.16699999999997</v>
      </c>
      <c r="E446" s="41">
        <v>829.952</v>
      </c>
      <c r="F446" s="35">
        <v>1239</v>
      </c>
      <c r="G446" s="35">
        <v>75</v>
      </c>
      <c r="H446" s="43">
        <v>600</v>
      </c>
      <c r="I446" s="35">
        <v>695</v>
      </c>
      <c r="J446" s="35">
        <v>0</v>
      </c>
      <c r="K446" s="36"/>
      <c r="L446" s="36"/>
      <c r="M446" s="36"/>
      <c r="N446" s="36"/>
      <c r="O446" s="36"/>
      <c r="P446" s="36"/>
      <c r="Q446" s="36"/>
      <c r="R446" s="36"/>
      <c r="S446" s="36"/>
      <c r="T446" s="36"/>
    </row>
    <row r="447" spans="1:20" ht="15.75">
      <c r="A447" s="13">
        <v>55122</v>
      </c>
      <c r="B447" s="44">
        <v>30</v>
      </c>
      <c r="C447" s="35">
        <v>122.58</v>
      </c>
      <c r="D447" s="35">
        <v>297.94099999999997</v>
      </c>
      <c r="E447" s="41">
        <v>729.47900000000004</v>
      </c>
      <c r="F447" s="35">
        <v>1150</v>
      </c>
      <c r="G447" s="35">
        <v>100</v>
      </c>
      <c r="H447" s="43">
        <v>600</v>
      </c>
      <c r="I447" s="35">
        <v>695</v>
      </c>
      <c r="J447" s="35">
        <v>50</v>
      </c>
      <c r="K447" s="36"/>
      <c r="L447" s="36"/>
      <c r="M447" s="36"/>
      <c r="N447" s="36"/>
      <c r="O447" s="36"/>
      <c r="P447" s="36"/>
      <c r="Q447" s="36"/>
      <c r="R447" s="36"/>
      <c r="S447" s="36"/>
      <c r="T447" s="36"/>
    </row>
    <row r="448" spans="1:20" ht="15.75">
      <c r="A448" s="13">
        <v>55153</v>
      </c>
      <c r="B448" s="44">
        <v>31</v>
      </c>
      <c r="C448" s="35">
        <v>122.58</v>
      </c>
      <c r="D448" s="35">
        <v>297.94099999999997</v>
      </c>
      <c r="E448" s="41">
        <v>729.47900000000004</v>
      </c>
      <c r="F448" s="35">
        <v>1150</v>
      </c>
      <c r="G448" s="35">
        <v>100</v>
      </c>
      <c r="H448" s="43">
        <v>600</v>
      </c>
      <c r="I448" s="35">
        <v>695</v>
      </c>
      <c r="J448" s="35">
        <v>50</v>
      </c>
      <c r="K448" s="36"/>
      <c r="L448" s="36"/>
      <c r="M448" s="36"/>
      <c r="N448" s="36"/>
      <c r="O448" s="36"/>
      <c r="P448" s="36"/>
      <c r="Q448" s="36"/>
      <c r="R448" s="36"/>
      <c r="S448" s="36"/>
      <c r="T448" s="36"/>
    </row>
    <row r="449" spans="1:20" ht="15.75">
      <c r="A449" s="13">
        <v>55184</v>
      </c>
      <c r="B449" s="44">
        <v>31</v>
      </c>
      <c r="C449" s="35">
        <v>122.58</v>
      </c>
      <c r="D449" s="35">
        <v>297.94099999999997</v>
      </c>
      <c r="E449" s="41">
        <v>729.47900000000004</v>
      </c>
      <c r="F449" s="35">
        <v>1150</v>
      </c>
      <c r="G449" s="35">
        <v>100</v>
      </c>
      <c r="H449" s="43">
        <v>600</v>
      </c>
      <c r="I449" s="35">
        <v>695</v>
      </c>
      <c r="J449" s="35">
        <v>50</v>
      </c>
      <c r="K449" s="36"/>
      <c r="L449" s="36"/>
      <c r="M449" s="36"/>
      <c r="N449" s="36"/>
      <c r="O449" s="36"/>
      <c r="P449" s="36"/>
      <c r="Q449" s="36"/>
      <c r="R449" s="36"/>
      <c r="S449" s="36"/>
      <c r="T449" s="36"/>
    </row>
    <row r="450" spans="1:20" ht="15.75">
      <c r="A450" s="13">
        <v>55212</v>
      </c>
      <c r="B450" s="44">
        <v>28</v>
      </c>
      <c r="C450" s="35">
        <v>122.58</v>
      </c>
      <c r="D450" s="35">
        <v>297.94099999999997</v>
      </c>
      <c r="E450" s="41">
        <v>729.47900000000004</v>
      </c>
      <c r="F450" s="35">
        <v>1150</v>
      </c>
      <c r="G450" s="35">
        <v>100</v>
      </c>
      <c r="H450" s="43">
        <v>600</v>
      </c>
      <c r="I450" s="35">
        <v>695</v>
      </c>
      <c r="J450" s="35">
        <v>50</v>
      </c>
      <c r="K450" s="36"/>
      <c r="L450" s="36"/>
      <c r="M450" s="36"/>
      <c r="N450" s="36"/>
      <c r="O450" s="36"/>
      <c r="P450" s="36"/>
      <c r="Q450" s="36"/>
      <c r="R450" s="36"/>
      <c r="S450" s="36"/>
      <c r="T450" s="36"/>
    </row>
    <row r="451" spans="1:20" ht="15.75">
      <c r="A451" s="13">
        <v>55243</v>
      </c>
      <c r="B451" s="44">
        <v>31</v>
      </c>
      <c r="C451" s="35">
        <v>122.58</v>
      </c>
      <c r="D451" s="35">
        <v>297.94099999999997</v>
      </c>
      <c r="E451" s="41">
        <v>729.47900000000004</v>
      </c>
      <c r="F451" s="35">
        <v>1150</v>
      </c>
      <c r="G451" s="35">
        <v>100</v>
      </c>
      <c r="H451" s="43">
        <v>600</v>
      </c>
      <c r="I451" s="35">
        <v>695</v>
      </c>
      <c r="J451" s="35">
        <v>50</v>
      </c>
      <c r="K451" s="36"/>
      <c r="L451" s="36"/>
      <c r="M451" s="36"/>
      <c r="N451" s="36"/>
      <c r="O451" s="36"/>
      <c r="P451" s="36"/>
      <c r="Q451" s="36"/>
      <c r="R451" s="36"/>
      <c r="S451" s="36"/>
      <c r="T451" s="36"/>
    </row>
    <row r="452" spans="1:20" ht="15.75">
      <c r="A452" s="13">
        <v>55273</v>
      </c>
      <c r="B452" s="44">
        <v>30</v>
      </c>
      <c r="C452" s="35">
        <v>141.29300000000001</v>
      </c>
      <c r="D452" s="35">
        <v>267.99299999999999</v>
      </c>
      <c r="E452" s="41">
        <v>829.71400000000006</v>
      </c>
      <c r="F452" s="35">
        <v>1239</v>
      </c>
      <c r="G452" s="35">
        <v>100</v>
      </c>
      <c r="H452" s="43">
        <v>600</v>
      </c>
      <c r="I452" s="35">
        <v>695</v>
      </c>
      <c r="J452" s="35">
        <v>50</v>
      </c>
      <c r="K452" s="36"/>
      <c r="L452" s="36"/>
      <c r="M452" s="36"/>
      <c r="N452" s="36"/>
      <c r="O452" s="36"/>
      <c r="P452" s="36"/>
      <c r="Q452" s="36"/>
      <c r="R452" s="36"/>
      <c r="S452" s="36"/>
      <c r="T452" s="36"/>
    </row>
    <row r="453" spans="1:20" ht="15.75">
      <c r="A453" s="13">
        <v>55304</v>
      </c>
      <c r="B453" s="44">
        <v>31</v>
      </c>
      <c r="C453" s="35">
        <v>194.20500000000001</v>
      </c>
      <c r="D453" s="35">
        <v>267.46600000000001</v>
      </c>
      <c r="E453" s="41">
        <v>812.32899999999995</v>
      </c>
      <c r="F453" s="35">
        <v>1274</v>
      </c>
      <c r="G453" s="35">
        <v>75</v>
      </c>
      <c r="H453" s="43">
        <v>600</v>
      </c>
      <c r="I453" s="35">
        <v>695</v>
      </c>
      <c r="J453" s="35">
        <v>50</v>
      </c>
      <c r="K453" s="36"/>
      <c r="L453" s="36"/>
      <c r="M453" s="36"/>
      <c r="N453" s="36"/>
      <c r="O453" s="36"/>
      <c r="P453" s="36"/>
      <c r="Q453" s="36"/>
      <c r="R453" s="36"/>
      <c r="S453" s="36"/>
      <c r="T453" s="36"/>
    </row>
    <row r="454" spans="1:20" ht="15.75">
      <c r="A454" s="13">
        <v>55334</v>
      </c>
      <c r="B454" s="44">
        <v>30</v>
      </c>
      <c r="C454" s="35">
        <v>194.20500000000001</v>
      </c>
      <c r="D454" s="35">
        <v>267.46600000000001</v>
      </c>
      <c r="E454" s="41">
        <v>812.32899999999995</v>
      </c>
      <c r="F454" s="35">
        <v>1274</v>
      </c>
      <c r="G454" s="35">
        <v>50</v>
      </c>
      <c r="H454" s="43">
        <v>600</v>
      </c>
      <c r="I454" s="35">
        <v>695</v>
      </c>
      <c r="J454" s="35">
        <v>50</v>
      </c>
      <c r="K454" s="36"/>
      <c r="L454" s="36"/>
      <c r="M454" s="36"/>
      <c r="N454" s="36"/>
      <c r="O454" s="36"/>
      <c r="P454" s="36"/>
      <c r="Q454" s="36"/>
      <c r="R454" s="36"/>
      <c r="S454" s="36"/>
      <c r="T454" s="36"/>
    </row>
    <row r="455" spans="1:20" ht="15.75">
      <c r="A455" s="13">
        <v>55365</v>
      </c>
      <c r="B455" s="44">
        <v>31</v>
      </c>
      <c r="C455" s="35">
        <v>194.20500000000001</v>
      </c>
      <c r="D455" s="35">
        <v>267.46600000000001</v>
      </c>
      <c r="E455" s="41">
        <v>812.32899999999995</v>
      </c>
      <c r="F455" s="35">
        <v>1274</v>
      </c>
      <c r="G455" s="35">
        <v>50</v>
      </c>
      <c r="H455" s="43">
        <v>600</v>
      </c>
      <c r="I455" s="35">
        <v>695</v>
      </c>
      <c r="J455" s="35">
        <v>0</v>
      </c>
      <c r="K455" s="36"/>
      <c r="L455" s="36"/>
      <c r="M455" s="36"/>
      <c r="N455" s="36"/>
      <c r="O455" s="36"/>
      <c r="P455" s="36"/>
      <c r="Q455" s="36"/>
      <c r="R455" s="36"/>
      <c r="S455" s="36"/>
      <c r="T455" s="36"/>
    </row>
    <row r="456" spans="1:20" ht="15.75">
      <c r="A456" s="13">
        <v>55396</v>
      </c>
      <c r="B456" s="44">
        <v>31</v>
      </c>
      <c r="C456" s="35">
        <v>194.20500000000001</v>
      </c>
      <c r="D456" s="35">
        <v>267.46600000000001</v>
      </c>
      <c r="E456" s="41">
        <v>812.32899999999995</v>
      </c>
      <c r="F456" s="35">
        <v>1274</v>
      </c>
      <c r="G456" s="35">
        <v>50</v>
      </c>
      <c r="H456" s="43">
        <v>600</v>
      </c>
      <c r="I456" s="35">
        <v>695</v>
      </c>
      <c r="J456" s="35">
        <v>0</v>
      </c>
      <c r="K456" s="36"/>
      <c r="L456" s="36"/>
      <c r="M456" s="36"/>
      <c r="N456" s="36"/>
      <c r="O456" s="36"/>
      <c r="P456" s="36"/>
      <c r="Q456" s="36"/>
      <c r="R456" s="36"/>
      <c r="S456" s="36"/>
      <c r="T456" s="36"/>
    </row>
    <row r="457" spans="1:20" ht="15.75">
      <c r="A457" s="13">
        <v>55426</v>
      </c>
      <c r="B457" s="44">
        <v>30</v>
      </c>
      <c r="C457" s="35">
        <v>194.20500000000001</v>
      </c>
      <c r="D457" s="35">
        <v>267.46600000000001</v>
      </c>
      <c r="E457" s="41">
        <v>812.32899999999995</v>
      </c>
      <c r="F457" s="35">
        <v>1274</v>
      </c>
      <c r="G457" s="35">
        <v>50</v>
      </c>
      <c r="H457" s="43">
        <v>600</v>
      </c>
      <c r="I457" s="35">
        <v>695</v>
      </c>
      <c r="J457" s="35">
        <v>0</v>
      </c>
      <c r="K457" s="36"/>
      <c r="L457" s="36"/>
      <c r="M457" s="36"/>
      <c r="N457" s="36"/>
      <c r="O457" s="36"/>
      <c r="P457" s="36"/>
      <c r="Q457" s="36"/>
      <c r="R457" s="36"/>
      <c r="S457" s="36"/>
      <c r="T457" s="36"/>
    </row>
    <row r="458" spans="1:20" ht="15.75">
      <c r="A458" s="13">
        <v>55457</v>
      </c>
      <c r="B458" s="44">
        <v>31</v>
      </c>
      <c r="C458" s="35">
        <v>131.881</v>
      </c>
      <c r="D458" s="35">
        <v>277.16699999999997</v>
      </c>
      <c r="E458" s="41">
        <v>829.952</v>
      </c>
      <c r="F458" s="35">
        <v>1239</v>
      </c>
      <c r="G458" s="35">
        <v>75</v>
      </c>
      <c r="H458" s="43">
        <v>600</v>
      </c>
      <c r="I458" s="35">
        <v>695</v>
      </c>
      <c r="J458" s="35">
        <v>0</v>
      </c>
      <c r="K458" s="36"/>
      <c r="L458" s="36"/>
      <c r="M458" s="36"/>
      <c r="N458" s="36"/>
      <c r="O458" s="36"/>
      <c r="P458" s="36"/>
      <c r="Q458" s="36"/>
      <c r="R458" s="36"/>
      <c r="S458" s="36"/>
      <c r="T458" s="36"/>
    </row>
    <row r="459" spans="1:20" ht="15.75">
      <c r="A459" s="13">
        <v>55487</v>
      </c>
      <c r="B459" s="44">
        <v>30</v>
      </c>
      <c r="C459" s="35">
        <v>122.58</v>
      </c>
      <c r="D459" s="35">
        <v>297.94099999999997</v>
      </c>
      <c r="E459" s="41">
        <v>729.47900000000004</v>
      </c>
      <c r="F459" s="35">
        <v>1150</v>
      </c>
      <c r="G459" s="35">
        <v>100</v>
      </c>
      <c r="H459" s="43">
        <v>600</v>
      </c>
      <c r="I459" s="35">
        <v>695</v>
      </c>
      <c r="J459" s="35">
        <v>50</v>
      </c>
      <c r="K459" s="36"/>
      <c r="L459" s="36"/>
      <c r="M459" s="36"/>
      <c r="N459" s="36"/>
      <c r="O459" s="36"/>
      <c r="P459" s="36"/>
      <c r="Q459" s="36"/>
      <c r="R459" s="36"/>
      <c r="S459" s="36"/>
      <c r="T459" s="36"/>
    </row>
    <row r="460" spans="1:20" ht="15.75">
      <c r="A460" s="13">
        <v>55518</v>
      </c>
      <c r="B460" s="44">
        <v>31</v>
      </c>
      <c r="C460" s="35">
        <v>122.58</v>
      </c>
      <c r="D460" s="35">
        <v>297.94099999999997</v>
      </c>
      <c r="E460" s="41">
        <v>729.47900000000004</v>
      </c>
      <c r="F460" s="35">
        <v>1150</v>
      </c>
      <c r="G460" s="35">
        <v>100</v>
      </c>
      <c r="H460" s="43">
        <v>600</v>
      </c>
      <c r="I460" s="35">
        <v>695</v>
      </c>
      <c r="J460" s="35">
        <v>50</v>
      </c>
      <c r="K460" s="36"/>
      <c r="L460" s="36"/>
      <c r="M460" s="36"/>
      <c r="N460" s="36"/>
      <c r="O460" s="36"/>
      <c r="P460" s="36"/>
      <c r="Q460" s="36"/>
      <c r="R460" s="36"/>
      <c r="S460" s="36"/>
      <c r="T460" s="36"/>
    </row>
    <row r="461" spans="1:20" ht="15.75">
      <c r="A461" s="13">
        <v>55549</v>
      </c>
      <c r="B461" s="44">
        <v>31</v>
      </c>
      <c r="C461" s="35">
        <v>122.58</v>
      </c>
      <c r="D461" s="35">
        <v>297.94099999999997</v>
      </c>
      <c r="E461" s="41">
        <v>729.47900000000004</v>
      </c>
      <c r="F461" s="35">
        <v>1150</v>
      </c>
      <c r="G461" s="35">
        <v>100</v>
      </c>
      <c r="H461" s="43">
        <v>600</v>
      </c>
      <c r="I461" s="35">
        <v>695</v>
      </c>
      <c r="J461" s="35">
        <v>50</v>
      </c>
      <c r="K461" s="36"/>
      <c r="L461" s="36"/>
      <c r="M461" s="36"/>
      <c r="N461" s="36"/>
      <c r="O461" s="36"/>
      <c r="P461" s="36"/>
      <c r="Q461" s="36"/>
      <c r="R461" s="36"/>
      <c r="S461" s="36"/>
      <c r="T461" s="36"/>
    </row>
    <row r="462" spans="1:20" ht="15.75">
      <c r="A462" s="13">
        <v>55577</v>
      </c>
      <c r="B462" s="44">
        <v>29</v>
      </c>
      <c r="C462" s="35">
        <v>122.58</v>
      </c>
      <c r="D462" s="35">
        <v>297.94099999999997</v>
      </c>
      <c r="E462" s="41">
        <v>729.47900000000004</v>
      </c>
      <c r="F462" s="35">
        <v>1150</v>
      </c>
      <c r="G462" s="35">
        <v>100</v>
      </c>
      <c r="H462" s="43">
        <v>600</v>
      </c>
      <c r="I462" s="35">
        <v>695</v>
      </c>
      <c r="J462" s="35">
        <v>50</v>
      </c>
      <c r="K462" s="36"/>
      <c r="L462" s="36"/>
      <c r="M462" s="36"/>
      <c r="N462" s="36"/>
      <c r="O462" s="36"/>
      <c r="P462" s="36"/>
      <c r="Q462" s="36"/>
      <c r="R462" s="36"/>
      <c r="S462" s="36"/>
      <c r="T462" s="36"/>
    </row>
    <row r="463" spans="1:20" ht="15.75">
      <c r="A463" s="13">
        <v>55609</v>
      </c>
      <c r="B463" s="44">
        <v>31</v>
      </c>
      <c r="C463" s="35">
        <v>122.58</v>
      </c>
      <c r="D463" s="35">
        <v>297.94099999999997</v>
      </c>
      <c r="E463" s="41">
        <v>729.47900000000004</v>
      </c>
      <c r="F463" s="35">
        <v>1150</v>
      </c>
      <c r="G463" s="35">
        <v>100</v>
      </c>
      <c r="H463" s="43">
        <v>600</v>
      </c>
      <c r="I463" s="35">
        <v>695</v>
      </c>
      <c r="J463" s="35">
        <v>50</v>
      </c>
      <c r="K463" s="36"/>
      <c r="L463" s="36"/>
      <c r="M463" s="36"/>
      <c r="N463" s="36"/>
      <c r="O463" s="36"/>
      <c r="P463" s="36"/>
      <c r="Q463" s="36"/>
      <c r="R463" s="36"/>
      <c r="S463" s="36"/>
      <c r="T463" s="36"/>
    </row>
    <row r="464" spans="1:20" ht="15.75">
      <c r="A464" s="13">
        <v>55639</v>
      </c>
      <c r="B464" s="44">
        <v>30</v>
      </c>
      <c r="C464" s="35">
        <v>141.29300000000001</v>
      </c>
      <c r="D464" s="35">
        <v>267.99299999999999</v>
      </c>
      <c r="E464" s="41">
        <v>829.71400000000006</v>
      </c>
      <c r="F464" s="35">
        <v>1239</v>
      </c>
      <c r="G464" s="35">
        <v>100</v>
      </c>
      <c r="H464" s="43">
        <v>600</v>
      </c>
      <c r="I464" s="35">
        <v>695</v>
      </c>
      <c r="J464" s="35">
        <v>50</v>
      </c>
      <c r="K464" s="36"/>
      <c r="L464" s="36"/>
      <c r="M464" s="36"/>
      <c r="N464" s="36"/>
      <c r="O464" s="36"/>
      <c r="P464" s="36"/>
      <c r="Q464" s="36"/>
      <c r="R464" s="36"/>
      <c r="S464" s="36"/>
      <c r="T464" s="36"/>
    </row>
    <row r="465" spans="1:20" ht="15.75">
      <c r="A465" s="13">
        <v>55670</v>
      </c>
      <c r="B465" s="44">
        <v>31</v>
      </c>
      <c r="C465" s="35">
        <v>194.20500000000001</v>
      </c>
      <c r="D465" s="35">
        <v>267.46600000000001</v>
      </c>
      <c r="E465" s="41">
        <v>812.32899999999995</v>
      </c>
      <c r="F465" s="35">
        <v>1274</v>
      </c>
      <c r="G465" s="35">
        <v>75</v>
      </c>
      <c r="H465" s="43">
        <v>600</v>
      </c>
      <c r="I465" s="35">
        <v>695</v>
      </c>
      <c r="J465" s="35">
        <v>50</v>
      </c>
      <c r="K465" s="36"/>
      <c r="L465" s="36"/>
      <c r="M465" s="36"/>
      <c r="N465" s="36"/>
      <c r="O465" s="36"/>
      <c r="P465" s="36"/>
      <c r="Q465" s="36"/>
      <c r="R465" s="36"/>
      <c r="S465" s="36"/>
      <c r="T465" s="36"/>
    </row>
    <row r="466" spans="1:20" ht="15.75">
      <c r="A466" s="13">
        <v>55700</v>
      </c>
      <c r="B466" s="44">
        <v>30</v>
      </c>
      <c r="C466" s="35">
        <v>194.20500000000001</v>
      </c>
      <c r="D466" s="35">
        <v>267.46600000000001</v>
      </c>
      <c r="E466" s="41">
        <v>812.32899999999995</v>
      </c>
      <c r="F466" s="35">
        <v>1274</v>
      </c>
      <c r="G466" s="35">
        <v>50</v>
      </c>
      <c r="H466" s="43">
        <v>600</v>
      </c>
      <c r="I466" s="35">
        <v>695</v>
      </c>
      <c r="J466" s="35">
        <v>50</v>
      </c>
      <c r="K466" s="36"/>
      <c r="L466" s="36"/>
      <c r="M466" s="36"/>
      <c r="N466" s="36"/>
      <c r="O466" s="36"/>
      <c r="P466" s="36"/>
      <c r="Q466" s="36"/>
      <c r="R466" s="36"/>
      <c r="S466" s="36"/>
      <c r="T466" s="36"/>
    </row>
    <row r="467" spans="1:20" ht="15.75">
      <c r="A467" s="13">
        <v>55731</v>
      </c>
      <c r="B467" s="44">
        <v>31</v>
      </c>
      <c r="C467" s="35">
        <v>194.20500000000001</v>
      </c>
      <c r="D467" s="35">
        <v>267.46600000000001</v>
      </c>
      <c r="E467" s="41">
        <v>812.32899999999995</v>
      </c>
      <c r="F467" s="35">
        <v>1274</v>
      </c>
      <c r="G467" s="35">
        <v>50</v>
      </c>
      <c r="H467" s="43">
        <v>600</v>
      </c>
      <c r="I467" s="35">
        <v>695</v>
      </c>
      <c r="J467" s="35">
        <v>0</v>
      </c>
      <c r="K467" s="36"/>
      <c r="L467" s="36"/>
      <c r="M467" s="36"/>
      <c r="N467" s="36"/>
      <c r="O467" s="36"/>
      <c r="P467" s="36"/>
      <c r="Q467" s="36"/>
      <c r="R467" s="36"/>
      <c r="S467" s="36"/>
      <c r="T467" s="36"/>
    </row>
    <row r="468" spans="1:20" ht="15.75">
      <c r="A468" s="13">
        <v>55762</v>
      </c>
      <c r="B468" s="44">
        <v>31</v>
      </c>
      <c r="C468" s="35">
        <v>194.20500000000001</v>
      </c>
      <c r="D468" s="35">
        <v>267.46600000000001</v>
      </c>
      <c r="E468" s="41">
        <v>812.32899999999995</v>
      </c>
      <c r="F468" s="35">
        <v>1274</v>
      </c>
      <c r="G468" s="35">
        <v>50</v>
      </c>
      <c r="H468" s="43">
        <v>600</v>
      </c>
      <c r="I468" s="35">
        <v>695</v>
      </c>
      <c r="J468" s="35">
        <v>0</v>
      </c>
      <c r="K468" s="36"/>
      <c r="L468" s="36"/>
      <c r="M468" s="36"/>
      <c r="N468" s="36"/>
      <c r="O468" s="36"/>
      <c r="P468" s="36"/>
      <c r="Q468" s="36"/>
      <c r="R468" s="36"/>
      <c r="S468" s="36"/>
      <c r="T468" s="36"/>
    </row>
    <row r="469" spans="1:20" ht="15.75">
      <c r="A469" s="13">
        <v>55792</v>
      </c>
      <c r="B469" s="44">
        <v>30</v>
      </c>
      <c r="C469" s="35">
        <v>194.20500000000001</v>
      </c>
      <c r="D469" s="35">
        <v>267.46600000000001</v>
      </c>
      <c r="E469" s="41">
        <v>812.32899999999995</v>
      </c>
      <c r="F469" s="35">
        <v>1274</v>
      </c>
      <c r="G469" s="35">
        <v>50</v>
      </c>
      <c r="H469" s="43">
        <v>600</v>
      </c>
      <c r="I469" s="35">
        <v>695</v>
      </c>
      <c r="J469" s="35">
        <v>0</v>
      </c>
      <c r="K469" s="36"/>
      <c r="L469" s="36"/>
      <c r="M469" s="36"/>
      <c r="N469" s="36"/>
      <c r="O469" s="36"/>
      <c r="P469" s="36"/>
      <c r="Q469" s="36"/>
      <c r="R469" s="36"/>
      <c r="S469" s="36"/>
      <c r="T469" s="36"/>
    </row>
    <row r="470" spans="1:20" ht="15.75">
      <c r="A470" s="13">
        <v>55823</v>
      </c>
      <c r="B470" s="44">
        <v>31</v>
      </c>
      <c r="C470" s="35">
        <v>131.881</v>
      </c>
      <c r="D470" s="35">
        <v>277.16699999999997</v>
      </c>
      <c r="E470" s="41">
        <v>829.952</v>
      </c>
      <c r="F470" s="35">
        <v>1239</v>
      </c>
      <c r="G470" s="35">
        <v>75</v>
      </c>
      <c r="H470" s="43">
        <v>600</v>
      </c>
      <c r="I470" s="35">
        <v>695</v>
      </c>
      <c r="J470" s="35">
        <v>0</v>
      </c>
      <c r="K470" s="36"/>
      <c r="L470" s="36"/>
      <c r="M470" s="36"/>
      <c r="N470" s="36"/>
      <c r="O470" s="36"/>
      <c r="P470" s="36"/>
      <c r="Q470" s="36"/>
      <c r="R470" s="36"/>
      <c r="S470" s="36"/>
      <c r="T470" s="36"/>
    </row>
    <row r="471" spans="1:20" ht="15.75">
      <c r="A471" s="13">
        <v>55853</v>
      </c>
      <c r="B471" s="44">
        <v>30</v>
      </c>
      <c r="C471" s="35">
        <v>122.58</v>
      </c>
      <c r="D471" s="35">
        <v>297.94099999999997</v>
      </c>
      <c r="E471" s="41">
        <v>729.47900000000004</v>
      </c>
      <c r="F471" s="35">
        <v>1150</v>
      </c>
      <c r="G471" s="35">
        <v>100</v>
      </c>
      <c r="H471" s="43">
        <v>600</v>
      </c>
      <c r="I471" s="35">
        <v>695</v>
      </c>
      <c r="J471" s="35">
        <v>50</v>
      </c>
      <c r="K471" s="36"/>
      <c r="L471" s="36"/>
      <c r="M471" s="36"/>
      <c r="N471" s="36"/>
      <c r="O471" s="36"/>
      <c r="P471" s="36"/>
      <c r="Q471" s="36"/>
      <c r="R471" s="36"/>
      <c r="S471" s="36"/>
      <c r="T471" s="36"/>
    </row>
    <row r="472" spans="1:20" ht="15.75">
      <c r="A472" s="13">
        <v>55884</v>
      </c>
      <c r="B472" s="44">
        <v>31</v>
      </c>
      <c r="C472" s="35">
        <v>122.58</v>
      </c>
      <c r="D472" s="35">
        <v>297.94099999999997</v>
      </c>
      <c r="E472" s="41">
        <v>729.47900000000004</v>
      </c>
      <c r="F472" s="35">
        <v>1150</v>
      </c>
      <c r="G472" s="35">
        <v>100</v>
      </c>
      <c r="H472" s="43">
        <v>600</v>
      </c>
      <c r="I472" s="35">
        <v>695</v>
      </c>
      <c r="J472" s="35">
        <v>50</v>
      </c>
      <c r="K472" s="36"/>
      <c r="L472" s="36"/>
      <c r="M472" s="36"/>
      <c r="N472" s="36"/>
      <c r="O472" s="36"/>
      <c r="P472" s="36"/>
      <c r="Q472" s="36"/>
      <c r="R472" s="36"/>
      <c r="S472" s="36"/>
      <c r="T472" s="36"/>
    </row>
    <row r="473" spans="1:20" ht="15.75">
      <c r="A473" s="13">
        <v>55915</v>
      </c>
      <c r="B473" s="44">
        <v>31</v>
      </c>
      <c r="C473" s="35">
        <v>122.58</v>
      </c>
      <c r="D473" s="35">
        <v>297.94099999999997</v>
      </c>
      <c r="E473" s="41">
        <v>729.47900000000004</v>
      </c>
      <c r="F473" s="35">
        <v>1150</v>
      </c>
      <c r="G473" s="35">
        <v>100</v>
      </c>
      <c r="H473" s="43">
        <v>600</v>
      </c>
      <c r="I473" s="35">
        <v>695</v>
      </c>
      <c r="J473" s="35">
        <v>50</v>
      </c>
      <c r="K473" s="36"/>
      <c r="L473" s="36"/>
      <c r="M473" s="36"/>
      <c r="N473" s="36"/>
      <c r="O473" s="36"/>
      <c r="P473" s="36"/>
      <c r="Q473" s="36"/>
      <c r="R473" s="36"/>
      <c r="S473" s="36"/>
      <c r="T473" s="36"/>
    </row>
    <row r="474" spans="1:20" ht="15.75">
      <c r="A474" s="13">
        <v>55943</v>
      </c>
      <c r="B474" s="44">
        <v>28</v>
      </c>
      <c r="C474" s="35">
        <v>122.58</v>
      </c>
      <c r="D474" s="35">
        <v>297.94099999999997</v>
      </c>
      <c r="E474" s="41">
        <v>729.47900000000004</v>
      </c>
      <c r="F474" s="35">
        <v>1150</v>
      </c>
      <c r="G474" s="35">
        <v>100</v>
      </c>
      <c r="H474" s="43">
        <v>600</v>
      </c>
      <c r="I474" s="35">
        <v>695</v>
      </c>
      <c r="J474" s="35">
        <v>50</v>
      </c>
      <c r="K474" s="36"/>
      <c r="L474" s="36"/>
      <c r="M474" s="36"/>
      <c r="N474" s="36"/>
      <c r="O474" s="36"/>
      <c r="P474" s="36"/>
      <c r="Q474" s="36"/>
      <c r="R474" s="36"/>
      <c r="S474" s="36"/>
      <c r="T474" s="36"/>
    </row>
    <row r="475" spans="1:20" ht="15.75">
      <c r="A475" s="13">
        <v>55974</v>
      </c>
      <c r="B475" s="44">
        <v>31</v>
      </c>
      <c r="C475" s="35">
        <v>122.58</v>
      </c>
      <c r="D475" s="35">
        <v>297.94099999999997</v>
      </c>
      <c r="E475" s="41">
        <v>729.47900000000004</v>
      </c>
      <c r="F475" s="35">
        <v>1150</v>
      </c>
      <c r="G475" s="35">
        <v>100</v>
      </c>
      <c r="H475" s="43">
        <v>600</v>
      </c>
      <c r="I475" s="35">
        <v>695</v>
      </c>
      <c r="J475" s="35">
        <v>50</v>
      </c>
      <c r="K475" s="36"/>
      <c r="L475" s="36"/>
      <c r="M475" s="36"/>
      <c r="N475" s="36"/>
      <c r="O475" s="36"/>
      <c r="P475" s="36"/>
      <c r="Q475" s="36"/>
      <c r="R475" s="36"/>
      <c r="S475" s="36"/>
      <c r="T475" s="36"/>
    </row>
    <row r="476" spans="1:20" ht="15.75">
      <c r="A476" s="13">
        <v>56004</v>
      </c>
      <c r="B476" s="44">
        <v>30</v>
      </c>
      <c r="C476" s="35">
        <v>141.29300000000001</v>
      </c>
      <c r="D476" s="35">
        <v>267.99299999999999</v>
      </c>
      <c r="E476" s="41">
        <v>829.71400000000006</v>
      </c>
      <c r="F476" s="35">
        <v>1239</v>
      </c>
      <c r="G476" s="35">
        <v>100</v>
      </c>
      <c r="H476" s="43">
        <v>600</v>
      </c>
      <c r="I476" s="35">
        <v>695</v>
      </c>
      <c r="J476" s="35">
        <v>50</v>
      </c>
      <c r="K476" s="36"/>
      <c r="L476" s="36"/>
      <c r="M476" s="36"/>
      <c r="N476" s="36"/>
      <c r="O476" s="36"/>
      <c r="P476" s="36"/>
      <c r="Q476" s="36"/>
      <c r="R476" s="36"/>
      <c r="S476" s="36"/>
      <c r="T476" s="36"/>
    </row>
    <row r="477" spans="1:20" ht="15.75">
      <c r="A477" s="13">
        <v>56035</v>
      </c>
      <c r="B477" s="44">
        <v>31</v>
      </c>
      <c r="C477" s="35">
        <v>194.20500000000001</v>
      </c>
      <c r="D477" s="35">
        <v>267.46600000000001</v>
      </c>
      <c r="E477" s="41">
        <v>812.32899999999995</v>
      </c>
      <c r="F477" s="35">
        <v>1274</v>
      </c>
      <c r="G477" s="35">
        <v>75</v>
      </c>
      <c r="H477" s="43">
        <v>600</v>
      </c>
      <c r="I477" s="35">
        <v>695</v>
      </c>
      <c r="J477" s="35">
        <v>50</v>
      </c>
      <c r="K477" s="36"/>
      <c r="L477" s="36"/>
      <c r="M477" s="36"/>
      <c r="N477" s="36"/>
      <c r="O477" s="36"/>
      <c r="P477" s="36"/>
      <c r="Q477" s="36"/>
      <c r="R477" s="36"/>
      <c r="S477" s="36"/>
      <c r="T477" s="36"/>
    </row>
    <row r="478" spans="1:20" ht="15.75">
      <c r="A478" s="13">
        <v>56065</v>
      </c>
      <c r="B478" s="44">
        <v>30</v>
      </c>
      <c r="C478" s="35">
        <v>194.20500000000001</v>
      </c>
      <c r="D478" s="35">
        <v>267.46600000000001</v>
      </c>
      <c r="E478" s="41">
        <v>812.32899999999995</v>
      </c>
      <c r="F478" s="35">
        <v>1274</v>
      </c>
      <c r="G478" s="35">
        <v>50</v>
      </c>
      <c r="H478" s="43">
        <v>600</v>
      </c>
      <c r="I478" s="35">
        <v>695</v>
      </c>
      <c r="J478" s="35">
        <v>50</v>
      </c>
      <c r="K478" s="36"/>
      <c r="L478" s="36"/>
      <c r="M478" s="36"/>
      <c r="N478" s="36"/>
      <c r="O478" s="36"/>
      <c r="P478" s="36"/>
      <c r="Q478" s="36"/>
      <c r="R478" s="36"/>
      <c r="S478" s="36"/>
      <c r="T478" s="36"/>
    </row>
    <row r="479" spans="1:20" ht="15.75">
      <c r="A479" s="13">
        <v>56096</v>
      </c>
      <c r="B479" s="44">
        <v>31</v>
      </c>
      <c r="C479" s="35">
        <v>194.20500000000001</v>
      </c>
      <c r="D479" s="35">
        <v>267.46600000000001</v>
      </c>
      <c r="E479" s="41">
        <v>812.32899999999995</v>
      </c>
      <c r="F479" s="35">
        <v>1274</v>
      </c>
      <c r="G479" s="35">
        <v>50</v>
      </c>
      <c r="H479" s="43">
        <v>600</v>
      </c>
      <c r="I479" s="35">
        <v>695</v>
      </c>
      <c r="J479" s="35">
        <v>0</v>
      </c>
      <c r="K479" s="36"/>
      <c r="L479" s="36"/>
      <c r="M479" s="36"/>
      <c r="N479" s="36"/>
      <c r="O479" s="36"/>
      <c r="P479" s="36"/>
      <c r="Q479" s="36"/>
      <c r="R479" s="36"/>
      <c r="S479" s="36"/>
      <c r="T479" s="36"/>
    </row>
    <row r="480" spans="1:20" ht="15.75">
      <c r="A480" s="13">
        <v>56127</v>
      </c>
      <c r="B480" s="44">
        <v>31</v>
      </c>
      <c r="C480" s="35">
        <v>194.20500000000001</v>
      </c>
      <c r="D480" s="35">
        <v>267.46600000000001</v>
      </c>
      <c r="E480" s="41">
        <v>812.32899999999995</v>
      </c>
      <c r="F480" s="35">
        <v>1274</v>
      </c>
      <c r="G480" s="35">
        <v>50</v>
      </c>
      <c r="H480" s="43">
        <v>600</v>
      </c>
      <c r="I480" s="35">
        <v>695</v>
      </c>
      <c r="J480" s="35">
        <v>0</v>
      </c>
      <c r="K480" s="36"/>
      <c r="L480" s="36"/>
      <c r="M480" s="36"/>
      <c r="N480" s="36"/>
      <c r="O480" s="36"/>
      <c r="P480" s="36"/>
      <c r="Q480" s="36"/>
      <c r="R480" s="36"/>
      <c r="S480" s="36"/>
      <c r="T480" s="36"/>
    </row>
    <row r="481" spans="1:20" ht="15.75">
      <c r="A481" s="13">
        <v>56157</v>
      </c>
      <c r="B481" s="44">
        <v>30</v>
      </c>
      <c r="C481" s="35">
        <v>194.20500000000001</v>
      </c>
      <c r="D481" s="35">
        <v>267.46600000000001</v>
      </c>
      <c r="E481" s="41">
        <v>812.32899999999995</v>
      </c>
      <c r="F481" s="35">
        <v>1274</v>
      </c>
      <c r="G481" s="35">
        <v>50</v>
      </c>
      <c r="H481" s="43">
        <v>600</v>
      </c>
      <c r="I481" s="35">
        <v>695</v>
      </c>
      <c r="J481" s="35">
        <v>0</v>
      </c>
      <c r="K481" s="36"/>
      <c r="L481" s="36"/>
      <c r="M481" s="36"/>
      <c r="N481" s="36"/>
      <c r="O481" s="36"/>
      <c r="P481" s="36"/>
      <c r="Q481" s="36"/>
      <c r="R481" s="36"/>
      <c r="S481" s="36"/>
      <c r="T481" s="36"/>
    </row>
    <row r="482" spans="1:20" ht="15.75">
      <c r="A482" s="13">
        <v>56188</v>
      </c>
      <c r="B482" s="44">
        <v>31</v>
      </c>
      <c r="C482" s="35">
        <v>131.881</v>
      </c>
      <c r="D482" s="35">
        <v>277.16699999999997</v>
      </c>
      <c r="E482" s="41">
        <v>829.952</v>
      </c>
      <c r="F482" s="35">
        <v>1239</v>
      </c>
      <c r="G482" s="35">
        <v>75</v>
      </c>
      <c r="H482" s="43">
        <v>600</v>
      </c>
      <c r="I482" s="35">
        <v>695</v>
      </c>
      <c r="J482" s="35">
        <v>0</v>
      </c>
      <c r="K482" s="36"/>
      <c r="L482" s="36"/>
      <c r="M482" s="36"/>
      <c r="N482" s="36"/>
      <c r="O482" s="36"/>
      <c r="P482" s="36"/>
      <c r="Q482" s="36"/>
      <c r="R482" s="36"/>
      <c r="S482" s="36"/>
      <c r="T482" s="36"/>
    </row>
    <row r="483" spans="1:20" ht="15.75">
      <c r="A483" s="13">
        <v>56218</v>
      </c>
      <c r="B483" s="44">
        <v>30</v>
      </c>
      <c r="C483" s="35">
        <v>122.58</v>
      </c>
      <c r="D483" s="35">
        <v>297.94099999999997</v>
      </c>
      <c r="E483" s="41">
        <v>729.47900000000004</v>
      </c>
      <c r="F483" s="35">
        <v>1150</v>
      </c>
      <c r="G483" s="35">
        <v>100</v>
      </c>
      <c r="H483" s="43">
        <v>600</v>
      </c>
      <c r="I483" s="35">
        <v>695</v>
      </c>
      <c r="J483" s="35">
        <v>50</v>
      </c>
      <c r="K483" s="36"/>
      <c r="L483" s="36"/>
      <c r="M483" s="36"/>
      <c r="N483" s="36"/>
      <c r="O483" s="36"/>
      <c r="P483" s="36"/>
      <c r="Q483" s="36"/>
      <c r="R483" s="36"/>
      <c r="S483" s="36"/>
      <c r="T483" s="36"/>
    </row>
    <row r="484" spans="1:20" ht="15.75">
      <c r="A484" s="13">
        <v>56249</v>
      </c>
      <c r="B484" s="44">
        <v>31</v>
      </c>
      <c r="C484" s="35">
        <v>122.58</v>
      </c>
      <c r="D484" s="35">
        <v>297.94099999999997</v>
      </c>
      <c r="E484" s="41">
        <v>729.47900000000004</v>
      </c>
      <c r="F484" s="35">
        <v>1150</v>
      </c>
      <c r="G484" s="35">
        <v>100</v>
      </c>
      <c r="H484" s="43">
        <v>600</v>
      </c>
      <c r="I484" s="35">
        <v>695</v>
      </c>
      <c r="J484" s="35">
        <v>50</v>
      </c>
      <c r="K484" s="36"/>
      <c r="L484" s="36"/>
      <c r="M484" s="36"/>
      <c r="N484" s="36"/>
      <c r="O484" s="36"/>
      <c r="P484" s="36"/>
      <c r="Q484" s="36"/>
      <c r="R484" s="36"/>
      <c r="S484" s="36"/>
      <c r="T484" s="36"/>
    </row>
    <row r="485" spans="1:20" ht="15.75">
      <c r="A485" s="13">
        <v>56280</v>
      </c>
      <c r="B485" s="44">
        <v>31</v>
      </c>
      <c r="C485" s="35">
        <v>122.58</v>
      </c>
      <c r="D485" s="35">
        <v>297.94099999999997</v>
      </c>
      <c r="E485" s="41">
        <v>729.47900000000004</v>
      </c>
      <c r="F485" s="35">
        <v>1150</v>
      </c>
      <c r="G485" s="35">
        <v>100</v>
      </c>
      <c r="H485" s="43">
        <v>600</v>
      </c>
      <c r="I485" s="35">
        <v>695</v>
      </c>
      <c r="J485" s="35">
        <v>50</v>
      </c>
      <c r="K485" s="36"/>
      <c r="L485" s="36"/>
      <c r="M485" s="36"/>
      <c r="N485" s="36"/>
      <c r="O485" s="36"/>
      <c r="P485" s="36"/>
      <c r="Q485" s="36"/>
      <c r="R485" s="36"/>
      <c r="S485" s="36"/>
      <c r="T485" s="36"/>
    </row>
    <row r="486" spans="1:20" ht="15.75">
      <c r="A486" s="13">
        <v>56308</v>
      </c>
      <c r="B486" s="44">
        <v>28</v>
      </c>
      <c r="C486" s="35">
        <v>122.58</v>
      </c>
      <c r="D486" s="35">
        <v>297.94099999999997</v>
      </c>
      <c r="E486" s="41">
        <v>729.47900000000004</v>
      </c>
      <c r="F486" s="35">
        <v>1150</v>
      </c>
      <c r="G486" s="35">
        <v>100</v>
      </c>
      <c r="H486" s="43">
        <v>600</v>
      </c>
      <c r="I486" s="35">
        <v>695</v>
      </c>
      <c r="J486" s="35">
        <v>50</v>
      </c>
      <c r="K486" s="36"/>
      <c r="L486" s="36"/>
      <c r="M486" s="36"/>
      <c r="N486" s="36"/>
      <c r="O486" s="36"/>
      <c r="P486" s="36"/>
      <c r="Q486" s="36"/>
      <c r="R486" s="36"/>
      <c r="S486" s="36"/>
      <c r="T486" s="36"/>
    </row>
    <row r="487" spans="1:20" ht="15.75">
      <c r="A487" s="13">
        <v>56339</v>
      </c>
      <c r="B487" s="44">
        <v>31</v>
      </c>
      <c r="C487" s="35">
        <v>122.58</v>
      </c>
      <c r="D487" s="35">
        <v>297.94099999999997</v>
      </c>
      <c r="E487" s="41">
        <v>729.47900000000004</v>
      </c>
      <c r="F487" s="35">
        <v>1150</v>
      </c>
      <c r="G487" s="35">
        <v>100</v>
      </c>
      <c r="H487" s="43">
        <v>600</v>
      </c>
      <c r="I487" s="35">
        <v>695</v>
      </c>
      <c r="J487" s="35">
        <v>50</v>
      </c>
      <c r="K487" s="36"/>
      <c r="L487" s="36"/>
      <c r="M487" s="36"/>
      <c r="N487" s="36"/>
      <c r="O487" s="36"/>
      <c r="P487" s="36"/>
      <c r="Q487" s="36"/>
      <c r="R487" s="36"/>
      <c r="S487" s="36"/>
      <c r="T487" s="36"/>
    </row>
    <row r="488" spans="1:20" ht="15.75">
      <c r="A488" s="13">
        <v>56369</v>
      </c>
      <c r="B488" s="44">
        <v>30</v>
      </c>
      <c r="C488" s="35">
        <v>141.29300000000001</v>
      </c>
      <c r="D488" s="35">
        <v>267.99299999999999</v>
      </c>
      <c r="E488" s="41">
        <v>829.71400000000006</v>
      </c>
      <c r="F488" s="35">
        <v>1239</v>
      </c>
      <c r="G488" s="35">
        <v>100</v>
      </c>
      <c r="H488" s="43">
        <v>600</v>
      </c>
      <c r="I488" s="35">
        <v>695</v>
      </c>
      <c r="J488" s="35">
        <v>50</v>
      </c>
      <c r="K488" s="36"/>
      <c r="L488" s="36"/>
      <c r="M488" s="36"/>
      <c r="N488" s="36"/>
      <c r="O488" s="36"/>
      <c r="P488" s="36"/>
      <c r="Q488" s="36"/>
      <c r="R488" s="36"/>
      <c r="S488" s="36"/>
      <c r="T488" s="36"/>
    </row>
    <row r="489" spans="1:20" ht="15.75">
      <c r="A489" s="13">
        <v>56400</v>
      </c>
      <c r="B489" s="44">
        <v>31</v>
      </c>
      <c r="C489" s="35">
        <v>194.20500000000001</v>
      </c>
      <c r="D489" s="35">
        <v>267.46600000000001</v>
      </c>
      <c r="E489" s="41">
        <v>812.32899999999995</v>
      </c>
      <c r="F489" s="35">
        <v>1274</v>
      </c>
      <c r="G489" s="35">
        <v>75</v>
      </c>
      <c r="H489" s="43">
        <v>600</v>
      </c>
      <c r="I489" s="35">
        <v>695</v>
      </c>
      <c r="J489" s="35">
        <v>50</v>
      </c>
      <c r="K489" s="36"/>
      <c r="L489" s="36"/>
      <c r="M489" s="36"/>
      <c r="N489" s="36"/>
      <c r="O489" s="36"/>
      <c r="P489" s="36"/>
      <c r="Q489" s="36"/>
      <c r="R489" s="36"/>
      <c r="S489" s="36"/>
      <c r="T489" s="36"/>
    </row>
    <row r="490" spans="1:20" ht="15.75">
      <c r="A490" s="13">
        <v>56430</v>
      </c>
      <c r="B490" s="44">
        <v>30</v>
      </c>
      <c r="C490" s="35">
        <v>194.20500000000001</v>
      </c>
      <c r="D490" s="35">
        <v>267.46600000000001</v>
      </c>
      <c r="E490" s="41">
        <v>812.32899999999995</v>
      </c>
      <c r="F490" s="35">
        <v>1274</v>
      </c>
      <c r="G490" s="35">
        <v>50</v>
      </c>
      <c r="H490" s="43">
        <v>600</v>
      </c>
      <c r="I490" s="35">
        <v>695</v>
      </c>
      <c r="J490" s="35">
        <v>50</v>
      </c>
      <c r="K490" s="36"/>
      <c r="L490" s="36"/>
      <c r="M490" s="36"/>
      <c r="N490" s="36"/>
      <c r="O490" s="36"/>
      <c r="P490" s="36"/>
      <c r="Q490" s="36"/>
      <c r="R490" s="36"/>
      <c r="S490" s="36"/>
      <c r="T490" s="36"/>
    </row>
    <row r="491" spans="1:20" ht="15.75">
      <c r="A491" s="13">
        <v>56461</v>
      </c>
      <c r="B491" s="44">
        <v>31</v>
      </c>
      <c r="C491" s="35">
        <v>194.20500000000001</v>
      </c>
      <c r="D491" s="35">
        <v>267.46600000000001</v>
      </c>
      <c r="E491" s="41">
        <v>812.32899999999995</v>
      </c>
      <c r="F491" s="35">
        <v>1274</v>
      </c>
      <c r="G491" s="35">
        <v>50</v>
      </c>
      <c r="H491" s="43">
        <v>600</v>
      </c>
      <c r="I491" s="35">
        <v>695</v>
      </c>
      <c r="J491" s="35">
        <v>0</v>
      </c>
      <c r="K491" s="36"/>
      <c r="L491" s="36"/>
      <c r="M491" s="36"/>
      <c r="N491" s="36"/>
      <c r="O491" s="36"/>
      <c r="P491" s="36"/>
      <c r="Q491" s="36"/>
      <c r="R491" s="36"/>
      <c r="S491" s="36"/>
      <c r="T491" s="36"/>
    </row>
    <row r="492" spans="1:20" ht="15.75">
      <c r="A492" s="13">
        <v>56492</v>
      </c>
      <c r="B492" s="44">
        <v>31</v>
      </c>
      <c r="C492" s="35">
        <v>194.20500000000001</v>
      </c>
      <c r="D492" s="35">
        <v>267.46600000000001</v>
      </c>
      <c r="E492" s="41">
        <v>812.32899999999995</v>
      </c>
      <c r="F492" s="35">
        <v>1274</v>
      </c>
      <c r="G492" s="35">
        <v>50</v>
      </c>
      <c r="H492" s="43">
        <v>600</v>
      </c>
      <c r="I492" s="35">
        <v>695</v>
      </c>
      <c r="J492" s="35">
        <v>0</v>
      </c>
      <c r="K492" s="36"/>
      <c r="L492" s="36"/>
      <c r="M492" s="36"/>
      <c r="N492" s="36"/>
      <c r="O492" s="36"/>
      <c r="P492" s="36"/>
      <c r="Q492" s="36"/>
      <c r="R492" s="36"/>
      <c r="S492" s="36"/>
      <c r="T492" s="36"/>
    </row>
    <row r="493" spans="1:20" ht="15.75">
      <c r="A493" s="13">
        <v>56522</v>
      </c>
      <c r="B493" s="44">
        <v>30</v>
      </c>
      <c r="C493" s="35">
        <v>194.20500000000001</v>
      </c>
      <c r="D493" s="35">
        <v>267.46600000000001</v>
      </c>
      <c r="E493" s="41">
        <v>812.32899999999995</v>
      </c>
      <c r="F493" s="35">
        <v>1274</v>
      </c>
      <c r="G493" s="35">
        <v>50</v>
      </c>
      <c r="H493" s="43">
        <v>600</v>
      </c>
      <c r="I493" s="35">
        <v>695</v>
      </c>
      <c r="J493" s="35">
        <v>0</v>
      </c>
      <c r="K493" s="36"/>
      <c r="L493" s="36"/>
      <c r="M493" s="36"/>
      <c r="N493" s="36"/>
      <c r="O493" s="36"/>
      <c r="P493" s="36"/>
      <c r="Q493" s="36"/>
      <c r="R493" s="36"/>
      <c r="S493" s="36"/>
      <c r="T493" s="36"/>
    </row>
    <row r="494" spans="1:20" ht="15.75">
      <c r="A494" s="13">
        <v>56553</v>
      </c>
      <c r="B494" s="44">
        <v>31</v>
      </c>
      <c r="C494" s="35">
        <v>131.881</v>
      </c>
      <c r="D494" s="35">
        <v>277.16699999999997</v>
      </c>
      <c r="E494" s="41">
        <v>829.952</v>
      </c>
      <c r="F494" s="35">
        <v>1239</v>
      </c>
      <c r="G494" s="35">
        <v>75</v>
      </c>
      <c r="H494" s="43">
        <v>600</v>
      </c>
      <c r="I494" s="35">
        <v>695</v>
      </c>
      <c r="J494" s="35">
        <v>0</v>
      </c>
      <c r="K494" s="36"/>
      <c r="L494" s="36"/>
      <c r="M494" s="36"/>
      <c r="N494" s="36"/>
      <c r="O494" s="36"/>
      <c r="P494" s="36"/>
      <c r="Q494" s="36"/>
      <c r="R494" s="36"/>
      <c r="S494" s="36"/>
      <c r="T494" s="36"/>
    </row>
    <row r="495" spans="1:20" ht="15.75">
      <c r="A495" s="13">
        <v>56583</v>
      </c>
      <c r="B495" s="44">
        <v>30</v>
      </c>
      <c r="C495" s="35">
        <v>122.58</v>
      </c>
      <c r="D495" s="35">
        <v>297.94099999999997</v>
      </c>
      <c r="E495" s="41">
        <v>729.47900000000004</v>
      </c>
      <c r="F495" s="35">
        <v>1150</v>
      </c>
      <c r="G495" s="35">
        <v>100</v>
      </c>
      <c r="H495" s="43">
        <v>600</v>
      </c>
      <c r="I495" s="35">
        <v>695</v>
      </c>
      <c r="J495" s="35">
        <v>50</v>
      </c>
      <c r="K495" s="36"/>
      <c r="L495" s="36"/>
      <c r="M495" s="36"/>
      <c r="N495" s="36"/>
      <c r="O495" s="36"/>
      <c r="P495" s="36"/>
      <c r="Q495" s="36"/>
      <c r="R495" s="36"/>
      <c r="S495" s="36"/>
      <c r="T495" s="36"/>
    </row>
    <row r="496" spans="1:20" ht="15.75">
      <c r="A496" s="13">
        <v>56614</v>
      </c>
      <c r="B496" s="44">
        <v>31</v>
      </c>
      <c r="C496" s="35">
        <v>122.58</v>
      </c>
      <c r="D496" s="35">
        <v>297.94099999999997</v>
      </c>
      <c r="E496" s="41">
        <v>729.47900000000004</v>
      </c>
      <c r="F496" s="35">
        <v>1150</v>
      </c>
      <c r="G496" s="35">
        <v>100</v>
      </c>
      <c r="H496" s="43">
        <v>600</v>
      </c>
      <c r="I496" s="35">
        <v>695</v>
      </c>
      <c r="J496" s="35">
        <v>50</v>
      </c>
      <c r="K496" s="36"/>
      <c r="L496" s="36"/>
      <c r="M496" s="36"/>
      <c r="N496" s="36"/>
      <c r="O496" s="36"/>
      <c r="P496" s="36"/>
      <c r="Q496" s="36"/>
      <c r="R496" s="36"/>
      <c r="S496" s="36"/>
      <c r="T496" s="36"/>
    </row>
    <row r="497" spans="1:20" ht="15.75">
      <c r="A497" s="13">
        <v>56645</v>
      </c>
      <c r="B497" s="44">
        <v>31</v>
      </c>
      <c r="C497" s="35">
        <v>122.58</v>
      </c>
      <c r="D497" s="35">
        <v>297.94099999999997</v>
      </c>
      <c r="E497" s="41">
        <v>729.47900000000004</v>
      </c>
      <c r="F497" s="35">
        <v>1150</v>
      </c>
      <c r="G497" s="35">
        <v>100</v>
      </c>
      <c r="H497" s="43">
        <v>600</v>
      </c>
      <c r="I497" s="35">
        <v>695</v>
      </c>
      <c r="J497" s="35">
        <v>50</v>
      </c>
      <c r="K497" s="36"/>
      <c r="L497" s="36"/>
      <c r="M497" s="36"/>
      <c r="N497" s="36"/>
      <c r="O497" s="36"/>
      <c r="P497" s="36"/>
      <c r="Q497" s="36"/>
      <c r="R497" s="36"/>
      <c r="S497" s="36"/>
      <c r="T497" s="36"/>
    </row>
    <row r="498" spans="1:20" ht="15.75">
      <c r="A498" s="13">
        <v>56673</v>
      </c>
      <c r="B498" s="44">
        <v>28</v>
      </c>
      <c r="C498" s="35">
        <v>122.58</v>
      </c>
      <c r="D498" s="35">
        <v>297.94099999999997</v>
      </c>
      <c r="E498" s="41">
        <v>729.47900000000004</v>
      </c>
      <c r="F498" s="35">
        <v>1150</v>
      </c>
      <c r="G498" s="35">
        <v>100</v>
      </c>
      <c r="H498" s="43">
        <v>600</v>
      </c>
      <c r="I498" s="35">
        <v>695</v>
      </c>
      <c r="J498" s="35">
        <v>50</v>
      </c>
      <c r="K498" s="36"/>
      <c r="L498" s="36"/>
      <c r="M498" s="36"/>
      <c r="N498" s="36"/>
      <c r="O498" s="36"/>
      <c r="P498" s="36"/>
      <c r="Q498" s="36"/>
      <c r="R498" s="36"/>
      <c r="S498" s="36"/>
      <c r="T498" s="36"/>
    </row>
    <row r="499" spans="1:20" ht="15.75">
      <c r="A499" s="13">
        <v>56704</v>
      </c>
      <c r="B499" s="44">
        <v>31</v>
      </c>
      <c r="C499" s="35">
        <v>122.58</v>
      </c>
      <c r="D499" s="35">
        <v>297.94099999999997</v>
      </c>
      <c r="E499" s="41">
        <v>729.47900000000004</v>
      </c>
      <c r="F499" s="35">
        <v>1150</v>
      </c>
      <c r="G499" s="35">
        <v>100</v>
      </c>
      <c r="H499" s="43">
        <v>600</v>
      </c>
      <c r="I499" s="35">
        <v>695</v>
      </c>
      <c r="J499" s="35">
        <v>50</v>
      </c>
      <c r="K499" s="36"/>
      <c r="L499" s="36"/>
      <c r="M499" s="36"/>
      <c r="N499" s="36"/>
      <c r="O499" s="36"/>
      <c r="P499" s="36"/>
      <c r="Q499" s="36"/>
      <c r="R499" s="36"/>
      <c r="S499" s="36"/>
      <c r="T499" s="36"/>
    </row>
    <row r="500" spans="1:20" ht="15.75">
      <c r="A500" s="13">
        <v>56734</v>
      </c>
      <c r="B500" s="44">
        <v>30</v>
      </c>
      <c r="C500" s="35">
        <v>141.29300000000001</v>
      </c>
      <c r="D500" s="35">
        <v>267.99299999999999</v>
      </c>
      <c r="E500" s="41">
        <v>829.71400000000006</v>
      </c>
      <c r="F500" s="35">
        <v>1239</v>
      </c>
      <c r="G500" s="35">
        <v>100</v>
      </c>
      <c r="H500" s="43">
        <v>600</v>
      </c>
      <c r="I500" s="35">
        <v>695</v>
      </c>
      <c r="J500" s="35">
        <v>50</v>
      </c>
      <c r="K500" s="36"/>
      <c r="L500" s="36"/>
      <c r="M500" s="36"/>
      <c r="N500" s="36"/>
      <c r="O500" s="36"/>
      <c r="P500" s="36"/>
      <c r="Q500" s="36"/>
      <c r="R500" s="36"/>
      <c r="S500" s="36"/>
      <c r="T500" s="36"/>
    </row>
    <row r="501" spans="1:20" ht="15.75">
      <c r="A501" s="13">
        <v>56765</v>
      </c>
      <c r="B501" s="44">
        <v>31</v>
      </c>
      <c r="C501" s="35">
        <v>194.20500000000001</v>
      </c>
      <c r="D501" s="35">
        <v>267.46600000000001</v>
      </c>
      <c r="E501" s="41">
        <v>812.32899999999995</v>
      </c>
      <c r="F501" s="35">
        <v>1274</v>
      </c>
      <c r="G501" s="35">
        <v>75</v>
      </c>
      <c r="H501" s="43">
        <v>600</v>
      </c>
      <c r="I501" s="35">
        <v>695</v>
      </c>
      <c r="J501" s="35">
        <v>50</v>
      </c>
      <c r="K501" s="36"/>
      <c r="L501" s="36"/>
      <c r="M501" s="36"/>
      <c r="N501" s="36"/>
      <c r="O501" s="36"/>
      <c r="P501" s="36"/>
      <c r="Q501" s="36"/>
      <c r="R501" s="36"/>
      <c r="S501" s="36"/>
      <c r="T501" s="36"/>
    </row>
    <row r="502" spans="1:20" ht="15.75">
      <c r="A502" s="13">
        <v>56795</v>
      </c>
      <c r="B502" s="44">
        <v>30</v>
      </c>
      <c r="C502" s="35">
        <v>194.20500000000001</v>
      </c>
      <c r="D502" s="35">
        <v>267.46600000000001</v>
      </c>
      <c r="E502" s="41">
        <v>812.32899999999995</v>
      </c>
      <c r="F502" s="35">
        <v>1274</v>
      </c>
      <c r="G502" s="35">
        <v>50</v>
      </c>
      <c r="H502" s="43">
        <v>600</v>
      </c>
      <c r="I502" s="35">
        <v>695</v>
      </c>
      <c r="J502" s="35">
        <v>50</v>
      </c>
      <c r="K502" s="36"/>
      <c r="L502" s="36"/>
      <c r="M502" s="36"/>
      <c r="N502" s="36"/>
      <c r="O502" s="36"/>
      <c r="P502" s="36"/>
      <c r="Q502" s="36"/>
      <c r="R502" s="36"/>
      <c r="S502" s="36"/>
      <c r="T502" s="36"/>
    </row>
    <row r="503" spans="1:20" ht="15.75">
      <c r="A503" s="13">
        <v>56826</v>
      </c>
      <c r="B503" s="44">
        <v>31</v>
      </c>
      <c r="C503" s="35">
        <v>194.20500000000001</v>
      </c>
      <c r="D503" s="35">
        <v>267.46600000000001</v>
      </c>
      <c r="E503" s="41">
        <v>812.32899999999995</v>
      </c>
      <c r="F503" s="35">
        <v>1274</v>
      </c>
      <c r="G503" s="35">
        <v>50</v>
      </c>
      <c r="H503" s="43">
        <v>600</v>
      </c>
      <c r="I503" s="35">
        <v>695</v>
      </c>
      <c r="J503" s="35">
        <v>0</v>
      </c>
      <c r="K503" s="36"/>
      <c r="L503" s="36"/>
      <c r="M503" s="36"/>
      <c r="N503" s="36"/>
      <c r="O503" s="36"/>
      <c r="P503" s="36"/>
      <c r="Q503" s="36"/>
      <c r="R503" s="36"/>
      <c r="S503" s="36"/>
      <c r="T503" s="36"/>
    </row>
    <row r="504" spans="1:20" ht="15.75">
      <c r="A504" s="13">
        <v>56857</v>
      </c>
      <c r="B504" s="44">
        <v>31</v>
      </c>
      <c r="C504" s="35">
        <v>194.20500000000001</v>
      </c>
      <c r="D504" s="35">
        <v>267.46600000000001</v>
      </c>
      <c r="E504" s="41">
        <v>812.32899999999995</v>
      </c>
      <c r="F504" s="35">
        <v>1274</v>
      </c>
      <c r="G504" s="35">
        <v>50</v>
      </c>
      <c r="H504" s="43">
        <v>600</v>
      </c>
      <c r="I504" s="35">
        <v>695</v>
      </c>
      <c r="J504" s="35">
        <v>0</v>
      </c>
      <c r="K504" s="36"/>
      <c r="L504" s="36"/>
      <c r="M504" s="36"/>
      <c r="N504" s="36"/>
      <c r="O504" s="36"/>
      <c r="P504" s="36"/>
      <c r="Q504" s="36"/>
      <c r="R504" s="36"/>
      <c r="S504" s="36"/>
      <c r="T504" s="36"/>
    </row>
    <row r="505" spans="1:20" ht="15.75">
      <c r="A505" s="13">
        <v>56887</v>
      </c>
      <c r="B505" s="44">
        <v>30</v>
      </c>
      <c r="C505" s="35">
        <v>194.20500000000001</v>
      </c>
      <c r="D505" s="35">
        <v>267.46600000000001</v>
      </c>
      <c r="E505" s="41">
        <v>812.32899999999995</v>
      </c>
      <c r="F505" s="35">
        <v>1274</v>
      </c>
      <c r="G505" s="35">
        <v>50</v>
      </c>
      <c r="H505" s="43">
        <v>600</v>
      </c>
      <c r="I505" s="35">
        <v>695</v>
      </c>
      <c r="J505" s="35">
        <v>0</v>
      </c>
      <c r="K505" s="36"/>
      <c r="L505" s="36"/>
      <c r="M505" s="36"/>
      <c r="N505" s="36"/>
      <c r="O505" s="36"/>
      <c r="P505" s="36"/>
      <c r="Q505" s="36"/>
      <c r="R505" s="36"/>
      <c r="S505" s="36"/>
      <c r="T505" s="36"/>
    </row>
    <row r="506" spans="1:20" ht="15.75">
      <c r="A506" s="13">
        <v>56918</v>
      </c>
      <c r="B506" s="44">
        <v>31</v>
      </c>
      <c r="C506" s="35">
        <v>131.881</v>
      </c>
      <c r="D506" s="35">
        <v>277.16699999999997</v>
      </c>
      <c r="E506" s="41">
        <v>829.952</v>
      </c>
      <c r="F506" s="35">
        <v>1239</v>
      </c>
      <c r="G506" s="35">
        <v>75</v>
      </c>
      <c r="H506" s="43">
        <v>600</v>
      </c>
      <c r="I506" s="35">
        <v>695</v>
      </c>
      <c r="J506" s="35">
        <v>0</v>
      </c>
      <c r="K506" s="36"/>
      <c r="L506" s="36"/>
      <c r="M506" s="36"/>
      <c r="N506" s="36"/>
      <c r="O506" s="36"/>
      <c r="P506" s="36"/>
      <c r="Q506" s="36"/>
      <c r="R506" s="36"/>
      <c r="S506" s="36"/>
      <c r="T506" s="36"/>
    </row>
    <row r="507" spans="1:20" ht="15.75">
      <c r="A507" s="13">
        <v>56948</v>
      </c>
      <c r="B507" s="44">
        <v>30</v>
      </c>
      <c r="C507" s="35">
        <v>122.58</v>
      </c>
      <c r="D507" s="35">
        <v>297.94099999999997</v>
      </c>
      <c r="E507" s="41">
        <v>729.47900000000004</v>
      </c>
      <c r="F507" s="35">
        <v>1150</v>
      </c>
      <c r="G507" s="35">
        <v>100</v>
      </c>
      <c r="H507" s="43">
        <v>600</v>
      </c>
      <c r="I507" s="35">
        <v>695</v>
      </c>
      <c r="J507" s="35">
        <v>50</v>
      </c>
      <c r="K507" s="36"/>
      <c r="L507" s="36"/>
      <c r="M507" s="36"/>
      <c r="N507" s="36"/>
      <c r="O507" s="36"/>
      <c r="P507" s="36"/>
      <c r="Q507" s="36"/>
      <c r="R507" s="36"/>
      <c r="S507" s="36"/>
      <c r="T507" s="36"/>
    </row>
    <row r="508" spans="1:20" ht="15.75">
      <c r="A508" s="13">
        <v>56979</v>
      </c>
      <c r="B508" s="44">
        <v>31</v>
      </c>
      <c r="C508" s="35">
        <v>122.58</v>
      </c>
      <c r="D508" s="35">
        <v>297.94099999999997</v>
      </c>
      <c r="E508" s="41">
        <v>729.47900000000004</v>
      </c>
      <c r="F508" s="35">
        <v>1150</v>
      </c>
      <c r="G508" s="35">
        <v>100</v>
      </c>
      <c r="H508" s="43">
        <v>600</v>
      </c>
      <c r="I508" s="35">
        <v>695</v>
      </c>
      <c r="J508" s="35">
        <v>50</v>
      </c>
      <c r="K508" s="36"/>
      <c r="L508" s="36"/>
      <c r="M508" s="36"/>
      <c r="N508" s="36"/>
      <c r="O508" s="36"/>
      <c r="P508" s="36"/>
      <c r="Q508" s="36"/>
      <c r="R508" s="36"/>
      <c r="S508" s="36"/>
      <c r="T508" s="36"/>
    </row>
    <row r="509" spans="1:20" ht="15.75">
      <c r="A509" s="13">
        <v>57010</v>
      </c>
      <c r="B509" s="44">
        <v>31</v>
      </c>
      <c r="C509" s="35">
        <v>122.58</v>
      </c>
      <c r="D509" s="35">
        <v>297.94099999999997</v>
      </c>
      <c r="E509" s="41">
        <v>729.47900000000004</v>
      </c>
      <c r="F509" s="35">
        <v>1150</v>
      </c>
      <c r="G509" s="35">
        <v>100</v>
      </c>
      <c r="H509" s="43">
        <v>600</v>
      </c>
      <c r="I509" s="35">
        <v>695</v>
      </c>
      <c r="J509" s="35">
        <v>50</v>
      </c>
      <c r="K509" s="36"/>
      <c r="L509" s="36"/>
      <c r="M509" s="36"/>
      <c r="N509" s="36"/>
      <c r="O509" s="36"/>
      <c r="P509" s="36"/>
      <c r="Q509" s="36"/>
      <c r="R509" s="36"/>
      <c r="S509" s="36"/>
      <c r="T509" s="36"/>
    </row>
    <row r="510" spans="1:20" ht="15.75">
      <c r="A510" s="13">
        <v>57038</v>
      </c>
      <c r="B510" s="44">
        <v>29</v>
      </c>
      <c r="C510" s="35">
        <v>122.58</v>
      </c>
      <c r="D510" s="35">
        <v>297.94099999999997</v>
      </c>
      <c r="E510" s="41">
        <v>729.47900000000004</v>
      </c>
      <c r="F510" s="35">
        <v>1150</v>
      </c>
      <c r="G510" s="35">
        <v>100</v>
      </c>
      <c r="H510" s="43">
        <v>600</v>
      </c>
      <c r="I510" s="35">
        <v>695</v>
      </c>
      <c r="J510" s="35">
        <v>50</v>
      </c>
      <c r="K510" s="36"/>
      <c r="L510" s="36"/>
      <c r="M510" s="36"/>
      <c r="N510" s="36"/>
      <c r="O510" s="36"/>
      <c r="P510" s="36"/>
      <c r="Q510" s="36"/>
      <c r="R510" s="36"/>
      <c r="S510" s="36"/>
      <c r="T510" s="36"/>
    </row>
    <row r="511" spans="1:20" ht="15.75">
      <c r="A511" s="13">
        <v>57070</v>
      </c>
      <c r="B511" s="44">
        <v>31</v>
      </c>
      <c r="C511" s="35">
        <v>122.58</v>
      </c>
      <c r="D511" s="35">
        <v>297.94099999999997</v>
      </c>
      <c r="E511" s="41">
        <v>729.47900000000004</v>
      </c>
      <c r="F511" s="35">
        <v>1150</v>
      </c>
      <c r="G511" s="35">
        <v>100</v>
      </c>
      <c r="H511" s="43">
        <v>600</v>
      </c>
      <c r="I511" s="35">
        <v>695</v>
      </c>
      <c r="J511" s="35">
        <v>50</v>
      </c>
      <c r="K511" s="36"/>
      <c r="L511" s="36"/>
      <c r="M511" s="36"/>
      <c r="N511" s="36"/>
      <c r="O511" s="36"/>
      <c r="P511" s="36"/>
      <c r="Q511" s="36"/>
      <c r="R511" s="36"/>
      <c r="S511" s="36"/>
      <c r="T511" s="36"/>
    </row>
    <row r="512" spans="1:20" ht="15.75">
      <c r="A512" s="13">
        <v>57100</v>
      </c>
      <c r="B512" s="44">
        <v>30</v>
      </c>
      <c r="C512" s="35">
        <v>141.29300000000001</v>
      </c>
      <c r="D512" s="35">
        <v>267.99299999999999</v>
      </c>
      <c r="E512" s="41">
        <v>829.71400000000006</v>
      </c>
      <c r="F512" s="35">
        <v>1239</v>
      </c>
      <c r="G512" s="35">
        <v>100</v>
      </c>
      <c r="H512" s="43">
        <v>600</v>
      </c>
      <c r="I512" s="35">
        <v>695</v>
      </c>
      <c r="J512" s="35">
        <v>50</v>
      </c>
      <c r="K512" s="36"/>
      <c r="L512" s="36"/>
      <c r="M512" s="36"/>
      <c r="N512" s="36"/>
      <c r="O512" s="36"/>
      <c r="P512" s="36"/>
      <c r="Q512" s="36"/>
      <c r="R512" s="36"/>
      <c r="S512" s="36"/>
      <c r="T512" s="36"/>
    </row>
    <row r="513" spans="1:20" ht="15.75">
      <c r="A513" s="13">
        <v>57131</v>
      </c>
      <c r="B513" s="44">
        <v>31</v>
      </c>
      <c r="C513" s="35">
        <v>194.20500000000001</v>
      </c>
      <c r="D513" s="35">
        <v>267.46600000000001</v>
      </c>
      <c r="E513" s="41">
        <v>812.32899999999995</v>
      </c>
      <c r="F513" s="35">
        <v>1274</v>
      </c>
      <c r="G513" s="35">
        <v>75</v>
      </c>
      <c r="H513" s="43">
        <v>600</v>
      </c>
      <c r="I513" s="35">
        <v>695</v>
      </c>
      <c r="J513" s="35">
        <v>50</v>
      </c>
      <c r="K513" s="36"/>
      <c r="L513" s="36"/>
      <c r="M513" s="36"/>
      <c r="N513" s="36"/>
      <c r="O513" s="36"/>
      <c r="P513" s="36"/>
      <c r="Q513" s="36"/>
      <c r="R513" s="36"/>
      <c r="S513" s="36"/>
      <c r="T513" s="36"/>
    </row>
    <row r="514" spans="1:20" ht="15.75">
      <c r="A514" s="13">
        <v>57161</v>
      </c>
      <c r="B514" s="44">
        <v>30</v>
      </c>
      <c r="C514" s="35">
        <v>194.20500000000001</v>
      </c>
      <c r="D514" s="35">
        <v>267.46600000000001</v>
      </c>
      <c r="E514" s="41">
        <v>812.32899999999995</v>
      </c>
      <c r="F514" s="35">
        <v>1274</v>
      </c>
      <c r="G514" s="35">
        <v>50</v>
      </c>
      <c r="H514" s="43">
        <v>600</v>
      </c>
      <c r="I514" s="35">
        <v>695</v>
      </c>
      <c r="J514" s="35">
        <v>50</v>
      </c>
      <c r="K514" s="36"/>
      <c r="L514" s="36"/>
      <c r="M514" s="36"/>
      <c r="N514" s="36"/>
      <c r="O514" s="36"/>
      <c r="P514" s="36"/>
      <c r="Q514" s="36"/>
      <c r="R514" s="36"/>
      <c r="S514" s="36"/>
      <c r="T514" s="36"/>
    </row>
    <row r="515" spans="1:20" ht="15.75">
      <c r="A515" s="13">
        <v>57192</v>
      </c>
      <c r="B515" s="44">
        <v>31</v>
      </c>
      <c r="C515" s="35">
        <v>194.20500000000001</v>
      </c>
      <c r="D515" s="35">
        <v>267.46600000000001</v>
      </c>
      <c r="E515" s="41">
        <v>812.32899999999995</v>
      </c>
      <c r="F515" s="35">
        <v>1274</v>
      </c>
      <c r="G515" s="35">
        <v>50</v>
      </c>
      <c r="H515" s="43">
        <v>600</v>
      </c>
      <c r="I515" s="35">
        <v>695</v>
      </c>
      <c r="J515" s="35">
        <v>0</v>
      </c>
      <c r="K515" s="36"/>
      <c r="L515" s="36"/>
      <c r="M515" s="36"/>
      <c r="N515" s="36"/>
      <c r="O515" s="36"/>
      <c r="P515" s="36"/>
      <c r="Q515" s="36"/>
      <c r="R515" s="36"/>
      <c r="S515" s="36"/>
      <c r="T515" s="36"/>
    </row>
    <row r="516" spans="1:20" ht="15.75">
      <c r="A516" s="13">
        <v>57223</v>
      </c>
      <c r="B516" s="44">
        <v>31</v>
      </c>
      <c r="C516" s="35">
        <v>194.20500000000001</v>
      </c>
      <c r="D516" s="35">
        <v>267.46600000000001</v>
      </c>
      <c r="E516" s="41">
        <v>812.32899999999995</v>
      </c>
      <c r="F516" s="35">
        <v>1274</v>
      </c>
      <c r="G516" s="35">
        <v>50</v>
      </c>
      <c r="H516" s="43">
        <v>600</v>
      </c>
      <c r="I516" s="35">
        <v>695</v>
      </c>
      <c r="J516" s="35">
        <v>0</v>
      </c>
      <c r="K516" s="36"/>
      <c r="L516" s="36"/>
      <c r="M516" s="36"/>
      <c r="N516" s="36"/>
      <c r="O516" s="36"/>
      <c r="P516" s="36"/>
      <c r="Q516" s="36"/>
      <c r="R516" s="36"/>
      <c r="S516" s="36"/>
      <c r="T516" s="36"/>
    </row>
    <row r="517" spans="1:20" ht="15.75">
      <c r="A517" s="13">
        <v>57253</v>
      </c>
      <c r="B517" s="44">
        <v>30</v>
      </c>
      <c r="C517" s="35">
        <v>194.20500000000001</v>
      </c>
      <c r="D517" s="35">
        <v>267.46600000000001</v>
      </c>
      <c r="E517" s="41">
        <v>812.32899999999995</v>
      </c>
      <c r="F517" s="35">
        <v>1274</v>
      </c>
      <c r="G517" s="35">
        <v>50</v>
      </c>
      <c r="H517" s="43">
        <v>600</v>
      </c>
      <c r="I517" s="35">
        <v>695</v>
      </c>
      <c r="J517" s="35">
        <v>0</v>
      </c>
      <c r="K517" s="36"/>
      <c r="L517" s="36"/>
      <c r="M517" s="36"/>
      <c r="N517" s="36"/>
      <c r="O517" s="36"/>
      <c r="P517" s="36"/>
      <c r="Q517" s="36"/>
      <c r="R517" s="36"/>
      <c r="S517" s="36"/>
      <c r="T517" s="36"/>
    </row>
    <row r="518" spans="1:20" ht="15.75">
      <c r="A518" s="13">
        <v>57284</v>
      </c>
      <c r="B518" s="44">
        <v>31</v>
      </c>
      <c r="C518" s="35">
        <v>131.881</v>
      </c>
      <c r="D518" s="35">
        <v>277.16699999999997</v>
      </c>
      <c r="E518" s="41">
        <v>829.952</v>
      </c>
      <c r="F518" s="35">
        <v>1239</v>
      </c>
      <c r="G518" s="35">
        <v>75</v>
      </c>
      <c r="H518" s="43">
        <v>600</v>
      </c>
      <c r="I518" s="35">
        <v>695</v>
      </c>
      <c r="J518" s="35">
        <v>0</v>
      </c>
      <c r="K518" s="36"/>
      <c r="L518" s="36"/>
      <c r="M518" s="36"/>
      <c r="N518" s="36"/>
      <c r="O518" s="36"/>
      <c r="P518" s="36"/>
      <c r="Q518" s="36"/>
      <c r="R518" s="36"/>
      <c r="S518" s="36"/>
      <c r="T518" s="36"/>
    </row>
    <row r="519" spans="1:20" ht="15.75">
      <c r="A519" s="13">
        <v>57314</v>
      </c>
      <c r="B519" s="44">
        <v>30</v>
      </c>
      <c r="C519" s="35">
        <v>122.58</v>
      </c>
      <c r="D519" s="35">
        <v>297.94099999999997</v>
      </c>
      <c r="E519" s="41">
        <v>729.47900000000004</v>
      </c>
      <c r="F519" s="35">
        <v>1150</v>
      </c>
      <c r="G519" s="35">
        <v>100</v>
      </c>
      <c r="H519" s="43">
        <v>600</v>
      </c>
      <c r="I519" s="35">
        <v>695</v>
      </c>
      <c r="J519" s="35">
        <v>50</v>
      </c>
      <c r="K519" s="36"/>
      <c r="L519" s="36"/>
      <c r="M519" s="36"/>
      <c r="N519" s="36"/>
      <c r="O519" s="36"/>
      <c r="P519" s="36"/>
      <c r="Q519" s="36"/>
      <c r="R519" s="36"/>
      <c r="S519" s="36"/>
      <c r="T519" s="36"/>
    </row>
    <row r="520" spans="1:20" ht="15.75">
      <c r="A520" s="13">
        <v>57345</v>
      </c>
      <c r="B520" s="44">
        <v>31</v>
      </c>
      <c r="C520" s="35">
        <v>122.58</v>
      </c>
      <c r="D520" s="35">
        <v>297.94099999999997</v>
      </c>
      <c r="E520" s="41">
        <v>729.47900000000004</v>
      </c>
      <c r="F520" s="35">
        <v>1150</v>
      </c>
      <c r="G520" s="35">
        <v>100</v>
      </c>
      <c r="H520" s="43">
        <v>600</v>
      </c>
      <c r="I520" s="35">
        <v>695</v>
      </c>
      <c r="J520" s="35">
        <v>50</v>
      </c>
      <c r="K520" s="36"/>
      <c r="L520" s="36"/>
      <c r="M520" s="36"/>
      <c r="N520" s="36"/>
      <c r="O520" s="36"/>
      <c r="P520" s="36"/>
      <c r="Q520" s="36"/>
      <c r="R520" s="36"/>
      <c r="S520" s="36"/>
      <c r="T520" s="36"/>
    </row>
    <row r="521" spans="1:20" ht="15.75">
      <c r="A521" s="13">
        <v>57376</v>
      </c>
      <c r="B521" s="44">
        <v>31</v>
      </c>
      <c r="C521" s="35">
        <v>122.58</v>
      </c>
      <c r="D521" s="35">
        <v>297.94099999999997</v>
      </c>
      <c r="E521" s="41">
        <v>729.47900000000004</v>
      </c>
      <c r="F521" s="35">
        <v>1150</v>
      </c>
      <c r="G521" s="35">
        <v>100</v>
      </c>
      <c r="H521" s="43">
        <v>600</v>
      </c>
      <c r="I521" s="35">
        <v>695</v>
      </c>
      <c r="J521" s="35">
        <v>50</v>
      </c>
      <c r="K521" s="36"/>
      <c r="L521" s="36"/>
      <c r="M521" s="36"/>
      <c r="N521" s="36"/>
      <c r="O521" s="36"/>
      <c r="P521" s="36"/>
      <c r="Q521" s="36"/>
      <c r="R521" s="36"/>
      <c r="S521" s="36"/>
      <c r="T521" s="36"/>
    </row>
    <row r="522" spans="1:20" ht="15.75">
      <c r="A522" s="13">
        <v>57404</v>
      </c>
      <c r="B522" s="44">
        <v>28</v>
      </c>
      <c r="C522" s="35">
        <v>122.58</v>
      </c>
      <c r="D522" s="35">
        <v>297.94099999999997</v>
      </c>
      <c r="E522" s="41">
        <v>729.47900000000004</v>
      </c>
      <c r="F522" s="35">
        <v>1150</v>
      </c>
      <c r="G522" s="35">
        <v>100</v>
      </c>
      <c r="H522" s="43">
        <v>600</v>
      </c>
      <c r="I522" s="35">
        <v>695</v>
      </c>
      <c r="J522" s="35">
        <v>50</v>
      </c>
      <c r="K522" s="36"/>
      <c r="L522" s="36"/>
      <c r="M522" s="36"/>
      <c r="N522" s="36"/>
      <c r="O522" s="36"/>
      <c r="P522" s="36"/>
      <c r="Q522" s="36"/>
      <c r="R522" s="36"/>
      <c r="S522" s="36"/>
      <c r="T522" s="36"/>
    </row>
    <row r="523" spans="1:20" ht="15.75">
      <c r="A523" s="13">
        <v>57435</v>
      </c>
      <c r="B523" s="44">
        <v>31</v>
      </c>
      <c r="C523" s="35">
        <v>122.58</v>
      </c>
      <c r="D523" s="35">
        <v>297.94099999999997</v>
      </c>
      <c r="E523" s="41">
        <v>729.47900000000004</v>
      </c>
      <c r="F523" s="35">
        <v>1150</v>
      </c>
      <c r="G523" s="35">
        <v>100</v>
      </c>
      <c r="H523" s="43">
        <v>600</v>
      </c>
      <c r="I523" s="35">
        <v>695</v>
      </c>
      <c r="J523" s="35">
        <v>50</v>
      </c>
      <c r="K523" s="36"/>
      <c r="L523" s="36"/>
      <c r="M523" s="36"/>
      <c r="N523" s="36"/>
      <c r="O523" s="36"/>
      <c r="P523" s="36"/>
      <c r="Q523" s="36"/>
      <c r="R523" s="36"/>
      <c r="S523" s="36"/>
      <c r="T523" s="36"/>
    </row>
    <row r="524" spans="1:20" ht="15.75">
      <c r="A524" s="13">
        <v>57465</v>
      </c>
      <c r="B524" s="44">
        <v>30</v>
      </c>
      <c r="C524" s="35">
        <v>141.29300000000001</v>
      </c>
      <c r="D524" s="35">
        <v>267.99299999999999</v>
      </c>
      <c r="E524" s="41">
        <v>829.71400000000006</v>
      </c>
      <c r="F524" s="35">
        <v>1239</v>
      </c>
      <c r="G524" s="35">
        <v>100</v>
      </c>
      <c r="H524" s="43">
        <v>600</v>
      </c>
      <c r="I524" s="35">
        <v>695</v>
      </c>
      <c r="J524" s="35">
        <v>50</v>
      </c>
      <c r="K524" s="36"/>
      <c r="L524" s="36"/>
      <c r="M524" s="36"/>
      <c r="N524" s="36"/>
      <c r="O524" s="36"/>
      <c r="P524" s="36"/>
      <c r="Q524" s="36"/>
      <c r="R524" s="36"/>
      <c r="S524" s="36"/>
      <c r="T524" s="36"/>
    </row>
    <row r="525" spans="1:20" ht="15.75">
      <c r="A525" s="13">
        <v>57496</v>
      </c>
      <c r="B525" s="44">
        <v>31</v>
      </c>
      <c r="C525" s="35">
        <v>194.20500000000001</v>
      </c>
      <c r="D525" s="35">
        <v>267.46600000000001</v>
      </c>
      <c r="E525" s="41">
        <v>812.32899999999995</v>
      </c>
      <c r="F525" s="35">
        <v>1274</v>
      </c>
      <c r="G525" s="35">
        <v>75</v>
      </c>
      <c r="H525" s="43">
        <v>600</v>
      </c>
      <c r="I525" s="35">
        <v>695</v>
      </c>
      <c r="J525" s="35">
        <v>50</v>
      </c>
      <c r="K525" s="36"/>
      <c r="L525" s="36"/>
      <c r="M525" s="36"/>
      <c r="N525" s="36"/>
      <c r="O525" s="36"/>
      <c r="P525" s="36"/>
      <c r="Q525" s="36"/>
      <c r="R525" s="36"/>
      <c r="S525" s="36"/>
      <c r="T525" s="36"/>
    </row>
    <row r="526" spans="1:20" ht="15.75">
      <c r="A526" s="13">
        <v>57526</v>
      </c>
      <c r="B526" s="44">
        <v>30</v>
      </c>
      <c r="C526" s="35">
        <v>194.20500000000001</v>
      </c>
      <c r="D526" s="35">
        <v>267.46600000000001</v>
      </c>
      <c r="E526" s="41">
        <v>812.32899999999995</v>
      </c>
      <c r="F526" s="35">
        <v>1274</v>
      </c>
      <c r="G526" s="35">
        <v>50</v>
      </c>
      <c r="H526" s="43">
        <v>600</v>
      </c>
      <c r="I526" s="35">
        <v>695</v>
      </c>
      <c r="J526" s="35">
        <v>50</v>
      </c>
      <c r="K526" s="36"/>
      <c r="L526" s="36"/>
      <c r="M526" s="36"/>
      <c r="N526" s="36"/>
      <c r="O526" s="36"/>
      <c r="P526" s="36"/>
      <c r="Q526" s="36"/>
      <c r="R526" s="36"/>
      <c r="S526" s="36"/>
      <c r="T526" s="36"/>
    </row>
    <row r="527" spans="1:20" ht="15.75">
      <c r="A527" s="13">
        <v>57557</v>
      </c>
      <c r="B527" s="44">
        <v>31</v>
      </c>
      <c r="C527" s="35">
        <v>194.20500000000001</v>
      </c>
      <c r="D527" s="35">
        <v>267.46600000000001</v>
      </c>
      <c r="E527" s="41">
        <v>812.32899999999995</v>
      </c>
      <c r="F527" s="35">
        <v>1274</v>
      </c>
      <c r="G527" s="35">
        <v>50</v>
      </c>
      <c r="H527" s="43">
        <v>600</v>
      </c>
      <c r="I527" s="35">
        <v>695</v>
      </c>
      <c r="J527" s="35">
        <v>0</v>
      </c>
      <c r="K527" s="36"/>
      <c r="L527" s="36"/>
      <c r="M527" s="36"/>
      <c r="N527" s="36"/>
      <c r="O527" s="36"/>
      <c r="P527" s="36"/>
      <c r="Q527" s="36"/>
      <c r="R527" s="36"/>
      <c r="S527" s="36"/>
      <c r="T527" s="36"/>
    </row>
    <row r="528" spans="1:20" ht="15.75">
      <c r="A528" s="13">
        <v>57588</v>
      </c>
      <c r="B528" s="44">
        <v>31</v>
      </c>
      <c r="C528" s="35">
        <v>194.20500000000001</v>
      </c>
      <c r="D528" s="35">
        <v>267.46600000000001</v>
      </c>
      <c r="E528" s="41">
        <v>812.32899999999995</v>
      </c>
      <c r="F528" s="35">
        <v>1274</v>
      </c>
      <c r="G528" s="35">
        <v>50</v>
      </c>
      <c r="H528" s="43">
        <v>600</v>
      </c>
      <c r="I528" s="35">
        <v>695</v>
      </c>
      <c r="J528" s="35">
        <v>0</v>
      </c>
      <c r="K528" s="36"/>
      <c r="L528" s="36"/>
      <c r="M528" s="36"/>
      <c r="N528" s="36"/>
      <c r="O528" s="36"/>
      <c r="P528" s="36"/>
      <c r="Q528" s="36"/>
      <c r="R528" s="36"/>
      <c r="S528" s="36"/>
      <c r="T528" s="36"/>
    </row>
    <row r="529" spans="1:20" ht="15.75">
      <c r="A529" s="13">
        <v>57618</v>
      </c>
      <c r="B529" s="44">
        <v>30</v>
      </c>
      <c r="C529" s="35">
        <v>194.20500000000001</v>
      </c>
      <c r="D529" s="35">
        <v>267.46600000000001</v>
      </c>
      <c r="E529" s="41">
        <v>812.32899999999995</v>
      </c>
      <c r="F529" s="35">
        <v>1274</v>
      </c>
      <c r="G529" s="35">
        <v>50</v>
      </c>
      <c r="H529" s="43">
        <v>600</v>
      </c>
      <c r="I529" s="35">
        <v>695</v>
      </c>
      <c r="J529" s="35">
        <v>0</v>
      </c>
      <c r="K529" s="36"/>
      <c r="L529" s="36"/>
      <c r="M529" s="36"/>
      <c r="N529" s="36"/>
      <c r="O529" s="36"/>
      <c r="P529" s="36"/>
      <c r="Q529" s="36"/>
      <c r="R529" s="36"/>
      <c r="S529" s="36"/>
      <c r="T529" s="36"/>
    </row>
    <row r="530" spans="1:20" ht="15.75">
      <c r="A530" s="13">
        <v>57649</v>
      </c>
      <c r="B530" s="44">
        <v>31</v>
      </c>
      <c r="C530" s="35">
        <v>131.881</v>
      </c>
      <c r="D530" s="35">
        <v>277.16699999999997</v>
      </c>
      <c r="E530" s="41">
        <v>829.952</v>
      </c>
      <c r="F530" s="35">
        <v>1239</v>
      </c>
      <c r="G530" s="35">
        <v>75</v>
      </c>
      <c r="H530" s="43">
        <v>600</v>
      </c>
      <c r="I530" s="35">
        <v>695</v>
      </c>
      <c r="J530" s="35">
        <v>0</v>
      </c>
      <c r="K530" s="36"/>
      <c r="L530" s="36"/>
      <c r="M530" s="36"/>
      <c r="N530" s="36"/>
      <c r="O530" s="36"/>
      <c r="P530" s="36"/>
      <c r="Q530" s="36"/>
      <c r="R530" s="36"/>
      <c r="S530" s="36"/>
      <c r="T530" s="36"/>
    </row>
    <row r="531" spans="1:20" ht="15.75">
      <c r="A531" s="13">
        <v>57679</v>
      </c>
      <c r="B531" s="44">
        <v>30</v>
      </c>
      <c r="C531" s="35">
        <v>122.58</v>
      </c>
      <c r="D531" s="35">
        <v>297.94099999999997</v>
      </c>
      <c r="E531" s="41">
        <v>729.47900000000004</v>
      </c>
      <c r="F531" s="35">
        <v>1150</v>
      </c>
      <c r="G531" s="35">
        <v>100</v>
      </c>
      <c r="H531" s="43">
        <v>600</v>
      </c>
      <c r="I531" s="35">
        <v>695</v>
      </c>
      <c r="J531" s="35">
        <v>50</v>
      </c>
      <c r="K531" s="36"/>
      <c r="L531" s="36"/>
      <c r="M531" s="36"/>
      <c r="N531" s="36"/>
      <c r="O531" s="36"/>
      <c r="P531" s="36"/>
      <c r="Q531" s="36"/>
      <c r="R531" s="36"/>
      <c r="S531" s="36"/>
      <c r="T531" s="36"/>
    </row>
    <row r="532" spans="1:20" ht="15.75">
      <c r="A532" s="13">
        <v>57710</v>
      </c>
      <c r="B532" s="44">
        <v>31</v>
      </c>
      <c r="C532" s="35">
        <v>122.58</v>
      </c>
      <c r="D532" s="35">
        <v>297.94099999999997</v>
      </c>
      <c r="E532" s="41">
        <v>729.47900000000004</v>
      </c>
      <c r="F532" s="35">
        <v>1150</v>
      </c>
      <c r="G532" s="35">
        <v>100</v>
      </c>
      <c r="H532" s="43">
        <v>600</v>
      </c>
      <c r="I532" s="35">
        <v>695</v>
      </c>
      <c r="J532" s="35">
        <v>50</v>
      </c>
      <c r="K532" s="36"/>
      <c r="L532" s="36"/>
      <c r="M532" s="36"/>
      <c r="N532" s="36"/>
      <c r="O532" s="36"/>
      <c r="P532" s="36"/>
      <c r="Q532" s="36"/>
      <c r="R532" s="36"/>
      <c r="S532" s="36"/>
      <c r="T532" s="36"/>
    </row>
    <row r="533" spans="1:20" ht="15.75">
      <c r="A533" s="13">
        <v>57741</v>
      </c>
      <c r="B533" s="44">
        <v>31</v>
      </c>
      <c r="C533" s="35">
        <v>122.58</v>
      </c>
      <c r="D533" s="35">
        <v>297.94099999999997</v>
      </c>
      <c r="E533" s="41">
        <v>729.47900000000004</v>
      </c>
      <c r="F533" s="35">
        <v>1150</v>
      </c>
      <c r="G533" s="35">
        <v>100</v>
      </c>
      <c r="H533" s="43">
        <v>600</v>
      </c>
      <c r="I533" s="35">
        <v>695</v>
      </c>
      <c r="J533" s="35">
        <v>50</v>
      </c>
      <c r="K533" s="36"/>
      <c r="L533" s="36"/>
      <c r="M533" s="36"/>
      <c r="N533" s="36"/>
      <c r="O533" s="36"/>
      <c r="P533" s="36"/>
      <c r="Q533" s="36"/>
      <c r="R533" s="36"/>
      <c r="S533" s="36"/>
      <c r="T533" s="36"/>
    </row>
    <row r="534" spans="1:20" ht="15.75">
      <c r="A534" s="13">
        <v>57769</v>
      </c>
      <c r="B534" s="44">
        <v>28</v>
      </c>
      <c r="C534" s="35">
        <v>122.58</v>
      </c>
      <c r="D534" s="35">
        <v>297.94099999999997</v>
      </c>
      <c r="E534" s="41">
        <v>729.47900000000004</v>
      </c>
      <c r="F534" s="35">
        <v>1150</v>
      </c>
      <c r="G534" s="35">
        <v>100</v>
      </c>
      <c r="H534" s="43">
        <v>600</v>
      </c>
      <c r="I534" s="35">
        <v>695</v>
      </c>
      <c r="J534" s="35">
        <v>50</v>
      </c>
      <c r="K534" s="36"/>
      <c r="L534" s="36"/>
      <c r="M534" s="36"/>
      <c r="N534" s="36"/>
      <c r="O534" s="36"/>
      <c r="P534" s="36"/>
      <c r="Q534" s="36"/>
      <c r="R534" s="36"/>
      <c r="S534" s="36"/>
      <c r="T534" s="36"/>
    </row>
    <row r="535" spans="1:20" ht="15.75">
      <c r="A535" s="13">
        <v>57800</v>
      </c>
      <c r="B535" s="44">
        <v>31</v>
      </c>
      <c r="C535" s="35">
        <v>122.58</v>
      </c>
      <c r="D535" s="35">
        <v>297.94099999999997</v>
      </c>
      <c r="E535" s="41">
        <v>729.47900000000004</v>
      </c>
      <c r="F535" s="35">
        <v>1150</v>
      </c>
      <c r="G535" s="35">
        <v>100</v>
      </c>
      <c r="H535" s="43">
        <v>600</v>
      </c>
      <c r="I535" s="35">
        <v>695</v>
      </c>
      <c r="J535" s="35">
        <v>50</v>
      </c>
      <c r="K535" s="36"/>
      <c r="L535" s="36"/>
      <c r="M535" s="36"/>
      <c r="N535" s="36"/>
      <c r="O535" s="36"/>
      <c r="P535" s="36"/>
      <c r="Q535" s="36"/>
      <c r="R535" s="36"/>
      <c r="S535" s="36"/>
      <c r="T535" s="36"/>
    </row>
    <row r="536" spans="1:20" ht="15.75">
      <c r="A536" s="13">
        <v>57830</v>
      </c>
      <c r="B536" s="44">
        <v>30</v>
      </c>
      <c r="C536" s="35">
        <v>141.29300000000001</v>
      </c>
      <c r="D536" s="35">
        <v>267.99299999999999</v>
      </c>
      <c r="E536" s="41">
        <v>829.71400000000006</v>
      </c>
      <c r="F536" s="35">
        <v>1239</v>
      </c>
      <c r="G536" s="35">
        <v>100</v>
      </c>
      <c r="H536" s="43">
        <v>600</v>
      </c>
      <c r="I536" s="35">
        <v>695</v>
      </c>
      <c r="J536" s="35">
        <v>50</v>
      </c>
      <c r="K536" s="36"/>
      <c r="L536" s="36"/>
      <c r="M536" s="36"/>
      <c r="N536" s="36"/>
      <c r="O536" s="36"/>
      <c r="P536" s="36"/>
      <c r="Q536" s="36"/>
      <c r="R536" s="36"/>
      <c r="S536" s="36"/>
      <c r="T536" s="36"/>
    </row>
    <row r="537" spans="1:20" ht="15.75">
      <c r="A537" s="13">
        <v>57861</v>
      </c>
      <c r="B537" s="44">
        <v>31</v>
      </c>
      <c r="C537" s="35">
        <v>194.20500000000001</v>
      </c>
      <c r="D537" s="35">
        <v>267.46600000000001</v>
      </c>
      <c r="E537" s="41">
        <v>812.32899999999995</v>
      </c>
      <c r="F537" s="35">
        <v>1274</v>
      </c>
      <c r="G537" s="35">
        <v>75</v>
      </c>
      <c r="H537" s="43">
        <v>600</v>
      </c>
      <c r="I537" s="35">
        <v>695</v>
      </c>
      <c r="J537" s="35">
        <v>50</v>
      </c>
      <c r="K537" s="36"/>
      <c r="L537" s="36"/>
      <c r="M537" s="36"/>
      <c r="N537" s="36"/>
      <c r="O537" s="36"/>
      <c r="P537" s="36"/>
      <c r="Q537" s="36"/>
      <c r="R537" s="36"/>
      <c r="S537" s="36"/>
      <c r="T537" s="36"/>
    </row>
    <row r="538" spans="1:20" ht="15.75">
      <c r="A538" s="13">
        <v>57891</v>
      </c>
      <c r="B538" s="44">
        <v>30</v>
      </c>
      <c r="C538" s="35">
        <v>194.20500000000001</v>
      </c>
      <c r="D538" s="35">
        <v>267.46600000000001</v>
      </c>
      <c r="E538" s="41">
        <v>812.32899999999995</v>
      </c>
      <c r="F538" s="35">
        <v>1274</v>
      </c>
      <c r="G538" s="35">
        <v>50</v>
      </c>
      <c r="H538" s="43">
        <v>600</v>
      </c>
      <c r="I538" s="35">
        <v>695</v>
      </c>
      <c r="J538" s="35">
        <v>50</v>
      </c>
      <c r="K538" s="36"/>
      <c r="L538" s="36"/>
      <c r="M538" s="36"/>
      <c r="N538" s="36"/>
      <c r="O538" s="36"/>
      <c r="P538" s="36"/>
      <c r="Q538" s="36"/>
      <c r="R538" s="36"/>
      <c r="S538" s="36"/>
      <c r="T538" s="36"/>
    </row>
    <row r="539" spans="1:20" ht="15.75">
      <c r="A539" s="13">
        <v>57922</v>
      </c>
      <c r="B539" s="44">
        <v>31</v>
      </c>
      <c r="C539" s="35">
        <v>194.20500000000001</v>
      </c>
      <c r="D539" s="35">
        <v>267.46600000000001</v>
      </c>
      <c r="E539" s="41">
        <v>812.32899999999995</v>
      </c>
      <c r="F539" s="35">
        <v>1274</v>
      </c>
      <c r="G539" s="35">
        <v>50</v>
      </c>
      <c r="H539" s="43">
        <v>600</v>
      </c>
      <c r="I539" s="35">
        <v>695</v>
      </c>
      <c r="J539" s="35">
        <v>0</v>
      </c>
      <c r="K539" s="36"/>
      <c r="L539" s="36"/>
      <c r="M539" s="36"/>
      <c r="N539" s="36"/>
      <c r="O539" s="36"/>
      <c r="P539" s="36"/>
      <c r="Q539" s="36"/>
      <c r="R539" s="36"/>
      <c r="S539" s="36"/>
      <c r="T539" s="36"/>
    </row>
    <row r="540" spans="1:20" ht="15.75">
      <c r="A540" s="13">
        <v>57953</v>
      </c>
      <c r="B540" s="44">
        <v>31</v>
      </c>
      <c r="C540" s="35">
        <v>194.20500000000001</v>
      </c>
      <c r="D540" s="35">
        <v>267.46600000000001</v>
      </c>
      <c r="E540" s="41">
        <v>812.32899999999995</v>
      </c>
      <c r="F540" s="35">
        <v>1274</v>
      </c>
      <c r="G540" s="35">
        <v>50</v>
      </c>
      <c r="H540" s="43">
        <v>600</v>
      </c>
      <c r="I540" s="35">
        <v>695</v>
      </c>
      <c r="J540" s="35">
        <v>0</v>
      </c>
      <c r="K540" s="36"/>
      <c r="L540" s="36"/>
      <c r="M540" s="36"/>
      <c r="N540" s="36"/>
      <c r="O540" s="36"/>
      <c r="P540" s="36"/>
      <c r="Q540" s="36"/>
      <c r="R540" s="36"/>
      <c r="S540" s="36"/>
      <c r="T540" s="36"/>
    </row>
    <row r="541" spans="1:20" ht="15.75">
      <c r="A541" s="13">
        <v>57983</v>
      </c>
      <c r="B541" s="44">
        <v>30</v>
      </c>
      <c r="C541" s="35">
        <v>194.20500000000001</v>
      </c>
      <c r="D541" s="35">
        <v>267.46600000000001</v>
      </c>
      <c r="E541" s="41">
        <v>812.32899999999995</v>
      </c>
      <c r="F541" s="35">
        <v>1274</v>
      </c>
      <c r="G541" s="35">
        <v>50</v>
      </c>
      <c r="H541" s="43">
        <v>600</v>
      </c>
      <c r="I541" s="35">
        <v>695</v>
      </c>
      <c r="J541" s="35">
        <v>0</v>
      </c>
      <c r="K541" s="36"/>
      <c r="L541" s="36"/>
      <c r="M541" s="36"/>
      <c r="N541" s="36"/>
      <c r="O541" s="36"/>
      <c r="P541" s="36"/>
      <c r="Q541" s="36"/>
      <c r="R541" s="36"/>
      <c r="S541" s="36"/>
      <c r="T541" s="36"/>
    </row>
    <row r="542" spans="1:20" ht="15.75">
      <c r="A542" s="13">
        <v>58014</v>
      </c>
      <c r="B542" s="44">
        <v>31</v>
      </c>
      <c r="C542" s="35">
        <v>131.881</v>
      </c>
      <c r="D542" s="35">
        <v>277.16699999999997</v>
      </c>
      <c r="E542" s="41">
        <v>829.952</v>
      </c>
      <c r="F542" s="35">
        <v>1239</v>
      </c>
      <c r="G542" s="35">
        <v>75</v>
      </c>
      <c r="H542" s="43">
        <v>600</v>
      </c>
      <c r="I542" s="35">
        <v>695</v>
      </c>
      <c r="J542" s="35">
        <v>0</v>
      </c>
      <c r="K542" s="36"/>
      <c r="L542" s="36"/>
      <c r="M542" s="36"/>
      <c r="N542" s="36"/>
      <c r="O542" s="36"/>
      <c r="P542" s="36"/>
      <c r="Q542" s="36"/>
      <c r="R542" s="36"/>
      <c r="S542" s="36"/>
      <c r="T542" s="36"/>
    </row>
    <row r="543" spans="1:20" ht="15.75">
      <c r="A543" s="13">
        <v>58044</v>
      </c>
      <c r="B543" s="44">
        <v>30</v>
      </c>
      <c r="C543" s="35">
        <v>122.58</v>
      </c>
      <c r="D543" s="35">
        <v>297.94099999999997</v>
      </c>
      <c r="E543" s="41">
        <v>729.47900000000004</v>
      </c>
      <c r="F543" s="35">
        <v>1150</v>
      </c>
      <c r="G543" s="35">
        <v>100</v>
      </c>
      <c r="H543" s="43">
        <v>600</v>
      </c>
      <c r="I543" s="35">
        <v>695</v>
      </c>
      <c r="J543" s="35">
        <v>50</v>
      </c>
      <c r="K543" s="36"/>
      <c r="L543" s="36"/>
      <c r="M543" s="36"/>
      <c r="N543" s="36"/>
      <c r="O543" s="36"/>
      <c r="P543" s="36"/>
      <c r="Q543" s="36"/>
      <c r="R543" s="36"/>
      <c r="S543" s="36"/>
      <c r="T543" s="36"/>
    </row>
    <row r="544" spans="1:20" ht="15.75">
      <c r="A544" s="13">
        <v>58075</v>
      </c>
      <c r="B544" s="44">
        <v>31</v>
      </c>
      <c r="C544" s="35">
        <v>122.58</v>
      </c>
      <c r="D544" s="35">
        <v>297.94099999999997</v>
      </c>
      <c r="E544" s="41">
        <v>729.47900000000004</v>
      </c>
      <c r="F544" s="35">
        <v>1150</v>
      </c>
      <c r="G544" s="35">
        <v>100</v>
      </c>
      <c r="H544" s="43">
        <v>600</v>
      </c>
      <c r="I544" s="35">
        <v>695</v>
      </c>
      <c r="J544" s="35">
        <v>50</v>
      </c>
      <c r="K544" s="36"/>
      <c r="L544" s="36"/>
      <c r="M544" s="36"/>
      <c r="N544" s="36"/>
      <c r="O544" s="36"/>
      <c r="P544" s="36"/>
      <c r="Q544" s="36"/>
      <c r="R544" s="36"/>
      <c r="S544" s="36"/>
      <c r="T544" s="36"/>
    </row>
    <row r="545" spans="1:20" ht="15.75">
      <c r="A545" s="13">
        <v>58106</v>
      </c>
      <c r="B545" s="44">
        <v>31</v>
      </c>
      <c r="C545" s="35">
        <v>122.58</v>
      </c>
      <c r="D545" s="35">
        <v>297.94099999999997</v>
      </c>
      <c r="E545" s="41">
        <v>729.47900000000004</v>
      </c>
      <c r="F545" s="35">
        <v>1150</v>
      </c>
      <c r="G545" s="35">
        <v>100</v>
      </c>
      <c r="H545" s="43">
        <v>600</v>
      </c>
      <c r="I545" s="35">
        <v>695</v>
      </c>
      <c r="J545" s="35">
        <v>50</v>
      </c>
      <c r="K545" s="36"/>
      <c r="L545" s="36"/>
      <c r="M545" s="36"/>
      <c r="N545" s="36"/>
      <c r="O545" s="36"/>
      <c r="P545" s="36"/>
      <c r="Q545" s="36"/>
      <c r="R545" s="36"/>
      <c r="S545" s="36"/>
      <c r="T545" s="36"/>
    </row>
    <row r="546" spans="1:20" ht="15.75">
      <c r="A546" s="13">
        <v>58134</v>
      </c>
      <c r="B546" s="44">
        <v>28</v>
      </c>
      <c r="C546" s="35">
        <v>122.58</v>
      </c>
      <c r="D546" s="35">
        <v>297.94099999999997</v>
      </c>
      <c r="E546" s="41">
        <v>729.47900000000004</v>
      </c>
      <c r="F546" s="35">
        <v>1150</v>
      </c>
      <c r="G546" s="35">
        <v>100</v>
      </c>
      <c r="H546" s="43">
        <v>600</v>
      </c>
      <c r="I546" s="35">
        <v>695</v>
      </c>
      <c r="J546" s="35">
        <v>50</v>
      </c>
      <c r="K546" s="36"/>
      <c r="L546" s="36"/>
      <c r="M546" s="36"/>
      <c r="N546" s="36"/>
      <c r="O546" s="36"/>
      <c r="P546" s="36"/>
      <c r="Q546" s="36"/>
      <c r="R546" s="36"/>
      <c r="S546" s="36"/>
      <c r="T546" s="36"/>
    </row>
    <row r="547" spans="1:20" ht="15.75">
      <c r="A547" s="13">
        <v>58165</v>
      </c>
      <c r="B547" s="44">
        <v>31</v>
      </c>
      <c r="C547" s="35">
        <v>122.58</v>
      </c>
      <c r="D547" s="35">
        <v>297.94099999999997</v>
      </c>
      <c r="E547" s="41">
        <v>729.47900000000004</v>
      </c>
      <c r="F547" s="35">
        <v>1150</v>
      </c>
      <c r="G547" s="35">
        <v>100</v>
      </c>
      <c r="H547" s="43">
        <v>600</v>
      </c>
      <c r="I547" s="35">
        <v>695</v>
      </c>
      <c r="J547" s="35">
        <v>50</v>
      </c>
      <c r="K547" s="36"/>
      <c r="L547" s="36"/>
      <c r="M547" s="36"/>
      <c r="N547" s="36"/>
      <c r="O547" s="36"/>
      <c r="P547" s="36"/>
      <c r="Q547" s="36"/>
      <c r="R547" s="36"/>
      <c r="S547" s="36"/>
      <c r="T547" s="36"/>
    </row>
    <row r="548" spans="1:20" ht="15.75">
      <c r="A548" s="13">
        <v>58195</v>
      </c>
      <c r="B548" s="44">
        <v>30</v>
      </c>
      <c r="C548" s="35">
        <v>141.29300000000001</v>
      </c>
      <c r="D548" s="35">
        <v>267.99299999999999</v>
      </c>
      <c r="E548" s="41">
        <v>829.71400000000006</v>
      </c>
      <c r="F548" s="35">
        <v>1239</v>
      </c>
      <c r="G548" s="35">
        <v>100</v>
      </c>
      <c r="H548" s="43">
        <v>600</v>
      </c>
      <c r="I548" s="35">
        <v>695</v>
      </c>
      <c r="J548" s="35">
        <v>50</v>
      </c>
      <c r="K548" s="36"/>
      <c r="L548" s="36"/>
      <c r="M548" s="36"/>
      <c r="N548" s="36"/>
      <c r="O548" s="36"/>
      <c r="P548" s="36"/>
      <c r="Q548" s="36"/>
      <c r="R548" s="36"/>
      <c r="S548" s="36"/>
      <c r="T548" s="36"/>
    </row>
    <row r="549" spans="1:20" ht="15.75">
      <c r="A549" s="13">
        <v>58226</v>
      </c>
      <c r="B549" s="44">
        <v>31</v>
      </c>
      <c r="C549" s="35">
        <v>194.20500000000001</v>
      </c>
      <c r="D549" s="35">
        <v>267.46600000000001</v>
      </c>
      <c r="E549" s="41">
        <v>812.32899999999995</v>
      </c>
      <c r="F549" s="35">
        <v>1274</v>
      </c>
      <c r="G549" s="35">
        <v>75</v>
      </c>
      <c r="H549" s="43">
        <v>600</v>
      </c>
      <c r="I549" s="35">
        <v>695</v>
      </c>
      <c r="J549" s="35">
        <v>50</v>
      </c>
      <c r="K549" s="36"/>
      <c r="L549" s="36"/>
      <c r="M549" s="36"/>
      <c r="N549" s="36"/>
      <c r="O549" s="36"/>
      <c r="P549" s="36"/>
      <c r="Q549" s="36"/>
      <c r="R549" s="36"/>
      <c r="S549" s="36"/>
      <c r="T549" s="36"/>
    </row>
    <row r="550" spans="1:20" ht="15.75">
      <c r="A550" s="13">
        <v>58256</v>
      </c>
      <c r="B550" s="44">
        <v>30</v>
      </c>
      <c r="C550" s="35">
        <v>194.20500000000001</v>
      </c>
      <c r="D550" s="35">
        <v>267.46600000000001</v>
      </c>
      <c r="E550" s="41">
        <v>812.32899999999995</v>
      </c>
      <c r="F550" s="35">
        <v>1274</v>
      </c>
      <c r="G550" s="35">
        <v>50</v>
      </c>
      <c r="H550" s="43">
        <v>600</v>
      </c>
      <c r="I550" s="35">
        <v>695</v>
      </c>
      <c r="J550" s="35">
        <v>50</v>
      </c>
      <c r="K550" s="36"/>
      <c r="L550" s="36"/>
      <c r="M550" s="36"/>
      <c r="N550" s="36"/>
      <c r="O550" s="36"/>
      <c r="P550" s="36"/>
      <c r="Q550" s="36"/>
      <c r="R550" s="36"/>
      <c r="S550" s="36"/>
      <c r="T550" s="36"/>
    </row>
    <row r="551" spans="1:20" ht="15.75">
      <c r="A551" s="13">
        <v>58287</v>
      </c>
      <c r="B551" s="44">
        <v>31</v>
      </c>
      <c r="C551" s="35">
        <v>194.20500000000001</v>
      </c>
      <c r="D551" s="35">
        <v>267.46600000000001</v>
      </c>
      <c r="E551" s="41">
        <v>812.32899999999995</v>
      </c>
      <c r="F551" s="35">
        <v>1274</v>
      </c>
      <c r="G551" s="35">
        <v>50</v>
      </c>
      <c r="H551" s="43">
        <v>600</v>
      </c>
      <c r="I551" s="35">
        <v>695</v>
      </c>
      <c r="J551" s="35">
        <v>0</v>
      </c>
      <c r="K551" s="36"/>
      <c r="L551" s="36"/>
      <c r="M551" s="36"/>
      <c r="N551" s="36"/>
      <c r="O551" s="36"/>
      <c r="P551" s="36"/>
      <c r="Q551" s="36"/>
      <c r="R551" s="36"/>
      <c r="S551" s="36"/>
      <c r="T551" s="36"/>
    </row>
    <row r="552" spans="1:20" ht="15.75">
      <c r="A552" s="13">
        <v>58318</v>
      </c>
      <c r="B552" s="44">
        <v>31</v>
      </c>
      <c r="C552" s="35">
        <v>194.20500000000001</v>
      </c>
      <c r="D552" s="35">
        <v>267.46600000000001</v>
      </c>
      <c r="E552" s="41">
        <v>812.32899999999995</v>
      </c>
      <c r="F552" s="35">
        <v>1274</v>
      </c>
      <c r="G552" s="35">
        <v>50</v>
      </c>
      <c r="H552" s="43">
        <v>600</v>
      </c>
      <c r="I552" s="35">
        <v>695</v>
      </c>
      <c r="J552" s="35">
        <v>0</v>
      </c>
      <c r="K552" s="36"/>
      <c r="L552" s="36"/>
      <c r="M552" s="36"/>
      <c r="N552" s="36"/>
      <c r="O552" s="36"/>
      <c r="P552" s="36"/>
      <c r="Q552" s="36"/>
      <c r="R552" s="36"/>
      <c r="S552" s="36"/>
      <c r="T552" s="36"/>
    </row>
    <row r="553" spans="1:20" ht="15.75">
      <c r="A553" s="13">
        <v>58348</v>
      </c>
      <c r="B553" s="44">
        <v>30</v>
      </c>
      <c r="C553" s="35">
        <v>194.20500000000001</v>
      </c>
      <c r="D553" s="35">
        <v>267.46600000000001</v>
      </c>
      <c r="E553" s="41">
        <v>812.32899999999995</v>
      </c>
      <c r="F553" s="35">
        <v>1274</v>
      </c>
      <c r="G553" s="35">
        <v>50</v>
      </c>
      <c r="H553" s="43">
        <v>600</v>
      </c>
      <c r="I553" s="35">
        <v>695</v>
      </c>
      <c r="J553" s="35">
        <v>0</v>
      </c>
      <c r="K553" s="36"/>
      <c r="L553" s="36"/>
      <c r="M553" s="36"/>
      <c r="N553" s="36"/>
      <c r="O553" s="36"/>
      <c r="P553" s="36"/>
      <c r="Q553" s="36"/>
      <c r="R553" s="36"/>
      <c r="S553" s="36"/>
      <c r="T553" s="36"/>
    </row>
    <row r="554" spans="1:20" ht="15.75">
      <c r="A554" s="13">
        <v>58379</v>
      </c>
      <c r="B554" s="44">
        <v>31</v>
      </c>
      <c r="C554" s="35">
        <v>131.881</v>
      </c>
      <c r="D554" s="35">
        <v>277.16699999999997</v>
      </c>
      <c r="E554" s="41">
        <v>829.952</v>
      </c>
      <c r="F554" s="35">
        <v>1239</v>
      </c>
      <c r="G554" s="35">
        <v>75</v>
      </c>
      <c r="H554" s="43">
        <v>600</v>
      </c>
      <c r="I554" s="35">
        <v>695</v>
      </c>
      <c r="J554" s="35">
        <v>0</v>
      </c>
      <c r="K554" s="36"/>
      <c r="L554" s="36"/>
      <c r="M554" s="36"/>
      <c r="N554" s="36"/>
      <c r="O554" s="36"/>
      <c r="P554" s="36"/>
      <c r="Q554" s="36"/>
      <c r="R554" s="36"/>
      <c r="S554" s="36"/>
      <c r="T554" s="36"/>
    </row>
    <row r="555" spans="1:20" ht="15.75">
      <c r="A555" s="13">
        <v>58409</v>
      </c>
      <c r="B555" s="44">
        <v>30</v>
      </c>
      <c r="C555" s="35">
        <v>122.58</v>
      </c>
      <c r="D555" s="35">
        <v>297.94099999999997</v>
      </c>
      <c r="E555" s="41">
        <v>729.47900000000004</v>
      </c>
      <c r="F555" s="35">
        <v>1150</v>
      </c>
      <c r="G555" s="35">
        <v>100</v>
      </c>
      <c r="H555" s="43">
        <v>600</v>
      </c>
      <c r="I555" s="35">
        <v>695</v>
      </c>
      <c r="J555" s="35">
        <v>50</v>
      </c>
      <c r="K555" s="36"/>
      <c r="L555" s="36"/>
      <c r="M555" s="36"/>
      <c r="N555" s="36"/>
      <c r="O555" s="36"/>
      <c r="P555" s="36"/>
      <c r="Q555" s="36"/>
      <c r="R555" s="36"/>
      <c r="S555" s="36"/>
      <c r="T555" s="36"/>
    </row>
    <row r="556" spans="1:20" ht="15.75">
      <c r="A556" s="13">
        <v>58440</v>
      </c>
      <c r="B556" s="44">
        <v>31</v>
      </c>
      <c r="C556" s="35">
        <v>122.58</v>
      </c>
      <c r="D556" s="35">
        <v>297.94099999999997</v>
      </c>
      <c r="E556" s="41">
        <v>729.47900000000004</v>
      </c>
      <c r="F556" s="35">
        <v>1150</v>
      </c>
      <c r="G556" s="35">
        <v>100</v>
      </c>
      <c r="H556" s="43">
        <v>600</v>
      </c>
      <c r="I556" s="35">
        <v>695</v>
      </c>
      <c r="J556" s="35">
        <v>50</v>
      </c>
      <c r="K556" s="36"/>
      <c r="L556" s="36"/>
      <c r="M556" s="36"/>
      <c r="N556" s="36"/>
      <c r="O556" s="36"/>
      <c r="P556" s="36"/>
      <c r="Q556" s="36"/>
      <c r="R556" s="36"/>
      <c r="S556" s="36"/>
      <c r="T556" s="36"/>
    </row>
    <row r="557" spans="1:20" ht="15.75">
      <c r="A557" s="13">
        <v>58471</v>
      </c>
      <c r="B557" s="44">
        <v>31</v>
      </c>
      <c r="C557" s="35">
        <v>122.58</v>
      </c>
      <c r="D557" s="35">
        <v>297.94099999999997</v>
      </c>
      <c r="E557" s="41">
        <v>729.47900000000004</v>
      </c>
      <c r="F557" s="35">
        <v>1150</v>
      </c>
      <c r="G557" s="35">
        <v>100</v>
      </c>
      <c r="H557" s="43">
        <v>600</v>
      </c>
      <c r="I557" s="35">
        <v>695</v>
      </c>
      <c r="J557" s="35">
        <v>50</v>
      </c>
      <c r="K557" s="36"/>
      <c r="L557" s="36"/>
      <c r="M557" s="36"/>
      <c r="N557" s="36"/>
      <c r="O557" s="36"/>
      <c r="P557" s="36"/>
      <c r="Q557" s="36"/>
      <c r="R557" s="36"/>
      <c r="S557" s="36"/>
      <c r="T557" s="36"/>
    </row>
    <row r="558" spans="1:20" ht="15.75">
      <c r="A558" s="13">
        <v>58499</v>
      </c>
      <c r="B558" s="44">
        <v>29</v>
      </c>
      <c r="C558" s="35">
        <v>122.58</v>
      </c>
      <c r="D558" s="35">
        <v>297.94099999999997</v>
      </c>
      <c r="E558" s="41">
        <v>729.47900000000004</v>
      </c>
      <c r="F558" s="35">
        <v>1150</v>
      </c>
      <c r="G558" s="35">
        <v>100</v>
      </c>
      <c r="H558" s="43">
        <v>600</v>
      </c>
      <c r="I558" s="35">
        <v>695</v>
      </c>
      <c r="J558" s="35">
        <v>50</v>
      </c>
      <c r="K558" s="36"/>
      <c r="L558" s="36"/>
      <c r="M558" s="36"/>
      <c r="N558" s="36"/>
      <c r="O558" s="36"/>
      <c r="P558" s="36"/>
      <c r="Q558" s="36"/>
      <c r="R558" s="36"/>
      <c r="S558" s="36"/>
      <c r="T558" s="36"/>
    </row>
    <row r="559" spans="1:20" ht="15.75">
      <c r="A559" s="13">
        <v>58531</v>
      </c>
      <c r="B559" s="44">
        <v>31</v>
      </c>
      <c r="C559" s="35">
        <v>122.58</v>
      </c>
      <c r="D559" s="35">
        <v>297.94099999999997</v>
      </c>
      <c r="E559" s="41">
        <v>729.47900000000004</v>
      </c>
      <c r="F559" s="35">
        <v>1150</v>
      </c>
      <c r="G559" s="35">
        <v>100</v>
      </c>
      <c r="H559" s="43">
        <v>600</v>
      </c>
      <c r="I559" s="35">
        <v>695</v>
      </c>
      <c r="J559" s="35">
        <v>50</v>
      </c>
      <c r="K559" s="36"/>
      <c r="L559" s="36"/>
      <c r="M559" s="36"/>
      <c r="N559" s="36"/>
      <c r="O559" s="36"/>
      <c r="P559" s="36"/>
      <c r="Q559" s="36"/>
      <c r="R559" s="36"/>
      <c r="S559" s="36"/>
      <c r="T559" s="36"/>
    </row>
    <row r="560" spans="1:20" ht="15.75">
      <c r="A560" s="13">
        <v>58561</v>
      </c>
      <c r="B560" s="44">
        <v>30</v>
      </c>
      <c r="C560" s="35">
        <v>141.29300000000001</v>
      </c>
      <c r="D560" s="35">
        <v>267.99299999999999</v>
      </c>
      <c r="E560" s="41">
        <v>829.71400000000006</v>
      </c>
      <c r="F560" s="35">
        <v>1239</v>
      </c>
      <c r="G560" s="35">
        <v>100</v>
      </c>
      <c r="H560" s="43">
        <v>600</v>
      </c>
      <c r="I560" s="35">
        <v>695</v>
      </c>
      <c r="J560" s="35">
        <v>50</v>
      </c>
      <c r="K560" s="36"/>
      <c r="L560" s="36"/>
      <c r="M560" s="36"/>
      <c r="N560" s="36"/>
      <c r="O560" s="36"/>
      <c r="P560" s="36"/>
      <c r="Q560" s="36"/>
      <c r="R560" s="36"/>
      <c r="S560" s="36"/>
      <c r="T560" s="36"/>
    </row>
    <row r="561" spans="1:20" ht="15.75">
      <c r="A561" s="13">
        <v>58592</v>
      </c>
      <c r="B561" s="44">
        <v>31</v>
      </c>
      <c r="C561" s="35">
        <v>194.20500000000001</v>
      </c>
      <c r="D561" s="35">
        <v>267.46600000000001</v>
      </c>
      <c r="E561" s="41">
        <v>812.32899999999995</v>
      </c>
      <c r="F561" s="35">
        <v>1274</v>
      </c>
      <c r="G561" s="35">
        <v>75</v>
      </c>
      <c r="H561" s="43">
        <v>600</v>
      </c>
      <c r="I561" s="35">
        <v>695</v>
      </c>
      <c r="J561" s="35">
        <v>50</v>
      </c>
      <c r="K561" s="36"/>
      <c r="L561" s="36"/>
      <c r="M561" s="36"/>
      <c r="N561" s="36"/>
      <c r="O561" s="36"/>
      <c r="P561" s="36"/>
      <c r="Q561" s="36"/>
      <c r="R561" s="36"/>
      <c r="S561" s="36"/>
      <c r="T561" s="36"/>
    </row>
    <row r="562" spans="1:20" ht="15.75">
      <c r="A562" s="13">
        <v>58622</v>
      </c>
      <c r="B562" s="44">
        <v>30</v>
      </c>
      <c r="C562" s="35">
        <v>194.20500000000001</v>
      </c>
      <c r="D562" s="35">
        <v>267.46600000000001</v>
      </c>
      <c r="E562" s="41">
        <v>812.32899999999995</v>
      </c>
      <c r="F562" s="35">
        <v>1274</v>
      </c>
      <c r="G562" s="35">
        <v>50</v>
      </c>
      <c r="H562" s="43">
        <v>600</v>
      </c>
      <c r="I562" s="35">
        <v>695</v>
      </c>
      <c r="J562" s="35">
        <v>50</v>
      </c>
      <c r="K562" s="36"/>
      <c r="L562" s="36"/>
      <c r="M562" s="36"/>
      <c r="N562" s="36"/>
      <c r="O562" s="36"/>
      <c r="P562" s="36"/>
      <c r="Q562" s="36"/>
      <c r="R562" s="36"/>
      <c r="S562" s="36"/>
      <c r="T562" s="36"/>
    </row>
    <row r="563" spans="1:20" ht="15.75">
      <c r="A563" s="13">
        <v>58653</v>
      </c>
      <c r="B563" s="44">
        <v>31</v>
      </c>
      <c r="C563" s="35">
        <v>194.20500000000001</v>
      </c>
      <c r="D563" s="35">
        <v>267.46600000000001</v>
      </c>
      <c r="E563" s="41">
        <v>812.32899999999995</v>
      </c>
      <c r="F563" s="35">
        <v>1274</v>
      </c>
      <c r="G563" s="35">
        <v>50</v>
      </c>
      <c r="H563" s="43">
        <v>600</v>
      </c>
      <c r="I563" s="35">
        <v>695</v>
      </c>
      <c r="J563" s="35">
        <v>0</v>
      </c>
      <c r="K563" s="36"/>
      <c r="L563" s="36"/>
      <c r="M563" s="36"/>
      <c r="N563" s="36"/>
      <c r="O563" s="36"/>
      <c r="P563" s="36"/>
      <c r="Q563" s="36"/>
      <c r="R563" s="36"/>
      <c r="S563" s="36"/>
      <c r="T563" s="36"/>
    </row>
    <row r="564" spans="1:20" ht="15.75">
      <c r="A564" s="13">
        <v>58684</v>
      </c>
      <c r="B564" s="44">
        <v>31</v>
      </c>
      <c r="C564" s="35">
        <v>194.20500000000001</v>
      </c>
      <c r="D564" s="35">
        <v>267.46600000000001</v>
      </c>
      <c r="E564" s="41">
        <v>812.32899999999995</v>
      </c>
      <c r="F564" s="35">
        <v>1274</v>
      </c>
      <c r="G564" s="35">
        <v>50</v>
      </c>
      <c r="H564" s="43">
        <v>600</v>
      </c>
      <c r="I564" s="35">
        <v>695</v>
      </c>
      <c r="J564" s="35">
        <v>0</v>
      </c>
      <c r="K564" s="36"/>
      <c r="L564" s="36"/>
      <c r="M564" s="36"/>
      <c r="N564" s="36"/>
      <c r="O564" s="36"/>
      <c r="P564" s="36"/>
      <c r="Q564" s="36"/>
      <c r="R564" s="36"/>
      <c r="S564" s="36"/>
      <c r="T564" s="36"/>
    </row>
    <row r="565" spans="1:20" ht="15.75">
      <c r="A565" s="13">
        <v>58714</v>
      </c>
      <c r="B565" s="44">
        <v>30</v>
      </c>
      <c r="C565" s="35">
        <v>194.20500000000001</v>
      </c>
      <c r="D565" s="35">
        <v>267.46600000000001</v>
      </c>
      <c r="E565" s="41">
        <v>812.32899999999995</v>
      </c>
      <c r="F565" s="35">
        <v>1274</v>
      </c>
      <c r="G565" s="35">
        <v>50</v>
      </c>
      <c r="H565" s="43">
        <v>600</v>
      </c>
      <c r="I565" s="35">
        <v>695</v>
      </c>
      <c r="J565" s="35">
        <v>0</v>
      </c>
      <c r="K565" s="36"/>
      <c r="L565" s="36"/>
      <c r="M565" s="36"/>
      <c r="N565" s="36"/>
      <c r="O565" s="36"/>
      <c r="P565" s="36"/>
      <c r="Q565" s="36"/>
      <c r="R565" s="36"/>
      <c r="S565" s="36"/>
      <c r="T565" s="36"/>
    </row>
    <row r="566" spans="1:20" ht="15.75">
      <c r="A566" s="13">
        <v>58745</v>
      </c>
      <c r="B566" s="44">
        <v>31</v>
      </c>
      <c r="C566" s="35">
        <v>131.881</v>
      </c>
      <c r="D566" s="35">
        <v>277.16699999999997</v>
      </c>
      <c r="E566" s="41">
        <v>829.952</v>
      </c>
      <c r="F566" s="35">
        <v>1239</v>
      </c>
      <c r="G566" s="35">
        <v>75</v>
      </c>
      <c r="H566" s="43">
        <v>600</v>
      </c>
      <c r="I566" s="35">
        <v>695</v>
      </c>
      <c r="J566" s="35">
        <v>0</v>
      </c>
      <c r="K566" s="36"/>
      <c r="L566" s="36"/>
      <c r="M566" s="36"/>
      <c r="N566" s="36"/>
      <c r="O566" s="36"/>
      <c r="P566" s="36"/>
      <c r="Q566" s="36"/>
      <c r="R566" s="36"/>
      <c r="S566" s="36"/>
      <c r="T566" s="36"/>
    </row>
    <row r="567" spans="1:20" ht="15.75">
      <c r="A567" s="13">
        <v>58775</v>
      </c>
      <c r="B567" s="44">
        <v>30</v>
      </c>
      <c r="C567" s="35">
        <v>122.58</v>
      </c>
      <c r="D567" s="35">
        <v>297.94099999999997</v>
      </c>
      <c r="E567" s="41">
        <v>729.47900000000004</v>
      </c>
      <c r="F567" s="35">
        <v>1150</v>
      </c>
      <c r="G567" s="35">
        <v>100</v>
      </c>
      <c r="H567" s="43">
        <v>600</v>
      </c>
      <c r="I567" s="35">
        <v>695</v>
      </c>
      <c r="J567" s="35">
        <v>50</v>
      </c>
      <c r="K567" s="36"/>
      <c r="L567" s="36"/>
      <c r="M567" s="36"/>
      <c r="N567" s="36"/>
      <c r="O567" s="36"/>
      <c r="P567" s="36"/>
      <c r="Q567" s="36"/>
      <c r="R567" s="36"/>
      <c r="S567" s="36"/>
      <c r="T567" s="36"/>
    </row>
    <row r="568" spans="1:20" ht="15.75">
      <c r="A568" s="13">
        <v>58806</v>
      </c>
      <c r="B568" s="44">
        <v>31</v>
      </c>
      <c r="C568" s="35">
        <v>122.58</v>
      </c>
      <c r="D568" s="35">
        <v>297.94099999999997</v>
      </c>
      <c r="E568" s="41">
        <v>729.47900000000004</v>
      </c>
      <c r="F568" s="35">
        <v>1150</v>
      </c>
      <c r="G568" s="35">
        <v>100</v>
      </c>
      <c r="H568" s="43">
        <v>600</v>
      </c>
      <c r="I568" s="35">
        <v>695</v>
      </c>
      <c r="J568" s="35">
        <v>50</v>
      </c>
      <c r="K568" s="36"/>
      <c r="L568" s="36"/>
      <c r="M568" s="36"/>
      <c r="N568" s="36"/>
      <c r="O568" s="36"/>
      <c r="P568" s="36"/>
      <c r="Q568" s="36"/>
      <c r="R568" s="36"/>
      <c r="S568" s="36"/>
      <c r="T568" s="36"/>
    </row>
    <row r="569" spans="1:20" ht="15.75">
      <c r="A569" s="13">
        <v>58837</v>
      </c>
      <c r="B569" s="44">
        <v>31</v>
      </c>
      <c r="C569" s="35">
        <v>122.58</v>
      </c>
      <c r="D569" s="35">
        <v>297.94099999999997</v>
      </c>
      <c r="E569" s="41">
        <v>729.47900000000004</v>
      </c>
      <c r="F569" s="35">
        <v>1150</v>
      </c>
      <c r="G569" s="35">
        <v>100</v>
      </c>
      <c r="H569" s="43">
        <v>600</v>
      </c>
      <c r="I569" s="35">
        <v>695</v>
      </c>
      <c r="J569" s="35">
        <v>50</v>
      </c>
      <c r="K569" s="36"/>
      <c r="L569" s="36"/>
      <c r="M569" s="36"/>
      <c r="N569" s="36"/>
      <c r="O569" s="36"/>
      <c r="P569" s="36"/>
      <c r="Q569" s="36"/>
      <c r="R569" s="36"/>
      <c r="S569" s="36"/>
      <c r="T569" s="36"/>
    </row>
    <row r="570" spans="1:20" ht="15.75">
      <c r="A570" s="13">
        <v>58865</v>
      </c>
      <c r="B570" s="44">
        <v>28</v>
      </c>
      <c r="C570" s="35">
        <v>122.58</v>
      </c>
      <c r="D570" s="35">
        <v>297.94099999999997</v>
      </c>
      <c r="E570" s="41">
        <v>729.47900000000004</v>
      </c>
      <c r="F570" s="35">
        <v>1150</v>
      </c>
      <c r="G570" s="35">
        <v>100</v>
      </c>
      <c r="H570" s="43">
        <v>600</v>
      </c>
      <c r="I570" s="35">
        <v>695</v>
      </c>
      <c r="J570" s="35">
        <v>50</v>
      </c>
      <c r="K570" s="36"/>
      <c r="L570" s="36"/>
      <c r="M570" s="36"/>
      <c r="N570" s="36"/>
      <c r="O570" s="36"/>
      <c r="P570" s="36"/>
      <c r="Q570" s="36"/>
      <c r="R570" s="36"/>
      <c r="S570" s="36"/>
      <c r="T570" s="36"/>
    </row>
    <row r="571" spans="1:20" ht="15.75">
      <c r="A571" s="13">
        <v>58893</v>
      </c>
      <c r="B571" s="44">
        <v>31</v>
      </c>
      <c r="C571" s="35">
        <v>122.58</v>
      </c>
      <c r="D571" s="35">
        <v>297.94099999999997</v>
      </c>
      <c r="E571" s="41">
        <v>729.47900000000004</v>
      </c>
      <c r="F571" s="35">
        <v>1150</v>
      </c>
      <c r="G571" s="35">
        <v>100</v>
      </c>
      <c r="H571" s="43">
        <v>600</v>
      </c>
      <c r="I571" s="35">
        <v>695</v>
      </c>
      <c r="J571" s="35">
        <v>50</v>
      </c>
      <c r="K571" s="36"/>
      <c r="L571" s="36"/>
      <c r="M571" s="36"/>
      <c r="N571" s="36"/>
      <c r="O571" s="36"/>
      <c r="P571" s="36"/>
      <c r="Q571" s="36"/>
      <c r="R571" s="36"/>
      <c r="S571" s="36"/>
      <c r="T571" s="36"/>
    </row>
    <row r="572" spans="1:20" ht="15.75">
      <c r="A572" s="13">
        <v>58926</v>
      </c>
      <c r="B572" s="44">
        <v>30</v>
      </c>
      <c r="C572" s="35">
        <v>141.29300000000001</v>
      </c>
      <c r="D572" s="35">
        <v>267.99299999999999</v>
      </c>
      <c r="E572" s="41">
        <v>829.71400000000006</v>
      </c>
      <c r="F572" s="35">
        <v>1239</v>
      </c>
      <c r="G572" s="35">
        <v>100</v>
      </c>
      <c r="H572" s="43">
        <v>600</v>
      </c>
      <c r="I572" s="35">
        <v>695</v>
      </c>
      <c r="J572" s="35">
        <v>50</v>
      </c>
      <c r="K572" s="36"/>
      <c r="L572" s="36"/>
      <c r="M572" s="36"/>
      <c r="N572" s="36"/>
      <c r="O572" s="36"/>
      <c r="P572" s="36"/>
      <c r="Q572" s="36"/>
      <c r="R572" s="36"/>
      <c r="S572" s="36"/>
      <c r="T572" s="36"/>
    </row>
    <row r="573" spans="1:20" ht="15.75">
      <c r="A573" s="13">
        <v>58957</v>
      </c>
      <c r="B573" s="44">
        <v>31</v>
      </c>
      <c r="C573" s="35">
        <v>194.20500000000001</v>
      </c>
      <c r="D573" s="35">
        <v>267.46600000000001</v>
      </c>
      <c r="E573" s="41">
        <v>812.32899999999995</v>
      </c>
      <c r="F573" s="35">
        <v>1274</v>
      </c>
      <c r="G573" s="35">
        <v>75</v>
      </c>
      <c r="H573" s="43">
        <v>600</v>
      </c>
      <c r="I573" s="35">
        <v>695</v>
      </c>
      <c r="J573" s="35">
        <v>50</v>
      </c>
      <c r="K573" s="36"/>
      <c r="L573" s="36"/>
      <c r="M573" s="36"/>
      <c r="N573" s="36"/>
      <c r="O573" s="36"/>
      <c r="P573" s="36"/>
      <c r="Q573" s="36"/>
      <c r="R573" s="36"/>
      <c r="S573" s="36"/>
      <c r="T573" s="36"/>
    </row>
    <row r="574" spans="1:20" ht="15.75">
      <c r="A574" s="13">
        <v>58987</v>
      </c>
      <c r="B574" s="44">
        <v>30</v>
      </c>
      <c r="C574" s="35">
        <v>194.20500000000001</v>
      </c>
      <c r="D574" s="35">
        <v>267.46600000000001</v>
      </c>
      <c r="E574" s="41">
        <v>812.32899999999995</v>
      </c>
      <c r="F574" s="35">
        <v>1274</v>
      </c>
      <c r="G574" s="35">
        <v>50</v>
      </c>
      <c r="H574" s="43">
        <v>600</v>
      </c>
      <c r="I574" s="35">
        <v>695</v>
      </c>
      <c r="J574" s="35">
        <v>50</v>
      </c>
      <c r="K574" s="36"/>
      <c r="L574" s="36"/>
      <c r="M574" s="36"/>
      <c r="N574" s="36"/>
      <c r="O574" s="36"/>
      <c r="P574" s="36"/>
      <c r="Q574" s="36"/>
      <c r="R574" s="36"/>
      <c r="S574" s="36"/>
      <c r="T574" s="36"/>
    </row>
    <row r="575" spans="1:20" ht="15.75">
      <c r="A575" s="13">
        <v>59018</v>
      </c>
      <c r="B575" s="44">
        <v>31</v>
      </c>
      <c r="C575" s="35">
        <v>194.20500000000001</v>
      </c>
      <c r="D575" s="35">
        <v>267.46600000000001</v>
      </c>
      <c r="E575" s="41">
        <v>812.32899999999995</v>
      </c>
      <c r="F575" s="35">
        <v>1274</v>
      </c>
      <c r="G575" s="35">
        <v>50</v>
      </c>
      <c r="H575" s="43">
        <v>600</v>
      </c>
      <c r="I575" s="35">
        <v>695</v>
      </c>
      <c r="J575" s="35">
        <v>0</v>
      </c>
      <c r="K575" s="36"/>
      <c r="L575" s="36"/>
      <c r="M575" s="36"/>
      <c r="N575" s="36"/>
      <c r="O575" s="36"/>
      <c r="P575" s="36"/>
      <c r="Q575" s="36"/>
      <c r="R575" s="36"/>
      <c r="S575" s="36"/>
      <c r="T575" s="36"/>
    </row>
    <row r="576" spans="1:20" ht="15.75">
      <c r="A576" s="13">
        <v>59049</v>
      </c>
      <c r="B576" s="44">
        <v>31</v>
      </c>
      <c r="C576" s="35">
        <v>194.20500000000001</v>
      </c>
      <c r="D576" s="35">
        <v>267.46600000000001</v>
      </c>
      <c r="E576" s="41">
        <v>812.32899999999995</v>
      </c>
      <c r="F576" s="35">
        <v>1274</v>
      </c>
      <c r="G576" s="35">
        <v>50</v>
      </c>
      <c r="H576" s="43">
        <v>600</v>
      </c>
      <c r="I576" s="35">
        <v>695</v>
      </c>
      <c r="J576" s="35">
        <v>0</v>
      </c>
      <c r="K576" s="36"/>
      <c r="L576" s="36"/>
      <c r="M576" s="36"/>
      <c r="N576" s="36"/>
      <c r="O576" s="36"/>
      <c r="P576" s="36"/>
      <c r="Q576" s="36"/>
      <c r="R576" s="36"/>
      <c r="S576" s="36"/>
      <c r="T576" s="36"/>
    </row>
    <row r="577" spans="1:20" ht="15.75">
      <c r="A577" s="13">
        <v>59079</v>
      </c>
      <c r="B577" s="44">
        <v>30</v>
      </c>
      <c r="C577" s="35">
        <v>194.20500000000001</v>
      </c>
      <c r="D577" s="35">
        <v>267.46600000000001</v>
      </c>
      <c r="E577" s="41">
        <v>812.32899999999995</v>
      </c>
      <c r="F577" s="35">
        <v>1274</v>
      </c>
      <c r="G577" s="35">
        <v>50</v>
      </c>
      <c r="H577" s="43">
        <v>600</v>
      </c>
      <c r="I577" s="35">
        <v>695</v>
      </c>
      <c r="J577" s="35">
        <v>0</v>
      </c>
      <c r="K577" s="36"/>
      <c r="L577" s="36"/>
      <c r="M577" s="36"/>
      <c r="N577" s="36"/>
      <c r="O577" s="36"/>
      <c r="P577" s="36"/>
      <c r="Q577" s="36"/>
      <c r="R577" s="36"/>
      <c r="S577" s="36"/>
      <c r="T577" s="36"/>
    </row>
    <row r="578" spans="1:20" ht="15.75">
      <c r="A578" s="13">
        <v>59110</v>
      </c>
      <c r="B578" s="44">
        <v>31</v>
      </c>
      <c r="C578" s="35">
        <v>131.881</v>
      </c>
      <c r="D578" s="35">
        <v>277.16699999999997</v>
      </c>
      <c r="E578" s="41">
        <v>829.952</v>
      </c>
      <c r="F578" s="35">
        <v>1239</v>
      </c>
      <c r="G578" s="35">
        <v>75</v>
      </c>
      <c r="H578" s="43">
        <v>600</v>
      </c>
      <c r="I578" s="35">
        <v>695</v>
      </c>
      <c r="J578" s="35">
        <v>0</v>
      </c>
      <c r="K578" s="36"/>
      <c r="L578" s="36"/>
      <c r="M578" s="36"/>
      <c r="N578" s="36"/>
      <c r="O578" s="36"/>
      <c r="P578" s="36"/>
      <c r="Q578" s="36"/>
      <c r="R578" s="36"/>
      <c r="S578" s="36"/>
      <c r="T578" s="36"/>
    </row>
    <row r="579" spans="1:20" ht="15.75">
      <c r="A579" s="13">
        <v>59140</v>
      </c>
      <c r="B579" s="44">
        <v>30</v>
      </c>
      <c r="C579" s="35">
        <v>122.58</v>
      </c>
      <c r="D579" s="35">
        <v>297.94099999999997</v>
      </c>
      <c r="E579" s="41">
        <v>729.47900000000004</v>
      </c>
      <c r="F579" s="35">
        <v>1150</v>
      </c>
      <c r="G579" s="35">
        <v>100</v>
      </c>
      <c r="H579" s="43">
        <v>600</v>
      </c>
      <c r="I579" s="35">
        <v>695</v>
      </c>
      <c r="J579" s="35">
        <v>50</v>
      </c>
      <c r="K579" s="36"/>
      <c r="L579" s="36"/>
      <c r="M579" s="36"/>
      <c r="N579" s="36"/>
      <c r="O579" s="36"/>
      <c r="P579" s="36"/>
      <c r="Q579" s="36"/>
      <c r="R579" s="36"/>
      <c r="S579" s="36"/>
      <c r="T579" s="36"/>
    </row>
    <row r="580" spans="1:20" ht="15.75">
      <c r="A580" s="13">
        <v>59171</v>
      </c>
      <c r="B580" s="44">
        <v>31</v>
      </c>
      <c r="C580" s="35">
        <v>122.58</v>
      </c>
      <c r="D580" s="35">
        <v>297.94099999999997</v>
      </c>
      <c r="E580" s="41">
        <v>729.47900000000004</v>
      </c>
      <c r="F580" s="35">
        <v>1150</v>
      </c>
      <c r="G580" s="35">
        <v>100</v>
      </c>
      <c r="H580" s="43">
        <v>600</v>
      </c>
      <c r="I580" s="35">
        <v>695</v>
      </c>
      <c r="J580" s="35">
        <v>50</v>
      </c>
      <c r="K580" s="36"/>
      <c r="L580" s="36"/>
      <c r="M580" s="36"/>
      <c r="N580" s="36"/>
      <c r="O580" s="36"/>
      <c r="P580" s="36"/>
      <c r="Q580" s="36"/>
      <c r="R580" s="36"/>
      <c r="S580" s="36"/>
      <c r="T580" s="36"/>
    </row>
    <row r="581" spans="1:20" ht="15.75">
      <c r="A581" s="13">
        <v>59202</v>
      </c>
      <c r="B581" s="44">
        <f t="shared" ref="B581:B644" si="0">EOMONTH(A581,0)-EOMONTH(A581,-1)</f>
        <v>31</v>
      </c>
      <c r="C581" s="35">
        <v>122.58</v>
      </c>
      <c r="D581" s="35">
        <v>297.94099999999997</v>
      </c>
      <c r="E581" s="41">
        <v>729.47900000000004</v>
      </c>
      <c r="F581" s="35">
        <v>1150</v>
      </c>
      <c r="G581" s="35">
        <v>100</v>
      </c>
      <c r="H581" s="43">
        <v>600</v>
      </c>
      <c r="I581" s="35">
        <v>695</v>
      </c>
      <c r="J581" s="35">
        <v>50</v>
      </c>
      <c r="K581" s="36"/>
      <c r="L581" s="36"/>
      <c r="M581" s="36"/>
      <c r="N581" s="36"/>
      <c r="O581" s="36"/>
      <c r="P581" s="36"/>
      <c r="Q581" s="36"/>
      <c r="R581" s="36"/>
      <c r="S581" s="36"/>
      <c r="T581" s="36"/>
    </row>
    <row r="582" spans="1:20" ht="15.75">
      <c r="A582" s="13">
        <v>59230</v>
      </c>
      <c r="B582" s="44">
        <f t="shared" si="0"/>
        <v>28</v>
      </c>
      <c r="C582" s="35">
        <v>122.58</v>
      </c>
      <c r="D582" s="35">
        <v>297.94099999999997</v>
      </c>
      <c r="E582" s="41">
        <v>729.47900000000004</v>
      </c>
      <c r="F582" s="35">
        <v>1150</v>
      </c>
      <c r="G582" s="35">
        <v>100</v>
      </c>
      <c r="H582" s="43">
        <v>600</v>
      </c>
      <c r="I582" s="35">
        <v>695</v>
      </c>
      <c r="J582" s="35">
        <v>50</v>
      </c>
      <c r="K582" s="36"/>
      <c r="L582" s="36"/>
      <c r="M582" s="36"/>
      <c r="N582" s="36"/>
      <c r="O582" s="36"/>
      <c r="P582" s="36"/>
      <c r="Q582" s="36"/>
      <c r="R582" s="36"/>
      <c r="S582" s="36"/>
      <c r="T582" s="36"/>
    </row>
    <row r="583" spans="1:20" ht="15.75">
      <c r="A583" s="13">
        <v>59261</v>
      </c>
      <c r="B583" s="44">
        <f t="shared" si="0"/>
        <v>31</v>
      </c>
      <c r="C583" s="35">
        <v>122.58</v>
      </c>
      <c r="D583" s="35">
        <v>297.94099999999997</v>
      </c>
      <c r="E583" s="41">
        <v>729.47900000000004</v>
      </c>
      <c r="F583" s="35">
        <v>1150</v>
      </c>
      <c r="G583" s="35">
        <v>100</v>
      </c>
      <c r="H583" s="43">
        <v>600</v>
      </c>
      <c r="I583" s="35">
        <v>695</v>
      </c>
      <c r="J583" s="35">
        <v>50</v>
      </c>
      <c r="K583" s="36"/>
      <c r="L583" s="36"/>
      <c r="M583" s="36"/>
      <c r="N583" s="36"/>
      <c r="O583" s="36"/>
      <c r="P583" s="36"/>
      <c r="Q583" s="36"/>
      <c r="R583" s="36"/>
      <c r="S583" s="36"/>
      <c r="T583" s="36"/>
    </row>
    <row r="584" spans="1:20" ht="15.75">
      <c r="A584" s="13">
        <v>59291</v>
      </c>
      <c r="B584" s="44">
        <f t="shared" si="0"/>
        <v>30</v>
      </c>
      <c r="C584" s="35">
        <v>141.29300000000001</v>
      </c>
      <c r="D584" s="35">
        <v>267.99299999999999</v>
      </c>
      <c r="E584" s="41">
        <v>829.71400000000006</v>
      </c>
      <c r="F584" s="35">
        <v>1239</v>
      </c>
      <c r="G584" s="35">
        <v>100</v>
      </c>
      <c r="H584" s="43">
        <v>600</v>
      </c>
      <c r="I584" s="35">
        <v>695</v>
      </c>
      <c r="J584" s="35">
        <v>50</v>
      </c>
      <c r="K584" s="36"/>
      <c r="L584" s="36"/>
      <c r="M584" s="36"/>
      <c r="N584" s="36"/>
      <c r="O584" s="36"/>
      <c r="P584" s="36"/>
      <c r="Q584" s="36"/>
      <c r="R584" s="36"/>
      <c r="S584" s="36"/>
      <c r="T584" s="36"/>
    </row>
    <row r="585" spans="1:20" ht="15.75">
      <c r="A585" s="13">
        <v>59322</v>
      </c>
      <c r="B585" s="44">
        <f t="shared" si="0"/>
        <v>31</v>
      </c>
      <c r="C585" s="35">
        <v>194.20500000000001</v>
      </c>
      <c r="D585" s="35">
        <v>267.46600000000001</v>
      </c>
      <c r="E585" s="41">
        <v>812.32899999999995</v>
      </c>
      <c r="F585" s="35">
        <v>1274</v>
      </c>
      <c r="G585" s="35">
        <v>75</v>
      </c>
      <c r="H585" s="43">
        <v>600</v>
      </c>
      <c r="I585" s="35">
        <v>695</v>
      </c>
      <c r="J585" s="35">
        <v>50</v>
      </c>
      <c r="K585" s="36"/>
      <c r="L585" s="36"/>
      <c r="M585" s="36"/>
      <c r="N585" s="36"/>
      <c r="O585" s="36"/>
      <c r="P585" s="36"/>
      <c r="Q585" s="36"/>
      <c r="R585" s="36"/>
      <c r="S585" s="36"/>
      <c r="T585" s="36"/>
    </row>
    <row r="586" spans="1:20" ht="15.75">
      <c r="A586" s="13">
        <v>59352</v>
      </c>
      <c r="B586" s="44">
        <f t="shared" si="0"/>
        <v>30</v>
      </c>
      <c r="C586" s="35">
        <v>194.20500000000001</v>
      </c>
      <c r="D586" s="35">
        <v>267.46600000000001</v>
      </c>
      <c r="E586" s="41">
        <v>812.32899999999995</v>
      </c>
      <c r="F586" s="35">
        <v>1274</v>
      </c>
      <c r="G586" s="35">
        <v>50</v>
      </c>
      <c r="H586" s="43">
        <v>600</v>
      </c>
      <c r="I586" s="35">
        <v>695</v>
      </c>
      <c r="J586" s="35">
        <v>50</v>
      </c>
      <c r="K586" s="36"/>
      <c r="L586" s="36"/>
      <c r="M586" s="36"/>
      <c r="N586" s="36"/>
      <c r="O586" s="36"/>
      <c r="P586" s="36"/>
      <c r="Q586" s="36"/>
      <c r="R586" s="36"/>
      <c r="S586" s="36"/>
      <c r="T586" s="36"/>
    </row>
    <row r="587" spans="1:20" ht="15.75">
      <c r="A587" s="13">
        <v>59383</v>
      </c>
      <c r="B587" s="44">
        <f t="shared" si="0"/>
        <v>31</v>
      </c>
      <c r="C587" s="35">
        <v>194.20500000000001</v>
      </c>
      <c r="D587" s="35">
        <v>267.46600000000001</v>
      </c>
      <c r="E587" s="41">
        <v>812.32899999999995</v>
      </c>
      <c r="F587" s="35">
        <v>1274</v>
      </c>
      <c r="G587" s="35">
        <v>50</v>
      </c>
      <c r="H587" s="43">
        <v>600</v>
      </c>
      <c r="I587" s="35">
        <v>695</v>
      </c>
      <c r="J587" s="35">
        <v>0</v>
      </c>
      <c r="K587" s="36"/>
      <c r="L587" s="36"/>
      <c r="M587" s="36"/>
      <c r="N587" s="36"/>
      <c r="O587" s="36"/>
      <c r="P587" s="36"/>
      <c r="Q587" s="36"/>
      <c r="R587" s="36"/>
      <c r="S587" s="36"/>
      <c r="T587" s="36"/>
    </row>
    <row r="588" spans="1:20" ht="15.75">
      <c r="A588" s="13">
        <v>59414</v>
      </c>
      <c r="B588" s="44">
        <f t="shared" si="0"/>
        <v>31</v>
      </c>
      <c r="C588" s="35">
        <v>194.20500000000001</v>
      </c>
      <c r="D588" s="35">
        <v>267.46600000000001</v>
      </c>
      <c r="E588" s="41">
        <v>812.32899999999995</v>
      </c>
      <c r="F588" s="35">
        <v>1274</v>
      </c>
      <c r="G588" s="35">
        <v>50</v>
      </c>
      <c r="H588" s="43">
        <v>600</v>
      </c>
      <c r="I588" s="35">
        <v>695</v>
      </c>
      <c r="J588" s="35">
        <v>0</v>
      </c>
      <c r="K588" s="36"/>
      <c r="L588" s="36"/>
      <c r="M588" s="36"/>
      <c r="N588" s="36"/>
      <c r="O588" s="36"/>
      <c r="P588" s="36"/>
      <c r="Q588" s="36"/>
      <c r="R588" s="36"/>
      <c r="S588" s="36"/>
      <c r="T588" s="36"/>
    </row>
    <row r="589" spans="1:20" ht="15.75">
      <c r="A589" s="13">
        <v>59444</v>
      </c>
      <c r="B589" s="44">
        <f t="shared" si="0"/>
        <v>30</v>
      </c>
      <c r="C589" s="35">
        <v>194.20500000000001</v>
      </c>
      <c r="D589" s="35">
        <v>267.46600000000001</v>
      </c>
      <c r="E589" s="41">
        <v>812.32899999999995</v>
      </c>
      <c r="F589" s="35">
        <v>1274</v>
      </c>
      <c r="G589" s="35">
        <v>50</v>
      </c>
      <c r="H589" s="43">
        <v>600</v>
      </c>
      <c r="I589" s="35">
        <v>695</v>
      </c>
      <c r="J589" s="35">
        <v>0</v>
      </c>
      <c r="K589" s="36"/>
      <c r="L589" s="36"/>
      <c r="M589" s="36"/>
      <c r="N589" s="36"/>
      <c r="O589" s="36"/>
      <c r="P589" s="36"/>
      <c r="Q589" s="36"/>
      <c r="R589" s="36"/>
      <c r="S589" s="36"/>
      <c r="T589" s="36"/>
    </row>
    <row r="590" spans="1:20" ht="15.75">
      <c r="A590" s="13">
        <v>59475</v>
      </c>
      <c r="B590" s="44">
        <f t="shared" si="0"/>
        <v>31</v>
      </c>
      <c r="C590" s="35">
        <v>131.881</v>
      </c>
      <c r="D590" s="35">
        <v>277.16699999999997</v>
      </c>
      <c r="E590" s="41">
        <v>829.952</v>
      </c>
      <c r="F590" s="35">
        <v>1239</v>
      </c>
      <c r="G590" s="35">
        <v>75</v>
      </c>
      <c r="H590" s="43">
        <v>600</v>
      </c>
      <c r="I590" s="35">
        <v>695</v>
      </c>
      <c r="J590" s="35">
        <v>0</v>
      </c>
      <c r="K590" s="36"/>
      <c r="L590" s="36"/>
      <c r="M590" s="36"/>
      <c r="N590" s="36"/>
      <c r="O590" s="36"/>
      <c r="P590" s="36"/>
      <c r="Q590" s="36"/>
      <c r="R590" s="36"/>
      <c r="S590" s="36"/>
      <c r="T590" s="36"/>
    </row>
    <row r="591" spans="1:20" ht="15.75">
      <c r="A591" s="13">
        <v>59505</v>
      </c>
      <c r="B591" s="44">
        <f t="shared" si="0"/>
        <v>30</v>
      </c>
      <c r="C591" s="35">
        <v>122.58</v>
      </c>
      <c r="D591" s="35">
        <v>297.94099999999997</v>
      </c>
      <c r="E591" s="41">
        <v>729.47900000000004</v>
      </c>
      <c r="F591" s="35">
        <v>1150</v>
      </c>
      <c r="G591" s="35">
        <v>100</v>
      </c>
      <c r="H591" s="43">
        <v>600</v>
      </c>
      <c r="I591" s="35">
        <v>695</v>
      </c>
      <c r="J591" s="35">
        <v>50</v>
      </c>
      <c r="K591" s="36"/>
      <c r="L591" s="36"/>
      <c r="M591" s="36"/>
      <c r="N591" s="36"/>
      <c r="O591" s="36"/>
      <c r="P591" s="36"/>
      <c r="Q591" s="36"/>
      <c r="R591" s="36"/>
      <c r="S591" s="36"/>
      <c r="T591" s="36"/>
    </row>
    <row r="592" spans="1:20" ht="15.75">
      <c r="A592" s="13">
        <v>59536</v>
      </c>
      <c r="B592" s="44">
        <f t="shared" si="0"/>
        <v>31</v>
      </c>
      <c r="C592" s="35">
        <v>122.58</v>
      </c>
      <c r="D592" s="35">
        <v>297.94099999999997</v>
      </c>
      <c r="E592" s="41">
        <v>729.47900000000004</v>
      </c>
      <c r="F592" s="35">
        <v>1150</v>
      </c>
      <c r="G592" s="35">
        <v>100</v>
      </c>
      <c r="H592" s="43">
        <v>600</v>
      </c>
      <c r="I592" s="35">
        <v>695</v>
      </c>
      <c r="J592" s="35">
        <v>50</v>
      </c>
      <c r="K592" s="36"/>
      <c r="L592" s="36"/>
      <c r="M592" s="36"/>
      <c r="N592" s="36"/>
      <c r="O592" s="36"/>
      <c r="P592" s="36"/>
      <c r="Q592" s="36"/>
      <c r="R592" s="36"/>
      <c r="S592" s="36"/>
      <c r="T592" s="36"/>
    </row>
    <row r="593" spans="1:20" ht="15.75">
      <c r="A593" s="13">
        <v>59567</v>
      </c>
      <c r="B593" s="44">
        <f t="shared" si="0"/>
        <v>31</v>
      </c>
      <c r="C593" s="35">
        <v>122.58</v>
      </c>
      <c r="D593" s="35">
        <v>297.94099999999997</v>
      </c>
      <c r="E593" s="41">
        <v>729.47900000000004</v>
      </c>
      <c r="F593" s="35">
        <v>1150</v>
      </c>
      <c r="G593" s="35">
        <v>100</v>
      </c>
      <c r="H593" s="43">
        <v>600</v>
      </c>
      <c r="I593" s="35">
        <v>695</v>
      </c>
      <c r="J593" s="35">
        <v>50</v>
      </c>
      <c r="K593" s="36"/>
      <c r="L593" s="36"/>
      <c r="M593" s="36"/>
      <c r="N593" s="36"/>
      <c r="O593" s="36"/>
      <c r="P593" s="36"/>
      <c r="Q593" s="36"/>
      <c r="R593" s="36"/>
      <c r="S593" s="36"/>
      <c r="T593" s="36"/>
    </row>
    <row r="594" spans="1:20" ht="15.75">
      <c r="A594" s="13">
        <v>59595</v>
      </c>
      <c r="B594" s="44">
        <f t="shared" si="0"/>
        <v>28</v>
      </c>
      <c r="C594" s="35">
        <v>122.58</v>
      </c>
      <c r="D594" s="35">
        <v>297.94099999999997</v>
      </c>
      <c r="E594" s="41">
        <v>729.47900000000004</v>
      </c>
      <c r="F594" s="35">
        <v>1150</v>
      </c>
      <c r="G594" s="35">
        <v>100</v>
      </c>
      <c r="H594" s="43">
        <v>600</v>
      </c>
      <c r="I594" s="35">
        <v>695</v>
      </c>
      <c r="J594" s="35">
        <v>50</v>
      </c>
      <c r="K594" s="36"/>
      <c r="L594" s="36"/>
      <c r="M594" s="36"/>
      <c r="N594" s="36"/>
      <c r="O594" s="36"/>
      <c r="P594" s="36"/>
      <c r="Q594" s="36"/>
      <c r="R594" s="36"/>
      <c r="S594" s="36"/>
      <c r="T594" s="36"/>
    </row>
    <row r="595" spans="1:20" ht="15.75">
      <c r="A595" s="13">
        <v>59626</v>
      </c>
      <c r="B595" s="44">
        <f t="shared" si="0"/>
        <v>31</v>
      </c>
      <c r="C595" s="35">
        <v>122.58</v>
      </c>
      <c r="D595" s="35">
        <v>297.94099999999997</v>
      </c>
      <c r="E595" s="41">
        <v>729.47900000000004</v>
      </c>
      <c r="F595" s="35">
        <v>1150</v>
      </c>
      <c r="G595" s="35">
        <v>100</v>
      </c>
      <c r="H595" s="43">
        <v>600</v>
      </c>
      <c r="I595" s="35">
        <v>695</v>
      </c>
      <c r="J595" s="35">
        <v>50</v>
      </c>
      <c r="K595" s="36"/>
      <c r="L595" s="36"/>
      <c r="M595" s="36"/>
      <c r="N595" s="36"/>
      <c r="O595" s="36"/>
      <c r="P595" s="36"/>
      <c r="Q595" s="36"/>
      <c r="R595" s="36"/>
      <c r="S595" s="36"/>
      <c r="T595" s="36"/>
    </row>
    <row r="596" spans="1:20" ht="15.75">
      <c r="A596" s="13">
        <v>59656</v>
      </c>
      <c r="B596" s="44">
        <f t="shared" si="0"/>
        <v>30</v>
      </c>
      <c r="C596" s="35">
        <v>141.29300000000001</v>
      </c>
      <c r="D596" s="35">
        <v>267.99299999999999</v>
      </c>
      <c r="E596" s="41">
        <v>829.71400000000006</v>
      </c>
      <c r="F596" s="35">
        <v>1239</v>
      </c>
      <c r="G596" s="35">
        <v>100</v>
      </c>
      <c r="H596" s="43">
        <v>600</v>
      </c>
      <c r="I596" s="35">
        <v>695</v>
      </c>
      <c r="J596" s="35">
        <v>50</v>
      </c>
      <c r="K596" s="36"/>
      <c r="L596" s="36"/>
      <c r="M596" s="36"/>
      <c r="N596" s="36"/>
      <c r="O596" s="36"/>
      <c r="P596" s="36"/>
      <c r="Q596" s="36"/>
      <c r="R596" s="36"/>
      <c r="S596" s="36"/>
      <c r="T596" s="36"/>
    </row>
    <row r="597" spans="1:20" ht="15.75">
      <c r="A597" s="13">
        <v>59687</v>
      </c>
      <c r="B597" s="44">
        <f t="shared" si="0"/>
        <v>31</v>
      </c>
      <c r="C597" s="35">
        <v>194.20500000000001</v>
      </c>
      <c r="D597" s="35">
        <v>267.46600000000001</v>
      </c>
      <c r="E597" s="41">
        <v>812.32899999999995</v>
      </c>
      <c r="F597" s="35">
        <v>1274</v>
      </c>
      <c r="G597" s="35">
        <v>75</v>
      </c>
      <c r="H597" s="43">
        <v>600</v>
      </c>
      <c r="I597" s="35">
        <v>695</v>
      </c>
      <c r="J597" s="35">
        <v>50</v>
      </c>
      <c r="K597" s="36"/>
      <c r="L597" s="36"/>
      <c r="M597" s="36"/>
      <c r="N597" s="36"/>
      <c r="O597" s="36"/>
      <c r="P597" s="36"/>
      <c r="Q597" s="36"/>
      <c r="R597" s="36"/>
      <c r="S597" s="36"/>
      <c r="T597" s="36"/>
    </row>
    <row r="598" spans="1:20" ht="15.75">
      <c r="A598" s="13">
        <v>59717</v>
      </c>
      <c r="B598" s="44">
        <f t="shared" si="0"/>
        <v>30</v>
      </c>
      <c r="C598" s="35">
        <v>194.20500000000001</v>
      </c>
      <c r="D598" s="35">
        <v>267.46600000000001</v>
      </c>
      <c r="E598" s="41">
        <v>812.32899999999995</v>
      </c>
      <c r="F598" s="35">
        <v>1274</v>
      </c>
      <c r="G598" s="35">
        <v>50</v>
      </c>
      <c r="H598" s="43">
        <v>600</v>
      </c>
      <c r="I598" s="35">
        <v>695</v>
      </c>
      <c r="J598" s="35">
        <v>50</v>
      </c>
      <c r="K598" s="36"/>
      <c r="L598" s="36"/>
      <c r="M598" s="36"/>
      <c r="N598" s="36"/>
      <c r="O598" s="36"/>
      <c r="P598" s="36"/>
      <c r="Q598" s="36"/>
      <c r="R598" s="36"/>
      <c r="S598" s="36"/>
      <c r="T598" s="36"/>
    </row>
    <row r="599" spans="1:20" ht="15.75">
      <c r="A599" s="13">
        <v>59748</v>
      </c>
      <c r="B599" s="44">
        <f t="shared" si="0"/>
        <v>31</v>
      </c>
      <c r="C599" s="35">
        <v>194.20500000000001</v>
      </c>
      <c r="D599" s="35">
        <v>267.46600000000001</v>
      </c>
      <c r="E599" s="41">
        <v>812.32899999999995</v>
      </c>
      <c r="F599" s="35">
        <v>1274</v>
      </c>
      <c r="G599" s="35">
        <v>50</v>
      </c>
      <c r="H599" s="43">
        <v>600</v>
      </c>
      <c r="I599" s="35">
        <v>695</v>
      </c>
      <c r="J599" s="35">
        <v>0</v>
      </c>
      <c r="K599" s="36"/>
      <c r="L599" s="36"/>
      <c r="M599" s="36"/>
      <c r="N599" s="36"/>
      <c r="O599" s="36"/>
      <c r="P599" s="36"/>
      <c r="Q599" s="36"/>
      <c r="R599" s="36"/>
      <c r="S599" s="36"/>
      <c r="T599" s="36"/>
    </row>
    <row r="600" spans="1:20" ht="15.75">
      <c r="A600" s="13">
        <v>59779</v>
      </c>
      <c r="B600" s="44">
        <f t="shared" si="0"/>
        <v>31</v>
      </c>
      <c r="C600" s="35">
        <v>194.20500000000001</v>
      </c>
      <c r="D600" s="35">
        <v>267.46600000000001</v>
      </c>
      <c r="E600" s="41">
        <v>812.32899999999995</v>
      </c>
      <c r="F600" s="35">
        <v>1274</v>
      </c>
      <c r="G600" s="35">
        <v>50</v>
      </c>
      <c r="H600" s="43">
        <v>600</v>
      </c>
      <c r="I600" s="35">
        <v>695</v>
      </c>
      <c r="J600" s="35">
        <v>0</v>
      </c>
      <c r="K600" s="36"/>
      <c r="L600" s="36"/>
      <c r="M600" s="36"/>
      <c r="N600" s="36"/>
      <c r="O600" s="36"/>
      <c r="P600" s="36"/>
      <c r="Q600" s="36"/>
      <c r="R600" s="36"/>
      <c r="S600" s="36"/>
      <c r="T600" s="36"/>
    </row>
    <row r="601" spans="1:20" ht="15.75">
      <c r="A601" s="13">
        <v>59809</v>
      </c>
      <c r="B601" s="44">
        <f t="shared" si="0"/>
        <v>30</v>
      </c>
      <c r="C601" s="35">
        <v>194.20500000000001</v>
      </c>
      <c r="D601" s="35">
        <v>267.46600000000001</v>
      </c>
      <c r="E601" s="41">
        <v>812.32899999999995</v>
      </c>
      <c r="F601" s="35">
        <v>1274</v>
      </c>
      <c r="G601" s="35">
        <v>50</v>
      </c>
      <c r="H601" s="43">
        <v>600</v>
      </c>
      <c r="I601" s="35">
        <v>695</v>
      </c>
      <c r="J601" s="35">
        <v>0</v>
      </c>
      <c r="K601" s="36"/>
      <c r="L601" s="36"/>
      <c r="M601" s="36"/>
      <c r="N601" s="36"/>
      <c r="O601" s="36"/>
      <c r="P601" s="36"/>
      <c r="Q601" s="36"/>
      <c r="R601" s="36"/>
      <c r="S601" s="36"/>
      <c r="T601" s="36"/>
    </row>
    <row r="602" spans="1:20" ht="15.75">
      <c r="A602" s="13">
        <v>59840</v>
      </c>
      <c r="B602" s="44">
        <f t="shared" si="0"/>
        <v>31</v>
      </c>
      <c r="C602" s="35">
        <v>131.881</v>
      </c>
      <c r="D602" s="35">
        <v>277.16699999999997</v>
      </c>
      <c r="E602" s="41">
        <v>829.952</v>
      </c>
      <c r="F602" s="35">
        <v>1239</v>
      </c>
      <c r="G602" s="35">
        <v>75</v>
      </c>
      <c r="H602" s="43">
        <v>600</v>
      </c>
      <c r="I602" s="35">
        <v>695</v>
      </c>
      <c r="J602" s="35">
        <v>0</v>
      </c>
      <c r="K602" s="36"/>
      <c r="L602" s="36"/>
      <c r="M602" s="36"/>
      <c r="N602" s="36"/>
      <c r="O602" s="36"/>
      <c r="P602" s="36"/>
      <c r="Q602" s="36"/>
      <c r="R602" s="36"/>
      <c r="S602" s="36"/>
      <c r="T602" s="36"/>
    </row>
    <row r="603" spans="1:20" ht="15.75">
      <c r="A603" s="13">
        <v>59870</v>
      </c>
      <c r="B603" s="44">
        <f t="shared" si="0"/>
        <v>30</v>
      </c>
      <c r="C603" s="35">
        <v>122.58</v>
      </c>
      <c r="D603" s="35">
        <v>297.94099999999997</v>
      </c>
      <c r="E603" s="41">
        <v>729.47900000000004</v>
      </c>
      <c r="F603" s="35">
        <v>1150</v>
      </c>
      <c r="G603" s="35">
        <v>100</v>
      </c>
      <c r="H603" s="43">
        <v>600</v>
      </c>
      <c r="I603" s="35">
        <v>695</v>
      </c>
      <c r="J603" s="35">
        <v>50</v>
      </c>
      <c r="K603" s="36"/>
      <c r="L603" s="36"/>
      <c r="M603" s="36"/>
      <c r="N603" s="36"/>
      <c r="O603" s="36"/>
      <c r="P603" s="36"/>
      <c r="Q603" s="36"/>
      <c r="R603" s="36"/>
      <c r="S603" s="36"/>
      <c r="T603" s="36"/>
    </row>
    <row r="604" spans="1:20" ht="15.75">
      <c r="A604" s="13">
        <v>59901</v>
      </c>
      <c r="B604" s="44">
        <f t="shared" si="0"/>
        <v>31</v>
      </c>
      <c r="C604" s="35">
        <v>122.58</v>
      </c>
      <c r="D604" s="35">
        <v>297.94099999999997</v>
      </c>
      <c r="E604" s="41">
        <v>729.47900000000004</v>
      </c>
      <c r="F604" s="35">
        <v>1150</v>
      </c>
      <c r="G604" s="35">
        <v>100</v>
      </c>
      <c r="H604" s="43">
        <v>600</v>
      </c>
      <c r="I604" s="35">
        <v>695</v>
      </c>
      <c r="J604" s="35">
        <v>50</v>
      </c>
      <c r="K604" s="36"/>
      <c r="L604" s="36"/>
      <c r="M604" s="36"/>
      <c r="N604" s="36"/>
      <c r="O604" s="36"/>
      <c r="P604" s="36"/>
      <c r="Q604" s="36"/>
      <c r="R604" s="36"/>
      <c r="S604" s="36"/>
      <c r="T604" s="36"/>
    </row>
    <row r="605" spans="1:20" ht="15.75">
      <c r="A605" s="13">
        <v>59932</v>
      </c>
      <c r="B605" s="44">
        <f t="shared" si="0"/>
        <v>31</v>
      </c>
      <c r="C605" s="35">
        <v>122.58</v>
      </c>
      <c r="D605" s="35">
        <v>297.94099999999997</v>
      </c>
      <c r="E605" s="41">
        <v>729.47900000000004</v>
      </c>
      <c r="F605" s="35">
        <v>1150</v>
      </c>
      <c r="G605" s="35">
        <v>100</v>
      </c>
      <c r="H605" s="43">
        <v>600</v>
      </c>
      <c r="I605" s="35">
        <v>695</v>
      </c>
      <c r="J605" s="35">
        <v>50</v>
      </c>
      <c r="K605" s="36"/>
      <c r="L605" s="36"/>
      <c r="M605" s="36"/>
      <c r="N605" s="36"/>
      <c r="O605" s="36"/>
      <c r="P605" s="36"/>
      <c r="Q605" s="36"/>
      <c r="R605" s="36"/>
      <c r="S605" s="36"/>
      <c r="T605" s="36"/>
    </row>
    <row r="606" spans="1:20" ht="15.75">
      <c r="A606" s="13">
        <v>59961</v>
      </c>
      <c r="B606" s="44">
        <f t="shared" si="0"/>
        <v>29</v>
      </c>
      <c r="C606" s="35">
        <v>122.58</v>
      </c>
      <c r="D606" s="35">
        <v>297.94099999999997</v>
      </c>
      <c r="E606" s="41">
        <v>729.47900000000004</v>
      </c>
      <c r="F606" s="35">
        <v>1150</v>
      </c>
      <c r="G606" s="35">
        <v>100</v>
      </c>
      <c r="H606" s="43">
        <v>600</v>
      </c>
      <c r="I606" s="35">
        <v>695</v>
      </c>
      <c r="J606" s="35">
        <v>50</v>
      </c>
      <c r="K606" s="36"/>
      <c r="L606" s="36"/>
      <c r="M606" s="36"/>
      <c r="N606" s="36"/>
      <c r="O606" s="36"/>
      <c r="P606" s="36"/>
      <c r="Q606" s="36"/>
      <c r="R606" s="36"/>
      <c r="S606" s="36"/>
      <c r="T606" s="36"/>
    </row>
    <row r="607" spans="1:20" ht="15.75">
      <c r="A607" s="13">
        <v>59992</v>
      </c>
      <c r="B607" s="44">
        <f t="shared" si="0"/>
        <v>31</v>
      </c>
      <c r="C607" s="35">
        <v>122.58</v>
      </c>
      <c r="D607" s="35">
        <v>297.94099999999997</v>
      </c>
      <c r="E607" s="41">
        <v>729.47900000000004</v>
      </c>
      <c r="F607" s="35">
        <v>1150</v>
      </c>
      <c r="G607" s="35">
        <v>100</v>
      </c>
      <c r="H607" s="43">
        <v>600</v>
      </c>
      <c r="I607" s="35">
        <v>695</v>
      </c>
      <c r="J607" s="35">
        <v>50</v>
      </c>
      <c r="K607" s="36"/>
      <c r="L607" s="36"/>
      <c r="M607" s="36"/>
      <c r="N607" s="36"/>
      <c r="O607" s="36"/>
      <c r="P607" s="36"/>
      <c r="Q607" s="36"/>
      <c r="R607" s="36"/>
      <c r="S607" s="36"/>
      <c r="T607" s="36"/>
    </row>
    <row r="608" spans="1:20" ht="15.75">
      <c r="A608" s="13">
        <v>60022</v>
      </c>
      <c r="B608" s="44">
        <f t="shared" si="0"/>
        <v>30</v>
      </c>
      <c r="C608" s="35">
        <v>141.29300000000001</v>
      </c>
      <c r="D608" s="35">
        <v>267.99299999999999</v>
      </c>
      <c r="E608" s="41">
        <v>829.71400000000006</v>
      </c>
      <c r="F608" s="35">
        <v>1239</v>
      </c>
      <c r="G608" s="35">
        <v>100</v>
      </c>
      <c r="H608" s="43">
        <v>600</v>
      </c>
      <c r="I608" s="35">
        <v>695</v>
      </c>
      <c r="J608" s="35">
        <v>50</v>
      </c>
      <c r="K608" s="36"/>
      <c r="L608" s="36"/>
      <c r="M608" s="36"/>
      <c r="N608" s="36"/>
      <c r="O608" s="36"/>
      <c r="P608" s="36"/>
      <c r="Q608" s="36"/>
      <c r="R608" s="36"/>
      <c r="S608" s="36"/>
      <c r="T608" s="36"/>
    </row>
    <row r="609" spans="1:20" ht="15.75">
      <c r="A609" s="13">
        <v>60053</v>
      </c>
      <c r="B609" s="44">
        <f t="shared" si="0"/>
        <v>31</v>
      </c>
      <c r="C609" s="35">
        <v>194.20500000000001</v>
      </c>
      <c r="D609" s="35">
        <v>267.46600000000001</v>
      </c>
      <c r="E609" s="41">
        <v>812.32899999999995</v>
      </c>
      <c r="F609" s="35">
        <v>1274</v>
      </c>
      <c r="G609" s="35">
        <v>75</v>
      </c>
      <c r="H609" s="43">
        <v>600</v>
      </c>
      <c r="I609" s="35">
        <v>695</v>
      </c>
      <c r="J609" s="35">
        <v>50</v>
      </c>
      <c r="K609" s="36"/>
      <c r="L609" s="36"/>
      <c r="M609" s="36"/>
      <c r="N609" s="36"/>
      <c r="O609" s="36"/>
      <c r="P609" s="36"/>
      <c r="Q609" s="36"/>
      <c r="R609" s="36"/>
      <c r="S609" s="36"/>
      <c r="T609" s="36"/>
    </row>
    <row r="610" spans="1:20" ht="15.75">
      <c r="A610" s="13">
        <v>60083</v>
      </c>
      <c r="B610" s="44">
        <f t="shared" si="0"/>
        <v>30</v>
      </c>
      <c r="C610" s="35">
        <v>194.20500000000001</v>
      </c>
      <c r="D610" s="35">
        <v>267.46600000000001</v>
      </c>
      <c r="E610" s="41">
        <v>812.32899999999995</v>
      </c>
      <c r="F610" s="35">
        <v>1274</v>
      </c>
      <c r="G610" s="35">
        <v>50</v>
      </c>
      <c r="H610" s="43">
        <v>600</v>
      </c>
      <c r="I610" s="35">
        <v>695</v>
      </c>
      <c r="J610" s="35">
        <v>50</v>
      </c>
      <c r="K610" s="36"/>
      <c r="L610" s="36"/>
      <c r="M610" s="36"/>
      <c r="N610" s="36"/>
      <c r="O610" s="36"/>
      <c r="P610" s="36"/>
      <c r="Q610" s="36"/>
      <c r="R610" s="36"/>
      <c r="S610" s="36"/>
      <c r="T610" s="36"/>
    </row>
    <row r="611" spans="1:20" ht="15.75">
      <c r="A611" s="13">
        <v>60114</v>
      </c>
      <c r="B611" s="44">
        <f t="shared" si="0"/>
        <v>31</v>
      </c>
      <c r="C611" s="35">
        <v>194.20500000000001</v>
      </c>
      <c r="D611" s="35">
        <v>267.46600000000001</v>
      </c>
      <c r="E611" s="41">
        <v>812.32899999999995</v>
      </c>
      <c r="F611" s="35">
        <v>1274</v>
      </c>
      <c r="G611" s="35">
        <v>50</v>
      </c>
      <c r="H611" s="43">
        <v>600</v>
      </c>
      <c r="I611" s="35">
        <v>695</v>
      </c>
      <c r="J611" s="35">
        <v>0</v>
      </c>
      <c r="K611" s="36"/>
      <c r="L611" s="36"/>
      <c r="M611" s="36"/>
      <c r="N611" s="36"/>
      <c r="O611" s="36"/>
      <c r="P611" s="36"/>
      <c r="Q611" s="36"/>
      <c r="R611" s="36"/>
      <c r="S611" s="36"/>
      <c r="T611" s="36"/>
    </row>
    <row r="612" spans="1:20" ht="15.75">
      <c r="A612" s="13">
        <v>60145</v>
      </c>
      <c r="B612" s="44">
        <f t="shared" si="0"/>
        <v>31</v>
      </c>
      <c r="C612" s="35">
        <v>194.20500000000001</v>
      </c>
      <c r="D612" s="35">
        <v>267.46600000000001</v>
      </c>
      <c r="E612" s="41">
        <v>812.32899999999995</v>
      </c>
      <c r="F612" s="35">
        <v>1274</v>
      </c>
      <c r="G612" s="35">
        <v>50</v>
      </c>
      <c r="H612" s="43">
        <v>600</v>
      </c>
      <c r="I612" s="35">
        <v>695</v>
      </c>
      <c r="J612" s="35">
        <v>0</v>
      </c>
      <c r="K612" s="36"/>
      <c r="L612" s="36"/>
      <c r="M612" s="36"/>
      <c r="N612" s="36"/>
      <c r="O612" s="36"/>
      <c r="P612" s="36"/>
      <c r="Q612" s="36"/>
      <c r="R612" s="36"/>
      <c r="S612" s="36"/>
      <c r="T612" s="36"/>
    </row>
    <row r="613" spans="1:20" ht="15.75">
      <c r="A613" s="13">
        <v>60175</v>
      </c>
      <c r="B613" s="44">
        <f t="shared" si="0"/>
        <v>30</v>
      </c>
      <c r="C613" s="35">
        <v>194.20500000000001</v>
      </c>
      <c r="D613" s="35">
        <v>267.46600000000001</v>
      </c>
      <c r="E613" s="41">
        <v>812.32899999999995</v>
      </c>
      <c r="F613" s="35">
        <v>1274</v>
      </c>
      <c r="G613" s="35">
        <v>50</v>
      </c>
      <c r="H613" s="43">
        <v>600</v>
      </c>
      <c r="I613" s="35">
        <v>695</v>
      </c>
      <c r="J613" s="35">
        <v>0</v>
      </c>
      <c r="K613" s="36"/>
      <c r="L613" s="36"/>
      <c r="M613" s="36"/>
      <c r="N613" s="36"/>
      <c r="O613" s="36"/>
      <c r="P613" s="36"/>
      <c r="Q613" s="36"/>
      <c r="R613" s="36"/>
      <c r="S613" s="36"/>
      <c r="T613" s="36"/>
    </row>
    <row r="614" spans="1:20" ht="15.75">
      <c r="A614" s="13">
        <v>60206</v>
      </c>
      <c r="B614" s="44">
        <f t="shared" si="0"/>
        <v>31</v>
      </c>
      <c r="C614" s="35">
        <v>131.881</v>
      </c>
      <c r="D614" s="35">
        <v>277.16699999999997</v>
      </c>
      <c r="E614" s="41">
        <v>829.952</v>
      </c>
      <c r="F614" s="35">
        <v>1239</v>
      </c>
      <c r="G614" s="35">
        <v>75</v>
      </c>
      <c r="H614" s="43">
        <v>600</v>
      </c>
      <c r="I614" s="35">
        <v>695</v>
      </c>
      <c r="J614" s="35">
        <v>0</v>
      </c>
      <c r="K614" s="36"/>
      <c r="L614" s="36"/>
      <c r="M614" s="36"/>
      <c r="N614" s="36"/>
      <c r="O614" s="36"/>
      <c r="P614" s="36"/>
      <c r="Q614" s="36"/>
      <c r="R614" s="36"/>
      <c r="S614" s="36"/>
      <c r="T614" s="36"/>
    </row>
    <row r="615" spans="1:20" ht="15.75">
      <c r="A615" s="13">
        <v>60236</v>
      </c>
      <c r="B615" s="44">
        <f t="shared" si="0"/>
        <v>30</v>
      </c>
      <c r="C615" s="35">
        <v>122.58</v>
      </c>
      <c r="D615" s="35">
        <v>297.94099999999997</v>
      </c>
      <c r="E615" s="41">
        <v>729.47900000000004</v>
      </c>
      <c r="F615" s="35">
        <v>1150</v>
      </c>
      <c r="G615" s="35">
        <v>100</v>
      </c>
      <c r="H615" s="43">
        <v>600</v>
      </c>
      <c r="I615" s="35">
        <v>695</v>
      </c>
      <c r="J615" s="35">
        <v>50</v>
      </c>
      <c r="K615" s="36"/>
      <c r="L615" s="36"/>
      <c r="M615" s="36"/>
      <c r="N615" s="36"/>
      <c r="O615" s="36"/>
      <c r="P615" s="36"/>
      <c r="Q615" s="36"/>
      <c r="R615" s="36"/>
      <c r="S615" s="36"/>
      <c r="T615" s="36"/>
    </row>
    <row r="616" spans="1:20" ht="15.75">
      <c r="A616" s="13">
        <v>60267</v>
      </c>
      <c r="B616" s="44">
        <f t="shared" si="0"/>
        <v>31</v>
      </c>
      <c r="C616" s="35">
        <v>122.58</v>
      </c>
      <c r="D616" s="35">
        <v>297.94099999999997</v>
      </c>
      <c r="E616" s="41">
        <v>729.47900000000004</v>
      </c>
      <c r="F616" s="35">
        <v>1150</v>
      </c>
      <c r="G616" s="35">
        <v>100</v>
      </c>
      <c r="H616" s="43">
        <v>600</v>
      </c>
      <c r="I616" s="35">
        <v>695</v>
      </c>
      <c r="J616" s="35">
        <v>50</v>
      </c>
      <c r="K616" s="36"/>
      <c r="L616" s="36"/>
      <c r="M616" s="36"/>
      <c r="N616" s="36"/>
      <c r="O616" s="36"/>
      <c r="P616" s="36"/>
      <c r="Q616" s="36"/>
      <c r="R616" s="36"/>
      <c r="S616" s="36"/>
      <c r="T616" s="36"/>
    </row>
    <row r="617" spans="1:20" ht="15.75">
      <c r="A617" s="13">
        <v>60298</v>
      </c>
      <c r="B617" s="44">
        <f t="shared" si="0"/>
        <v>31</v>
      </c>
      <c r="C617" s="35">
        <v>122.58</v>
      </c>
      <c r="D617" s="35">
        <v>297.94099999999997</v>
      </c>
      <c r="E617" s="41">
        <v>729.47900000000004</v>
      </c>
      <c r="F617" s="35">
        <v>1150</v>
      </c>
      <c r="G617" s="35">
        <v>100</v>
      </c>
      <c r="H617" s="43">
        <v>600</v>
      </c>
      <c r="I617" s="35">
        <v>695</v>
      </c>
      <c r="J617" s="35">
        <v>50</v>
      </c>
      <c r="K617" s="36"/>
      <c r="L617" s="36"/>
      <c r="M617" s="36"/>
      <c r="N617" s="36"/>
      <c r="O617" s="36"/>
      <c r="P617" s="36"/>
      <c r="Q617" s="36"/>
      <c r="R617" s="36"/>
      <c r="S617" s="36"/>
      <c r="T617" s="36"/>
    </row>
    <row r="618" spans="1:20" ht="15.75">
      <c r="A618" s="13">
        <v>60326</v>
      </c>
      <c r="B618" s="44">
        <f t="shared" si="0"/>
        <v>28</v>
      </c>
      <c r="C618" s="35">
        <v>122.58</v>
      </c>
      <c r="D618" s="35">
        <v>297.94099999999997</v>
      </c>
      <c r="E618" s="41">
        <v>729.47900000000004</v>
      </c>
      <c r="F618" s="35">
        <v>1150</v>
      </c>
      <c r="G618" s="35">
        <v>100</v>
      </c>
      <c r="H618" s="43">
        <v>600</v>
      </c>
      <c r="I618" s="35">
        <v>695</v>
      </c>
      <c r="J618" s="35">
        <v>50</v>
      </c>
      <c r="K618" s="36"/>
      <c r="L618" s="36"/>
      <c r="M618" s="36"/>
      <c r="N618" s="36"/>
      <c r="O618" s="36"/>
      <c r="P618" s="36"/>
      <c r="Q618" s="36"/>
      <c r="R618" s="36"/>
      <c r="S618" s="36"/>
      <c r="T618" s="36"/>
    </row>
    <row r="619" spans="1:20" ht="15.75">
      <c r="A619" s="13">
        <v>60357</v>
      </c>
      <c r="B619" s="44">
        <f t="shared" si="0"/>
        <v>31</v>
      </c>
      <c r="C619" s="35">
        <v>122.58</v>
      </c>
      <c r="D619" s="35">
        <v>297.94099999999997</v>
      </c>
      <c r="E619" s="41">
        <v>729.47900000000004</v>
      </c>
      <c r="F619" s="35">
        <v>1150</v>
      </c>
      <c r="G619" s="35">
        <v>100</v>
      </c>
      <c r="H619" s="43">
        <v>600</v>
      </c>
      <c r="I619" s="35">
        <v>695</v>
      </c>
      <c r="J619" s="35">
        <v>50</v>
      </c>
      <c r="K619" s="36"/>
      <c r="L619" s="36"/>
      <c r="M619" s="36"/>
      <c r="N619" s="36"/>
      <c r="O619" s="36"/>
      <c r="P619" s="36"/>
      <c r="Q619" s="36"/>
      <c r="R619" s="36"/>
      <c r="S619" s="36"/>
      <c r="T619" s="36"/>
    </row>
    <row r="620" spans="1:20" ht="15.75">
      <c r="A620" s="13">
        <v>60387</v>
      </c>
      <c r="B620" s="44">
        <f t="shared" si="0"/>
        <v>30</v>
      </c>
      <c r="C620" s="35">
        <v>141.29300000000001</v>
      </c>
      <c r="D620" s="35">
        <v>267.99299999999999</v>
      </c>
      <c r="E620" s="41">
        <v>829.71400000000006</v>
      </c>
      <c r="F620" s="35">
        <v>1239</v>
      </c>
      <c r="G620" s="35">
        <v>100</v>
      </c>
      <c r="H620" s="43">
        <v>600</v>
      </c>
      <c r="I620" s="35">
        <v>695</v>
      </c>
      <c r="J620" s="35">
        <v>50</v>
      </c>
      <c r="K620" s="36"/>
      <c r="L620" s="36"/>
      <c r="M620" s="36"/>
      <c r="N620" s="36"/>
      <c r="O620" s="36"/>
      <c r="P620" s="36"/>
      <c r="Q620" s="36"/>
      <c r="R620" s="36"/>
      <c r="S620" s="36"/>
      <c r="T620" s="36"/>
    </row>
    <row r="621" spans="1:20" ht="15.75">
      <c r="A621" s="13">
        <v>60418</v>
      </c>
      <c r="B621" s="44">
        <f t="shared" si="0"/>
        <v>31</v>
      </c>
      <c r="C621" s="35">
        <v>194.20500000000001</v>
      </c>
      <c r="D621" s="35">
        <v>267.46600000000001</v>
      </c>
      <c r="E621" s="41">
        <v>812.32899999999995</v>
      </c>
      <c r="F621" s="35">
        <v>1274</v>
      </c>
      <c r="G621" s="35">
        <v>75</v>
      </c>
      <c r="H621" s="43">
        <v>600</v>
      </c>
      <c r="I621" s="35">
        <v>695</v>
      </c>
      <c r="J621" s="35">
        <v>50</v>
      </c>
      <c r="K621" s="36"/>
      <c r="L621" s="36"/>
      <c r="M621" s="36"/>
      <c r="N621" s="36"/>
      <c r="O621" s="36"/>
      <c r="P621" s="36"/>
      <c r="Q621" s="36"/>
      <c r="R621" s="36"/>
      <c r="S621" s="36"/>
      <c r="T621" s="36"/>
    </row>
    <row r="622" spans="1:20" ht="15.75">
      <c r="A622" s="13">
        <v>60448</v>
      </c>
      <c r="B622" s="44">
        <f t="shared" si="0"/>
        <v>30</v>
      </c>
      <c r="C622" s="35">
        <v>194.20500000000001</v>
      </c>
      <c r="D622" s="35">
        <v>267.46600000000001</v>
      </c>
      <c r="E622" s="41">
        <v>812.32899999999995</v>
      </c>
      <c r="F622" s="35">
        <v>1274</v>
      </c>
      <c r="G622" s="35">
        <v>50</v>
      </c>
      <c r="H622" s="43">
        <v>600</v>
      </c>
      <c r="I622" s="35">
        <v>695</v>
      </c>
      <c r="J622" s="35">
        <v>50</v>
      </c>
      <c r="K622" s="36"/>
      <c r="L622" s="36"/>
      <c r="M622" s="36"/>
      <c r="N622" s="36"/>
      <c r="O622" s="36"/>
      <c r="P622" s="36"/>
      <c r="Q622" s="36"/>
      <c r="R622" s="36"/>
      <c r="S622" s="36"/>
      <c r="T622" s="36"/>
    </row>
    <row r="623" spans="1:20" ht="15.75">
      <c r="A623" s="13">
        <v>60479</v>
      </c>
      <c r="B623" s="44">
        <f t="shared" si="0"/>
        <v>31</v>
      </c>
      <c r="C623" s="35">
        <v>194.20500000000001</v>
      </c>
      <c r="D623" s="35">
        <v>267.46600000000001</v>
      </c>
      <c r="E623" s="41">
        <v>812.32899999999995</v>
      </c>
      <c r="F623" s="35">
        <v>1274</v>
      </c>
      <c r="G623" s="35">
        <v>50</v>
      </c>
      <c r="H623" s="43">
        <v>600</v>
      </c>
      <c r="I623" s="35">
        <v>695</v>
      </c>
      <c r="J623" s="35">
        <v>0</v>
      </c>
      <c r="K623" s="36"/>
      <c r="L623" s="36"/>
      <c r="M623" s="36"/>
      <c r="N623" s="36"/>
      <c r="O623" s="36"/>
      <c r="P623" s="36"/>
      <c r="Q623" s="36"/>
      <c r="R623" s="36"/>
      <c r="S623" s="36"/>
      <c r="T623" s="36"/>
    </row>
    <row r="624" spans="1:20" ht="15.75">
      <c r="A624" s="13">
        <v>60510</v>
      </c>
      <c r="B624" s="44">
        <f t="shared" si="0"/>
        <v>31</v>
      </c>
      <c r="C624" s="35">
        <v>194.20500000000001</v>
      </c>
      <c r="D624" s="35">
        <v>267.46600000000001</v>
      </c>
      <c r="E624" s="41">
        <v>812.32899999999995</v>
      </c>
      <c r="F624" s="35">
        <v>1274</v>
      </c>
      <c r="G624" s="35">
        <v>50</v>
      </c>
      <c r="H624" s="43">
        <v>600</v>
      </c>
      <c r="I624" s="35">
        <v>695</v>
      </c>
      <c r="J624" s="35">
        <v>0</v>
      </c>
      <c r="K624" s="36"/>
      <c r="L624" s="36"/>
      <c r="M624" s="36"/>
      <c r="N624" s="36"/>
      <c r="O624" s="36"/>
      <c r="P624" s="36"/>
      <c r="Q624" s="36"/>
      <c r="R624" s="36"/>
      <c r="S624" s="36"/>
      <c r="T624" s="36"/>
    </row>
    <row r="625" spans="1:20" ht="15.75">
      <c r="A625" s="13">
        <v>60540</v>
      </c>
      <c r="B625" s="44">
        <f t="shared" si="0"/>
        <v>30</v>
      </c>
      <c r="C625" s="35">
        <v>194.20500000000001</v>
      </c>
      <c r="D625" s="35">
        <v>267.46600000000001</v>
      </c>
      <c r="E625" s="41">
        <v>812.32899999999995</v>
      </c>
      <c r="F625" s="35">
        <v>1274</v>
      </c>
      <c r="G625" s="35">
        <v>50</v>
      </c>
      <c r="H625" s="43">
        <v>600</v>
      </c>
      <c r="I625" s="35">
        <v>695</v>
      </c>
      <c r="J625" s="35">
        <v>0</v>
      </c>
      <c r="K625" s="36"/>
      <c r="L625" s="36"/>
      <c r="M625" s="36"/>
      <c r="N625" s="36"/>
      <c r="O625" s="36"/>
      <c r="P625" s="36"/>
      <c r="Q625" s="36"/>
      <c r="R625" s="36"/>
      <c r="S625" s="36"/>
      <c r="T625" s="36"/>
    </row>
    <row r="626" spans="1:20" ht="15.75">
      <c r="A626" s="13">
        <v>60571</v>
      </c>
      <c r="B626" s="44">
        <f t="shared" si="0"/>
        <v>31</v>
      </c>
      <c r="C626" s="35">
        <v>131.881</v>
      </c>
      <c r="D626" s="35">
        <v>277.16699999999997</v>
      </c>
      <c r="E626" s="41">
        <v>829.952</v>
      </c>
      <c r="F626" s="35">
        <v>1239</v>
      </c>
      <c r="G626" s="35">
        <v>75</v>
      </c>
      <c r="H626" s="43">
        <v>600</v>
      </c>
      <c r="I626" s="35">
        <v>695</v>
      </c>
      <c r="J626" s="35">
        <v>0</v>
      </c>
      <c r="K626" s="36"/>
      <c r="L626" s="36"/>
      <c r="M626" s="36"/>
      <c r="N626" s="36"/>
      <c r="O626" s="36"/>
      <c r="P626" s="36"/>
      <c r="Q626" s="36"/>
      <c r="R626" s="36"/>
      <c r="S626" s="36"/>
      <c r="T626" s="36"/>
    </row>
    <row r="627" spans="1:20" ht="15.75">
      <c r="A627" s="13">
        <v>60601</v>
      </c>
      <c r="B627" s="44">
        <f t="shared" si="0"/>
        <v>30</v>
      </c>
      <c r="C627" s="35">
        <v>122.58</v>
      </c>
      <c r="D627" s="35">
        <v>297.94099999999997</v>
      </c>
      <c r="E627" s="41">
        <v>729.47900000000004</v>
      </c>
      <c r="F627" s="35">
        <v>1150</v>
      </c>
      <c r="G627" s="35">
        <v>100</v>
      </c>
      <c r="H627" s="43">
        <v>600</v>
      </c>
      <c r="I627" s="35">
        <v>695</v>
      </c>
      <c r="J627" s="35">
        <v>50</v>
      </c>
      <c r="K627" s="36"/>
      <c r="L627" s="36"/>
      <c r="M627" s="36"/>
      <c r="N627" s="36"/>
      <c r="O627" s="36"/>
      <c r="P627" s="36"/>
      <c r="Q627" s="36"/>
      <c r="R627" s="36"/>
      <c r="S627" s="36"/>
      <c r="T627" s="36"/>
    </row>
    <row r="628" spans="1:20" ht="15.75">
      <c r="A628" s="13">
        <v>60632</v>
      </c>
      <c r="B628" s="44">
        <f t="shared" si="0"/>
        <v>31</v>
      </c>
      <c r="C628" s="35">
        <v>122.58</v>
      </c>
      <c r="D628" s="35">
        <v>297.94099999999997</v>
      </c>
      <c r="E628" s="41">
        <v>729.47900000000004</v>
      </c>
      <c r="F628" s="35">
        <v>1150</v>
      </c>
      <c r="G628" s="35">
        <v>100</v>
      </c>
      <c r="H628" s="43">
        <v>600</v>
      </c>
      <c r="I628" s="35">
        <v>695</v>
      </c>
      <c r="J628" s="35">
        <v>50</v>
      </c>
      <c r="K628" s="36"/>
      <c r="L628" s="36"/>
      <c r="M628" s="36"/>
      <c r="N628" s="36"/>
      <c r="O628" s="36"/>
      <c r="P628" s="36"/>
      <c r="Q628" s="36"/>
      <c r="R628" s="36"/>
      <c r="S628" s="36"/>
      <c r="T628" s="36"/>
    </row>
    <row r="629" spans="1:20" ht="15.75">
      <c r="A629" s="13">
        <v>60663</v>
      </c>
      <c r="B629" s="44">
        <f t="shared" si="0"/>
        <v>31</v>
      </c>
      <c r="C629" s="35">
        <v>122.58</v>
      </c>
      <c r="D629" s="35">
        <v>297.94099999999997</v>
      </c>
      <c r="E629" s="41">
        <v>729.47900000000004</v>
      </c>
      <c r="F629" s="35">
        <v>1150</v>
      </c>
      <c r="G629" s="35">
        <v>100</v>
      </c>
      <c r="H629" s="43">
        <v>600</v>
      </c>
      <c r="I629" s="35">
        <v>695</v>
      </c>
      <c r="J629" s="35">
        <v>50</v>
      </c>
      <c r="K629" s="36"/>
      <c r="L629" s="36"/>
      <c r="M629" s="36"/>
      <c r="N629" s="36"/>
      <c r="O629" s="36"/>
      <c r="P629" s="36"/>
      <c r="Q629" s="36"/>
      <c r="R629" s="36"/>
      <c r="S629" s="36"/>
      <c r="T629" s="36"/>
    </row>
    <row r="630" spans="1:20" ht="15.75">
      <c r="A630" s="13">
        <v>60691</v>
      </c>
      <c r="B630" s="44">
        <f t="shared" si="0"/>
        <v>28</v>
      </c>
      <c r="C630" s="35">
        <v>122.58</v>
      </c>
      <c r="D630" s="35">
        <v>297.94099999999997</v>
      </c>
      <c r="E630" s="41">
        <v>729.47900000000004</v>
      </c>
      <c r="F630" s="35">
        <v>1150</v>
      </c>
      <c r="G630" s="35">
        <v>100</v>
      </c>
      <c r="H630" s="43">
        <v>600</v>
      </c>
      <c r="I630" s="35">
        <v>695</v>
      </c>
      <c r="J630" s="35">
        <v>50</v>
      </c>
      <c r="K630" s="36"/>
      <c r="L630" s="36"/>
      <c r="M630" s="36"/>
      <c r="N630" s="36"/>
      <c r="O630" s="36"/>
      <c r="P630" s="36"/>
      <c r="Q630" s="36"/>
      <c r="R630" s="36"/>
      <c r="S630" s="36"/>
      <c r="T630" s="36"/>
    </row>
    <row r="631" spans="1:20" ht="15.75">
      <c r="A631" s="13">
        <v>60722</v>
      </c>
      <c r="B631" s="44">
        <f t="shared" si="0"/>
        <v>31</v>
      </c>
      <c r="C631" s="35">
        <v>122.58</v>
      </c>
      <c r="D631" s="35">
        <v>297.94099999999997</v>
      </c>
      <c r="E631" s="41">
        <v>729.47900000000004</v>
      </c>
      <c r="F631" s="35">
        <v>1150</v>
      </c>
      <c r="G631" s="35">
        <v>100</v>
      </c>
      <c r="H631" s="43">
        <v>600</v>
      </c>
      <c r="I631" s="35">
        <v>695</v>
      </c>
      <c r="J631" s="35">
        <v>50</v>
      </c>
      <c r="K631" s="36"/>
      <c r="L631" s="36"/>
      <c r="M631" s="36"/>
      <c r="N631" s="36"/>
      <c r="O631" s="36"/>
      <c r="P631" s="36"/>
      <c r="Q631" s="36"/>
      <c r="R631" s="36"/>
      <c r="S631" s="36"/>
      <c r="T631" s="36"/>
    </row>
    <row r="632" spans="1:20" ht="15.75">
      <c r="A632" s="13">
        <v>60752</v>
      </c>
      <c r="B632" s="44">
        <f t="shared" si="0"/>
        <v>30</v>
      </c>
      <c r="C632" s="35">
        <v>141.29300000000001</v>
      </c>
      <c r="D632" s="35">
        <v>267.99299999999999</v>
      </c>
      <c r="E632" s="41">
        <v>829.71400000000006</v>
      </c>
      <c r="F632" s="35">
        <v>1239</v>
      </c>
      <c r="G632" s="35">
        <v>100</v>
      </c>
      <c r="H632" s="43">
        <v>600</v>
      </c>
      <c r="I632" s="35">
        <v>695</v>
      </c>
      <c r="J632" s="35">
        <v>50</v>
      </c>
      <c r="K632" s="36"/>
      <c r="L632" s="36"/>
      <c r="M632" s="36"/>
      <c r="N632" s="36"/>
      <c r="O632" s="36"/>
      <c r="P632" s="36"/>
      <c r="Q632" s="36"/>
      <c r="R632" s="36"/>
      <c r="S632" s="36"/>
      <c r="T632" s="36"/>
    </row>
    <row r="633" spans="1:20" ht="15.75">
      <c r="A633" s="13">
        <v>60783</v>
      </c>
      <c r="B633" s="44">
        <f t="shared" si="0"/>
        <v>31</v>
      </c>
      <c r="C633" s="35">
        <v>194.20500000000001</v>
      </c>
      <c r="D633" s="35">
        <v>267.46600000000001</v>
      </c>
      <c r="E633" s="41">
        <v>812.32899999999995</v>
      </c>
      <c r="F633" s="35">
        <v>1274</v>
      </c>
      <c r="G633" s="35">
        <v>75</v>
      </c>
      <c r="H633" s="43">
        <v>600</v>
      </c>
      <c r="I633" s="35">
        <v>695</v>
      </c>
      <c r="J633" s="35">
        <v>50</v>
      </c>
      <c r="K633" s="36"/>
      <c r="L633" s="36"/>
      <c r="M633" s="36"/>
      <c r="N633" s="36"/>
      <c r="O633" s="36"/>
      <c r="P633" s="36"/>
      <c r="Q633" s="36"/>
      <c r="R633" s="36"/>
      <c r="S633" s="36"/>
      <c r="T633" s="36"/>
    </row>
    <row r="634" spans="1:20" ht="15.75">
      <c r="A634" s="13">
        <v>60813</v>
      </c>
      <c r="B634" s="44">
        <f t="shared" si="0"/>
        <v>30</v>
      </c>
      <c r="C634" s="35">
        <v>194.20500000000001</v>
      </c>
      <c r="D634" s="35">
        <v>267.46600000000001</v>
      </c>
      <c r="E634" s="41">
        <v>812.32899999999995</v>
      </c>
      <c r="F634" s="35">
        <v>1274</v>
      </c>
      <c r="G634" s="35">
        <v>50</v>
      </c>
      <c r="H634" s="43">
        <v>600</v>
      </c>
      <c r="I634" s="35">
        <v>695</v>
      </c>
      <c r="J634" s="35">
        <v>50</v>
      </c>
      <c r="K634" s="36"/>
      <c r="L634" s="36"/>
      <c r="M634" s="36"/>
      <c r="N634" s="36"/>
      <c r="O634" s="36"/>
      <c r="P634" s="36"/>
      <c r="Q634" s="36"/>
      <c r="R634" s="36"/>
      <c r="S634" s="36"/>
      <c r="T634" s="36"/>
    </row>
    <row r="635" spans="1:20" ht="15.75">
      <c r="A635" s="13">
        <v>60844</v>
      </c>
      <c r="B635" s="44">
        <f t="shared" si="0"/>
        <v>31</v>
      </c>
      <c r="C635" s="35">
        <v>194.20500000000001</v>
      </c>
      <c r="D635" s="35">
        <v>267.46600000000001</v>
      </c>
      <c r="E635" s="41">
        <v>812.32899999999995</v>
      </c>
      <c r="F635" s="35">
        <v>1274</v>
      </c>
      <c r="G635" s="35">
        <v>50</v>
      </c>
      <c r="H635" s="43">
        <v>600</v>
      </c>
      <c r="I635" s="35">
        <v>695</v>
      </c>
      <c r="J635" s="35">
        <v>0</v>
      </c>
      <c r="K635" s="36"/>
      <c r="L635" s="36"/>
      <c r="M635" s="36"/>
      <c r="N635" s="36"/>
      <c r="O635" s="36"/>
      <c r="P635" s="36"/>
      <c r="Q635" s="36"/>
      <c r="R635" s="36"/>
      <c r="S635" s="36"/>
      <c r="T635" s="36"/>
    </row>
    <row r="636" spans="1:20" ht="15.75">
      <c r="A636" s="13">
        <v>60875</v>
      </c>
      <c r="B636" s="44">
        <f t="shared" si="0"/>
        <v>31</v>
      </c>
      <c r="C636" s="35">
        <v>194.20500000000001</v>
      </c>
      <c r="D636" s="35">
        <v>267.46600000000001</v>
      </c>
      <c r="E636" s="41">
        <v>812.32899999999995</v>
      </c>
      <c r="F636" s="35">
        <v>1274</v>
      </c>
      <c r="G636" s="35">
        <v>50</v>
      </c>
      <c r="H636" s="43">
        <v>600</v>
      </c>
      <c r="I636" s="35">
        <v>695</v>
      </c>
      <c r="J636" s="35">
        <v>0</v>
      </c>
      <c r="K636" s="36"/>
      <c r="L636" s="36"/>
      <c r="M636" s="36"/>
      <c r="N636" s="36"/>
      <c r="O636" s="36"/>
      <c r="P636" s="36"/>
      <c r="Q636" s="36"/>
      <c r="R636" s="36"/>
      <c r="S636" s="36"/>
      <c r="T636" s="36"/>
    </row>
    <row r="637" spans="1:20" ht="15.75">
      <c r="A637" s="13">
        <v>60905</v>
      </c>
      <c r="B637" s="44">
        <f t="shared" si="0"/>
        <v>30</v>
      </c>
      <c r="C637" s="35">
        <v>194.20500000000001</v>
      </c>
      <c r="D637" s="35">
        <v>267.46600000000001</v>
      </c>
      <c r="E637" s="41">
        <v>812.32899999999995</v>
      </c>
      <c r="F637" s="35">
        <v>1274</v>
      </c>
      <c r="G637" s="35">
        <v>50</v>
      </c>
      <c r="H637" s="43">
        <v>600</v>
      </c>
      <c r="I637" s="35">
        <v>695</v>
      </c>
      <c r="J637" s="35">
        <v>0</v>
      </c>
      <c r="K637" s="36"/>
      <c r="L637" s="36"/>
      <c r="M637" s="36"/>
      <c r="N637" s="36"/>
      <c r="O637" s="36"/>
      <c r="P637" s="36"/>
      <c r="Q637" s="36"/>
      <c r="R637" s="36"/>
      <c r="S637" s="36"/>
      <c r="T637" s="36"/>
    </row>
    <row r="638" spans="1:20" ht="15.75">
      <c r="A638" s="13">
        <v>60936</v>
      </c>
      <c r="B638" s="44">
        <f t="shared" si="0"/>
        <v>31</v>
      </c>
      <c r="C638" s="35">
        <v>131.881</v>
      </c>
      <c r="D638" s="35">
        <v>277.16699999999997</v>
      </c>
      <c r="E638" s="41">
        <v>829.952</v>
      </c>
      <c r="F638" s="35">
        <v>1239</v>
      </c>
      <c r="G638" s="35">
        <v>75</v>
      </c>
      <c r="H638" s="43">
        <v>600</v>
      </c>
      <c r="I638" s="35">
        <v>695</v>
      </c>
      <c r="J638" s="35">
        <v>0</v>
      </c>
      <c r="K638" s="36"/>
      <c r="L638" s="36"/>
      <c r="M638" s="36"/>
      <c r="N638" s="36"/>
      <c r="O638" s="36"/>
      <c r="P638" s="36"/>
      <c r="Q638" s="36"/>
      <c r="R638" s="36"/>
      <c r="S638" s="36"/>
      <c r="T638" s="36"/>
    </row>
    <row r="639" spans="1:20" ht="15.75">
      <c r="A639" s="13">
        <v>60966</v>
      </c>
      <c r="B639" s="44">
        <f t="shared" si="0"/>
        <v>30</v>
      </c>
      <c r="C639" s="35">
        <v>122.58</v>
      </c>
      <c r="D639" s="35">
        <v>297.94099999999997</v>
      </c>
      <c r="E639" s="41">
        <v>729.47900000000004</v>
      </c>
      <c r="F639" s="35">
        <v>1150</v>
      </c>
      <c r="G639" s="35">
        <v>100</v>
      </c>
      <c r="H639" s="43">
        <v>600</v>
      </c>
      <c r="I639" s="35">
        <v>695</v>
      </c>
      <c r="J639" s="35">
        <v>50</v>
      </c>
      <c r="K639" s="36"/>
      <c r="L639" s="36"/>
      <c r="M639" s="36"/>
      <c r="N639" s="36"/>
      <c r="O639" s="36"/>
      <c r="P639" s="36"/>
      <c r="Q639" s="36"/>
      <c r="R639" s="36"/>
      <c r="S639" s="36"/>
      <c r="T639" s="36"/>
    </row>
    <row r="640" spans="1:20" ht="15.75">
      <c r="A640" s="13">
        <v>60997</v>
      </c>
      <c r="B640" s="44">
        <f t="shared" si="0"/>
        <v>31</v>
      </c>
      <c r="C640" s="35">
        <v>122.58</v>
      </c>
      <c r="D640" s="35">
        <v>297.94099999999997</v>
      </c>
      <c r="E640" s="41">
        <v>729.47900000000004</v>
      </c>
      <c r="F640" s="35">
        <v>1150</v>
      </c>
      <c r="G640" s="35">
        <v>100</v>
      </c>
      <c r="H640" s="43">
        <v>600</v>
      </c>
      <c r="I640" s="35">
        <v>695</v>
      </c>
      <c r="J640" s="35">
        <v>50</v>
      </c>
      <c r="K640" s="36"/>
      <c r="L640" s="36"/>
      <c r="M640" s="36"/>
      <c r="N640" s="36"/>
      <c r="O640" s="36"/>
      <c r="P640" s="36"/>
      <c r="Q640" s="36"/>
      <c r="R640" s="36"/>
      <c r="S640" s="36"/>
      <c r="T640" s="36"/>
    </row>
    <row r="641" spans="1:20" ht="15.75">
      <c r="A641" s="13">
        <v>61028</v>
      </c>
      <c r="B641" s="44">
        <f t="shared" si="0"/>
        <v>31</v>
      </c>
      <c r="C641" s="35">
        <v>122.58</v>
      </c>
      <c r="D641" s="35">
        <v>297.94099999999997</v>
      </c>
      <c r="E641" s="41">
        <v>729.47900000000004</v>
      </c>
      <c r="F641" s="35">
        <v>1150</v>
      </c>
      <c r="G641" s="35">
        <v>100</v>
      </c>
      <c r="H641" s="43">
        <v>600</v>
      </c>
      <c r="I641" s="35">
        <v>695</v>
      </c>
      <c r="J641" s="35">
        <v>50</v>
      </c>
      <c r="K641" s="36"/>
      <c r="L641" s="36"/>
      <c r="M641" s="36"/>
      <c r="N641" s="36"/>
      <c r="O641" s="36"/>
      <c r="P641" s="36"/>
      <c r="Q641" s="36"/>
      <c r="R641" s="36"/>
      <c r="S641" s="36"/>
      <c r="T641" s="36"/>
    </row>
    <row r="642" spans="1:20" ht="15.75">
      <c r="A642" s="13">
        <v>61056</v>
      </c>
      <c r="B642" s="44">
        <f t="shared" si="0"/>
        <v>28</v>
      </c>
      <c r="C642" s="35">
        <v>122.58</v>
      </c>
      <c r="D642" s="35">
        <v>297.94099999999997</v>
      </c>
      <c r="E642" s="41">
        <v>729.47900000000004</v>
      </c>
      <c r="F642" s="35">
        <v>1150</v>
      </c>
      <c r="G642" s="35">
        <v>100</v>
      </c>
      <c r="H642" s="43">
        <v>600</v>
      </c>
      <c r="I642" s="35">
        <v>695</v>
      </c>
      <c r="J642" s="35">
        <v>50</v>
      </c>
      <c r="K642" s="36"/>
      <c r="L642" s="36"/>
      <c r="M642" s="36"/>
      <c r="N642" s="36"/>
      <c r="O642" s="36"/>
      <c r="P642" s="36"/>
      <c r="Q642" s="36"/>
      <c r="R642" s="36"/>
      <c r="S642" s="36"/>
      <c r="T642" s="36"/>
    </row>
    <row r="643" spans="1:20" ht="15.75">
      <c r="A643" s="13">
        <v>61087</v>
      </c>
      <c r="B643" s="44">
        <f t="shared" si="0"/>
        <v>31</v>
      </c>
      <c r="C643" s="35">
        <v>122.58</v>
      </c>
      <c r="D643" s="35">
        <v>297.94099999999997</v>
      </c>
      <c r="E643" s="41">
        <v>729.47900000000004</v>
      </c>
      <c r="F643" s="35">
        <v>1150</v>
      </c>
      <c r="G643" s="35">
        <v>100</v>
      </c>
      <c r="H643" s="43">
        <v>600</v>
      </c>
      <c r="I643" s="35">
        <v>695</v>
      </c>
      <c r="J643" s="35">
        <v>50</v>
      </c>
      <c r="K643" s="36"/>
      <c r="L643" s="36"/>
      <c r="M643" s="36"/>
      <c r="N643" s="36"/>
      <c r="O643" s="36"/>
      <c r="P643" s="36"/>
      <c r="Q643" s="36"/>
      <c r="R643" s="36"/>
      <c r="S643" s="36"/>
      <c r="T643" s="36"/>
    </row>
    <row r="644" spans="1:20" ht="15.75">
      <c r="A644" s="13">
        <v>61117</v>
      </c>
      <c r="B644" s="44">
        <f t="shared" si="0"/>
        <v>30</v>
      </c>
      <c r="C644" s="35">
        <v>141.29300000000001</v>
      </c>
      <c r="D644" s="35">
        <v>267.99299999999999</v>
      </c>
      <c r="E644" s="41">
        <v>829.71400000000006</v>
      </c>
      <c r="F644" s="35">
        <v>1239</v>
      </c>
      <c r="G644" s="35">
        <v>100</v>
      </c>
      <c r="H644" s="43">
        <v>600</v>
      </c>
      <c r="I644" s="35">
        <v>695</v>
      </c>
      <c r="J644" s="35">
        <v>50</v>
      </c>
      <c r="K644" s="36"/>
      <c r="L644" s="36"/>
      <c r="M644" s="36"/>
      <c r="N644" s="36"/>
      <c r="O644" s="36"/>
      <c r="P644" s="36"/>
      <c r="Q644" s="36"/>
      <c r="R644" s="36"/>
      <c r="S644" s="36"/>
      <c r="T644" s="36"/>
    </row>
    <row r="645" spans="1:20" ht="15.75">
      <c r="A645" s="13">
        <v>61148</v>
      </c>
      <c r="B645" s="44">
        <f t="shared" ref="B645:B708" si="1">EOMONTH(A645,0)-EOMONTH(A645,-1)</f>
        <v>31</v>
      </c>
      <c r="C645" s="35">
        <v>194.20500000000001</v>
      </c>
      <c r="D645" s="35">
        <v>267.46600000000001</v>
      </c>
      <c r="E645" s="41">
        <v>812.32899999999995</v>
      </c>
      <c r="F645" s="35">
        <v>1274</v>
      </c>
      <c r="G645" s="35">
        <v>75</v>
      </c>
      <c r="H645" s="43">
        <v>600</v>
      </c>
      <c r="I645" s="35">
        <v>695</v>
      </c>
      <c r="J645" s="35">
        <v>50</v>
      </c>
      <c r="K645" s="36"/>
      <c r="L645" s="36"/>
      <c r="M645" s="36"/>
      <c r="N645" s="36"/>
      <c r="O645" s="36"/>
      <c r="P645" s="36"/>
      <c r="Q645" s="36"/>
      <c r="R645" s="36"/>
      <c r="S645" s="36"/>
      <c r="T645" s="36"/>
    </row>
    <row r="646" spans="1:20" ht="15.75">
      <c r="A646" s="13">
        <v>61178</v>
      </c>
      <c r="B646" s="44">
        <f t="shared" si="1"/>
        <v>30</v>
      </c>
      <c r="C646" s="35">
        <v>194.20500000000001</v>
      </c>
      <c r="D646" s="35">
        <v>267.46600000000001</v>
      </c>
      <c r="E646" s="41">
        <v>812.32899999999995</v>
      </c>
      <c r="F646" s="35">
        <v>1274</v>
      </c>
      <c r="G646" s="35">
        <v>50</v>
      </c>
      <c r="H646" s="43">
        <v>600</v>
      </c>
      <c r="I646" s="35">
        <v>695</v>
      </c>
      <c r="J646" s="35">
        <v>50</v>
      </c>
      <c r="K646" s="36"/>
      <c r="L646" s="36"/>
      <c r="M646" s="36"/>
      <c r="N646" s="36"/>
      <c r="O646" s="36"/>
      <c r="P646" s="36"/>
      <c r="Q646" s="36"/>
      <c r="R646" s="36"/>
      <c r="S646" s="36"/>
      <c r="T646" s="36"/>
    </row>
    <row r="647" spans="1:20" ht="15.75">
      <c r="A647" s="13">
        <v>61209</v>
      </c>
      <c r="B647" s="44">
        <f t="shared" si="1"/>
        <v>31</v>
      </c>
      <c r="C647" s="35">
        <v>194.20500000000001</v>
      </c>
      <c r="D647" s="35">
        <v>267.46600000000001</v>
      </c>
      <c r="E647" s="41">
        <v>812.32899999999995</v>
      </c>
      <c r="F647" s="35">
        <v>1274</v>
      </c>
      <c r="G647" s="35">
        <v>50</v>
      </c>
      <c r="H647" s="43">
        <v>600</v>
      </c>
      <c r="I647" s="35">
        <v>695</v>
      </c>
      <c r="J647" s="35">
        <v>0</v>
      </c>
      <c r="K647" s="36"/>
      <c r="L647" s="36"/>
      <c r="M647" s="36"/>
      <c r="N647" s="36"/>
      <c r="O647" s="36"/>
      <c r="P647" s="36"/>
      <c r="Q647" s="36"/>
      <c r="R647" s="36"/>
      <c r="S647" s="36"/>
      <c r="T647" s="36"/>
    </row>
    <row r="648" spans="1:20" ht="15.75">
      <c r="A648" s="13">
        <v>61240</v>
      </c>
      <c r="B648" s="44">
        <f t="shared" si="1"/>
        <v>31</v>
      </c>
      <c r="C648" s="35">
        <v>194.20500000000001</v>
      </c>
      <c r="D648" s="35">
        <v>267.46600000000001</v>
      </c>
      <c r="E648" s="41">
        <v>812.32899999999995</v>
      </c>
      <c r="F648" s="35">
        <v>1274</v>
      </c>
      <c r="G648" s="35">
        <v>50</v>
      </c>
      <c r="H648" s="43">
        <v>600</v>
      </c>
      <c r="I648" s="35">
        <v>695</v>
      </c>
      <c r="J648" s="35">
        <v>0</v>
      </c>
      <c r="K648" s="36"/>
      <c r="L648" s="36"/>
      <c r="M648" s="36"/>
      <c r="N648" s="36"/>
      <c r="O648" s="36"/>
      <c r="P648" s="36"/>
      <c r="Q648" s="36"/>
      <c r="R648" s="36"/>
      <c r="S648" s="36"/>
      <c r="T648" s="36"/>
    </row>
    <row r="649" spans="1:20" ht="15.75">
      <c r="A649" s="13">
        <v>61270</v>
      </c>
      <c r="B649" s="44">
        <f t="shared" si="1"/>
        <v>30</v>
      </c>
      <c r="C649" s="35">
        <v>194.20500000000001</v>
      </c>
      <c r="D649" s="35">
        <v>267.46600000000001</v>
      </c>
      <c r="E649" s="41">
        <v>812.32899999999995</v>
      </c>
      <c r="F649" s="35">
        <v>1274</v>
      </c>
      <c r="G649" s="35">
        <v>50</v>
      </c>
      <c r="H649" s="43">
        <v>600</v>
      </c>
      <c r="I649" s="35">
        <v>695</v>
      </c>
      <c r="J649" s="35">
        <v>0</v>
      </c>
      <c r="K649" s="36"/>
      <c r="L649" s="36"/>
      <c r="M649" s="36"/>
      <c r="N649" s="36"/>
      <c r="O649" s="36"/>
      <c r="P649" s="36"/>
      <c r="Q649" s="36"/>
      <c r="R649" s="36"/>
      <c r="S649" s="36"/>
      <c r="T649" s="36"/>
    </row>
    <row r="650" spans="1:20" ht="15.75">
      <c r="A650" s="13">
        <v>61301</v>
      </c>
      <c r="B650" s="44">
        <f t="shared" si="1"/>
        <v>31</v>
      </c>
      <c r="C650" s="35">
        <v>131.881</v>
      </c>
      <c r="D650" s="35">
        <v>277.16699999999997</v>
      </c>
      <c r="E650" s="41">
        <v>829.952</v>
      </c>
      <c r="F650" s="35">
        <v>1239</v>
      </c>
      <c r="G650" s="35">
        <v>75</v>
      </c>
      <c r="H650" s="43">
        <v>600</v>
      </c>
      <c r="I650" s="35">
        <v>695</v>
      </c>
      <c r="J650" s="35">
        <v>0</v>
      </c>
      <c r="K650" s="36"/>
      <c r="L650" s="36"/>
      <c r="M650" s="36"/>
      <c r="N650" s="36"/>
      <c r="O650" s="36"/>
      <c r="P650" s="36"/>
      <c r="Q650" s="36"/>
      <c r="R650" s="36"/>
      <c r="S650" s="36"/>
      <c r="T650" s="36"/>
    </row>
    <row r="651" spans="1:20" ht="15.75">
      <c r="A651" s="13">
        <v>61331</v>
      </c>
      <c r="B651" s="44">
        <f t="shared" si="1"/>
        <v>30</v>
      </c>
      <c r="C651" s="35">
        <v>122.58</v>
      </c>
      <c r="D651" s="35">
        <v>297.94099999999997</v>
      </c>
      <c r="E651" s="41">
        <v>729.47900000000004</v>
      </c>
      <c r="F651" s="35">
        <v>1150</v>
      </c>
      <c r="G651" s="35">
        <v>100</v>
      </c>
      <c r="H651" s="43">
        <v>600</v>
      </c>
      <c r="I651" s="35">
        <v>695</v>
      </c>
      <c r="J651" s="35">
        <v>50</v>
      </c>
      <c r="K651" s="36"/>
      <c r="L651" s="36"/>
      <c r="M651" s="36"/>
      <c r="N651" s="36"/>
      <c r="O651" s="36"/>
      <c r="P651" s="36"/>
      <c r="Q651" s="36"/>
      <c r="R651" s="36"/>
      <c r="S651" s="36"/>
      <c r="T651" s="36"/>
    </row>
    <row r="652" spans="1:20" ht="15.75">
      <c r="A652" s="13">
        <v>61362</v>
      </c>
      <c r="B652" s="44">
        <f t="shared" si="1"/>
        <v>31</v>
      </c>
      <c r="C652" s="35">
        <v>122.58</v>
      </c>
      <c r="D652" s="35">
        <v>297.94099999999997</v>
      </c>
      <c r="E652" s="41">
        <v>729.47900000000004</v>
      </c>
      <c r="F652" s="35">
        <v>1150</v>
      </c>
      <c r="G652" s="35">
        <v>100</v>
      </c>
      <c r="H652" s="43">
        <v>600</v>
      </c>
      <c r="I652" s="35">
        <v>695</v>
      </c>
      <c r="J652" s="35">
        <v>50</v>
      </c>
      <c r="K652" s="36"/>
      <c r="L652" s="36"/>
      <c r="M652" s="36"/>
      <c r="N652" s="36"/>
      <c r="O652" s="36"/>
      <c r="P652" s="36"/>
      <c r="Q652" s="36"/>
      <c r="R652" s="36"/>
      <c r="S652" s="36"/>
      <c r="T652" s="36"/>
    </row>
    <row r="653" spans="1:20" ht="15.75">
      <c r="A653" s="13">
        <v>61393</v>
      </c>
      <c r="B653" s="44">
        <f t="shared" si="1"/>
        <v>31</v>
      </c>
      <c r="C653" s="35">
        <v>122.58</v>
      </c>
      <c r="D653" s="35">
        <v>297.94099999999997</v>
      </c>
      <c r="E653" s="41">
        <v>729.47900000000004</v>
      </c>
      <c r="F653" s="35">
        <v>1150</v>
      </c>
      <c r="G653" s="35">
        <v>100</v>
      </c>
      <c r="H653" s="43">
        <v>600</v>
      </c>
      <c r="I653" s="35">
        <v>695</v>
      </c>
      <c r="J653" s="35">
        <v>50</v>
      </c>
      <c r="K653" s="36"/>
      <c r="L653" s="36"/>
      <c r="M653" s="36"/>
      <c r="N653" s="36"/>
      <c r="O653" s="36"/>
      <c r="P653" s="36"/>
      <c r="Q653" s="36"/>
      <c r="R653" s="36"/>
      <c r="S653" s="36"/>
      <c r="T653" s="36"/>
    </row>
    <row r="654" spans="1:20" ht="15.75">
      <c r="A654" s="13">
        <v>61422</v>
      </c>
      <c r="B654" s="44">
        <f t="shared" si="1"/>
        <v>29</v>
      </c>
      <c r="C654" s="35">
        <v>122.58</v>
      </c>
      <c r="D654" s="35">
        <v>297.94099999999997</v>
      </c>
      <c r="E654" s="41">
        <v>729.47900000000004</v>
      </c>
      <c r="F654" s="35">
        <v>1150</v>
      </c>
      <c r="G654" s="35">
        <v>100</v>
      </c>
      <c r="H654" s="43">
        <v>600</v>
      </c>
      <c r="I654" s="35">
        <v>695</v>
      </c>
      <c r="J654" s="35">
        <v>50</v>
      </c>
      <c r="K654" s="36"/>
      <c r="L654" s="36"/>
      <c r="M654" s="36"/>
      <c r="N654" s="36"/>
      <c r="O654" s="36"/>
      <c r="P654" s="36"/>
      <c r="Q654" s="36"/>
      <c r="R654" s="36"/>
      <c r="S654" s="36"/>
      <c r="T654" s="36"/>
    </row>
    <row r="655" spans="1:20" ht="15.75">
      <c r="A655" s="13">
        <v>61453</v>
      </c>
      <c r="B655" s="44">
        <f t="shared" si="1"/>
        <v>31</v>
      </c>
      <c r="C655" s="35">
        <v>122.58</v>
      </c>
      <c r="D655" s="35">
        <v>297.94099999999997</v>
      </c>
      <c r="E655" s="41">
        <v>729.47900000000004</v>
      </c>
      <c r="F655" s="35">
        <v>1150</v>
      </c>
      <c r="G655" s="35">
        <v>100</v>
      </c>
      <c r="H655" s="43">
        <v>600</v>
      </c>
      <c r="I655" s="35">
        <v>695</v>
      </c>
      <c r="J655" s="35">
        <v>50</v>
      </c>
      <c r="K655" s="36"/>
      <c r="L655" s="36"/>
      <c r="M655" s="36"/>
      <c r="N655" s="36"/>
      <c r="O655" s="36"/>
      <c r="P655" s="36"/>
      <c r="Q655" s="36"/>
      <c r="R655" s="36"/>
      <c r="S655" s="36"/>
      <c r="T655" s="36"/>
    </row>
    <row r="656" spans="1:20" ht="15.75">
      <c r="A656" s="13">
        <v>61483</v>
      </c>
      <c r="B656" s="44">
        <f t="shared" si="1"/>
        <v>30</v>
      </c>
      <c r="C656" s="35">
        <v>141.29300000000001</v>
      </c>
      <c r="D656" s="35">
        <v>267.99299999999999</v>
      </c>
      <c r="E656" s="41">
        <v>829.71400000000006</v>
      </c>
      <c r="F656" s="35">
        <v>1239</v>
      </c>
      <c r="G656" s="35">
        <v>100</v>
      </c>
      <c r="H656" s="43">
        <v>600</v>
      </c>
      <c r="I656" s="35">
        <v>695</v>
      </c>
      <c r="J656" s="35">
        <v>50</v>
      </c>
      <c r="K656" s="36"/>
      <c r="L656" s="36"/>
      <c r="M656" s="36"/>
      <c r="N656" s="36"/>
      <c r="O656" s="36"/>
      <c r="P656" s="36"/>
      <c r="Q656" s="36"/>
      <c r="R656" s="36"/>
      <c r="S656" s="36"/>
      <c r="T656" s="36"/>
    </row>
    <row r="657" spans="1:20" ht="15.75">
      <c r="A657" s="13">
        <v>61514</v>
      </c>
      <c r="B657" s="44">
        <f t="shared" si="1"/>
        <v>31</v>
      </c>
      <c r="C657" s="35">
        <v>194.20500000000001</v>
      </c>
      <c r="D657" s="35">
        <v>267.46600000000001</v>
      </c>
      <c r="E657" s="41">
        <v>812.32899999999995</v>
      </c>
      <c r="F657" s="35">
        <v>1274</v>
      </c>
      <c r="G657" s="35">
        <v>75</v>
      </c>
      <c r="H657" s="43">
        <v>600</v>
      </c>
      <c r="I657" s="35">
        <v>695</v>
      </c>
      <c r="J657" s="35">
        <v>50</v>
      </c>
      <c r="K657" s="36"/>
      <c r="L657" s="36"/>
      <c r="M657" s="36"/>
      <c r="N657" s="36"/>
      <c r="O657" s="36"/>
      <c r="P657" s="36"/>
      <c r="Q657" s="36"/>
      <c r="R657" s="36"/>
      <c r="S657" s="36"/>
      <c r="T657" s="36"/>
    </row>
    <row r="658" spans="1:20" ht="15.75">
      <c r="A658" s="13">
        <v>61544</v>
      </c>
      <c r="B658" s="44">
        <f t="shared" si="1"/>
        <v>30</v>
      </c>
      <c r="C658" s="35">
        <v>194.20500000000001</v>
      </c>
      <c r="D658" s="35">
        <v>267.46600000000001</v>
      </c>
      <c r="E658" s="41">
        <v>812.32899999999995</v>
      </c>
      <c r="F658" s="35">
        <v>1274</v>
      </c>
      <c r="G658" s="35">
        <v>50</v>
      </c>
      <c r="H658" s="43">
        <v>600</v>
      </c>
      <c r="I658" s="35">
        <v>695</v>
      </c>
      <c r="J658" s="35">
        <v>50</v>
      </c>
      <c r="K658" s="36"/>
      <c r="L658" s="36"/>
      <c r="M658" s="36"/>
      <c r="N658" s="36"/>
      <c r="O658" s="36"/>
      <c r="P658" s="36"/>
      <c r="Q658" s="36"/>
      <c r="R658" s="36"/>
      <c r="S658" s="36"/>
      <c r="T658" s="36"/>
    </row>
    <row r="659" spans="1:20" ht="15.75">
      <c r="A659" s="13">
        <v>61575</v>
      </c>
      <c r="B659" s="44">
        <f t="shared" si="1"/>
        <v>31</v>
      </c>
      <c r="C659" s="35">
        <v>194.20500000000001</v>
      </c>
      <c r="D659" s="35">
        <v>267.46600000000001</v>
      </c>
      <c r="E659" s="41">
        <v>812.32899999999995</v>
      </c>
      <c r="F659" s="35">
        <v>1274</v>
      </c>
      <c r="G659" s="35">
        <v>50</v>
      </c>
      <c r="H659" s="43">
        <v>600</v>
      </c>
      <c r="I659" s="35">
        <v>695</v>
      </c>
      <c r="J659" s="35">
        <v>0</v>
      </c>
      <c r="K659" s="36"/>
      <c r="L659" s="36"/>
      <c r="M659" s="36"/>
      <c r="N659" s="36"/>
      <c r="O659" s="36"/>
      <c r="P659" s="36"/>
      <c r="Q659" s="36"/>
      <c r="R659" s="36"/>
      <c r="S659" s="36"/>
      <c r="T659" s="36"/>
    </row>
    <row r="660" spans="1:20" ht="15.75">
      <c r="A660" s="13">
        <v>61606</v>
      </c>
      <c r="B660" s="44">
        <f t="shared" si="1"/>
        <v>31</v>
      </c>
      <c r="C660" s="35">
        <v>194.20500000000001</v>
      </c>
      <c r="D660" s="35">
        <v>267.46600000000001</v>
      </c>
      <c r="E660" s="41">
        <v>812.32899999999995</v>
      </c>
      <c r="F660" s="35">
        <v>1274</v>
      </c>
      <c r="G660" s="35">
        <v>50</v>
      </c>
      <c r="H660" s="43">
        <v>600</v>
      </c>
      <c r="I660" s="35">
        <v>695</v>
      </c>
      <c r="J660" s="35">
        <v>0</v>
      </c>
      <c r="K660" s="36"/>
      <c r="L660" s="36"/>
      <c r="M660" s="36"/>
      <c r="N660" s="36"/>
      <c r="O660" s="36"/>
      <c r="P660" s="36"/>
      <c r="Q660" s="36"/>
      <c r="R660" s="36"/>
      <c r="S660" s="36"/>
      <c r="T660" s="36"/>
    </row>
    <row r="661" spans="1:20" ht="15.75">
      <c r="A661" s="13">
        <v>61636</v>
      </c>
      <c r="B661" s="44">
        <f t="shared" si="1"/>
        <v>30</v>
      </c>
      <c r="C661" s="35">
        <v>194.20500000000001</v>
      </c>
      <c r="D661" s="35">
        <v>267.46600000000001</v>
      </c>
      <c r="E661" s="41">
        <v>812.32899999999995</v>
      </c>
      <c r="F661" s="35">
        <v>1274</v>
      </c>
      <c r="G661" s="35">
        <v>50</v>
      </c>
      <c r="H661" s="43">
        <v>600</v>
      </c>
      <c r="I661" s="35">
        <v>695</v>
      </c>
      <c r="J661" s="35">
        <v>0</v>
      </c>
      <c r="K661" s="36"/>
      <c r="L661" s="36"/>
      <c r="M661" s="36"/>
      <c r="N661" s="36"/>
      <c r="O661" s="36"/>
      <c r="P661" s="36"/>
      <c r="Q661" s="36"/>
      <c r="R661" s="36"/>
      <c r="S661" s="36"/>
      <c r="T661" s="36"/>
    </row>
    <row r="662" spans="1:20" ht="15.75">
      <c r="A662" s="13">
        <v>61667</v>
      </c>
      <c r="B662" s="44">
        <f t="shared" si="1"/>
        <v>31</v>
      </c>
      <c r="C662" s="35">
        <v>131.881</v>
      </c>
      <c r="D662" s="35">
        <v>277.16699999999997</v>
      </c>
      <c r="E662" s="41">
        <v>829.952</v>
      </c>
      <c r="F662" s="35">
        <v>1239</v>
      </c>
      <c r="G662" s="35">
        <v>75</v>
      </c>
      <c r="H662" s="43">
        <v>600</v>
      </c>
      <c r="I662" s="35">
        <v>695</v>
      </c>
      <c r="J662" s="35">
        <v>0</v>
      </c>
      <c r="K662" s="36"/>
      <c r="L662" s="36"/>
      <c r="M662" s="36"/>
      <c r="N662" s="36"/>
      <c r="O662" s="36"/>
      <c r="P662" s="36"/>
      <c r="Q662" s="36"/>
      <c r="R662" s="36"/>
      <c r="S662" s="36"/>
      <c r="T662" s="36"/>
    </row>
    <row r="663" spans="1:20" ht="15.75">
      <c r="A663" s="13">
        <v>61697</v>
      </c>
      <c r="B663" s="44">
        <f t="shared" si="1"/>
        <v>30</v>
      </c>
      <c r="C663" s="35">
        <v>122.58</v>
      </c>
      <c r="D663" s="35">
        <v>297.94099999999997</v>
      </c>
      <c r="E663" s="41">
        <v>729.47900000000004</v>
      </c>
      <c r="F663" s="35">
        <v>1150</v>
      </c>
      <c r="G663" s="35">
        <v>100</v>
      </c>
      <c r="H663" s="43">
        <v>600</v>
      </c>
      <c r="I663" s="35">
        <v>695</v>
      </c>
      <c r="J663" s="35">
        <v>50</v>
      </c>
      <c r="K663" s="36"/>
      <c r="L663" s="36"/>
      <c r="M663" s="36"/>
      <c r="N663" s="36"/>
      <c r="O663" s="36"/>
      <c r="P663" s="36"/>
      <c r="Q663" s="36"/>
      <c r="R663" s="36"/>
      <c r="S663" s="36"/>
      <c r="T663" s="36"/>
    </row>
    <row r="664" spans="1:20" ht="15.75">
      <c r="A664" s="13">
        <v>61728</v>
      </c>
      <c r="B664" s="44">
        <f t="shared" si="1"/>
        <v>31</v>
      </c>
      <c r="C664" s="35">
        <v>122.58</v>
      </c>
      <c r="D664" s="35">
        <v>297.94099999999997</v>
      </c>
      <c r="E664" s="41">
        <v>729.47900000000004</v>
      </c>
      <c r="F664" s="35">
        <v>1150</v>
      </c>
      <c r="G664" s="35">
        <v>100</v>
      </c>
      <c r="H664" s="43">
        <v>600</v>
      </c>
      <c r="I664" s="35">
        <v>695</v>
      </c>
      <c r="J664" s="35">
        <v>50</v>
      </c>
      <c r="K664" s="36"/>
      <c r="L664" s="36"/>
      <c r="M664" s="36"/>
      <c r="N664" s="36"/>
      <c r="O664" s="36"/>
      <c r="P664" s="36"/>
      <c r="Q664" s="36"/>
      <c r="R664" s="36"/>
      <c r="S664" s="36"/>
      <c r="T664" s="36"/>
    </row>
    <row r="665" spans="1:20" ht="15.75">
      <c r="A665" s="13">
        <v>61759</v>
      </c>
      <c r="B665" s="44">
        <f t="shared" si="1"/>
        <v>31</v>
      </c>
      <c r="C665" s="35">
        <v>122.58</v>
      </c>
      <c r="D665" s="35">
        <v>297.94099999999997</v>
      </c>
      <c r="E665" s="41">
        <v>729.47900000000004</v>
      </c>
      <c r="F665" s="35">
        <v>1150</v>
      </c>
      <c r="G665" s="35">
        <v>100</v>
      </c>
      <c r="H665" s="43">
        <v>600</v>
      </c>
      <c r="I665" s="35">
        <v>695</v>
      </c>
      <c r="J665" s="35">
        <v>50</v>
      </c>
      <c r="K665" s="36"/>
      <c r="L665" s="36"/>
      <c r="M665" s="36"/>
      <c r="N665" s="36"/>
      <c r="O665" s="36"/>
      <c r="P665" s="36"/>
      <c r="Q665" s="36"/>
      <c r="R665" s="36"/>
      <c r="S665" s="36"/>
      <c r="T665" s="36"/>
    </row>
    <row r="666" spans="1:20" ht="15.75">
      <c r="A666" s="13">
        <v>61787</v>
      </c>
      <c r="B666" s="44">
        <f t="shared" si="1"/>
        <v>28</v>
      </c>
      <c r="C666" s="35">
        <v>122.58</v>
      </c>
      <c r="D666" s="35">
        <v>297.94099999999997</v>
      </c>
      <c r="E666" s="41">
        <v>729.47900000000004</v>
      </c>
      <c r="F666" s="35">
        <v>1150</v>
      </c>
      <c r="G666" s="35">
        <v>100</v>
      </c>
      <c r="H666" s="43">
        <v>600</v>
      </c>
      <c r="I666" s="35">
        <v>695</v>
      </c>
      <c r="J666" s="35">
        <v>50</v>
      </c>
      <c r="K666" s="36"/>
      <c r="L666" s="36"/>
      <c r="M666" s="36"/>
      <c r="N666" s="36"/>
      <c r="O666" s="36"/>
      <c r="P666" s="36"/>
      <c r="Q666" s="36"/>
      <c r="R666" s="36"/>
      <c r="S666" s="36"/>
      <c r="T666" s="36"/>
    </row>
    <row r="667" spans="1:20" ht="15.75">
      <c r="A667" s="13">
        <v>61818</v>
      </c>
      <c r="B667" s="44">
        <f t="shared" si="1"/>
        <v>31</v>
      </c>
      <c r="C667" s="35">
        <v>122.58</v>
      </c>
      <c r="D667" s="35">
        <v>297.94099999999997</v>
      </c>
      <c r="E667" s="41">
        <v>729.47900000000004</v>
      </c>
      <c r="F667" s="35">
        <v>1150</v>
      </c>
      <c r="G667" s="35">
        <v>100</v>
      </c>
      <c r="H667" s="43">
        <v>600</v>
      </c>
      <c r="I667" s="35">
        <v>695</v>
      </c>
      <c r="J667" s="35">
        <v>50</v>
      </c>
      <c r="K667" s="36"/>
      <c r="L667" s="36"/>
      <c r="M667" s="36"/>
      <c r="N667" s="36"/>
      <c r="O667" s="36"/>
      <c r="P667" s="36"/>
      <c r="Q667" s="36"/>
      <c r="R667" s="36"/>
      <c r="S667" s="36"/>
      <c r="T667" s="36"/>
    </row>
    <row r="668" spans="1:20" ht="15.75">
      <c r="A668" s="13">
        <v>61848</v>
      </c>
      <c r="B668" s="44">
        <f t="shared" si="1"/>
        <v>30</v>
      </c>
      <c r="C668" s="35">
        <v>141.29300000000001</v>
      </c>
      <c r="D668" s="35">
        <v>267.99299999999999</v>
      </c>
      <c r="E668" s="41">
        <v>829.71400000000006</v>
      </c>
      <c r="F668" s="35">
        <v>1239</v>
      </c>
      <c r="G668" s="35">
        <v>100</v>
      </c>
      <c r="H668" s="43">
        <v>600</v>
      </c>
      <c r="I668" s="35">
        <v>695</v>
      </c>
      <c r="J668" s="35">
        <v>50</v>
      </c>
      <c r="K668" s="36"/>
      <c r="L668" s="36"/>
      <c r="M668" s="36"/>
      <c r="N668" s="36"/>
      <c r="O668" s="36"/>
      <c r="P668" s="36"/>
      <c r="Q668" s="36"/>
      <c r="R668" s="36"/>
      <c r="S668" s="36"/>
      <c r="T668" s="36"/>
    </row>
    <row r="669" spans="1:20" ht="15.75">
      <c r="A669" s="13">
        <v>61879</v>
      </c>
      <c r="B669" s="44">
        <f t="shared" si="1"/>
        <v>31</v>
      </c>
      <c r="C669" s="35">
        <v>194.20500000000001</v>
      </c>
      <c r="D669" s="35">
        <v>267.46600000000001</v>
      </c>
      <c r="E669" s="41">
        <v>812.32899999999995</v>
      </c>
      <c r="F669" s="35">
        <v>1274</v>
      </c>
      <c r="G669" s="35">
        <v>75</v>
      </c>
      <c r="H669" s="43">
        <v>600</v>
      </c>
      <c r="I669" s="35">
        <v>695</v>
      </c>
      <c r="J669" s="35">
        <v>50</v>
      </c>
      <c r="K669" s="36"/>
      <c r="L669" s="36"/>
      <c r="M669" s="36"/>
      <c r="N669" s="36"/>
      <c r="O669" s="36"/>
      <c r="P669" s="36"/>
      <c r="Q669" s="36"/>
      <c r="R669" s="36"/>
      <c r="S669" s="36"/>
      <c r="T669" s="36"/>
    </row>
    <row r="670" spans="1:20" ht="15.75">
      <c r="A670" s="13">
        <v>61909</v>
      </c>
      <c r="B670" s="44">
        <f t="shared" si="1"/>
        <v>30</v>
      </c>
      <c r="C670" s="35">
        <v>194.20500000000001</v>
      </c>
      <c r="D670" s="35">
        <v>267.46600000000001</v>
      </c>
      <c r="E670" s="41">
        <v>812.32899999999995</v>
      </c>
      <c r="F670" s="35">
        <v>1274</v>
      </c>
      <c r="G670" s="35">
        <v>50</v>
      </c>
      <c r="H670" s="43">
        <v>600</v>
      </c>
      <c r="I670" s="35">
        <v>695</v>
      </c>
      <c r="J670" s="35">
        <v>50</v>
      </c>
      <c r="K670" s="36"/>
      <c r="L670" s="36"/>
      <c r="M670" s="36"/>
      <c r="N670" s="36"/>
      <c r="O670" s="36"/>
      <c r="P670" s="36"/>
      <c r="Q670" s="36"/>
      <c r="R670" s="36"/>
      <c r="S670" s="36"/>
      <c r="T670" s="36"/>
    </row>
    <row r="671" spans="1:20" ht="15.75">
      <c r="A671" s="13">
        <v>61940</v>
      </c>
      <c r="B671" s="44">
        <f t="shared" si="1"/>
        <v>31</v>
      </c>
      <c r="C671" s="35">
        <v>194.20500000000001</v>
      </c>
      <c r="D671" s="35">
        <v>267.46600000000001</v>
      </c>
      <c r="E671" s="41">
        <v>812.32899999999995</v>
      </c>
      <c r="F671" s="35">
        <v>1274</v>
      </c>
      <c r="G671" s="35">
        <v>50</v>
      </c>
      <c r="H671" s="43">
        <v>600</v>
      </c>
      <c r="I671" s="35">
        <v>695</v>
      </c>
      <c r="J671" s="35">
        <v>0</v>
      </c>
      <c r="K671" s="36"/>
      <c r="L671" s="36"/>
      <c r="M671" s="36"/>
      <c r="N671" s="36"/>
      <c r="O671" s="36"/>
      <c r="P671" s="36"/>
      <c r="Q671" s="36"/>
      <c r="R671" s="36"/>
      <c r="S671" s="36"/>
      <c r="T671" s="36"/>
    </row>
    <row r="672" spans="1:20" ht="15.75">
      <c r="A672" s="13">
        <v>61971</v>
      </c>
      <c r="B672" s="44">
        <f t="shared" si="1"/>
        <v>31</v>
      </c>
      <c r="C672" s="35">
        <v>194.20500000000001</v>
      </c>
      <c r="D672" s="35">
        <v>267.46600000000001</v>
      </c>
      <c r="E672" s="41">
        <v>812.32899999999995</v>
      </c>
      <c r="F672" s="35">
        <v>1274</v>
      </c>
      <c r="G672" s="35">
        <v>50</v>
      </c>
      <c r="H672" s="43">
        <v>600</v>
      </c>
      <c r="I672" s="35">
        <v>695</v>
      </c>
      <c r="J672" s="35">
        <v>0</v>
      </c>
      <c r="K672" s="36"/>
      <c r="L672" s="36"/>
      <c r="M672" s="36"/>
      <c r="N672" s="36"/>
      <c r="O672" s="36"/>
      <c r="P672" s="36"/>
      <c r="Q672" s="36"/>
      <c r="R672" s="36"/>
      <c r="S672" s="36"/>
      <c r="T672" s="36"/>
    </row>
    <row r="673" spans="1:20" ht="15.75">
      <c r="A673" s="13">
        <v>62001</v>
      </c>
      <c r="B673" s="44">
        <f t="shared" si="1"/>
        <v>30</v>
      </c>
      <c r="C673" s="35">
        <v>194.20500000000001</v>
      </c>
      <c r="D673" s="35">
        <v>267.46600000000001</v>
      </c>
      <c r="E673" s="41">
        <v>812.32899999999995</v>
      </c>
      <c r="F673" s="35">
        <v>1274</v>
      </c>
      <c r="G673" s="35">
        <v>50</v>
      </c>
      <c r="H673" s="43">
        <v>600</v>
      </c>
      <c r="I673" s="35">
        <v>695</v>
      </c>
      <c r="J673" s="35">
        <v>0</v>
      </c>
      <c r="K673" s="36"/>
      <c r="L673" s="36"/>
      <c r="M673" s="36"/>
      <c r="N673" s="36"/>
      <c r="O673" s="36"/>
      <c r="P673" s="36"/>
      <c r="Q673" s="36"/>
      <c r="R673" s="36"/>
      <c r="S673" s="36"/>
      <c r="T673" s="36"/>
    </row>
    <row r="674" spans="1:20" ht="15.75">
      <c r="A674" s="13">
        <v>62032</v>
      </c>
      <c r="B674" s="44">
        <f t="shared" si="1"/>
        <v>31</v>
      </c>
      <c r="C674" s="35">
        <v>131.881</v>
      </c>
      <c r="D674" s="35">
        <v>277.16699999999997</v>
      </c>
      <c r="E674" s="41">
        <v>829.952</v>
      </c>
      <c r="F674" s="35">
        <v>1239</v>
      </c>
      <c r="G674" s="35">
        <v>75</v>
      </c>
      <c r="H674" s="43">
        <v>600</v>
      </c>
      <c r="I674" s="35">
        <v>695</v>
      </c>
      <c r="J674" s="35">
        <v>0</v>
      </c>
      <c r="K674" s="36"/>
      <c r="L674" s="36"/>
      <c r="M674" s="36"/>
      <c r="N674" s="36"/>
      <c r="O674" s="36"/>
      <c r="P674" s="36"/>
      <c r="Q674" s="36"/>
      <c r="R674" s="36"/>
      <c r="S674" s="36"/>
      <c r="T674" s="36"/>
    </row>
    <row r="675" spans="1:20" ht="15.75">
      <c r="A675" s="13">
        <v>62062</v>
      </c>
      <c r="B675" s="44">
        <f t="shared" si="1"/>
        <v>30</v>
      </c>
      <c r="C675" s="35">
        <v>122.58</v>
      </c>
      <c r="D675" s="35">
        <v>297.94099999999997</v>
      </c>
      <c r="E675" s="41">
        <v>729.47900000000004</v>
      </c>
      <c r="F675" s="35">
        <v>1150</v>
      </c>
      <c r="G675" s="35">
        <v>100</v>
      </c>
      <c r="H675" s="43">
        <v>600</v>
      </c>
      <c r="I675" s="35">
        <v>695</v>
      </c>
      <c r="J675" s="35">
        <v>50</v>
      </c>
      <c r="K675" s="36"/>
      <c r="L675" s="36"/>
      <c r="M675" s="36"/>
      <c r="N675" s="36"/>
      <c r="O675" s="36"/>
      <c r="P675" s="36"/>
      <c r="Q675" s="36"/>
      <c r="R675" s="36"/>
      <c r="S675" s="36"/>
      <c r="T675" s="36"/>
    </row>
    <row r="676" spans="1:20" ht="15.75">
      <c r="A676" s="13">
        <v>62093</v>
      </c>
      <c r="B676" s="44">
        <f t="shared" si="1"/>
        <v>31</v>
      </c>
      <c r="C676" s="35">
        <v>122.58</v>
      </c>
      <c r="D676" s="35">
        <v>297.94099999999997</v>
      </c>
      <c r="E676" s="41">
        <v>729.47900000000004</v>
      </c>
      <c r="F676" s="35">
        <v>1150</v>
      </c>
      <c r="G676" s="35">
        <v>100</v>
      </c>
      <c r="H676" s="43">
        <v>600</v>
      </c>
      <c r="I676" s="35">
        <v>695</v>
      </c>
      <c r="J676" s="35">
        <v>50</v>
      </c>
      <c r="K676" s="36"/>
      <c r="L676" s="36"/>
      <c r="M676" s="36"/>
      <c r="N676" s="36"/>
      <c r="O676" s="36"/>
      <c r="P676" s="36"/>
      <c r="Q676" s="36"/>
      <c r="R676" s="36"/>
      <c r="S676" s="36"/>
      <c r="T676" s="36"/>
    </row>
    <row r="677" spans="1:20" ht="15.75">
      <c r="A677" s="13">
        <v>62124</v>
      </c>
      <c r="B677" s="44">
        <f t="shared" si="1"/>
        <v>31</v>
      </c>
      <c r="C677" s="35">
        <v>122.58</v>
      </c>
      <c r="D677" s="35">
        <v>297.94099999999997</v>
      </c>
      <c r="E677" s="41">
        <v>729.47900000000004</v>
      </c>
      <c r="F677" s="35">
        <v>1150</v>
      </c>
      <c r="G677" s="35">
        <v>100</v>
      </c>
      <c r="H677" s="43">
        <v>600</v>
      </c>
      <c r="I677" s="35">
        <v>695</v>
      </c>
      <c r="J677" s="35">
        <v>50</v>
      </c>
      <c r="K677" s="36"/>
      <c r="L677" s="36"/>
      <c r="M677" s="36"/>
      <c r="N677" s="36"/>
      <c r="O677" s="36"/>
      <c r="P677" s="36"/>
      <c r="Q677" s="36"/>
      <c r="R677" s="36"/>
      <c r="S677" s="36"/>
      <c r="T677" s="36"/>
    </row>
    <row r="678" spans="1:20" ht="15.75">
      <c r="A678" s="13">
        <v>62152</v>
      </c>
      <c r="B678" s="44">
        <f t="shared" si="1"/>
        <v>28</v>
      </c>
      <c r="C678" s="35">
        <v>122.58</v>
      </c>
      <c r="D678" s="35">
        <v>297.94099999999997</v>
      </c>
      <c r="E678" s="41">
        <v>729.47900000000004</v>
      </c>
      <c r="F678" s="35">
        <v>1150</v>
      </c>
      <c r="G678" s="35">
        <v>100</v>
      </c>
      <c r="H678" s="43">
        <v>600</v>
      </c>
      <c r="I678" s="35">
        <v>695</v>
      </c>
      <c r="J678" s="35">
        <v>50</v>
      </c>
      <c r="K678" s="36"/>
      <c r="L678" s="36"/>
      <c r="M678" s="36"/>
      <c r="N678" s="36"/>
      <c r="O678" s="36"/>
      <c r="P678" s="36"/>
      <c r="Q678" s="36"/>
      <c r="R678" s="36"/>
      <c r="S678" s="36"/>
      <c r="T678" s="36"/>
    </row>
    <row r="679" spans="1:20" ht="15.75">
      <c r="A679" s="13">
        <v>62183</v>
      </c>
      <c r="B679" s="44">
        <f t="shared" si="1"/>
        <v>31</v>
      </c>
      <c r="C679" s="35">
        <v>122.58</v>
      </c>
      <c r="D679" s="35">
        <v>297.94099999999997</v>
      </c>
      <c r="E679" s="41">
        <v>729.47900000000004</v>
      </c>
      <c r="F679" s="35">
        <v>1150</v>
      </c>
      <c r="G679" s="35">
        <v>100</v>
      </c>
      <c r="H679" s="43">
        <v>600</v>
      </c>
      <c r="I679" s="35">
        <v>695</v>
      </c>
      <c r="J679" s="35">
        <v>50</v>
      </c>
      <c r="K679" s="36"/>
      <c r="L679" s="36"/>
      <c r="M679" s="36"/>
      <c r="N679" s="36"/>
      <c r="O679" s="36"/>
      <c r="P679" s="36"/>
      <c r="Q679" s="36"/>
      <c r="R679" s="36"/>
      <c r="S679" s="36"/>
      <c r="T679" s="36"/>
    </row>
    <row r="680" spans="1:20" ht="15.75">
      <c r="A680" s="13">
        <v>62213</v>
      </c>
      <c r="B680" s="44">
        <f t="shared" si="1"/>
        <v>30</v>
      </c>
      <c r="C680" s="35">
        <v>141.29300000000001</v>
      </c>
      <c r="D680" s="35">
        <v>267.99299999999999</v>
      </c>
      <c r="E680" s="41">
        <v>829.71400000000006</v>
      </c>
      <c r="F680" s="35">
        <v>1239</v>
      </c>
      <c r="G680" s="35">
        <v>100</v>
      </c>
      <c r="H680" s="43">
        <v>600</v>
      </c>
      <c r="I680" s="35">
        <v>695</v>
      </c>
      <c r="J680" s="35">
        <v>50</v>
      </c>
      <c r="K680" s="36"/>
      <c r="L680" s="36"/>
      <c r="M680" s="36"/>
      <c r="N680" s="36"/>
      <c r="O680" s="36"/>
      <c r="P680" s="36"/>
      <c r="Q680" s="36"/>
      <c r="R680" s="36"/>
      <c r="S680" s="36"/>
      <c r="T680" s="36"/>
    </row>
    <row r="681" spans="1:20" ht="15.75">
      <c r="A681" s="13">
        <v>62244</v>
      </c>
      <c r="B681" s="44">
        <f t="shared" si="1"/>
        <v>31</v>
      </c>
      <c r="C681" s="35">
        <v>194.20500000000001</v>
      </c>
      <c r="D681" s="35">
        <v>267.46600000000001</v>
      </c>
      <c r="E681" s="41">
        <v>812.32899999999995</v>
      </c>
      <c r="F681" s="35">
        <v>1274</v>
      </c>
      <c r="G681" s="35">
        <v>75</v>
      </c>
      <c r="H681" s="43">
        <v>600</v>
      </c>
      <c r="I681" s="35">
        <v>695</v>
      </c>
      <c r="J681" s="35">
        <v>50</v>
      </c>
      <c r="K681" s="36"/>
      <c r="L681" s="36"/>
      <c r="M681" s="36"/>
      <c r="N681" s="36"/>
      <c r="O681" s="36"/>
      <c r="P681" s="36"/>
      <c r="Q681" s="36"/>
      <c r="R681" s="36"/>
      <c r="S681" s="36"/>
      <c r="T681" s="36"/>
    </row>
    <row r="682" spans="1:20" ht="15.75">
      <c r="A682" s="13">
        <v>62274</v>
      </c>
      <c r="B682" s="44">
        <f t="shared" si="1"/>
        <v>30</v>
      </c>
      <c r="C682" s="35">
        <v>194.20500000000001</v>
      </c>
      <c r="D682" s="35">
        <v>267.46600000000001</v>
      </c>
      <c r="E682" s="41">
        <v>812.32899999999995</v>
      </c>
      <c r="F682" s="35">
        <v>1274</v>
      </c>
      <c r="G682" s="35">
        <v>50</v>
      </c>
      <c r="H682" s="43">
        <v>600</v>
      </c>
      <c r="I682" s="35">
        <v>695</v>
      </c>
      <c r="J682" s="35">
        <v>50</v>
      </c>
      <c r="K682" s="36"/>
      <c r="L682" s="36"/>
      <c r="M682" s="36"/>
      <c r="N682" s="36"/>
      <c r="O682" s="36"/>
      <c r="P682" s="36"/>
      <c r="Q682" s="36"/>
      <c r="R682" s="36"/>
      <c r="S682" s="36"/>
      <c r="T682" s="36"/>
    </row>
    <row r="683" spans="1:20" ht="15.75">
      <c r="A683" s="13">
        <v>62305</v>
      </c>
      <c r="B683" s="44">
        <f t="shared" si="1"/>
        <v>31</v>
      </c>
      <c r="C683" s="35">
        <v>194.20500000000001</v>
      </c>
      <c r="D683" s="35">
        <v>267.46600000000001</v>
      </c>
      <c r="E683" s="41">
        <v>812.32899999999995</v>
      </c>
      <c r="F683" s="35">
        <v>1274</v>
      </c>
      <c r="G683" s="35">
        <v>50</v>
      </c>
      <c r="H683" s="43">
        <v>600</v>
      </c>
      <c r="I683" s="35">
        <v>695</v>
      </c>
      <c r="J683" s="35">
        <v>0</v>
      </c>
      <c r="K683" s="36"/>
      <c r="L683" s="36"/>
      <c r="M683" s="36"/>
      <c r="N683" s="36"/>
      <c r="O683" s="36"/>
      <c r="P683" s="36"/>
      <c r="Q683" s="36"/>
      <c r="R683" s="36"/>
      <c r="S683" s="36"/>
      <c r="T683" s="36"/>
    </row>
    <row r="684" spans="1:20" ht="15.75">
      <c r="A684" s="13">
        <v>62336</v>
      </c>
      <c r="B684" s="44">
        <f t="shared" si="1"/>
        <v>31</v>
      </c>
      <c r="C684" s="35">
        <v>194.20500000000001</v>
      </c>
      <c r="D684" s="35">
        <v>267.46600000000001</v>
      </c>
      <c r="E684" s="41">
        <v>812.32899999999995</v>
      </c>
      <c r="F684" s="35">
        <v>1274</v>
      </c>
      <c r="G684" s="35">
        <v>50</v>
      </c>
      <c r="H684" s="43">
        <v>600</v>
      </c>
      <c r="I684" s="35">
        <v>695</v>
      </c>
      <c r="J684" s="35">
        <v>0</v>
      </c>
      <c r="K684" s="36"/>
      <c r="L684" s="36"/>
      <c r="M684" s="36"/>
      <c r="N684" s="36"/>
      <c r="O684" s="36"/>
      <c r="P684" s="36"/>
      <c r="Q684" s="36"/>
      <c r="R684" s="36"/>
      <c r="S684" s="36"/>
      <c r="T684" s="36"/>
    </row>
    <row r="685" spans="1:20" ht="15.75">
      <c r="A685" s="13">
        <v>62366</v>
      </c>
      <c r="B685" s="44">
        <f t="shared" si="1"/>
        <v>30</v>
      </c>
      <c r="C685" s="35">
        <v>194.20500000000001</v>
      </c>
      <c r="D685" s="35">
        <v>267.46600000000001</v>
      </c>
      <c r="E685" s="41">
        <v>812.32899999999995</v>
      </c>
      <c r="F685" s="35">
        <v>1274</v>
      </c>
      <c r="G685" s="35">
        <v>50</v>
      </c>
      <c r="H685" s="43">
        <v>600</v>
      </c>
      <c r="I685" s="35">
        <v>695</v>
      </c>
      <c r="J685" s="35">
        <v>0</v>
      </c>
      <c r="K685" s="36"/>
      <c r="L685" s="36"/>
      <c r="M685" s="36"/>
      <c r="N685" s="36"/>
      <c r="O685" s="36"/>
      <c r="P685" s="36"/>
      <c r="Q685" s="36"/>
      <c r="R685" s="36"/>
      <c r="S685" s="36"/>
      <c r="T685" s="36"/>
    </row>
    <row r="686" spans="1:20" ht="15.75">
      <c r="A686" s="13">
        <v>62397</v>
      </c>
      <c r="B686" s="44">
        <f t="shared" si="1"/>
        <v>31</v>
      </c>
      <c r="C686" s="35">
        <v>131.881</v>
      </c>
      <c r="D686" s="35">
        <v>277.16699999999997</v>
      </c>
      <c r="E686" s="41">
        <v>829.952</v>
      </c>
      <c r="F686" s="35">
        <v>1239</v>
      </c>
      <c r="G686" s="35">
        <v>75</v>
      </c>
      <c r="H686" s="43">
        <v>600</v>
      </c>
      <c r="I686" s="35">
        <v>695</v>
      </c>
      <c r="J686" s="35">
        <v>0</v>
      </c>
      <c r="K686" s="36"/>
      <c r="L686" s="36"/>
      <c r="M686" s="36"/>
      <c r="N686" s="36"/>
      <c r="O686" s="36"/>
      <c r="P686" s="36"/>
      <c r="Q686" s="36"/>
      <c r="R686" s="36"/>
      <c r="S686" s="36"/>
      <c r="T686" s="36"/>
    </row>
    <row r="687" spans="1:20" ht="15.75">
      <c r="A687" s="13">
        <v>62427</v>
      </c>
      <c r="B687" s="44">
        <f t="shared" si="1"/>
        <v>30</v>
      </c>
      <c r="C687" s="35">
        <v>122.58</v>
      </c>
      <c r="D687" s="35">
        <v>297.94099999999997</v>
      </c>
      <c r="E687" s="41">
        <v>729.47900000000004</v>
      </c>
      <c r="F687" s="35">
        <v>1150</v>
      </c>
      <c r="G687" s="35">
        <v>100</v>
      </c>
      <c r="H687" s="43">
        <v>600</v>
      </c>
      <c r="I687" s="35">
        <v>695</v>
      </c>
      <c r="J687" s="35">
        <v>50</v>
      </c>
      <c r="K687" s="36"/>
      <c r="L687" s="36"/>
      <c r="M687" s="36"/>
      <c r="N687" s="36"/>
      <c r="O687" s="36"/>
      <c r="P687" s="36"/>
      <c r="Q687" s="36"/>
      <c r="R687" s="36"/>
      <c r="S687" s="36"/>
      <c r="T687" s="36"/>
    </row>
    <row r="688" spans="1:20" ht="15.75">
      <c r="A688" s="13">
        <v>62458</v>
      </c>
      <c r="B688" s="44">
        <f t="shared" si="1"/>
        <v>31</v>
      </c>
      <c r="C688" s="35">
        <v>122.58</v>
      </c>
      <c r="D688" s="35">
        <v>297.94099999999997</v>
      </c>
      <c r="E688" s="41">
        <v>729.47900000000004</v>
      </c>
      <c r="F688" s="35">
        <v>1150</v>
      </c>
      <c r="G688" s="35">
        <v>100</v>
      </c>
      <c r="H688" s="43">
        <v>600</v>
      </c>
      <c r="I688" s="35">
        <v>695</v>
      </c>
      <c r="J688" s="35">
        <v>50</v>
      </c>
      <c r="K688" s="36"/>
      <c r="L688" s="36"/>
      <c r="M688" s="36"/>
      <c r="N688" s="36"/>
      <c r="O688" s="36"/>
      <c r="P688" s="36"/>
      <c r="Q688" s="36"/>
      <c r="R688" s="36"/>
      <c r="S688" s="36"/>
      <c r="T688" s="36"/>
    </row>
    <row r="689" spans="1:20" ht="15.75">
      <c r="A689" s="13">
        <v>62489</v>
      </c>
      <c r="B689" s="44">
        <f t="shared" si="1"/>
        <v>31</v>
      </c>
      <c r="C689" s="35">
        <v>122.58</v>
      </c>
      <c r="D689" s="35">
        <v>297.94099999999997</v>
      </c>
      <c r="E689" s="41">
        <v>729.47900000000004</v>
      </c>
      <c r="F689" s="35">
        <v>1150</v>
      </c>
      <c r="G689" s="35">
        <v>100</v>
      </c>
      <c r="H689" s="43">
        <v>600</v>
      </c>
      <c r="I689" s="35">
        <v>695</v>
      </c>
      <c r="J689" s="35">
        <v>50</v>
      </c>
      <c r="K689" s="36"/>
      <c r="L689" s="36"/>
      <c r="M689" s="36"/>
      <c r="N689" s="36"/>
      <c r="O689" s="36"/>
      <c r="P689" s="36"/>
      <c r="Q689" s="36"/>
      <c r="R689" s="36"/>
      <c r="S689" s="36"/>
      <c r="T689" s="36"/>
    </row>
    <row r="690" spans="1:20" ht="15.75">
      <c r="A690" s="13">
        <v>62517</v>
      </c>
      <c r="B690" s="44">
        <f t="shared" si="1"/>
        <v>28</v>
      </c>
      <c r="C690" s="35">
        <v>122.58</v>
      </c>
      <c r="D690" s="35">
        <v>297.94099999999997</v>
      </c>
      <c r="E690" s="41">
        <v>729.47900000000004</v>
      </c>
      <c r="F690" s="35">
        <v>1150</v>
      </c>
      <c r="G690" s="35">
        <v>100</v>
      </c>
      <c r="H690" s="43">
        <v>600</v>
      </c>
      <c r="I690" s="35">
        <v>695</v>
      </c>
      <c r="J690" s="35">
        <v>50</v>
      </c>
      <c r="K690" s="36"/>
      <c r="L690" s="36"/>
      <c r="M690" s="36"/>
      <c r="N690" s="36"/>
      <c r="O690" s="36"/>
      <c r="P690" s="36"/>
      <c r="Q690" s="36"/>
      <c r="R690" s="36"/>
      <c r="S690" s="36"/>
      <c r="T690" s="36"/>
    </row>
    <row r="691" spans="1:20" ht="15.75">
      <c r="A691" s="13">
        <v>62548</v>
      </c>
      <c r="B691" s="44">
        <f t="shared" si="1"/>
        <v>31</v>
      </c>
      <c r="C691" s="35">
        <v>122.58</v>
      </c>
      <c r="D691" s="35">
        <v>297.94099999999997</v>
      </c>
      <c r="E691" s="41">
        <v>729.47900000000004</v>
      </c>
      <c r="F691" s="35">
        <v>1150</v>
      </c>
      <c r="G691" s="35">
        <v>100</v>
      </c>
      <c r="H691" s="43">
        <v>600</v>
      </c>
      <c r="I691" s="35">
        <v>695</v>
      </c>
      <c r="J691" s="35">
        <v>50</v>
      </c>
      <c r="K691" s="36"/>
      <c r="L691" s="36"/>
      <c r="M691" s="36"/>
      <c r="N691" s="36"/>
      <c r="O691" s="36"/>
      <c r="P691" s="36"/>
      <c r="Q691" s="36"/>
      <c r="R691" s="36"/>
      <c r="S691" s="36"/>
      <c r="T691" s="36"/>
    </row>
    <row r="692" spans="1:20" ht="15.75">
      <c r="A692" s="13">
        <v>62578</v>
      </c>
      <c r="B692" s="44">
        <f t="shared" si="1"/>
        <v>30</v>
      </c>
      <c r="C692" s="35">
        <v>141.29300000000001</v>
      </c>
      <c r="D692" s="35">
        <v>267.99299999999999</v>
      </c>
      <c r="E692" s="41">
        <v>829.71400000000006</v>
      </c>
      <c r="F692" s="35">
        <v>1239</v>
      </c>
      <c r="G692" s="35">
        <v>100</v>
      </c>
      <c r="H692" s="43">
        <v>600</v>
      </c>
      <c r="I692" s="35">
        <v>695</v>
      </c>
      <c r="J692" s="35">
        <v>50</v>
      </c>
      <c r="K692" s="36"/>
      <c r="L692" s="36"/>
      <c r="M692" s="36"/>
      <c r="N692" s="36"/>
      <c r="O692" s="36"/>
      <c r="P692" s="36"/>
      <c r="Q692" s="36"/>
      <c r="R692" s="36"/>
      <c r="S692" s="36"/>
      <c r="T692" s="36"/>
    </row>
    <row r="693" spans="1:20" ht="15.75">
      <c r="A693" s="13">
        <v>62609</v>
      </c>
      <c r="B693" s="44">
        <f t="shared" si="1"/>
        <v>31</v>
      </c>
      <c r="C693" s="35">
        <v>194.20500000000001</v>
      </c>
      <c r="D693" s="35">
        <v>267.46600000000001</v>
      </c>
      <c r="E693" s="41">
        <v>812.32899999999995</v>
      </c>
      <c r="F693" s="35">
        <v>1274</v>
      </c>
      <c r="G693" s="35">
        <v>75</v>
      </c>
      <c r="H693" s="43">
        <v>600</v>
      </c>
      <c r="I693" s="35">
        <v>695</v>
      </c>
      <c r="J693" s="35">
        <v>50</v>
      </c>
      <c r="K693" s="36"/>
      <c r="L693" s="36"/>
      <c r="M693" s="36"/>
      <c r="N693" s="36"/>
      <c r="O693" s="36"/>
      <c r="P693" s="36"/>
      <c r="Q693" s="36"/>
      <c r="R693" s="36"/>
      <c r="S693" s="36"/>
      <c r="T693" s="36"/>
    </row>
    <row r="694" spans="1:20" ht="15.75">
      <c r="A694" s="13">
        <v>62639</v>
      </c>
      <c r="B694" s="44">
        <f t="shared" si="1"/>
        <v>30</v>
      </c>
      <c r="C694" s="35">
        <v>194.20500000000001</v>
      </c>
      <c r="D694" s="35">
        <v>267.46600000000001</v>
      </c>
      <c r="E694" s="41">
        <v>812.32899999999995</v>
      </c>
      <c r="F694" s="35">
        <v>1274</v>
      </c>
      <c r="G694" s="35">
        <v>50</v>
      </c>
      <c r="H694" s="43">
        <v>600</v>
      </c>
      <c r="I694" s="35">
        <v>695</v>
      </c>
      <c r="J694" s="35">
        <v>50</v>
      </c>
      <c r="K694" s="36"/>
      <c r="L694" s="36"/>
      <c r="M694" s="36"/>
      <c r="N694" s="36"/>
      <c r="O694" s="36"/>
      <c r="P694" s="36"/>
      <c r="Q694" s="36"/>
      <c r="R694" s="36"/>
      <c r="S694" s="36"/>
      <c r="T694" s="36"/>
    </row>
    <row r="695" spans="1:20" ht="15.75">
      <c r="A695" s="13">
        <v>62670</v>
      </c>
      <c r="B695" s="44">
        <f t="shared" si="1"/>
        <v>31</v>
      </c>
      <c r="C695" s="35">
        <v>194.20500000000001</v>
      </c>
      <c r="D695" s="35">
        <v>267.46600000000001</v>
      </c>
      <c r="E695" s="41">
        <v>812.32899999999995</v>
      </c>
      <c r="F695" s="35">
        <v>1274</v>
      </c>
      <c r="G695" s="35">
        <v>50</v>
      </c>
      <c r="H695" s="43">
        <v>600</v>
      </c>
      <c r="I695" s="35">
        <v>695</v>
      </c>
      <c r="J695" s="35">
        <v>0</v>
      </c>
      <c r="K695" s="36"/>
      <c r="L695" s="36"/>
      <c r="M695" s="36"/>
      <c r="N695" s="36"/>
      <c r="O695" s="36"/>
      <c r="P695" s="36"/>
      <c r="Q695" s="36"/>
      <c r="R695" s="36"/>
      <c r="S695" s="36"/>
      <c r="T695" s="36"/>
    </row>
    <row r="696" spans="1:20" ht="15.75">
      <c r="A696" s="13">
        <v>62701</v>
      </c>
      <c r="B696" s="44">
        <f t="shared" si="1"/>
        <v>31</v>
      </c>
      <c r="C696" s="35">
        <v>194.20500000000001</v>
      </c>
      <c r="D696" s="35">
        <v>267.46600000000001</v>
      </c>
      <c r="E696" s="41">
        <v>812.32899999999995</v>
      </c>
      <c r="F696" s="35">
        <v>1274</v>
      </c>
      <c r="G696" s="35">
        <v>50</v>
      </c>
      <c r="H696" s="43">
        <v>600</v>
      </c>
      <c r="I696" s="35">
        <v>695</v>
      </c>
      <c r="J696" s="35">
        <v>0</v>
      </c>
      <c r="K696" s="36"/>
      <c r="L696" s="36"/>
      <c r="M696" s="36"/>
      <c r="N696" s="36"/>
      <c r="O696" s="36"/>
      <c r="P696" s="36"/>
      <c r="Q696" s="36"/>
      <c r="R696" s="36"/>
      <c r="S696" s="36"/>
      <c r="T696" s="36"/>
    </row>
    <row r="697" spans="1:20" ht="15.75">
      <c r="A697" s="13">
        <v>62731</v>
      </c>
      <c r="B697" s="44">
        <f t="shared" si="1"/>
        <v>30</v>
      </c>
      <c r="C697" s="35">
        <v>194.20500000000001</v>
      </c>
      <c r="D697" s="35">
        <v>267.46600000000001</v>
      </c>
      <c r="E697" s="41">
        <v>812.32899999999995</v>
      </c>
      <c r="F697" s="35">
        <v>1274</v>
      </c>
      <c r="G697" s="35">
        <v>50</v>
      </c>
      <c r="H697" s="43">
        <v>600</v>
      </c>
      <c r="I697" s="35">
        <v>695</v>
      </c>
      <c r="J697" s="35">
        <v>0</v>
      </c>
      <c r="K697" s="36"/>
      <c r="L697" s="36"/>
      <c r="M697" s="36"/>
      <c r="N697" s="36"/>
      <c r="O697" s="36"/>
      <c r="P697" s="36"/>
      <c r="Q697" s="36"/>
      <c r="R697" s="36"/>
      <c r="S697" s="36"/>
      <c r="T697" s="36"/>
    </row>
    <row r="698" spans="1:20" ht="15.75">
      <c r="A698" s="13">
        <v>62762</v>
      </c>
      <c r="B698" s="44">
        <f t="shared" si="1"/>
        <v>31</v>
      </c>
      <c r="C698" s="35">
        <v>131.881</v>
      </c>
      <c r="D698" s="35">
        <v>277.16699999999997</v>
      </c>
      <c r="E698" s="41">
        <v>829.952</v>
      </c>
      <c r="F698" s="35">
        <v>1239</v>
      </c>
      <c r="G698" s="35">
        <v>75</v>
      </c>
      <c r="H698" s="43">
        <v>600</v>
      </c>
      <c r="I698" s="35">
        <v>695</v>
      </c>
      <c r="J698" s="35">
        <v>0</v>
      </c>
      <c r="K698" s="36"/>
      <c r="L698" s="36"/>
      <c r="M698" s="36"/>
      <c r="N698" s="36"/>
      <c r="O698" s="36"/>
      <c r="P698" s="36"/>
      <c r="Q698" s="36"/>
      <c r="R698" s="36"/>
      <c r="S698" s="36"/>
      <c r="T698" s="36"/>
    </row>
    <row r="699" spans="1:20" ht="15.75">
      <c r="A699" s="13">
        <v>62792</v>
      </c>
      <c r="B699" s="44">
        <f t="shared" si="1"/>
        <v>30</v>
      </c>
      <c r="C699" s="35">
        <v>122.58</v>
      </c>
      <c r="D699" s="35">
        <v>297.94099999999997</v>
      </c>
      <c r="E699" s="41">
        <v>729.47900000000004</v>
      </c>
      <c r="F699" s="35">
        <v>1150</v>
      </c>
      <c r="G699" s="35">
        <v>100</v>
      </c>
      <c r="H699" s="43">
        <v>600</v>
      </c>
      <c r="I699" s="35">
        <v>695</v>
      </c>
      <c r="J699" s="35">
        <v>50</v>
      </c>
      <c r="K699" s="36"/>
      <c r="L699" s="36"/>
      <c r="M699" s="36"/>
      <c r="N699" s="36"/>
      <c r="O699" s="36"/>
      <c r="P699" s="36"/>
      <c r="Q699" s="36"/>
      <c r="R699" s="36"/>
      <c r="S699" s="36"/>
      <c r="T699" s="36"/>
    </row>
    <row r="700" spans="1:20" ht="15.75">
      <c r="A700" s="13">
        <v>62823</v>
      </c>
      <c r="B700" s="44">
        <f t="shared" si="1"/>
        <v>31</v>
      </c>
      <c r="C700" s="35">
        <v>122.58</v>
      </c>
      <c r="D700" s="35">
        <v>297.94099999999997</v>
      </c>
      <c r="E700" s="41">
        <v>729.47900000000004</v>
      </c>
      <c r="F700" s="35">
        <v>1150</v>
      </c>
      <c r="G700" s="35">
        <v>100</v>
      </c>
      <c r="H700" s="43">
        <v>600</v>
      </c>
      <c r="I700" s="35">
        <v>695</v>
      </c>
      <c r="J700" s="35">
        <v>50</v>
      </c>
      <c r="K700" s="36"/>
      <c r="L700" s="36"/>
      <c r="M700" s="36"/>
      <c r="N700" s="36"/>
      <c r="O700" s="36"/>
      <c r="P700" s="36"/>
      <c r="Q700" s="36"/>
      <c r="R700" s="36"/>
      <c r="S700" s="36"/>
      <c r="T700" s="36"/>
    </row>
    <row r="701" spans="1:20" ht="15.75">
      <c r="A701" s="13">
        <v>62854</v>
      </c>
      <c r="B701" s="44">
        <f t="shared" si="1"/>
        <v>31</v>
      </c>
      <c r="C701" s="35">
        <v>122.58</v>
      </c>
      <c r="D701" s="35">
        <v>297.94099999999997</v>
      </c>
      <c r="E701" s="41">
        <v>729.47900000000004</v>
      </c>
      <c r="F701" s="35">
        <v>1150</v>
      </c>
      <c r="G701" s="35">
        <v>100</v>
      </c>
      <c r="H701" s="43">
        <v>600</v>
      </c>
      <c r="I701" s="35">
        <v>695</v>
      </c>
      <c r="J701" s="35">
        <v>50</v>
      </c>
      <c r="K701" s="36"/>
      <c r="L701" s="36"/>
      <c r="M701" s="36"/>
      <c r="N701" s="36"/>
      <c r="O701" s="36"/>
      <c r="P701" s="36"/>
      <c r="Q701" s="36"/>
      <c r="R701" s="36"/>
      <c r="S701" s="36"/>
      <c r="T701" s="36"/>
    </row>
    <row r="702" spans="1:20" ht="15.75">
      <c r="A702" s="13">
        <v>62883</v>
      </c>
      <c r="B702" s="44">
        <f t="shared" si="1"/>
        <v>29</v>
      </c>
      <c r="C702" s="35">
        <v>122.58</v>
      </c>
      <c r="D702" s="35">
        <v>297.94099999999997</v>
      </c>
      <c r="E702" s="41">
        <v>729.47900000000004</v>
      </c>
      <c r="F702" s="35">
        <v>1150</v>
      </c>
      <c r="G702" s="35">
        <v>100</v>
      </c>
      <c r="H702" s="43">
        <v>600</v>
      </c>
      <c r="I702" s="35">
        <v>695</v>
      </c>
      <c r="J702" s="35">
        <v>50</v>
      </c>
      <c r="K702" s="36"/>
      <c r="L702" s="36"/>
      <c r="M702" s="36"/>
      <c r="N702" s="36"/>
      <c r="O702" s="36"/>
      <c r="P702" s="36"/>
      <c r="Q702" s="36"/>
      <c r="R702" s="36"/>
      <c r="S702" s="36"/>
      <c r="T702" s="36"/>
    </row>
    <row r="703" spans="1:20" ht="15.75">
      <c r="A703" s="13">
        <v>62914</v>
      </c>
      <c r="B703" s="44">
        <f t="shared" si="1"/>
        <v>31</v>
      </c>
      <c r="C703" s="35">
        <v>122.58</v>
      </c>
      <c r="D703" s="35">
        <v>297.94099999999997</v>
      </c>
      <c r="E703" s="41">
        <v>729.47900000000004</v>
      </c>
      <c r="F703" s="35">
        <v>1150</v>
      </c>
      <c r="G703" s="35">
        <v>100</v>
      </c>
      <c r="H703" s="43">
        <v>600</v>
      </c>
      <c r="I703" s="35">
        <v>695</v>
      </c>
      <c r="J703" s="35">
        <v>50</v>
      </c>
      <c r="K703" s="36"/>
      <c r="L703" s="36"/>
      <c r="M703" s="36"/>
      <c r="N703" s="36"/>
      <c r="O703" s="36"/>
      <c r="P703" s="36"/>
      <c r="Q703" s="36"/>
      <c r="R703" s="36"/>
      <c r="S703" s="36"/>
      <c r="T703" s="36"/>
    </row>
    <row r="704" spans="1:20" ht="15.75">
      <c r="A704" s="13">
        <v>62944</v>
      </c>
      <c r="B704" s="44">
        <f t="shared" si="1"/>
        <v>30</v>
      </c>
      <c r="C704" s="35">
        <v>141.29300000000001</v>
      </c>
      <c r="D704" s="35">
        <v>267.99299999999999</v>
      </c>
      <c r="E704" s="41">
        <v>829.71400000000006</v>
      </c>
      <c r="F704" s="35">
        <v>1239</v>
      </c>
      <c r="G704" s="35">
        <v>100</v>
      </c>
      <c r="H704" s="43">
        <v>600</v>
      </c>
      <c r="I704" s="35">
        <v>695</v>
      </c>
      <c r="J704" s="35">
        <v>50</v>
      </c>
      <c r="K704" s="36"/>
      <c r="L704" s="36"/>
      <c r="M704" s="36"/>
      <c r="N704" s="36"/>
      <c r="O704" s="36"/>
      <c r="P704" s="36"/>
      <c r="Q704" s="36"/>
      <c r="R704" s="36"/>
      <c r="S704" s="36"/>
      <c r="T704" s="36"/>
    </row>
    <row r="705" spans="1:20" ht="15.75">
      <c r="A705" s="13">
        <v>62975</v>
      </c>
      <c r="B705" s="44">
        <f t="shared" si="1"/>
        <v>31</v>
      </c>
      <c r="C705" s="35">
        <v>194.20500000000001</v>
      </c>
      <c r="D705" s="35">
        <v>267.46600000000001</v>
      </c>
      <c r="E705" s="41">
        <v>812.32899999999995</v>
      </c>
      <c r="F705" s="35">
        <v>1274</v>
      </c>
      <c r="G705" s="35">
        <v>75</v>
      </c>
      <c r="H705" s="43">
        <v>600</v>
      </c>
      <c r="I705" s="35">
        <v>695</v>
      </c>
      <c r="J705" s="35">
        <v>50</v>
      </c>
      <c r="K705" s="36"/>
      <c r="L705" s="36"/>
      <c r="M705" s="36"/>
      <c r="N705" s="36"/>
      <c r="O705" s="36"/>
      <c r="P705" s="36"/>
      <c r="Q705" s="36"/>
      <c r="R705" s="36"/>
      <c r="S705" s="36"/>
      <c r="T705" s="36"/>
    </row>
    <row r="706" spans="1:20" ht="15.75">
      <c r="A706" s="13">
        <v>63005</v>
      </c>
      <c r="B706" s="44">
        <f t="shared" si="1"/>
        <v>30</v>
      </c>
      <c r="C706" s="35">
        <v>194.20500000000001</v>
      </c>
      <c r="D706" s="35">
        <v>267.46600000000001</v>
      </c>
      <c r="E706" s="41">
        <v>812.32899999999995</v>
      </c>
      <c r="F706" s="35">
        <v>1274</v>
      </c>
      <c r="G706" s="35">
        <v>50</v>
      </c>
      <c r="H706" s="43">
        <v>600</v>
      </c>
      <c r="I706" s="35">
        <v>695</v>
      </c>
      <c r="J706" s="35">
        <v>50</v>
      </c>
      <c r="K706" s="36"/>
      <c r="L706" s="36"/>
      <c r="M706" s="36"/>
      <c r="N706" s="36"/>
      <c r="O706" s="36"/>
      <c r="P706" s="36"/>
      <c r="Q706" s="36"/>
      <c r="R706" s="36"/>
      <c r="S706" s="36"/>
      <c r="T706" s="36"/>
    </row>
    <row r="707" spans="1:20" ht="15.75">
      <c r="A707" s="13">
        <v>63036</v>
      </c>
      <c r="B707" s="44">
        <f t="shared" si="1"/>
        <v>31</v>
      </c>
      <c r="C707" s="35">
        <v>194.20500000000001</v>
      </c>
      <c r="D707" s="35">
        <v>267.46600000000001</v>
      </c>
      <c r="E707" s="41">
        <v>812.32899999999995</v>
      </c>
      <c r="F707" s="35">
        <v>1274</v>
      </c>
      <c r="G707" s="35">
        <v>50</v>
      </c>
      <c r="H707" s="43">
        <v>600</v>
      </c>
      <c r="I707" s="35">
        <v>695</v>
      </c>
      <c r="J707" s="35">
        <v>0</v>
      </c>
      <c r="K707" s="36"/>
      <c r="L707" s="36"/>
      <c r="M707" s="36"/>
      <c r="N707" s="36"/>
      <c r="O707" s="36"/>
      <c r="P707" s="36"/>
      <c r="Q707" s="36"/>
      <c r="R707" s="36"/>
      <c r="S707" s="36"/>
      <c r="T707" s="36"/>
    </row>
    <row r="708" spans="1:20" ht="15.75">
      <c r="A708" s="13">
        <v>63067</v>
      </c>
      <c r="B708" s="44">
        <f t="shared" si="1"/>
        <v>31</v>
      </c>
      <c r="C708" s="35">
        <v>194.20500000000001</v>
      </c>
      <c r="D708" s="35">
        <v>267.46600000000001</v>
      </c>
      <c r="E708" s="41">
        <v>812.32899999999995</v>
      </c>
      <c r="F708" s="35">
        <v>1274</v>
      </c>
      <c r="G708" s="35">
        <v>50</v>
      </c>
      <c r="H708" s="43">
        <v>600</v>
      </c>
      <c r="I708" s="35">
        <v>695</v>
      </c>
      <c r="J708" s="35">
        <v>0</v>
      </c>
      <c r="K708" s="36"/>
      <c r="L708" s="36"/>
      <c r="M708" s="36"/>
      <c r="N708" s="36"/>
      <c r="O708" s="36"/>
      <c r="P708" s="36"/>
      <c r="Q708" s="36"/>
      <c r="R708" s="36"/>
      <c r="S708" s="36"/>
      <c r="T708" s="36"/>
    </row>
    <row r="709" spans="1:20" ht="15.75">
      <c r="A709" s="13">
        <v>63097</v>
      </c>
      <c r="B709" s="44">
        <f t="shared" ref="B709:B772" si="2">EOMONTH(A709,0)-EOMONTH(A709,-1)</f>
        <v>30</v>
      </c>
      <c r="C709" s="35">
        <v>194.20500000000001</v>
      </c>
      <c r="D709" s="35">
        <v>267.46600000000001</v>
      </c>
      <c r="E709" s="41">
        <v>812.32899999999995</v>
      </c>
      <c r="F709" s="35">
        <v>1274</v>
      </c>
      <c r="G709" s="35">
        <v>50</v>
      </c>
      <c r="H709" s="43">
        <v>600</v>
      </c>
      <c r="I709" s="35">
        <v>695</v>
      </c>
      <c r="J709" s="35">
        <v>0</v>
      </c>
      <c r="K709" s="36"/>
      <c r="L709" s="36"/>
      <c r="M709" s="36"/>
      <c r="N709" s="36"/>
      <c r="O709" s="36"/>
      <c r="P709" s="36"/>
      <c r="Q709" s="36"/>
      <c r="R709" s="36"/>
      <c r="S709" s="36"/>
      <c r="T709" s="36"/>
    </row>
    <row r="710" spans="1:20" ht="15.75">
      <c r="A710" s="13">
        <v>63128</v>
      </c>
      <c r="B710" s="44">
        <f t="shared" si="2"/>
        <v>31</v>
      </c>
      <c r="C710" s="35">
        <v>131.881</v>
      </c>
      <c r="D710" s="35">
        <v>277.16699999999997</v>
      </c>
      <c r="E710" s="41">
        <v>829.952</v>
      </c>
      <c r="F710" s="35">
        <v>1239</v>
      </c>
      <c r="G710" s="35">
        <v>75</v>
      </c>
      <c r="H710" s="43">
        <v>600</v>
      </c>
      <c r="I710" s="35">
        <v>695</v>
      </c>
      <c r="J710" s="35">
        <v>0</v>
      </c>
      <c r="K710" s="36"/>
      <c r="L710" s="36"/>
      <c r="M710" s="36"/>
      <c r="N710" s="36"/>
      <c r="O710" s="36"/>
      <c r="P710" s="36"/>
      <c r="Q710" s="36"/>
      <c r="R710" s="36"/>
      <c r="S710" s="36"/>
      <c r="T710" s="36"/>
    </row>
    <row r="711" spans="1:20" ht="15.75">
      <c r="A711" s="13">
        <v>63158</v>
      </c>
      <c r="B711" s="44">
        <f t="shared" si="2"/>
        <v>30</v>
      </c>
      <c r="C711" s="35">
        <v>122.58</v>
      </c>
      <c r="D711" s="35">
        <v>297.94099999999997</v>
      </c>
      <c r="E711" s="41">
        <v>729.47900000000004</v>
      </c>
      <c r="F711" s="35">
        <v>1150</v>
      </c>
      <c r="G711" s="35">
        <v>100</v>
      </c>
      <c r="H711" s="43">
        <v>600</v>
      </c>
      <c r="I711" s="35">
        <v>695</v>
      </c>
      <c r="J711" s="35">
        <v>50</v>
      </c>
      <c r="K711" s="36"/>
      <c r="L711" s="36"/>
      <c r="M711" s="36"/>
      <c r="N711" s="36"/>
      <c r="O711" s="36"/>
      <c r="P711" s="36"/>
      <c r="Q711" s="36"/>
      <c r="R711" s="36"/>
      <c r="S711" s="36"/>
      <c r="T711" s="36"/>
    </row>
    <row r="712" spans="1:20" ht="15.75">
      <c r="A712" s="13">
        <v>63189</v>
      </c>
      <c r="B712" s="44">
        <f t="shared" si="2"/>
        <v>31</v>
      </c>
      <c r="C712" s="35">
        <v>122.58</v>
      </c>
      <c r="D712" s="35">
        <v>297.94099999999997</v>
      </c>
      <c r="E712" s="41">
        <v>729.47900000000004</v>
      </c>
      <c r="F712" s="35">
        <v>1150</v>
      </c>
      <c r="G712" s="35">
        <v>100</v>
      </c>
      <c r="H712" s="43">
        <v>600</v>
      </c>
      <c r="I712" s="35">
        <v>695</v>
      </c>
      <c r="J712" s="35">
        <v>50</v>
      </c>
      <c r="K712" s="36"/>
      <c r="L712" s="36"/>
      <c r="M712" s="36"/>
      <c r="N712" s="36"/>
      <c r="O712" s="36"/>
      <c r="P712" s="36"/>
      <c r="Q712" s="36"/>
      <c r="R712" s="36"/>
      <c r="S712" s="36"/>
      <c r="T712" s="36"/>
    </row>
    <row r="713" spans="1:20" ht="15.75">
      <c r="A713" s="13">
        <v>63220</v>
      </c>
      <c r="B713" s="44">
        <f t="shared" si="2"/>
        <v>31</v>
      </c>
      <c r="C713" s="35">
        <v>122.58</v>
      </c>
      <c r="D713" s="35">
        <v>297.94099999999997</v>
      </c>
      <c r="E713" s="41">
        <v>729.47900000000004</v>
      </c>
      <c r="F713" s="35">
        <v>1150</v>
      </c>
      <c r="G713" s="35">
        <v>100</v>
      </c>
      <c r="H713" s="43">
        <v>600</v>
      </c>
      <c r="I713" s="35">
        <v>695</v>
      </c>
      <c r="J713" s="35">
        <v>50</v>
      </c>
      <c r="K713" s="36"/>
      <c r="L713" s="36"/>
      <c r="M713" s="36"/>
      <c r="N713" s="36"/>
      <c r="O713" s="36"/>
      <c r="P713" s="36"/>
      <c r="Q713" s="36"/>
      <c r="R713" s="36"/>
      <c r="S713" s="36"/>
      <c r="T713" s="36"/>
    </row>
    <row r="714" spans="1:20" ht="15.75">
      <c r="A714" s="13">
        <v>63248</v>
      </c>
      <c r="B714" s="44">
        <f t="shared" si="2"/>
        <v>28</v>
      </c>
      <c r="C714" s="35">
        <v>122.58</v>
      </c>
      <c r="D714" s="35">
        <v>297.94099999999997</v>
      </c>
      <c r="E714" s="41">
        <v>729.47900000000004</v>
      </c>
      <c r="F714" s="35">
        <v>1150</v>
      </c>
      <c r="G714" s="35">
        <v>100</v>
      </c>
      <c r="H714" s="43">
        <v>600</v>
      </c>
      <c r="I714" s="35">
        <v>695</v>
      </c>
      <c r="J714" s="35">
        <v>50</v>
      </c>
      <c r="K714" s="36"/>
      <c r="L714" s="36"/>
      <c r="M714" s="36"/>
      <c r="N714" s="36"/>
      <c r="O714" s="36"/>
      <c r="P714" s="36"/>
      <c r="Q714" s="36"/>
      <c r="R714" s="36"/>
      <c r="S714" s="36"/>
      <c r="T714" s="36"/>
    </row>
    <row r="715" spans="1:20" ht="15.75">
      <c r="A715" s="13">
        <v>63279</v>
      </c>
      <c r="B715" s="44">
        <f t="shared" si="2"/>
        <v>31</v>
      </c>
      <c r="C715" s="35">
        <v>122.58</v>
      </c>
      <c r="D715" s="35">
        <v>297.94099999999997</v>
      </c>
      <c r="E715" s="41">
        <v>729.47900000000004</v>
      </c>
      <c r="F715" s="35">
        <v>1150</v>
      </c>
      <c r="G715" s="35">
        <v>100</v>
      </c>
      <c r="H715" s="43">
        <v>600</v>
      </c>
      <c r="I715" s="35">
        <v>695</v>
      </c>
      <c r="J715" s="35">
        <v>50</v>
      </c>
      <c r="K715" s="36"/>
      <c r="L715" s="36"/>
      <c r="M715" s="36"/>
      <c r="N715" s="36"/>
      <c r="O715" s="36"/>
      <c r="P715" s="36"/>
      <c r="Q715" s="36"/>
      <c r="R715" s="36"/>
      <c r="S715" s="36"/>
      <c r="T715" s="36"/>
    </row>
    <row r="716" spans="1:20" ht="15.75">
      <c r="A716" s="13">
        <v>63309</v>
      </c>
      <c r="B716" s="44">
        <f t="shared" si="2"/>
        <v>30</v>
      </c>
      <c r="C716" s="35">
        <v>141.29300000000001</v>
      </c>
      <c r="D716" s="35">
        <v>267.99299999999999</v>
      </c>
      <c r="E716" s="41">
        <v>829.71400000000006</v>
      </c>
      <c r="F716" s="35">
        <v>1239</v>
      </c>
      <c r="G716" s="35">
        <v>100</v>
      </c>
      <c r="H716" s="43">
        <v>600</v>
      </c>
      <c r="I716" s="35">
        <v>695</v>
      </c>
      <c r="J716" s="35">
        <v>50</v>
      </c>
      <c r="K716" s="36"/>
      <c r="L716" s="36"/>
      <c r="M716" s="36"/>
      <c r="N716" s="36"/>
      <c r="O716" s="36"/>
      <c r="P716" s="36"/>
      <c r="Q716" s="36"/>
      <c r="R716" s="36"/>
      <c r="S716" s="36"/>
      <c r="T716" s="36"/>
    </row>
    <row r="717" spans="1:20" ht="15.75">
      <c r="A717" s="13">
        <v>63340</v>
      </c>
      <c r="B717" s="44">
        <f t="shared" si="2"/>
        <v>31</v>
      </c>
      <c r="C717" s="35">
        <v>194.20500000000001</v>
      </c>
      <c r="D717" s="35">
        <v>267.46600000000001</v>
      </c>
      <c r="E717" s="41">
        <v>812.32899999999995</v>
      </c>
      <c r="F717" s="35">
        <v>1274</v>
      </c>
      <c r="G717" s="35">
        <v>75</v>
      </c>
      <c r="H717" s="43">
        <v>600</v>
      </c>
      <c r="I717" s="35">
        <v>695</v>
      </c>
      <c r="J717" s="35">
        <v>50</v>
      </c>
      <c r="K717" s="36"/>
      <c r="L717" s="36"/>
      <c r="M717" s="36"/>
      <c r="N717" s="36"/>
      <c r="O717" s="36"/>
      <c r="P717" s="36"/>
      <c r="Q717" s="36"/>
      <c r="R717" s="36"/>
      <c r="S717" s="36"/>
      <c r="T717" s="36"/>
    </row>
    <row r="718" spans="1:20" ht="15.75">
      <c r="A718" s="13">
        <v>63370</v>
      </c>
      <c r="B718" s="44">
        <f t="shared" si="2"/>
        <v>30</v>
      </c>
      <c r="C718" s="35">
        <v>194.20500000000001</v>
      </c>
      <c r="D718" s="35">
        <v>267.46600000000001</v>
      </c>
      <c r="E718" s="41">
        <v>812.32899999999995</v>
      </c>
      <c r="F718" s="35">
        <v>1274</v>
      </c>
      <c r="G718" s="35">
        <v>50</v>
      </c>
      <c r="H718" s="43">
        <v>600</v>
      </c>
      <c r="I718" s="35">
        <v>695</v>
      </c>
      <c r="J718" s="35">
        <v>50</v>
      </c>
      <c r="K718" s="36"/>
      <c r="L718" s="36"/>
      <c r="M718" s="36"/>
      <c r="N718" s="36"/>
      <c r="O718" s="36"/>
      <c r="P718" s="36"/>
      <c r="Q718" s="36"/>
      <c r="R718" s="36"/>
      <c r="S718" s="36"/>
      <c r="T718" s="36"/>
    </row>
    <row r="719" spans="1:20" ht="15.75">
      <c r="A719" s="13">
        <v>63401</v>
      </c>
      <c r="B719" s="44">
        <f t="shared" si="2"/>
        <v>31</v>
      </c>
      <c r="C719" s="35">
        <v>194.20500000000001</v>
      </c>
      <c r="D719" s="35">
        <v>267.46600000000001</v>
      </c>
      <c r="E719" s="41">
        <v>812.32899999999995</v>
      </c>
      <c r="F719" s="35">
        <v>1274</v>
      </c>
      <c r="G719" s="35">
        <v>50</v>
      </c>
      <c r="H719" s="43">
        <v>600</v>
      </c>
      <c r="I719" s="35">
        <v>695</v>
      </c>
      <c r="J719" s="35">
        <v>0</v>
      </c>
      <c r="K719" s="36"/>
      <c r="L719" s="36"/>
      <c r="M719" s="36"/>
      <c r="N719" s="36"/>
      <c r="O719" s="36"/>
      <c r="P719" s="36"/>
      <c r="Q719" s="36"/>
      <c r="R719" s="36"/>
      <c r="S719" s="36"/>
      <c r="T719" s="36"/>
    </row>
    <row r="720" spans="1:20" ht="15.75">
      <c r="A720" s="13">
        <v>63432</v>
      </c>
      <c r="B720" s="44">
        <f t="shared" si="2"/>
        <v>31</v>
      </c>
      <c r="C720" s="35">
        <v>194.20500000000001</v>
      </c>
      <c r="D720" s="35">
        <v>267.46600000000001</v>
      </c>
      <c r="E720" s="41">
        <v>812.32899999999995</v>
      </c>
      <c r="F720" s="35">
        <v>1274</v>
      </c>
      <c r="G720" s="35">
        <v>50</v>
      </c>
      <c r="H720" s="43">
        <v>600</v>
      </c>
      <c r="I720" s="35">
        <v>695</v>
      </c>
      <c r="J720" s="35">
        <v>0</v>
      </c>
      <c r="K720" s="36"/>
      <c r="L720" s="36"/>
      <c r="M720" s="36"/>
      <c r="N720" s="36"/>
      <c r="O720" s="36"/>
      <c r="P720" s="36"/>
      <c r="Q720" s="36"/>
      <c r="R720" s="36"/>
      <c r="S720" s="36"/>
      <c r="T720" s="36"/>
    </row>
    <row r="721" spans="1:20" ht="15.75">
      <c r="A721" s="13">
        <v>63462</v>
      </c>
      <c r="B721" s="44">
        <f t="shared" si="2"/>
        <v>30</v>
      </c>
      <c r="C721" s="35">
        <v>194.20500000000001</v>
      </c>
      <c r="D721" s="35">
        <v>267.46600000000001</v>
      </c>
      <c r="E721" s="41">
        <v>812.32899999999995</v>
      </c>
      <c r="F721" s="35">
        <v>1274</v>
      </c>
      <c r="G721" s="35">
        <v>50</v>
      </c>
      <c r="H721" s="43">
        <v>600</v>
      </c>
      <c r="I721" s="35">
        <v>695</v>
      </c>
      <c r="J721" s="35">
        <v>0</v>
      </c>
      <c r="K721" s="36"/>
      <c r="L721" s="36"/>
      <c r="M721" s="36"/>
      <c r="N721" s="36"/>
      <c r="O721" s="36"/>
      <c r="P721" s="36"/>
      <c r="Q721" s="36"/>
      <c r="R721" s="36"/>
      <c r="S721" s="36"/>
      <c r="T721" s="36"/>
    </row>
    <row r="722" spans="1:20" ht="15.75">
      <c r="A722" s="13">
        <v>63493</v>
      </c>
      <c r="B722" s="44">
        <f t="shared" si="2"/>
        <v>31</v>
      </c>
      <c r="C722" s="35">
        <v>131.881</v>
      </c>
      <c r="D722" s="35">
        <v>277.16699999999997</v>
      </c>
      <c r="E722" s="41">
        <v>829.952</v>
      </c>
      <c r="F722" s="35">
        <v>1239</v>
      </c>
      <c r="G722" s="35">
        <v>75</v>
      </c>
      <c r="H722" s="43">
        <v>600</v>
      </c>
      <c r="I722" s="35">
        <v>695</v>
      </c>
      <c r="J722" s="35">
        <v>0</v>
      </c>
      <c r="K722" s="36"/>
      <c r="L722" s="36"/>
      <c r="M722" s="36"/>
      <c r="N722" s="36"/>
      <c r="O722" s="36"/>
      <c r="P722" s="36"/>
      <c r="Q722" s="36"/>
      <c r="R722" s="36"/>
      <c r="S722" s="36"/>
      <c r="T722" s="36"/>
    </row>
    <row r="723" spans="1:20" ht="15.75">
      <c r="A723" s="13">
        <v>63523</v>
      </c>
      <c r="B723" s="44">
        <f t="shared" si="2"/>
        <v>30</v>
      </c>
      <c r="C723" s="35">
        <v>122.58</v>
      </c>
      <c r="D723" s="35">
        <v>297.94099999999997</v>
      </c>
      <c r="E723" s="41">
        <v>729.47900000000004</v>
      </c>
      <c r="F723" s="35">
        <v>1150</v>
      </c>
      <c r="G723" s="35">
        <v>100</v>
      </c>
      <c r="H723" s="43">
        <v>600</v>
      </c>
      <c r="I723" s="35">
        <v>695</v>
      </c>
      <c r="J723" s="35">
        <v>50</v>
      </c>
      <c r="K723" s="36"/>
      <c r="L723" s="36"/>
      <c r="M723" s="36"/>
      <c r="N723" s="36"/>
      <c r="O723" s="36"/>
      <c r="P723" s="36"/>
      <c r="Q723" s="36"/>
      <c r="R723" s="36"/>
      <c r="S723" s="36"/>
      <c r="T723" s="36"/>
    </row>
    <row r="724" spans="1:20" ht="15.75">
      <c r="A724" s="13">
        <v>63554</v>
      </c>
      <c r="B724" s="44">
        <f t="shared" si="2"/>
        <v>31</v>
      </c>
      <c r="C724" s="35">
        <v>122.58</v>
      </c>
      <c r="D724" s="35">
        <v>297.94099999999997</v>
      </c>
      <c r="E724" s="41">
        <v>729.47900000000004</v>
      </c>
      <c r="F724" s="35">
        <v>1150</v>
      </c>
      <c r="G724" s="35">
        <v>100</v>
      </c>
      <c r="H724" s="43">
        <v>600</v>
      </c>
      <c r="I724" s="35">
        <v>695</v>
      </c>
      <c r="J724" s="35">
        <v>50</v>
      </c>
      <c r="K724" s="36"/>
      <c r="L724" s="36"/>
      <c r="M724" s="36"/>
      <c r="N724" s="36"/>
      <c r="O724" s="36"/>
      <c r="P724" s="36"/>
      <c r="Q724" s="36"/>
      <c r="R724" s="36"/>
      <c r="S724" s="36"/>
      <c r="T724" s="36"/>
    </row>
    <row r="725" spans="1:20" ht="15.75">
      <c r="A725" s="13">
        <v>63585</v>
      </c>
      <c r="B725" s="44">
        <f t="shared" si="2"/>
        <v>31</v>
      </c>
      <c r="C725" s="35">
        <v>122.58</v>
      </c>
      <c r="D725" s="35">
        <v>297.94099999999997</v>
      </c>
      <c r="E725" s="41">
        <v>729.47900000000004</v>
      </c>
      <c r="F725" s="35">
        <v>1150</v>
      </c>
      <c r="G725" s="35">
        <v>100</v>
      </c>
      <c r="H725" s="43">
        <v>600</v>
      </c>
      <c r="I725" s="35">
        <v>695</v>
      </c>
      <c r="J725" s="35">
        <v>50</v>
      </c>
      <c r="K725" s="36"/>
      <c r="L725" s="36"/>
      <c r="M725" s="36"/>
      <c r="N725" s="36"/>
      <c r="O725" s="36"/>
      <c r="P725" s="36"/>
      <c r="Q725" s="36"/>
      <c r="R725" s="36"/>
      <c r="S725" s="36"/>
      <c r="T725" s="36"/>
    </row>
    <row r="726" spans="1:20" ht="15.75">
      <c r="A726" s="13">
        <v>63613</v>
      </c>
      <c r="B726" s="44">
        <f t="shared" si="2"/>
        <v>28</v>
      </c>
      <c r="C726" s="35">
        <v>122.58</v>
      </c>
      <c r="D726" s="35">
        <v>297.94099999999997</v>
      </c>
      <c r="E726" s="41">
        <v>729.47900000000004</v>
      </c>
      <c r="F726" s="35">
        <v>1150</v>
      </c>
      <c r="G726" s="35">
        <v>100</v>
      </c>
      <c r="H726" s="43">
        <v>600</v>
      </c>
      <c r="I726" s="35">
        <v>695</v>
      </c>
      <c r="J726" s="35">
        <v>50</v>
      </c>
      <c r="K726" s="36"/>
      <c r="L726" s="36"/>
      <c r="M726" s="36"/>
      <c r="N726" s="36"/>
      <c r="O726" s="36"/>
      <c r="P726" s="36"/>
      <c r="Q726" s="36"/>
      <c r="R726" s="36"/>
      <c r="S726" s="36"/>
      <c r="T726" s="36"/>
    </row>
    <row r="727" spans="1:20" ht="15.75">
      <c r="A727" s="13">
        <v>63644</v>
      </c>
      <c r="B727" s="44">
        <f t="shared" si="2"/>
        <v>31</v>
      </c>
      <c r="C727" s="35">
        <v>122.58</v>
      </c>
      <c r="D727" s="35">
        <v>297.94099999999997</v>
      </c>
      <c r="E727" s="41">
        <v>729.47900000000004</v>
      </c>
      <c r="F727" s="35">
        <v>1150</v>
      </c>
      <c r="G727" s="35">
        <v>100</v>
      </c>
      <c r="H727" s="43">
        <v>600</v>
      </c>
      <c r="I727" s="35">
        <v>695</v>
      </c>
      <c r="J727" s="35">
        <v>50</v>
      </c>
      <c r="K727" s="36"/>
      <c r="L727" s="36"/>
      <c r="M727" s="36"/>
      <c r="N727" s="36"/>
      <c r="O727" s="36"/>
      <c r="P727" s="36"/>
      <c r="Q727" s="36"/>
      <c r="R727" s="36"/>
      <c r="S727" s="36"/>
      <c r="T727" s="36"/>
    </row>
    <row r="728" spans="1:20" ht="15.75">
      <c r="A728" s="13">
        <v>63674</v>
      </c>
      <c r="B728" s="44">
        <f t="shared" si="2"/>
        <v>30</v>
      </c>
      <c r="C728" s="35">
        <v>141.29300000000001</v>
      </c>
      <c r="D728" s="35">
        <v>267.99299999999999</v>
      </c>
      <c r="E728" s="41">
        <v>829.71400000000006</v>
      </c>
      <c r="F728" s="35">
        <v>1239</v>
      </c>
      <c r="G728" s="35">
        <v>100</v>
      </c>
      <c r="H728" s="43">
        <v>600</v>
      </c>
      <c r="I728" s="35">
        <v>695</v>
      </c>
      <c r="J728" s="35">
        <v>50</v>
      </c>
      <c r="K728" s="36"/>
      <c r="L728" s="36"/>
      <c r="M728" s="36"/>
      <c r="N728" s="36"/>
      <c r="O728" s="36"/>
      <c r="P728" s="36"/>
      <c r="Q728" s="36"/>
      <c r="R728" s="36"/>
      <c r="S728" s="36"/>
      <c r="T728" s="36"/>
    </row>
    <row r="729" spans="1:20" ht="15.75">
      <c r="A729" s="13">
        <v>63705</v>
      </c>
      <c r="B729" s="44">
        <f t="shared" si="2"/>
        <v>31</v>
      </c>
      <c r="C729" s="35">
        <v>194.20500000000001</v>
      </c>
      <c r="D729" s="35">
        <v>267.46600000000001</v>
      </c>
      <c r="E729" s="41">
        <v>812.32899999999995</v>
      </c>
      <c r="F729" s="35">
        <v>1274</v>
      </c>
      <c r="G729" s="35">
        <v>75</v>
      </c>
      <c r="H729" s="43">
        <v>600</v>
      </c>
      <c r="I729" s="35">
        <v>695</v>
      </c>
      <c r="J729" s="35">
        <v>50</v>
      </c>
      <c r="K729" s="36"/>
      <c r="L729" s="36"/>
      <c r="M729" s="36"/>
      <c r="N729" s="36"/>
      <c r="O729" s="36"/>
      <c r="P729" s="36"/>
      <c r="Q729" s="36"/>
      <c r="R729" s="36"/>
      <c r="S729" s="36"/>
      <c r="T729" s="36"/>
    </row>
    <row r="730" spans="1:20" ht="15.75">
      <c r="A730" s="13">
        <v>63735</v>
      </c>
      <c r="B730" s="44">
        <f t="shared" si="2"/>
        <v>30</v>
      </c>
      <c r="C730" s="35">
        <v>194.20500000000001</v>
      </c>
      <c r="D730" s="35">
        <v>267.46600000000001</v>
      </c>
      <c r="E730" s="41">
        <v>812.32899999999995</v>
      </c>
      <c r="F730" s="35">
        <v>1274</v>
      </c>
      <c r="G730" s="35">
        <v>50</v>
      </c>
      <c r="H730" s="43">
        <v>600</v>
      </c>
      <c r="I730" s="35">
        <v>695</v>
      </c>
      <c r="J730" s="35">
        <v>50</v>
      </c>
      <c r="K730" s="36"/>
      <c r="L730" s="36"/>
      <c r="M730" s="36"/>
      <c r="N730" s="36"/>
      <c r="O730" s="36"/>
      <c r="P730" s="36"/>
      <c r="Q730" s="36"/>
      <c r="R730" s="36"/>
      <c r="S730" s="36"/>
      <c r="T730" s="36"/>
    </row>
    <row r="731" spans="1:20" ht="15.75">
      <c r="A731" s="13">
        <v>63766</v>
      </c>
      <c r="B731" s="44">
        <f t="shared" si="2"/>
        <v>31</v>
      </c>
      <c r="C731" s="35">
        <v>194.20500000000001</v>
      </c>
      <c r="D731" s="35">
        <v>267.46600000000001</v>
      </c>
      <c r="E731" s="41">
        <v>812.32899999999995</v>
      </c>
      <c r="F731" s="35">
        <v>1274</v>
      </c>
      <c r="G731" s="35">
        <v>50</v>
      </c>
      <c r="H731" s="43">
        <v>600</v>
      </c>
      <c r="I731" s="35">
        <v>695</v>
      </c>
      <c r="J731" s="35">
        <v>0</v>
      </c>
      <c r="K731" s="36"/>
      <c r="L731" s="36"/>
      <c r="M731" s="36"/>
      <c r="N731" s="36"/>
      <c r="O731" s="36"/>
      <c r="P731" s="36"/>
      <c r="Q731" s="36"/>
      <c r="R731" s="36"/>
      <c r="S731" s="36"/>
      <c r="T731" s="36"/>
    </row>
    <row r="732" spans="1:20" ht="15.75">
      <c r="A732" s="13">
        <v>63797</v>
      </c>
      <c r="B732" s="44">
        <f t="shared" si="2"/>
        <v>31</v>
      </c>
      <c r="C732" s="35">
        <v>194.20500000000001</v>
      </c>
      <c r="D732" s="35">
        <v>267.46600000000001</v>
      </c>
      <c r="E732" s="41">
        <v>812.32899999999995</v>
      </c>
      <c r="F732" s="35">
        <v>1274</v>
      </c>
      <c r="G732" s="35">
        <v>50</v>
      </c>
      <c r="H732" s="43">
        <v>600</v>
      </c>
      <c r="I732" s="35">
        <v>695</v>
      </c>
      <c r="J732" s="35">
        <v>0</v>
      </c>
      <c r="K732" s="36"/>
      <c r="L732" s="36"/>
      <c r="M732" s="36"/>
      <c r="N732" s="36"/>
      <c r="O732" s="36"/>
      <c r="P732" s="36"/>
      <c r="Q732" s="36"/>
      <c r="R732" s="36"/>
      <c r="S732" s="36"/>
      <c r="T732" s="36"/>
    </row>
    <row r="733" spans="1:20" ht="15.75">
      <c r="A733" s="13">
        <v>63827</v>
      </c>
      <c r="B733" s="44">
        <f t="shared" si="2"/>
        <v>30</v>
      </c>
      <c r="C733" s="35">
        <v>194.20500000000001</v>
      </c>
      <c r="D733" s="35">
        <v>267.46600000000001</v>
      </c>
      <c r="E733" s="41">
        <v>812.32899999999995</v>
      </c>
      <c r="F733" s="35">
        <v>1274</v>
      </c>
      <c r="G733" s="35">
        <v>50</v>
      </c>
      <c r="H733" s="43">
        <v>600</v>
      </c>
      <c r="I733" s="35">
        <v>695</v>
      </c>
      <c r="J733" s="35">
        <v>0</v>
      </c>
      <c r="K733" s="36"/>
      <c r="L733" s="36"/>
      <c r="M733" s="36"/>
      <c r="N733" s="36"/>
      <c r="O733" s="36"/>
      <c r="P733" s="36"/>
      <c r="Q733" s="36"/>
      <c r="R733" s="36"/>
      <c r="S733" s="36"/>
      <c r="T733" s="36"/>
    </row>
    <row r="734" spans="1:20" ht="15.75">
      <c r="A734" s="13">
        <v>63858</v>
      </c>
      <c r="B734" s="44">
        <f t="shared" si="2"/>
        <v>31</v>
      </c>
      <c r="C734" s="35">
        <v>131.881</v>
      </c>
      <c r="D734" s="35">
        <v>277.16699999999997</v>
      </c>
      <c r="E734" s="41">
        <v>829.952</v>
      </c>
      <c r="F734" s="35">
        <v>1239</v>
      </c>
      <c r="G734" s="35">
        <v>75</v>
      </c>
      <c r="H734" s="43">
        <v>600</v>
      </c>
      <c r="I734" s="35">
        <v>695</v>
      </c>
      <c r="J734" s="35">
        <v>0</v>
      </c>
      <c r="K734" s="36"/>
      <c r="L734" s="36"/>
      <c r="M734" s="36"/>
      <c r="N734" s="36"/>
      <c r="O734" s="36"/>
      <c r="P734" s="36"/>
      <c r="Q734" s="36"/>
      <c r="R734" s="36"/>
      <c r="S734" s="36"/>
      <c r="T734" s="36"/>
    </row>
    <row r="735" spans="1:20" ht="15.75">
      <c r="A735" s="13">
        <v>63888</v>
      </c>
      <c r="B735" s="44">
        <f t="shared" si="2"/>
        <v>30</v>
      </c>
      <c r="C735" s="35">
        <v>122.58</v>
      </c>
      <c r="D735" s="35">
        <v>297.94099999999997</v>
      </c>
      <c r="E735" s="41">
        <v>729.47900000000004</v>
      </c>
      <c r="F735" s="35">
        <v>1150</v>
      </c>
      <c r="G735" s="35">
        <v>100</v>
      </c>
      <c r="H735" s="43">
        <v>600</v>
      </c>
      <c r="I735" s="35">
        <v>695</v>
      </c>
      <c r="J735" s="35">
        <v>50</v>
      </c>
      <c r="K735" s="36"/>
      <c r="L735" s="36"/>
      <c r="M735" s="36"/>
      <c r="N735" s="36"/>
      <c r="O735" s="36"/>
      <c r="P735" s="36"/>
      <c r="Q735" s="36"/>
      <c r="R735" s="36"/>
      <c r="S735" s="36"/>
      <c r="T735" s="36"/>
    </row>
    <row r="736" spans="1:20" ht="15.75">
      <c r="A736" s="13">
        <v>63919</v>
      </c>
      <c r="B736" s="44">
        <f t="shared" si="2"/>
        <v>31</v>
      </c>
      <c r="C736" s="35">
        <v>122.58</v>
      </c>
      <c r="D736" s="35">
        <v>297.94099999999997</v>
      </c>
      <c r="E736" s="41">
        <v>729.47900000000004</v>
      </c>
      <c r="F736" s="35">
        <v>1150</v>
      </c>
      <c r="G736" s="35">
        <v>100</v>
      </c>
      <c r="H736" s="43">
        <v>600</v>
      </c>
      <c r="I736" s="35">
        <v>695</v>
      </c>
      <c r="J736" s="35">
        <v>50</v>
      </c>
      <c r="K736" s="36"/>
      <c r="L736" s="36"/>
      <c r="M736" s="36"/>
      <c r="N736" s="36"/>
      <c r="O736" s="36"/>
      <c r="P736" s="36"/>
      <c r="Q736" s="36"/>
      <c r="R736" s="36"/>
      <c r="S736" s="36"/>
      <c r="T736" s="36"/>
    </row>
    <row r="737" spans="1:20" ht="15.75">
      <c r="A737" s="13">
        <v>63950</v>
      </c>
      <c r="B737" s="44">
        <f t="shared" si="2"/>
        <v>31</v>
      </c>
      <c r="C737" s="35">
        <v>122.58</v>
      </c>
      <c r="D737" s="35">
        <v>297.94099999999997</v>
      </c>
      <c r="E737" s="41">
        <v>729.47900000000004</v>
      </c>
      <c r="F737" s="35">
        <v>1150</v>
      </c>
      <c r="G737" s="35">
        <v>100</v>
      </c>
      <c r="H737" s="43">
        <v>600</v>
      </c>
      <c r="I737" s="35">
        <v>695</v>
      </c>
      <c r="J737" s="35">
        <v>50</v>
      </c>
      <c r="K737" s="36"/>
      <c r="L737" s="36"/>
      <c r="M737" s="36"/>
      <c r="N737" s="36"/>
      <c r="O737" s="36"/>
      <c r="P737" s="36"/>
      <c r="Q737" s="36"/>
      <c r="R737" s="36"/>
      <c r="S737" s="36"/>
      <c r="T737" s="36"/>
    </row>
    <row r="738" spans="1:20" ht="15.75">
      <c r="A738" s="13">
        <v>63978</v>
      </c>
      <c r="B738" s="44">
        <f t="shared" si="2"/>
        <v>28</v>
      </c>
      <c r="C738" s="35">
        <v>122.58</v>
      </c>
      <c r="D738" s="35">
        <v>297.94099999999997</v>
      </c>
      <c r="E738" s="41">
        <v>729.47900000000004</v>
      </c>
      <c r="F738" s="35">
        <v>1150</v>
      </c>
      <c r="G738" s="35">
        <v>100</v>
      </c>
      <c r="H738" s="43">
        <v>600</v>
      </c>
      <c r="I738" s="35">
        <v>695</v>
      </c>
      <c r="J738" s="35">
        <v>50</v>
      </c>
      <c r="K738" s="36"/>
      <c r="L738" s="36"/>
      <c r="M738" s="36"/>
      <c r="N738" s="36"/>
      <c r="O738" s="36"/>
      <c r="P738" s="36"/>
      <c r="Q738" s="36"/>
      <c r="R738" s="36"/>
      <c r="S738" s="36"/>
      <c r="T738" s="36"/>
    </row>
    <row r="739" spans="1:20" ht="15.75">
      <c r="A739" s="13">
        <v>64009</v>
      </c>
      <c r="B739" s="44">
        <f t="shared" si="2"/>
        <v>31</v>
      </c>
      <c r="C739" s="35">
        <v>122.58</v>
      </c>
      <c r="D739" s="35">
        <v>297.94099999999997</v>
      </c>
      <c r="E739" s="41">
        <v>729.47900000000004</v>
      </c>
      <c r="F739" s="35">
        <v>1150</v>
      </c>
      <c r="G739" s="35">
        <v>100</v>
      </c>
      <c r="H739" s="43">
        <v>600</v>
      </c>
      <c r="I739" s="35">
        <v>695</v>
      </c>
      <c r="J739" s="35">
        <v>50</v>
      </c>
      <c r="K739" s="36"/>
      <c r="L739" s="36"/>
      <c r="M739" s="36"/>
      <c r="N739" s="36"/>
      <c r="O739" s="36"/>
      <c r="P739" s="36"/>
      <c r="Q739" s="36"/>
      <c r="R739" s="36"/>
      <c r="S739" s="36"/>
      <c r="T739" s="36"/>
    </row>
    <row r="740" spans="1:20" ht="15.75">
      <c r="A740" s="13">
        <v>64039</v>
      </c>
      <c r="B740" s="44">
        <f t="shared" si="2"/>
        <v>30</v>
      </c>
      <c r="C740" s="35">
        <v>141.29300000000001</v>
      </c>
      <c r="D740" s="35">
        <v>267.99299999999999</v>
      </c>
      <c r="E740" s="41">
        <v>829.71400000000006</v>
      </c>
      <c r="F740" s="35">
        <v>1239</v>
      </c>
      <c r="G740" s="35">
        <v>100</v>
      </c>
      <c r="H740" s="43">
        <v>600</v>
      </c>
      <c r="I740" s="35">
        <v>695</v>
      </c>
      <c r="J740" s="35">
        <v>50</v>
      </c>
      <c r="K740" s="36"/>
      <c r="L740" s="36"/>
      <c r="M740" s="36"/>
      <c r="N740" s="36"/>
      <c r="O740" s="36"/>
      <c r="P740" s="36"/>
      <c r="Q740" s="36"/>
      <c r="R740" s="36"/>
      <c r="S740" s="36"/>
      <c r="T740" s="36"/>
    </row>
    <row r="741" spans="1:20" ht="15.75">
      <c r="A741" s="13">
        <v>64070</v>
      </c>
      <c r="B741" s="44">
        <f t="shared" si="2"/>
        <v>31</v>
      </c>
      <c r="C741" s="35">
        <v>194.20500000000001</v>
      </c>
      <c r="D741" s="35">
        <v>267.46600000000001</v>
      </c>
      <c r="E741" s="41">
        <v>812.32899999999995</v>
      </c>
      <c r="F741" s="35">
        <v>1274</v>
      </c>
      <c r="G741" s="35">
        <v>75</v>
      </c>
      <c r="H741" s="43">
        <v>600</v>
      </c>
      <c r="I741" s="35">
        <v>695</v>
      </c>
      <c r="J741" s="35">
        <v>50</v>
      </c>
      <c r="K741" s="36"/>
      <c r="L741" s="36"/>
      <c r="M741" s="36"/>
      <c r="N741" s="36"/>
      <c r="O741" s="36"/>
      <c r="P741" s="36"/>
      <c r="Q741" s="36"/>
      <c r="R741" s="36"/>
      <c r="S741" s="36"/>
      <c r="T741" s="36"/>
    </row>
    <row r="742" spans="1:20" ht="15.75">
      <c r="A742" s="13">
        <v>64100</v>
      </c>
      <c r="B742" s="44">
        <f t="shared" si="2"/>
        <v>30</v>
      </c>
      <c r="C742" s="35">
        <v>194.20500000000001</v>
      </c>
      <c r="D742" s="35">
        <v>267.46600000000001</v>
      </c>
      <c r="E742" s="41">
        <v>812.32899999999995</v>
      </c>
      <c r="F742" s="35">
        <v>1274</v>
      </c>
      <c r="G742" s="35">
        <v>50</v>
      </c>
      <c r="H742" s="43">
        <v>600</v>
      </c>
      <c r="I742" s="35">
        <v>695</v>
      </c>
      <c r="J742" s="35">
        <v>50</v>
      </c>
      <c r="K742" s="36"/>
      <c r="L742" s="36"/>
      <c r="M742" s="36"/>
      <c r="N742" s="36"/>
      <c r="O742" s="36"/>
      <c r="P742" s="36"/>
      <c r="Q742" s="36"/>
      <c r="R742" s="36"/>
      <c r="S742" s="36"/>
      <c r="T742" s="36"/>
    </row>
    <row r="743" spans="1:20" ht="15.75">
      <c r="A743" s="13">
        <v>64131</v>
      </c>
      <c r="B743" s="44">
        <f t="shared" si="2"/>
        <v>31</v>
      </c>
      <c r="C743" s="35">
        <v>194.20500000000001</v>
      </c>
      <c r="D743" s="35">
        <v>267.46600000000001</v>
      </c>
      <c r="E743" s="41">
        <v>812.32899999999995</v>
      </c>
      <c r="F743" s="35">
        <v>1274</v>
      </c>
      <c r="G743" s="35">
        <v>50</v>
      </c>
      <c r="H743" s="43">
        <v>600</v>
      </c>
      <c r="I743" s="35">
        <v>695</v>
      </c>
      <c r="J743" s="35">
        <v>0</v>
      </c>
      <c r="K743" s="36"/>
      <c r="L743" s="36"/>
      <c r="M743" s="36"/>
      <c r="N743" s="36"/>
      <c r="O743" s="36"/>
      <c r="P743" s="36"/>
      <c r="Q743" s="36"/>
      <c r="R743" s="36"/>
      <c r="S743" s="36"/>
      <c r="T743" s="36"/>
    </row>
    <row r="744" spans="1:20" ht="15.75">
      <c r="A744" s="13">
        <v>64162</v>
      </c>
      <c r="B744" s="44">
        <f t="shared" si="2"/>
        <v>31</v>
      </c>
      <c r="C744" s="35">
        <v>194.20500000000001</v>
      </c>
      <c r="D744" s="35">
        <v>267.46600000000001</v>
      </c>
      <c r="E744" s="41">
        <v>812.32899999999995</v>
      </c>
      <c r="F744" s="35">
        <v>1274</v>
      </c>
      <c r="G744" s="35">
        <v>50</v>
      </c>
      <c r="H744" s="43">
        <v>600</v>
      </c>
      <c r="I744" s="35">
        <v>695</v>
      </c>
      <c r="J744" s="35">
        <v>0</v>
      </c>
      <c r="K744" s="36"/>
      <c r="L744" s="36"/>
      <c r="M744" s="36"/>
      <c r="N744" s="36"/>
      <c r="O744" s="36"/>
      <c r="P744" s="36"/>
      <c r="Q744" s="36"/>
      <c r="R744" s="36"/>
      <c r="S744" s="36"/>
      <c r="T744" s="36"/>
    </row>
    <row r="745" spans="1:20" ht="15.75">
      <c r="A745" s="13">
        <v>64192</v>
      </c>
      <c r="B745" s="44">
        <f t="shared" si="2"/>
        <v>30</v>
      </c>
      <c r="C745" s="35">
        <v>194.20500000000001</v>
      </c>
      <c r="D745" s="35">
        <v>267.46600000000001</v>
      </c>
      <c r="E745" s="41">
        <v>812.32899999999995</v>
      </c>
      <c r="F745" s="35">
        <v>1274</v>
      </c>
      <c r="G745" s="35">
        <v>50</v>
      </c>
      <c r="H745" s="43">
        <v>600</v>
      </c>
      <c r="I745" s="35">
        <v>695</v>
      </c>
      <c r="J745" s="35">
        <v>0</v>
      </c>
      <c r="K745" s="36"/>
      <c r="L745" s="36"/>
      <c r="M745" s="36"/>
      <c r="N745" s="36"/>
      <c r="O745" s="36"/>
      <c r="P745" s="36"/>
      <c r="Q745" s="36"/>
      <c r="R745" s="36"/>
      <c r="S745" s="36"/>
      <c r="T745" s="36"/>
    </row>
    <row r="746" spans="1:20" ht="15.75">
      <c r="A746" s="13">
        <v>64223</v>
      </c>
      <c r="B746" s="44">
        <f t="shared" si="2"/>
        <v>31</v>
      </c>
      <c r="C746" s="35">
        <v>131.881</v>
      </c>
      <c r="D746" s="35">
        <v>277.16699999999997</v>
      </c>
      <c r="E746" s="41">
        <v>829.952</v>
      </c>
      <c r="F746" s="35">
        <v>1239</v>
      </c>
      <c r="G746" s="35">
        <v>75</v>
      </c>
      <c r="H746" s="43">
        <v>600</v>
      </c>
      <c r="I746" s="35">
        <v>695</v>
      </c>
      <c r="J746" s="35">
        <v>0</v>
      </c>
      <c r="K746" s="36"/>
      <c r="L746" s="36"/>
      <c r="M746" s="36"/>
      <c r="N746" s="36"/>
      <c r="O746" s="36"/>
      <c r="P746" s="36"/>
      <c r="Q746" s="36"/>
      <c r="R746" s="36"/>
      <c r="S746" s="36"/>
      <c r="T746" s="36"/>
    </row>
    <row r="747" spans="1:20" ht="15.75">
      <c r="A747" s="13">
        <v>64253</v>
      </c>
      <c r="B747" s="44">
        <f t="shared" si="2"/>
        <v>30</v>
      </c>
      <c r="C747" s="35">
        <v>122.58</v>
      </c>
      <c r="D747" s="35">
        <v>297.94099999999997</v>
      </c>
      <c r="E747" s="41">
        <v>729.47900000000004</v>
      </c>
      <c r="F747" s="35">
        <v>1150</v>
      </c>
      <c r="G747" s="35">
        <v>100</v>
      </c>
      <c r="H747" s="43">
        <v>600</v>
      </c>
      <c r="I747" s="35">
        <v>695</v>
      </c>
      <c r="J747" s="35">
        <v>50</v>
      </c>
      <c r="K747" s="36"/>
      <c r="L747" s="36"/>
      <c r="M747" s="36"/>
      <c r="N747" s="36"/>
      <c r="O747" s="36"/>
      <c r="P747" s="36"/>
      <c r="Q747" s="36"/>
      <c r="R747" s="36"/>
      <c r="S747" s="36"/>
      <c r="T747" s="36"/>
    </row>
    <row r="748" spans="1:20" ht="15.75">
      <c r="A748" s="13">
        <v>64284</v>
      </c>
      <c r="B748" s="44">
        <f t="shared" si="2"/>
        <v>31</v>
      </c>
      <c r="C748" s="35">
        <v>122.58</v>
      </c>
      <c r="D748" s="35">
        <v>297.94099999999997</v>
      </c>
      <c r="E748" s="41">
        <v>729.47900000000004</v>
      </c>
      <c r="F748" s="35">
        <v>1150</v>
      </c>
      <c r="G748" s="35">
        <v>100</v>
      </c>
      <c r="H748" s="43">
        <v>600</v>
      </c>
      <c r="I748" s="35">
        <v>695</v>
      </c>
      <c r="J748" s="35">
        <v>50</v>
      </c>
      <c r="K748" s="36"/>
      <c r="L748" s="36"/>
      <c r="M748" s="36"/>
      <c r="N748" s="36"/>
      <c r="O748" s="36"/>
      <c r="P748" s="36"/>
      <c r="Q748" s="36"/>
      <c r="R748" s="36"/>
      <c r="S748" s="36"/>
      <c r="T748" s="36"/>
    </row>
    <row r="749" spans="1:20" ht="15.75">
      <c r="A749" s="13">
        <v>64315</v>
      </c>
      <c r="B749" s="44">
        <f t="shared" si="2"/>
        <v>31</v>
      </c>
      <c r="C749" s="35">
        <v>122.58</v>
      </c>
      <c r="D749" s="35">
        <v>297.94099999999997</v>
      </c>
      <c r="E749" s="41">
        <v>729.47900000000004</v>
      </c>
      <c r="F749" s="35">
        <v>1150</v>
      </c>
      <c r="G749" s="35">
        <v>100</v>
      </c>
      <c r="H749" s="43">
        <v>600</v>
      </c>
      <c r="I749" s="35">
        <v>695</v>
      </c>
      <c r="J749" s="35">
        <v>50</v>
      </c>
      <c r="K749" s="36"/>
      <c r="L749" s="36"/>
      <c r="M749" s="36"/>
      <c r="N749" s="36"/>
      <c r="O749" s="36"/>
      <c r="P749" s="36"/>
      <c r="Q749" s="36"/>
      <c r="R749" s="36"/>
      <c r="S749" s="36"/>
      <c r="T749" s="36"/>
    </row>
    <row r="750" spans="1:20" ht="15.75">
      <c r="A750" s="13">
        <v>64344</v>
      </c>
      <c r="B750" s="44">
        <f t="shared" si="2"/>
        <v>29</v>
      </c>
      <c r="C750" s="35">
        <v>122.58</v>
      </c>
      <c r="D750" s="35">
        <v>297.94099999999997</v>
      </c>
      <c r="E750" s="41">
        <v>729.47900000000004</v>
      </c>
      <c r="F750" s="35">
        <v>1150</v>
      </c>
      <c r="G750" s="35">
        <v>100</v>
      </c>
      <c r="H750" s="43">
        <v>600</v>
      </c>
      <c r="I750" s="35">
        <v>695</v>
      </c>
      <c r="J750" s="35">
        <v>50</v>
      </c>
      <c r="K750" s="36"/>
      <c r="L750" s="36"/>
      <c r="M750" s="36"/>
      <c r="N750" s="36"/>
      <c r="O750" s="36"/>
      <c r="P750" s="36"/>
      <c r="Q750" s="36"/>
      <c r="R750" s="36"/>
      <c r="S750" s="36"/>
      <c r="T750" s="36"/>
    </row>
    <row r="751" spans="1:20" ht="15.75">
      <c r="A751" s="13">
        <v>64375</v>
      </c>
      <c r="B751" s="44">
        <f t="shared" si="2"/>
        <v>31</v>
      </c>
      <c r="C751" s="35">
        <v>122.58</v>
      </c>
      <c r="D751" s="35">
        <v>297.94099999999997</v>
      </c>
      <c r="E751" s="41">
        <v>729.47900000000004</v>
      </c>
      <c r="F751" s="35">
        <v>1150</v>
      </c>
      <c r="G751" s="35">
        <v>100</v>
      </c>
      <c r="H751" s="43">
        <v>600</v>
      </c>
      <c r="I751" s="35">
        <v>695</v>
      </c>
      <c r="J751" s="35">
        <v>50</v>
      </c>
      <c r="K751" s="36"/>
      <c r="L751" s="36"/>
      <c r="M751" s="36"/>
      <c r="N751" s="36"/>
      <c r="O751" s="36"/>
      <c r="P751" s="36"/>
      <c r="Q751" s="36"/>
      <c r="R751" s="36"/>
      <c r="S751" s="36"/>
      <c r="T751" s="36"/>
    </row>
    <row r="752" spans="1:20" ht="15.75">
      <c r="A752" s="13">
        <v>64405</v>
      </c>
      <c r="B752" s="44">
        <f t="shared" si="2"/>
        <v>30</v>
      </c>
      <c r="C752" s="35">
        <v>141.29300000000001</v>
      </c>
      <c r="D752" s="35">
        <v>267.99299999999999</v>
      </c>
      <c r="E752" s="41">
        <v>829.71400000000006</v>
      </c>
      <c r="F752" s="35">
        <v>1239</v>
      </c>
      <c r="G752" s="35">
        <v>100</v>
      </c>
      <c r="H752" s="43">
        <v>600</v>
      </c>
      <c r="I752" s="35">
        <v>695</v>
      </c>
      <c r="J752" s="35">
        <v>50</v>
      </c>
      <c r="K752" s="36"/>
      <c r="L752" s="36"/>
      <c r="M752" s="36"/>
      <c r="N752" s="36"/>
      <c r="O752" s="36"/>
      <c r="P752" s="36"/>
      <c r="Q752" s="36"/>
      <c r="R752" s="36"/>
      <c r="S752" s="36"/>
      <c r="T752" s="36"/>
    </row>
    <row r="753" spans="1:20" ht="15.75">
      <c r="A753" s="13">
        <v>64436</v>
      </c>
      <c r="B753" s="44">
        <f t="shared" si="2"/>
        <v>31</v>
      </c>
      <c r="C753" s="35">
        <v>194.20500000000001</v>
      </c>
      <c r="D753" s="35">
        <v>267.46600000000001</v>
      </c>
      <c r="E753" s="41">
        <v>812.32899999999995</v>
      </c>
      <c r="F753" s="35">
        <v>1274</v>
      </c>
      <c r="G753" s="35">
        <v>75</v>
      </c>
      <c r="H753" s="43">
        <v>600</v>
      </c>
      <c r="I753" s="35">
        <v>695</v>
      </c>
      <c r="J753" s="35">
        <v>50</v>
      </c>
      <c r="K753" s="36"/>
      <c r="L753" s="36"/>
      <c r="M753" s="36"/>
      <c r="N753" s="36"/>
      <c r="O753" s="36"/>
      <c r="P753" s="36"/>
      <c r="Q753" s="36"/>
      <c r="R753" s="36"/>
      <c r="S753" s="36"/>
      <c r="T753" s="36"/>
    </row>
    <row r="754" spans="1:20" ht="15.75">
      <c r="A754" s="13">
        <v>64466</v>
      </c>
      <c r="B754" s="44">
        <f t="shared" si="2"/>
        <v>30</v>
      </c>
      <c r="C754" s="35">
        <v>194.20500000000001</v>
      </c>
      <c r="D754" s="35">
        <v>267.46600000000001</v>
      </c>
      <c r="E754" s="41">
        <v>812.32899999999995</v>
      </c>
      <c r="F754" s="35">
        <v>1274</v>
      </c>
      <c r="G754" s="35">
        <v>50</v>
      </c>
      <c r="H754" s="43">
        <v>600</v>
      </c>
      <c r="I754" s="35">
        <v>695</v>
      </c>
      <c r="J754" s="35">
        <v>50</v>
      </c>
      <c r="K754" s="36"/>
      <c r="L754" s="36"/>
      <c r="M754" s="36"/>
      <c r="N754" s="36"/>
      <c r="O754" s="36"/>
      <c r="P754" s="36"/>
      <c r="Q754" s="36"/>
      <c r="R754" s="36"/>
      <c r="S754" s="36"/>
      <c r="T754" s="36"/>
    </row>
    <row r="755" spans="1:20" ht="15.75">
      <c r="A755" s="13">
        <v>64497</v>
      </c>
      <c r="B755" s="44">
        <f t="shared" si="2"/>
        <v>31</v>
      </c>
      <c r="C755" s="35">
        <v>194.20500000000001</v>
      </c>
      <c r="D755" s="35">
        <v>267.46600000000001</v>
      </c>
      <c r="E755" s="41">
        <v>812.32899999999995</v>
      </c>
      <c r="F755" s="35">
        <v>1274</v>
      </c>
      <c r="G755" s="35">
        <v>50</v>
      </c>
      <c r="H755" s="43">
        <v>600</v>
      </c>
      <c r="I755" s="35">
        <v>695</v>
      </c>
      <c r="J755" s="35">
        <v>0</v>
      </c>
      <c r="K755" s="36"/>
      <c r="L755" s="36"/>
      <c r="M755" s="36"/>
      <c r="N755" s="36"/>
      <c r="O755" s="36"/>
      <c r="P755" s="36"/>
      <c r="Q755" s="36"/>
      <c r="R755" s="36"/>
      <c r="S755" s="36"/>
      <c r="T755" s="36"/>
    </row>
    <row r="756" spans="1:20" ht="15.75">
      <c r="A756" s="13">
        <v>64528</v>
      </c>
      <c r="B756" s="44">
        <f t="shared" si="2"/>
        <v>31</v>
      </c>
      <c r="C756" s="35">
        <v>194.20500000000001</v>
      </c>
      <c r="D756" s="35">
        <v>267.46600000000001</v>
      </c>
      <c r="E756" s="41">
        <v>812.32899999999995</v>
      </c>
      <c r="F756" s="35">
        <v>1274</v>
      </c>
      <c r="G756" s="35">
        <v>50</v>
      </c>
      <c r="H756" s="43">
        <v>600</v>
      </c>
      <c r="I756" s="35">
        <v>695</v>
      </c>
      <c r="J756" s="35">
        <v>0</v>
      </c>
      <c r="K756" s="36"/>
      <c r="L756" s="36"/>
      <c r="M756" s="36"/>
      <c r="N756" s="36"/>
      <c r="O756" s="36"/>
      <c r="P756" s="36"/>
      <c r="Q756" s="36"/>
      <c r="R756" s="36"/>
      <c r="S756" s="36"/>
      <c r="T756" s="36"/>
    </row>
    <row r="757" spans="1:20" ht="15.75">
      <c r="A757" s="13">
        <v>64558</v>
      </c>
      <c r="B757" s="44">
        <f t="shared" si="2"/>
        <v>30</v>
      </c>
      <c r="C757" s="35">
        <v>194.20500000000001</v>
      </c>
      <c r="D757" s="35">
        <v>267.46600000000001</v>
      </c>
      <c r="E757" s="41">
        <v>812.32899999999995</v>
      </c>
      <c r="F757" s="35">
        <v>1274</v>
      </c>
      <c r="G757" s="35">
        <v>50</v>
      </c>
      <c r="H757" s="43">
        <v>600</v>
      </c>
      <c r="I757" s="35">
        <v>695</v>
      </c>
      <c r="J757" s="35">
        <v>0</v>
      </c>
      <c r="K757" s="36"/>
      <c r="L757" s="36"/>
      <c r="M757" s="36"/>
      <c r="N757" s="36"/>
      <c r="O757" s="36"/>
      <c r="P757" s="36"/>
      <c r="Q757" s="36"/>
      <c r="R757" s="36"/>
      <c r="S757" s="36"/>
      <c r="T757" s="36"/>
    </row>
    <row r="758" spans="1:20" ht="15.75">
      <c r="A758" s="13">
        <v>64589</v>
      </c>
      <c r="B758" s="44">
        <f t="shared" si="2"/>
        <v>31</v>
      </c>
      <c r="C758" s="35">
        <v>131.881</v>
      </c>
      <c r="D758" s="35">
        <v>277.16699999999997</v>
      </c>
      <c r="E758" s="41">
        <v>829.952</v>
      </c>
      <c r="F758" s="35">
        <v>1239</v>
      </c>
      <c r="G758" s="35">
        <v>75</v>
      </c>
      <c r="H758" s="43">
        <v>600</v>
      </c>
      <c r="I758" s="35">
        <v>695</v>
      </c>
      <c r="J758" s="35">
        <v>0</v>
      </c>
      <c r="K758" s="36"/>
      <c r="L758" s="36"/>
      <c r="M758" s="36"/>
      <c r="N758" s="36"/>
      <c r="O758" s="36"/>
      <c r="P758" s="36"/>
      <c r="Q758" s="36"/>
      <c r="R758" s="36"/>
      <c r="S758" s="36"/>
      <c r="T758" s="36"/>
    </row>
    <row r="759" spans="1:20" ht="15.75">
      <c r="A759" s="13">
        <v>64619</v>
      </c>
      <c r="B759" s="44">
        <f t="shared" si="2"/>
        <v>30</v>
      </c>
      <c r="C759" s="35">
        <v>122.58</v>
      </c>
      <c r="D759" s="35">
        <v>297.94099999999997</v>
      </c>
      <c r="E759" s="41">
        <v>729.47900000000004</v>
      </c>
      <c r="F759" s="35">
        <v>1150</v>
      </c>
      <c r="G759" s="35">
        <v>100</v>
      </c>
      <c r="H759" s="43">
        <v>600</v>
      </c>
      <c r="I759" s="35">
        <v>695</v>
      </c>
      <c r="J759" s="35">
        <v>50</v>
      </c>
      <c r="K759" s="36"/>
      <c r="L759" s="36"/>
      <c r="M759" s="36"/>
      <c r="N759" s="36"/>
      <c r="O759" s="36"/>
      <c r="P759" s="36"/>
      <c r="Q759" s="36"/>
      <c r="R759" s="36"/>
      <c r="S759" s="36"/>
      <c r="T759" s="36"/>
    </row>
    <row r="760" spans="1:20" ht="15.75">
      <c r="A760" s="13">
        <v>64650</v>
      </c>
      <c r="B760" s="44">
        <f t="shared" si="2"/>
        <v>31</v>
      </c>
      <c r="C760" s="35">
        <v>122.58</v>
      </c>
      <c r="D760" s="35">
        <v>297.94099999999997</v>
      </c>
      <c r="E760" s="41">
        <v>729.47900000000004</v>
      </c>
      <c r="F760" s="35">
        <v>1150</v>
      </c>
      <c r="G760" s="35">
        <v>100</v>
      </c>
      <c r="H760" s="43">
        <v>600</v>
      </c>
      <c r="I760" s="35">
        <v>695</v>
      </c>
      <c r="J760" s="35">
        <v>50</v>
      </c>
      <c r="K760" s="36"/>
      <c r="L760" s="36"/>
      <c r="M760" s="36"/>
      <c r="N760" s="36"/>
      <c r="O760" s="36"/>
      <c r="P760" s="36"/>
      <c r="Q760" s="36"/>
      <c r="R760" s="36"/>
      <c r="S760" s="36"/>
      <c r="T760" s="36"/>
    </row>
    <row r="761" spans="1:20" ht="15.75">
      <c r="A761" s="13">
        <v>64681</v>
      </c>
      <c r="B761" s="44">
        <f t="shared" si="2"/>
        <v>31</v>
      </c>
      <c r="C761" s="35">
        <v>122.58</v>
      </c>
      <c r="D761" s="35">
        <v>297.94099999999997</v>
      </c>
      <c r="E761" s="41">
        <v>729.47900000000004</v>
      </c>
      <c r="F761" s="35">
        <v>1150</v>
      </c>
      <c r="G761" s="35">
        <v>100</v>
      </c>
      <c r="H761" s="43">
        <v>600</v>
      </c>
      <c r="I761" s="35">
        <v>695</v>
      </c>
      <c r="J761" s="35">
        <v>50</v>
      </c>
      <c r="K761" s="36"/>
      <c r="L761" s="36"/>
      <c r="M761" s="36"/>
      <c r="N761" s="36"/>
      <c r="O761" s="36"/>
      <c r="P761" s="36"/>
      <c r="Q761" s="36"/>
      <c r="R761" s="36"/>
      <c r="S761" s="36"/>
      <c r="T761" s="36"/>
    </row>
    <row r="762" spans="1:20" ht="15.75">
      <c r="A762" s="13">
        <v>64709</v>
      </c>
      <c r="B762" s="44">
        <f t="shared" si="2"/>
        <v>28</v>
      </c>
      <c r="C762" s="35">
        <v>122.58</v>
      </c>
      <c r="D762" s="35">
        <v>297.94099999999997</v>
      </c>
      <c r="E762" s="41">
        <v>729.47900000000004</v>
      </c>
      <c r="F762" s="35">
        <v>1150</v>
      </c>
      <c r="G762" s="35">
        <v>100</v>
      </c>
      <c r="H762" s="43">
        <v>600</v>
      </c>
      <c r="I762" s="35">
        <v>695</v>
      </c>
      <c r="J762" s="35">
        <v>50</v>
      </c>
      <c r="K762" s="36"/>
      <c r="L762" s="36"/>
      <c r="M762" s="36"/>
      <c r="N762" s="36"/>
      <c r="O762" s="36"/>
      <c r="P762" s="36"/>
      <c r="Q762" s="36"/>
      <c r="R762" s="36"/>
      <c r="S762" s="36"/>
      <c r="T762" s="36"/>
    </row>
    <row r="763" spans="1:20" ht="15.75">
      <c r="A763" s="13">
        <v>64740</v>
      </c>
      <c r="B763" s="44">
        <f t="shared" si="2"/>
        <v>31</v>
      </c>
      <c r="C763" s="35">
        <v>122.58</v>
      </c>
      <c r="D763" s="35">
        <v>297.94099999999997</v>
      </c>
      <c r="E763" s="41">
        <v>729.47900000000004</v>
      </c>
      <c r="F763" s="35">
        <v>1150</v>
      </c>
      <c r="G763" s="35">
        <v>100</v>
      </c>
      <c r="H763" s="43">
        <v>600</v>
      </c>
      <c r="I763" s="35">
        <v>695</v>
      </c>
      <c r="J763" s="35">
        <v>50</v>
      </c>
      <c r="K763" s="36"/>
      <c r="L763" s="36"/>
      <c r="M763" s="36"/>
      <c r="N763" s="36"/>
      <c r="O763" s="36"/>
      <c r="P763" s="36"/>
      <c r="Q763" s="36"/>
      <c r="R763" s="36"/>
      <c r="S763" s="36"/>
      <c r="T763" s="36"/>
    </row>
    <row r="764" spans="1:20" ht="15.75">
      <c r="A764" s="13">
        <v>64770</v>
      </c>
      <c r="B764" s="44">
        <f t="shared" si="2"/>
        <v>30</v>
      </c>
      <c r="C764" s="35">
        <v>141.29300000000001</v>
      </c>
      <c r="D764" s="35">
        <v>267.99299999999999</v>
      </c>
      <c r="E764" s="41">
        <v>829.71400000000006</v>
      </c>
      <c r="F764" s="35">
        <v>1239</v>
      </c>
      <c r="G764" s="35">
        <v>100</v>
      </c>
      <c r="H764" s="43">
        <v>600</v>
      </c>
      <c r="I764" s="35">
        <v>695</v>
      </c>
      <c r="J764" s="35">
        <v>50</v>
      </c>
      <c r="K764" s="36"/>
      <c r="L764" s="36"/>
      <c r="M764" s="36"/>
      <c r="N764" s="36"/>
      <c r="O764" s="36"/>
      <c r="P764" s="36"/>
      <c r="Q764" s="36"/>
      <c r="R764" s="36"/>
      <c r="S764" s="36"/>
      <c r="T764" s="36"/>
    </row>
    <row r="765" spans="1:20" ht="15.75">
      <c r="A765" s="13">
        <v>64801</v>
      </c>
      <c r="B765" s="44">
        <f t="shared" si="2"/>
        <v>31</v>
      </c>
      <c r="C765" s="35">
        <v>194.20500000000001</v>
      </c>
      <c r="D765" s="35">
        <v>267.46600000000001</v>
      </c>
      <c r="E765" s="41">
        <v>812.32899999999995</v>
      </c>
      <c r="F765" s="35">
        <v>1274</v>
      </c>
      <c r="G765" s="35">
        <v>75</v>
      </c>
      <c r="H765" s="43">
        <v>600</v>
      </c>
      <c r="I765" s="35">
        <v>695</v>
      </c>
      <c r="J765" s="35">
        <v>50</v>
      </c>
      <c r="K765" s="36"/>
      <c r="L765" s="36"/>
      <c r="M765" s="36"/>
      <c r="N765" s="36"/>
      <c r="O765" s="36"/>
      <c r="P765" s="36"/>
      <c r="Q765" s="36"/>
      <c r="R765" s="36"/>
      <c r="S765" s="36"/>
      <c r="T765" s="36"/>
    </row>
    <row r="766" spans="1:20" ht="15.75">
      <c r="A766" s="13">
        <v>64831</v>
      </c>
      <c r="B766" s="44">
        <f t="shared" si="2"/>
        <v>30</v>
      </c>
      <c r="C766" s="35">
        <v>194.20500000000001</v>
      </c>
      <c r="D766" s="35">
        <v>267.46600000000001</v>
      </c>
      <c r="E766" s="41">
        <v>812.32899999999995</v>
      </c>
      <c r="F766" s="35">
        <v>1274</v>
      </c>
      <c r="G766" s="35">
        <v>50</v>
      </c>
      <c r="H766" s="43">
        <v>600</v>
      </c>
      <c r="I766" s="35">
        <v>695</v>
      </c>
      <c r="J766" s="35">
        <v>50</v>
      </c>
      <c r="K766" s="36"/>
      <c r="L766" s="36"/>
      <c r="M766" s="36"/>
      <c r="N766" s="36"/>
      <c r="O766" s="36"/>
      <c r="P766" s="36"/>
      <c r="Q766" s="36"/>
      <c r="R766" s="36"/>
      <c r="S766" s="36"/>
      <c r="T766" s="36"/>
    </row>
    <row r="767" spans="1:20" ht="15.75">
      <c r="A767" s="13">
        <v>64862</v>
      </c>
      <c r="B767" s="44">
        <f t="shared" si="2"/>
        <v>31</v>
      </c>
      <c r="C767" s="35">
        <v>194.20500000000001</v>
      </c>
      <c r="D767" s="35">
        <v>267.46600000000001</v>
      </c>
      <c r="E767" s="41">
        <v>812.32899999999995</v>
      </c>
      <c r="F767" s="35">
        <v>1274</v>
      </c>
      <c r="G767" s="35">
        <v>50</v>
      </c>
      <c r="H767" s="43">
        <v>600</v>
      </c>
      <c r="I767" s="35">
        <v>695</v>
      </c>
      <c r="J767" s="35">
        <v>0</v>
      </c>
      <c r="K767" s="36"/>
      <c r="L767" s="36"/>
      <c r="M767" s="36"/>
      <c r="N767" s="36"/>
      <c r="O767" s="36"/>
      <c r="P767" s="36"/>
      <c r="Q767" s="36"/>
      <c r="R767" s="36"/>
      <c r="S767" s="36"/>
      <c r="T767" s="36"/>
    </row>
    <row r="768" spans="1:20" ht="15.75">
      <c r="A768" s="13">
        <v>64893</v>
      </c>
      <c r="B768" s="44">
        <f t="shared" si="2"/>
        <v>31</v>
      </c>
      <c r="C768" s="35">
        <v>194.20500000000001</v>
      </c>
      <c r="D768" s="35">
        <v>267.46600000000001</v>
      </c>
      <c r="E768" s="41">
        <v>812.32899999999995</v>
      </c>
      <c r="F768" s="35">
        <v>1274</v>
      </c>
      <c r="G768" s="35">
        <v>50</v>
      </c>
      <c r="H768" s="43">
        <v>600</v>
      </c>
      <c r="I768" s="35">
        <v>695</v>
      </c>
      <c r="J768" s="35">
        <v>0</v>
      </c>
      <c r="K768" s="36"/>
      <c r="L768" s="36"/>
      <c r="M768" s="36"/>
      <c r="N768" s="36"/>
      <c r="O768" s="36"/>
      <c r="P768" s="36"/>
      <c r="Q768" s="36"/>
      <c r="R768" s="36"/>
      <c r="S768" s="36"/>
      <c r="T768" s="36"/>
    </row>
    <row r="769" spans="1:20" ht="15.75">
      <c r="A769" s="13">
        <v>64923</v>
      </c>
      <c r="B769" s="44">
        <f t="shared" si="2"/>
        <v>30</v>
      </c>
      <c r="C769" s="35">
        <v>194.20500000000001</v>
      </c>
      <c r="D769" s="35">
        <v>267.46600000000001</v>
      </c>
      <c r="E769" s="41">
        <v>812.32899999999995</v>
      </c>
      <c r="F769" s="35">
        <v>1274</v>
      </c>
      <c r="G769" s="35">
        <v>50</v>
      </c>
      <c r="H769" s="43">
        <v>600</v>
      </c>
      <c r="I769" s="35">
        <v>695</v>
      </c>
      <c r="J769" s="35">
        <v>0</v>
      </c>
      <c r="K769" s="36"/>
      <c r="L769" s="36"/>
      <c r="M769" s="36"/>
      <c r="N769" s="36"/>
      <c r="O769" s="36"/>
      <c r="P769" s="36"/>
      <c r="Q769" s="36"/>
      <c r="R769" s="36"/>
      <c r="S769" s="36"/>
      <c r="T769" s="36"/>
    </row>
    <row r="770" spans="1:20" ht="15.75">
      <c r="A770" s="13">
        <v>64954</v>
      </c>
      <c r="B770" s="44">
        <f t="shared" si="2"/>
        <v>31</v>
      </c>
      <c r="C770" s="35">
        <v>131.881</v>
      </c>
      <c r="D770" s="35">
        <v>277.16699999999997</v>
      </c>
      <c r="E770" s="41">
        <v>829.952</v>
      </c>
      <c r="F770" s="35">
        <v>1239</v>
      </c>
      <c r="G770" s="35">
        <v>75</v>
      </c>
      <c r="H770" s="43">
        <v>600</v>
      </c>
      <c r="I770" s="35">
        <v>695</v>
      </c>
      <c r="J770" s="35">
        <v>0</v>
      </c>
      <c r="K770" s="36"/>
      <c r="L770" s="36"/>
      <c r="M770" s="36"/>
      <c r="N770" s="36"/>
      <c r="O770" s="36"/>
      <c r="P770" s="36"/>
      <c r="Q770" s="36"/>
      <c r="R770" s="36"/>
      <c r="S770" s="36"/>
      <c r="T770" s="36"/>
    </row>
    <row r="771" spans="1:20" ht="15.75">
      <c r="A771" s="13">
        <v>64984</v>
      </c>
      <c r="B771" s="44">
        <f t="shared" si="2"/>
        <v>30</v>
      </c>
      <c r="C771" s="35">
        <v>122.58</v>
      </c>
      <c r="D771" s="35">
        <v>297.94099999999997</v>
      </c>
      <c r="E771" s="41">
        <v>729.47900000000004</v>
      </c>
      <c r="F771" s="35">
        <v>1150</v>
      </c>
      <c r="G771" s="35">
        <v>100</v>
      </c>
      <c r="H771" s="43">
        <v>600</v>
      </c>
      <c r="I771" s="35">
        <v>695</v>
      </c>
      <c r="J771" s="35">
        <v>50</v>
      </c>
      <c r="K771" s="36"/>
      <c r="L771" s="36"/>
      <c r="M771" s="36"/>
      <c r="N771" s="36"/>
      <c r="O771" s="36"/>
      <c r="P771" s="36"/>
      <c r="Q771" s="36"/>
      <c r="R771" s="36"/>
      <c r="S771" s="36"/>
      <c r="T771" s="36"/>
    </row>
    <row r="772" spans="1:20" ht="15.75">
      <c r="A772" s="13">
        <v>65015</v>
      </c>
      <c r="B772" s="44">
        <f t="shared" si="2"/>
        <v>31</v>
      </c>
      <c r="C772" s="35">
        <v>122.58</v>
      </c>
      <c r="D772" s="35">
        <v>297.94099999999997</v>
      </c>
      <c r="E772" s="41">
        <v>729.47900000000004</v>
      </c>
      <c r="F772" s="35">
        <v>1150</v>
      </c>
      <c r="G772" s="35">
        <v>100</v>
      </c>
      <c r="H772" s="43">
        <v>600</v>
      </c>
      <c r="I772" s="35">
        <v>695</v>
      </c>
      <c r="J772" s="35">
        <v>50</v>
      </c>
      <c r="K772" s="36"/>
      <c r="L772" s="36"/>
      <c r="M772" s="36"/>
      <c r="N772" s="36"/>
      <c r="O772" s="36"/>
      <c r="P772" s="36"/>
      <c r="Q772" s="36"/>
      <c r="R772" s="36"/>
      <c r="S772" s="36"/>
      <c r="T772" s="36"/>
    </row>
    <row r="773" spans="1:20" ht="15.75">
      <c r="A773" s="13">
        <v>65046</v>
      </c>
      <c r="B773" s="44">
        <f t="shared" ref="B773:B836" si="3">EOMONTH(A773,0)-EOMONTH(A773,-1)</f>
        <v>31</v>
      </c>
      <c r="C773" s="35">
        <v>122.58</v>
      </c>
      <c r="D773" s="35">
        <v>297.94099999999997</v>
      </c>
      <c r="E773" s="41">
        <v>729.47900000000004</v>
      </c>
      <c r="F773" s="35">
        <v>1150</v>
      </c>
      <c r="G773" s="35">
        <v>100</v>
      </c>
      <c r="H773" s="43">
        <v>600</v>
      </c>
      <c r="I773" s="35">
        <v>695</v>
      </c>
      <c r="J773" s="35">
        <v>50</v>
      </c>
      <c r="K773" s="36"/>
      <c r="L773" s="36"/>
      <c r="M773" s="36"/>
      <c r="N773" s="36"/>
      <c r="O773" s="36"/>
      <c r="P773" s="36"/>
      <c r="Q773" s="36"/>
      <c r="R773" s="36"/>
      <c r="S773" s="36"/>
      <c r="T773" s="36"/>
    </row>
    <row r="774" spans="1:20" ht="15.75">
      <c r="A774" s="13">
        <v>65074</v>
      </c>
      <c r="B774" s="44">
        <f t="shared" si="3"/>
        <v>28</v>
      </c>
      <c r="C774" s="35">
        <v>122.58</v>
      </c>
      <c r="D774" s="35">
        <v>297.94099999999997</v>
      </c>
      <c r="E774" s="41">
        <v>729.47900000000004</v>
      </c>
      <c r="F774" s="35">
        <v>1150</v>
      </c>
      <c r="G774" s="35">
        <v>100</v>
      </c>
      <c r="H774" s="43">
        <v>600</v>
      </c>
      <c r="I774" s="35">
        <v>695</v>
      </c>
      <c r="J774" s="35">
        <v>50</v>
      </c>
      <c r="K774" s="36"/>
      <c r="L774" s="36"/>
      <c r="M774" s="36"/>
      <c r="N774" s="36"/>
      <c r="O774" s="36"/>
      <c r="P774" s="36"/>
      <c r="Q774" s="36"/>
      <c r="R774" s="36"/>
      <c r="S774" s="36"/>
      <c r="T774" s="36"/>
    </row>
    <row r="775" spans="1:20" ht="15.75">
      <c r="A775" s="13">
        <v>65105</v>
      </c>
      <c r="B775" s="44">
        <f t="shared" si="3"/>
        <v>31</v>
      </c>
      <c r="C775" s="35">
        <v>122.58</v>
      </c>
      <c r="D775" s="35">
        <v>297.94099999999997</v>
      </c>
      <c r="E775" s="41">
        <v>729.47900000000004</v>
      </c>
      <c r="F775" s="35">
        <v>1150</v>
      </c>
      <c r="G775" s="35">
        <v>100</v>
      </c>
      <c r="H775" s="43">
        <v>600</v>
      </c>
      <c r="I775" s="35">
        <v>695</v>
      </c>
      <c r="J775" s="35">
        <v>50</v>
      </c>
      <c r="K775" s="36"/>
      <c r="L775" s="36"/>
      <c r="M775" s="36"/>
      <c r="N775" s="36"/>
      <c r="O775" s="36"/>
      <c r="P775" s="36"/>
      <c r="Q775" s="36"/>
      <c r="R775" s="36"/>
      <c r="S775" s="36"/>
      <c r="T775" s="36"/>
    </row>
    <row r="776" spans="1:20" ht="15.75">
      <c r="A776" s="13">
        <v>65135</v>
      </c>
      <c r="B776" s="44">
        <f t="shared" si="3"/>
        <v>30</v>
      </c>
      <c r="C776" s="35">
        <v>141.29300000000001</v>
      </c>
      <c r="D776" s="35">
        <v>267.99299999999999</v>
      </c>
      <c r="E776" s="41">
        <v>829.71400000000006</v>
      </c>
      <c r="F776" s="35">
        <v>1239</v>
      </c>
      <c r="G776" s="35">
        <v>100</v>
      </c>
      <c r="H776" s="43">
        <v>600</v>
      </c>
      <c r="I776" s="35">
        <v>695</v>
      </c>
      <c r="J776" s="35">
        <v>50</v>
      </c>
      <c r="K776" s="36"/>
      <c r="L776" s="36"/>
      <c r="M776" s="36"/>
      <c r="N776" s="36"/>
      <c r="O776" s="36"/>
      <c r="P776" s="36"/>
      <c r="Q776" s="36"/>
      <c r="R776" s="36"/>
      <c r="S776" s="36"/>
      <c r="T776" s="36"/>
    </row>
    <row r="777" spans="1:20" ht="15.75">
      <c r="A777" s="13">
        <v>65166</v>
      </c>
      <c r="B777" s="44">
        <f t="shared" si="3"/>
        <v>31</v>
      </c>
      <c r="C777" s="35">
        <v>194.20500000000001</v>
      </c>
      <c r="D777" s="35">
        <v>267.46600000000001</v>
      </c>
      <c r="E777" s="41">
        <v>812.32899999999995</v>
      </c>
      <c r="F777" s="35">
        <v>1274</v>
      </c>
      <c r="G777" s="35">
        <v>75</v>
      </c>
      <c r="H777" s="43">
        <v>600</v>
      </c>
      <c r="I777" s="35">
        <v>695</v>
      </c>
      <c r="J777" s="35">
        <v>50</v>
      </c>
      <c r="K777" s="36"/>
      <c r="L777" s="36"/>
      <c r="M777" s="36"/>
      <c r="N777" s="36"/>
      <c r="O777" s="36"/>
      <c r="P777" s="36"/>
      <c r="Q777" s="36"/>
      <c r="R777" s="36"/>
      <c r="S777" s="36"/>
      <c r="T777" s="36"/>
    </row>
    <row r="778" spans="1:20" ht="15.75">
      <c r="A778" s="13">
        <v>65196</v>
      </c>
      <c r="B778" s="44">
        <f t="shared" si="3"/>
        <v>30</v>
      </c>
      <c r="C778" s="35">
        <v>194.20500000000001</v>
      </c>
      <c r="D778" s="35">
        <v>267.46600000000001</v>
      </c>
      <c r="E778" s="41">
        <v>812.32899999999995</v>
      </c>
      <c r="F778" s="35">
        <v>1274</v>
      </c>
      <c r="G778" s="35">
        <v>50</v>
      </c>
      <c r="H778" s="43">
        <v>600</v>
      </c>
      <c r="I778" s="35">
        <v>695</v>
      </c>
      <c r="J778" s="35">
        <v>50</v>
      </c>
      <c r="K778" s="36"/>
      <c r="L778" s="36"/>
      <c r="M778" s="36"/>
      <c r="N778" s="36"/>
      <c r="O778" s="36"/>
      <c r="P778" s="36"/>
      <c r="Q778" s="36"/>
      <c r="R778" s="36"/>
      <c r="S778" s="36"/>
      <c r="T778" s="36"/>
    </row>
    <row r="779" spans="1:20" ht="15.75">
      <c r="A779" s="13">
        <v>65227</v>
      </c>
      <c r="B779" s="44">
        <f t="shared" si="3"/>
        <v>31</v>
      </c>
      <c r="C779" s="35">
        <v>194.20500000000001</v>
      </c>
      <c r="D779" s="35">
        <v>267.46600000000001</v>
      </c>
      <c r="E779" s="41">
        <v>812.32899999999995</v>
      </c>
      <c r="F779" s="35">
        <v>1274</v>
      </c>
      <c r="G779" s="35">
        <v>50</v>
      </c>
      <c r="H779" s="43">
        <v>600</v>
      </c>
      <c r="I779" s="35">
        <v>695</v>
      </c>
      <c r="J779" s="35">
        <v>0</v>
      </c>
      <c r="K779" s="36"/>
      <c r="L779" s="36"/>
      <c r="M779" s="36"/>
      <c r="N779" s="36"/>
      <c r="O779" s="36"/>
      <c r="P779" s="36"/>
      <c r="Q779" s="36"/>
      <c r="R779" s="36"/>
      <c r="S779" s="36"/>
      <c r="T779" s="36"/>
    </row>
    <row r="780" spans="1:20" ht="15.75">
      <c r="A780" s="13">
        <v>65258</v>
      </c>
      <c r="B780" s="44">
        <f t="shared" si="3"/>
        <v>31</v>
      </c>
      <c r="C780" s="35">
        <v>194.20500000000001</v>
      </c>
      <c r="D780" s="35">
        <v>267.46600000000001</v>
      </c>
      <c r="E780" s="41">
        <v>812.32899999999995</v>
      </c>
      <c r="F780" s="35">
        <v>1274</v>
      </c>
      <c r="G780" s="35">
        <v>50</v>
      </c>
      <c r="H780" s="43">
        <v>600</v>
      </c>
      <c r="I780" s="35">
        <v>695</v>
      </c>
      <c r="J780" s="35">
        <v>0</v>
      </c>
      <c r="K780" s="36"/>
      <c r="L780" s="36"/>
      <c r="M780" s="36"/>
      <c r="N780" s="36"/>
      <c r="O780" s="36"/>
      <c r="P780" s="36"/>
      <c r="Q780" s="36"/>
      <c r="R780" s="36"/>
      <c r="S780" s="36"/>
      <c r="T780" s="36"/>
    </row>
    <row r="781" spans="1:20" ht="15.75">
      <c r="A781" s="13">
        <v>65288</v>
      </c>
      <c r="B781" s="44">
        <f t="shared" si="3"/>
        <v>30</v>
      </c>
      <c r="C781" s="35">
        <v>194.20500000000001</v>
      </c>
      <c r="D781" s="35">
        <v>267.46600000000001</v>
      </c>
      <c r="E781" s="41">
        <v>812.32899999999995</v>
      </c>
      <c r="F781" s="35">
        <v>1274</v>
      </c>
      <c r="G781" s="35">
        <v>50</v>
      </c>
      <c r="H781" s="43">
        <v>600</v>
      </c>
      <c r="I781" s="35">
        <v>695</v>
      </c>
      <c r="J781" s="35">
        <v>0</v>
      </c>
      <c r="K781" s="36"/>
      <c r="L781" s="36"/>
      <c r="M781" s="36"/>
      <c r="N781" s="36"/>
      <c r="O781" s="36"/>
      <c r="P781" s="36"/>
      <c r="Q781" s="36"/>
      <c r="R781" s="36"/>
      <c r="S781" s="36"/>
      <c r="T781" s="36"/>
    </row>
    <row r="782" spans="1:20" ht="15.75">
      <c r="A782" s="13">
        <v>65319</v>
      </c>
      <c r="B782" s="44">
        <f t="shared" si="3"/>
        <v>31</v>
      </c>
      <c r="C782" s="35">
        <v>131.881</v>
      </c>
      <c r="D782" s="35">
        <v>277.16699999999997</v>
      </c>
      <c r="E782" s="41">
        <v>829.952</v>
      </c>
      <c r="F782" s="35">
        <v>1239</v>
      </c>
      <c r="G782" s="35">
        <v>75</v>
      </c>
      <c r="H782" s="43">
        <v>600</v>
      </c>
      <c r="I782" s="35">
        <v>695</v>
      </c>
      <c r="J782" s="35">
        <v>0</v>
      </c>
      <c r="K782" s="36"/>
      <c r="L782" s="36"/>
      <c r="M782" s="36"/>
      <c r="N782" s="36"/>
      <c r="O782" s="36"/>
      <c r="P782" s="36"/>
      <c r="Q782" s="36"/>
      <c r="R782" s="36"/>
      <c r="S782" s="36"/>
      <c r="T782" s="36"/>
    </row>
    <row r="783" spans="1:20" ht="15.75">
      <c r="A783" s="13">
        <v>65349</v>
      </c>
      <c r="B783" s="44">
        <f t="shared" si="3"/>
        <v>30</v>
      </c>
      <c r="C783" s="35">
        <v>122.58</v>
      </c>
      <c r="D783" s="35">
        <v>297.94099999999997</v>
      </c>
      <c r="E783" s="41">
        <v>729.47900000000004</v>
      </c>
      <c r="F783" s="35">
        <v>1150</v>
      </c>
      <c r="G783" s="35">
        <v>100</v>
      </c>
      <c r="H783" s="43">
        <v>600</v>
      </c>
      <c r="I783" s="35">
        <v>695</v>
      </c>
      <c r="J783" s="35">
        <v>50</v>
      </c>
      <c r="K783" s="36"/>
      <c r="L783" s="36"/>
      <c r="M783" s="36"/>
      <c r="N783" s="36"/>
      <c r="O783" s="36"/>
      <c r="P783" s="36"/>
      <c r="Q783" s="36"/>
      <c r="R783" s="36"/>
      <c r="S783" s="36"/>
      <c r="T783" s="36"/>
    </row>
    <row r="784" spans="1:20" ht="15.75">
      <c r="A784" s="13">
        <v>65380</v>
      </c>
      <c r="B784" s="44">
        <f t="shared" si="3"/>
        <v>31</v>
      </c>
      <c r="C784" s="35">
        <v>122.58</v>
      </c>
      <c r="D784" s="35">
        <v>297.94099999999997</v>
      </c>
      <c r="E784" s="41">
        <v>729.47900000000004</v>
      </c>
      <c r="F784" s="35">
        <v>1150</v>
      </c>
      <c r="G784" s="35">
        <v>100</v>
      </c>
      <c r="H784" s="43">
        <v>600</v>
      </c>
      <c r="I784" s="35">
        <v>695</v>
      </c>
      <c r="J784" s="35">
        <v>50</v>
      </c>
      <c r="K784" s="36"/>
      <c r="L784" s="36"/>
      <c r="M784" s="36"/>
      <c r="N784" s="36"/>
      <c r="O784" s="36"/>
      <c r="P784" s="36"/>
      <c r="Q784" s="36"/>
      <c r="R784" s="36"/>
      <c r="S784" s="36"/>
      <c r="T784" s="36"/>
    </row>
    <row r="785" spans="1:20" ht="15.75">
      <c r="A785" s="13">
        <v>65411</v>
      </c>
      <c r="B785" s="44">
        <f t="shared" si="3"/>
        <v>31</v>
      </c>
      <c r="C785" s="35">
        <v>122.58</v>
      </c>
      <c r="D785" s="35">
        <v>297.94099999999997</v>
      </c>
      <c r="E785" s="41">
        <v>729.47900000000004</v>
      </c>
      <c r="F785" s="35">
        <v>1150</v>
      </c>
      <c r="G785" s="35">
        <v>100</v>
      </c>
      <c r="H785" s="43">
        <v>600</v>
      </c>
      <c r="I785" s="35">
        <v>695</v>
      </c>
      <c r="J785" s="35">
        <v>50</v>
      </c>
      <c r="K785" s="36"/>
      <c r="L785" s="36"/>
      <c r="M785" s="36"/>
      <c r="N785" s="36"/>
      <c r="O785" s="36"/>
      <c r="P785" s="36"/>
      <c r="Q785" s="36"/>
      <c r="R785" s="36"/>
      <c r="S785" s="36"/>
      <c r="T785" s="36"/>
    </row>
    <row r="786" spans="1:20" ht="15.75">
      <c r="A786" s="13">
        <v>65439</v>
      </c>
      <c r="B786" s="44">
        <f t="shared" si="3"/>
        <v>28</v>
      </c>
      <c r="C786" s="35">
        <v>122.58</v>
      </c>
      <c r="D786" s="35">
        <v>297.94099999999997</v>
      </c>
      <c r="E786" s="41">
        <v>729.47900000000004</v>
      </c>
      <c r="F786" s="35">
        <v>1150</v>
      </c>
      <c r="G786" s="35">
        <v>100</v>
      </c>
      <c r="H786" s="43">
        <v>600</v>
      </c>
      <c r="I786" s="35">
        <v>695</v>
      </c>
      <c r="J786" s="35">
        <v>50</v>
      </c>
      <c r="K786" s="36"/>
      <c r="L786" s="36"/>
      <c r="M786" s="36"/>
      <c r="N786" s="36"/>
      <c r="O786" s="36"/>
      <c r="P786" s="36"/>
      <c r="Q786" s="36"/>
      <c r="R786" s="36"/>
      <c r="S786" s="36"/>
      <c r="T786" s="36"/>
    </row>
    <row r="787" spans="1:20" ht="15.75">
      <c r="A787" s="13">
        <v>65470</v>
      </c>
      <c r="B787" s="44">
        <f t="shared" si="3"/>
        <v>31</v>
      </c>
      <c r="C787" s="35">
        <v>122.58</v>
      </c>
      <c r="D787" s="35">
        <v>297.94099999999997</v>
      </c>
      <c r="E787" s="41">
        <v>729.47900000000004</v>
      </c>
      <c r="F787" s="35">
        <v>1150</v>
      </c>
      <c r="G787" s="35">
        <v>100</v>
      </c>
      <c r="H787" s="43">
        <v>600</v>
      </c>
      <c r="I787" s="35">
        <v>695</v>
      </c>
      <c r="J787" s="35">
        <v>50</v>
      </c>
      <c r="K787" s="36"/>
      <c r="L787" s="36"/>
      <c r="M787" s="36"/>
      <c r="N787" s="36"/>
      <c r="O787" s="36"/>
      <c r="P787" s="36"/>
      <c r="Q787" s="36"/>
      <c r="R787" s="36"/>
      <c r="S787" s="36"/>
      <c r="T787" s="36"/>
    </row>
    <row r="788" spans="1:20" ht="15.75">
      <c r="A788" s="13">
        <v>65500</v>
      </c>
      <c r="B788" s="44">
        <f t="shared" si="3"/>
        <v>30</v>
      </c>
      <c r="C788" s="35">
        <v>141.29300000000001</v>
      </c>
      <c r="D788" s="35">
        <v>267.99299999999999</v>
      </c>
      <c r="E788" s="41">
        <v>829.71400000000006</v>
      </c>
      <c r="F788" s="35">
        <v>1239</v>
      </c>
      <c r="G788" s="35">
        <v>100</v>
      </c>
      <c r="H788" s="43">
        <v>600</v>
      </c>
      <c r="I788" s="35">
        <v>695</v>
      </c>
      <c r="J788" s="35">
        <v>50</v>
      </c>
      <c r="K788" s="36"/>
      <c r="L788" s="36"/>
      <c r="M788" s="36"/>
      <c r="N788" s="36"/>
      <c r="O788" s="36"/>
      <c r="P788" s="36"/>
      <c r="Q788" s="36"/>
      <c r="R788" s="36"/>
      <c r="S788" s="36"/>
      <c r="T788" s="36"/>
    </row>
    <row r="789" spans="1:20" ht="15.75">
      <c r="A789" s="13">
        <v>65531</v>
      </c>
      <c r="B789" s="44">
        <f t="shared" si="3"/>
        <v>31</v>
      </c>
      <c r="C789" s="35">
        <v>194.20500000000001</v>
      </c>
      <c r="D789" s="35">
        <v>267.46600000000001</v>
      </c>
      <c r="E789" s="41">
        <v>812.32899999999995</v>
      </c>
      <c r="F789" s="35">
        <v>1274</v>
      </c>
      <c r="G789" s="35">
        <v>75</v>
      </c>
      <c r="H789" s="43">
        <v>600</v>
      </c>
      <c r="I789" s="35">
        <v>695</v>
      </c>
      <c r="J789" s="35">
        <v>50</v>
      </c>
      <c r="K789" s="36"/>
      <c r="L789" s="36"/>
      <c r="M789" s="36"/>
      <c r="N789" s="36"/>
      <c r="O789" s="36"/>
      <c r="P789" s="36"/>
      <c r="Q789" s="36"/>
      <c r="R789" s="36"/>
      <c r="S789" s="36"/>
      <c r="T789" s="36"/>
    </row>
    <row r="790" spans="1:20" ht="15.75">
      <c r="A790" s="13">
        <v>65561</v>
      </c>
      <c r="B790" s="44">
        <f t="shared" si="3"/>
        <v>30</v>
      </c>
      <c r="C790" s="35">
        <v>194.20500000000001</v>
      </c>
      <c r="D790" s="35">
        <v>267.46600000000001</v>
      </c>
      <c r="E790" s="41">
        <v>812.32899999999995</v>
      </c>
      <c r="F790" s="35">
        <v>1274</v>
      </c>
      <c r="G790" s="35">
        <v>50</v>
      </c>
      <c r="H790" s="43">
        <v>600</v>
      </c>
      <c r="I790" s="35">
        <v>695</v>
      </c>
      <c r="J790" s="35">
        <v>50</v>
      </c>
      <c r="K790" s="36"/>
      <c r="L790" s="36"/>
      <c r="M790" s="36"/>
      <c r="N790" s="36"/>
      <c r="O790" s="36"/>
      <c r="P790" s="36"/>
      <c r="Q790" s="36"/>
      <c r="R790" s="36"/>
      <c r="S790" s="36"/>
      <c r="T790" s="36"/>
    </row>
    <row r="791" spans="1:20" ht="15.75">
      <c r="A791" s="13">
        <v>65592</v>
      </c>
      <c r="B791" s="44">
        <f t="shared" si="3"/>
        <v>31</v>
      </c>
      <c r="C791" s="35">
        <v>194.20500000000001</v>
      </c>
      <c r="D791" s="35">
        <v>267.46600000000001</v>
      </c>
      <c r="E791" s="41">
        <v>812.32899999999995</v>
      </c>
      <c r="F791" s="35">
        <v>1274</v>
      </c>
      <c r="G791" s="35">
        <v>50</v>
      </c>
      <c r="H791" s="43">
        <v>600</v>
      </c>
      <c r="I791" s="35">
        <v>695</v>
      </c>
      <c r="J791" s="35">
        <v>0</v>
      </c>
      <c r="K791" s="36"/>
      <c r="L791" s="36"/>
      <c r="M791" s="36"/>
      <c r="N791" s="36"/>
      <c r="O791" s="36"/>
      <c r="P791" s="36"/>
      <c r="Q791" s="36"/>
      <c r="R791" s="36"/>
      <c r="S791" s="36"/>
      <c r="T791" s="36"/>
    </row>
    <row r="792" spans="1:20" ht="15.75">
      <c r="A792" s="13">
        <v>65623</v>
      </c>
      <c r="B792" s="44">
        <f t="shared" si="3"/>
        <v>31</v>
      </c>
      <c r="C792" s="35">
        <v>194.20500000000001</v>
      </c>
      <c r="D792" s="35">
        <v>267.46600000000001</v>
      </c>
      <c r="E792" s="41">
        <v>812.32899999999995</v>
      </c>
      <c r="F792" s="35">
        <v>1274</v>
      </c>
      <c r="G792" s="35">
        <v>50</v>
      </c>
      <c r="H792" s="43">
        <v>600</v>
      </c>
      <c r="I792" s="35">
        <v>695</v>
      </c>
      <c r="J792" s="35">
        <v>0</v>
      </c>
      <c r="K792" s="36"/>
      <c r="L792" s="36"/>
      <c r="M792" s="36"/>
      <c r="N792" s="36"/>
      <c r="O792" s="36"/>
      <c r="P792" s="36"/>
      <c r="Q792" s="36"/>
      <c r="R792" s="36"/>
      <c r="S792" s="36"/>
      <c r="T792" s="36"/>
    </row>
    <row r="793" spans="1:20" ht="15.75">
      <c r="A793" s="13">
        <v>65653</v>
      </c>
      <c r="B793" s="44">
        <f t="shared" si="3"/>
        <v>30</v>
      </c>
      <c r="C793" s="35">
        <v>194.20500000000001</v>
      </c>
      <c r="D793" s="35">
        <v>267.46600000000001</v>
      </c>
      <c r="E793" s="41">
        <v>812.32899999999995</v>
      </c>
      <c r="F793" s="35">
        <v>1274</v>
      </c>
      <c r="G793" s="35">
        <v>50</v>
      </c>
      <c r="H793" s="43">
        <v>600</v>
      </c>
      <c r="I793" s="35">
        <v>695</v>
      </c>
      <c r="J793" s="35">
        <v>0</v>
      </c>
      <c r="K793" s="36"/>
      <c r="L793" s="36"/>
      <c r="M793" s="36"/>
      <c r="N793" s="36"/>
      <c r="O793" s="36"/>
      <c r="P793" s="36"/>
      <c r="Q793" s="36"/>
      <c r="R793" s="36"/>
      <c r="S793" s="36"/>
      <c r="T793" s="36"/>
    </row>
    <row r="794" spans="1:20" ht="15.75">
      <c r="A794" s="13">
        <v>65684</v>
      </c>
      <c r="B794" s="44">
        <f t="shared" si="3"/>
        <v>31</v>
      </c>
      <c r="C794" s="35">
        <v>131.881</v>
      </c>
      <c r="D794" s="35">
        <v>277.16699999999997</v>
      </c>
      <c r="E794" s="41">
        <v>829.952</v>
      </c>
      <c r="F794" s="35">
        <v>1239</v>
      </c>
      <c r="G794" s="35">
        <v>75</v>
      </c>
      <c r="H794" s="43">
        <v>600</v>
      </c>
      <c r="I794" s="35">
        <v>695</v>
      </c>
      <c r="J794" s="35">
        <v>0</v>
      </c>
      <c r="K794" s="36"/>
      <c r="L794" s="36"/>
      <c r="M794" s="36"/>
      <c r="N794" s="36"/>
      <c r="O794" s="36"/>
      <c r="P794" s="36"/>
      <c r="Q794" s="36"/>
      <c r="R794" s="36"/>
      <c r="S794" s="36"/>
      <c r="T794" s="36"/>
    </row>
    <row r="795" spans="1:20" ht="15.75">
      <c r="A795" s="13">
        <v>65714</v>
      </c>
      <c r="B795" s="44">
        <f t="shared" si="3"/>
        <v>30</v>
      </c>
      <c r="C795" s="35">
        <v>122.58</v>
      </c>
      <c r="D795" s="35">
        <v>297.94099999999997</v>
      </c>
      <c r="E795" s="41">
        <v>729.47900000000004</v>
      </c>
      <c r="F795" s="35">
        <v>1150</v>
      </c>
      <c r="G795" s="35">
        <v>100</v>
      </c>
      <c r="H795" s="43">
        <v>600</v>
      </c>
      <c r="I795" s="35">
        <v>695</v>
      </c>
      <c r="J795" s="35">
        <v>50</v>
      </c>
      <c r="K795" s="36"/>
      <c r="L795" s="36"/>
      <c r="M795" s="36"/>
      <c r="N795" s="36"/>
      <c r="O795" s="36"/>
      <c r="P795" s="36"/>
      <c r="Q795" s="36"/>
      <c r="R795" s="36"/>
      <c r="S795" s="36"/>
      <c r="T795" s="36"/>
    </row>
    <row r="796" spans="1:20" ht="15.75">
      <c r="A796" s="13">
        <v>65745</v>
      </c>
      <c r="B796" s="44">
        <f t="shared" si="3"/>
        <v>31</v>
      </c>
      <c r="C796" s="35">
        <v>122.58</v>
      </c>
      <c r="D796" s="35">
        <v>297.94099999999997</v>
      </c>
      <c r="E796" s="41">
        <v>729.47900000000004</v>
      </c>
      <c r="F796" s="35">
        <v>1150</v>
      </c>
      <c r="G796" s="35">
        <v>100</v>
      </c>
      <c r="H796" s="43">
        <v>600</v>
      </c>
      <c r="I796" s="35">
        <v>695</v>
      </c>
      <c r="J796" s="35">
        <v>50</v>
      </c>
      <c r="K796" s="36"/>
      <c r="L796" s="36"/>
      <c r="M796" s="36"/>
      <c r="N796" s="36"/>
      <c r="O796" s="36"/>
      <c r="P796" s="36"/>
      <c r="Q796" s="36"/>
      <c r="R796" s="36"/>
      <c r="S796" s="36"/>
      <c r="T796" s="36"/>
    </row>
    <row r="797" spans="1:20" ht="15.75">
      <c r="A797" s="13">
        <v>65776</v>
      </c>
      <c r="B797" s="44">
        <f t="shared" si="3"/>
        <v>31</v>
      </c>
      <c r="C797" s="35">
        <v>122.58</v>
      </c>
      <c r="D797" s="35">
        <v>297.94099999999997</v>
      </c>
      <c r="E797" s="41">
        <v>729.47900000000004</v>
      </c>
      <c r="F797" s="35">
        <v>1150</v>
      </c>
      <c r="G797" s="35">
        <v>100</v>
      </c>
      <c r="H797" s="43">
        <v>600</v>
      </c>
      <c r="I797" s="35">
        <v>695</v>
      </c>
      <c r="J797" s="35">
        <v>50</v>
      </c>
      <c r="K797" s="36"/>
      <c r="L797" s="36"/>
      <c r="M797" s="36"/>
      <c r="N797" s="36"/>
      <c r="O797" s="36"/>
      <c r="P797" s="36"/>
      <c r="Q797" s="36"/>
      <c r="R797" s="36"/>
      <c r="S797" s="36"/>
      <c r="T797" s="36"/>
    </row>
    <row r="798" spans="1:20" ht="15.75">
      <c r="A798" s="13">
        <v>65805</v>
      </c>
      <c r="B798" s="44">
        <f t="shared" si="3"/>
        <v>29</v>
      </c>
      <c r="C798" s="35">
        <v>122.58</v>
      </c>
      <c r="D798" s="35">
        <v>297.94099999999997</v>
      </c>
      <c r="E798" s="41">
        <v>729.47900000000004</v>
      </c>
      <c r="F798" s="35">
        <v>1150</v>
      </c>
      <c r="G798" s="35">
        <v>100</v>
      </c>
      <c r="H798" s="43">
        <v>600</v>
      </c>
      <c r="I798" s="35">
        <v>695</v>
      </c>
      <c r="J798" s="35">
        <v>50</v>
      </c>
      <c r="K798" s="36"/>
      <c r="L798" s="36"/>
      <c r="M798" s="36"/>
      <c r="N798" s="36"/>
      <c r="O798" s="36"/>
      <c r="P798" s="36"/>
      <c r="Q798" s="36"/>
      <c r="R798" s="36"/>
      <c r="S798" s="36"/>
      <c r="T798" s="36"/>
    </row>
    <row r="799" spans="1:20" ht="15.75">
      <c r="A799" s="13">
        <v>65836</v>
      </c>
      <c r="B799" s="44">
        <f t="shared" si="3"/>
        <v>31</v>
      </c>
      <c r="C799" s="35">
        <v>122.58</v>
      </c>
      <c r="D799" s="35">
        <v>297.94099999999997</v>
      </c>
      <c r="E799" s="41">
        <v>729.47900000000004</v>
      </c>
      <c r="F799" s="35">
        <v>1150</v>
      </c>
      <c r="G799" s="35">
        <v>100</v>
      </c>
      <c r="H799" s="43">
        <v>600</v>
      </c>
      <c r="I799" s="35">
        <v>695</v>
      </c>
      <c r="J799" s="35">
        <v>50</v>
      </c>
      <c r="K799" s="36"/>
      <c r="L799" s="36"/>
      <c r="M799" s="36"/>
      <c r="N799" s="36"/>
      <c r="O799" s="36"/>
      <c r="P799" s="36"/>
      <c r="Q799" s="36"/>
      <c r="R799" s="36"/>
      <c r="S799" s="36"/>
      <c r="T799" s="36"/>
    </row>
    <row r="800" spans="1:20" ht="15.75">
      <c r="A800" s="13">
        <v>65866</v>
      </c>
      <c r="B800" s="44">
        <f t="shared" si="3"/>
        <v>30</v>
      </c>
      <c r="C800" s="35">
        <v>141.29300000000001</v>
      </c>
      <c r="D800" s="35">
        <v>267.99299999999999</v>
      </c>
      <c r="E800" s="41">
        <v>829.71400000000006</v>
      </c>
      <c r="F800" s="35">
        <v>1239</v>
      </c>
      <c r="G800" s="35">
        <v>100</v>
      </c>
      <c r="H800" s="43">
        <v>600</v>
      </c>
      <c r="I800" s="35">
        <v>695</v>
      </c>
      <c r="J800" s="35">
        <v>50</v>
      </c>
      <c r="K800" s="36"/>
      <c r="L800" s="36"/>
      <c r="M800" s="36"/>
      <c r="N800" s="36"/>
      <c r="O800" s="36"/>
      <c r="P800" s="36"/>
      <c r="Q800" s="36"/>
      <c r="R800" s="36"/>
      <c r="S800" s="36"/>
      <c r="T800" s="36"/>
    </row>
    <row r="801" spans="1:20" ht="15.75">
      <c r="A801" s="13">
        <v>65897</v>
      </c>
      <c r="B801" s="44">
        <f t="shared" si="3"/>
        <v>31</v>
      </c>
      <c r="C801" s="35">
        <v>194.20500000000001</v>
      </c>
      <c r="D801" s="35">
        <v>267.46600000000001</v>
      </c>
      <c r="E801" s="41">
        <v>812.32899999999995</v>
      </c>
      <c r="F801" s="35">
        <v>1274</v>
      </c>
      <c r="G801" s="35">
        <v>75</v>
      </c>
      <c r="H801" s="43">
        <v>600</v>
      </c>
      <c r="I801" s="35">
        <v>695</v>
      </c>
      <c r="J801" s="35">
        <v>50</v>
      </c>
      <c r="K801" s="36"/>
      <c r="L801" s="36"/>
      <c r="M801" s="36"/>
      <c r="N801" s="36"/>
      <c r="O801" s="36"/>
      <c r="P801" s="36"/>
      <c r="Q801" s="36"/>
      <c r="R801" s="36"/>
      <c r="S801" s="36"/>
      <c r="T801" s="36"/>
    </row>
    <row r="802" spans="1:20" ht="15.75">
      <c r="A802" s="13">
        <v>65927</v>
      </c>
      <c r="B802" s="44">
        <f t="shared" si="3"/>
        <v>30</v>
      </c>
      <c r="C802" s="35">
        <v>194.20500000000001</v>
      </c>
      <c r="D802" s="35">
        <v>267.46600000000001</v>
      </c>
      <c r="E802" s="41">
        <v>812.32899999999995</v>
      </c>
      <c r="F802" s="35">
        <v>1274</v>
      </c>
      <c r="G802" s="35">
        <v>50</v>
      </c>
      <c r="H802" s="43">
        <v>600</v>
      </c>
      <c r="I802" s="35">
        <v>695</v>
      </c>
      <c r="J802" s="35">
        <v>50</v>
      </c>
      <c r="K802" s="36"/>
      <c r="L802" s="36"/>
      <c r="M802" s="36"/>
      <c r="N802" s="36"/>
      <c r="O802" s="36"/>
      <c r="P802" s="36"/>
      <c r="Q802" s="36"/>
      <c r="R802" s="36"/>
      <c r="S802" s="36"/>
      <c r="T802" s="36"/>
    </row>
    <row r="803" spans="1:20" ht="15.75">
      <c r="A803" s="13">
        <v>65958</v>
      </c>
      <c r="B803" s="44">
        <f t="shared" si="3"/>
        <v>31</v>
      </c>
      <c r="C803" s="35">
        <v>194.20500000000001</v>
      </c>
      <c r="D803" s="35">
        <v>267.46600000000001</v>
      </c>
      <c r="E803" s="41">
        <v>812.32899999999995</v>
      </c>
      <c r="F803" s="35">
        <v>1274</v>
      </c>
      <c r="G803" s="35">
        <v>50</v>
      </c>
      <c r="H803" s="43">
        <v>600</v>
      </c>
      <c r="I803" s="35">
        <v>695</v>
      </c>
      <c r="J803" s="35">
        <v>0</v>
      </c>
      <c r="K803" s="36"/>
      <c r="L803" s="36"/>
      <c r="M803" s="36"/>
      <c r="N803" s="36"/>
      <c r="O803" s="36"/>
      <c r="P803" s="36"/>
      <c r="Q803" s="36"/>
      <c r="R803" s="36"/>
      <c r="S803" s="36"/>
      <c r="T803" s="36"/>
    </row>
    <row r="804" spans="1:20" ht="15.75">
      <c r="A804" s="13">
        <v>65989</v>
      </c>
      <c r="B804" s="44">
        <f t="shared" si="3"/>
        <v>31</v>
      </c>
      <c r="C804" s="35">
        <v>194.20500000000001</v>
      </c>
      <c r="D804" s="35">
        <v>267.46600000000001</v>
      </c>
      <c r="E804" s="41">
        <v>812.32899999999995</v>
      </c>
      <c r="F804" s="35">
        <v>1274</v>
      </c>
      <c r="G804" s="35">
        <v>50</v>
      </c>
      <c r="H804" s="43">
        <v>600</v>
      </c>
      <c r="I804" s="35">
        <v>695</v>
      </c>
      <c r="J804" s="35">
        <v>0</v>
      </c>
      <c r="K804" s="36"/>
      <c r="L804" s="36"/>
      <c r="M804" s="36"/>
      <c r="N804" s="36"/>
      <c r="O804" s="36"/>
      <c r="P804" s="36"/>
      <c r="Q804" s="36"/>
      <c r="R804" s="36"/>
      <c r="S804" s="36"/>
      <c r="T804" s="36"/>
    </row>
    <row r="805" spans="1:20" ht="15.75">
      <c r="A805" s="13">
        <v>66019</v>
      </c>
      <c r="B805" s="44">
        <f t="shared" si="3"/>
        <v>30</v>
      </c>
      <c r="C805" s="35">
        <v>194.20500000000001</v>
      </c>
      <c r="D805" s="35">
        <v>267.46600000000001</v>
      </c>
      <c r="E805" s="41">
        <v>812.32899999999995</v>
      </c>
      <c r="F805" s="35">
        <v>1274</v>
      </c>
      <c r="G805" s="35">
        <v>50</v>
      </c>
      <c r="H805" s="43">
        <v>600</v>
      </c>
      <c r="I805" s="35">
        <v>695</v>
      </c>
      <c r="J805" s="35">
        <v>0</v>
      </c>
      <c r="K805" s="36"/>
      <c r="L805" s="36"/>
      <c r="M805" s="36"/>
      <c r="N805" s="36"/>
      <c r="O805" s="36"/>
      <c r="P805" s="36"/>
      <c r="Q805" s="36"/>
      <c r="R805" s="36"/>
      <c r="S805" s="36"/>
      <c r="T805" s="36"/>
    </row>
    <row r="806" spans="1:20" ht="15.75">
      <c r="A806" s="13">
        <v>66050</v>
      </c>
      <c r="B806" s="44">
        <f t="shared" si="3"/>
        <v>31</v>
      </c>
      <c r="C806" s="35">
        <v>131.881</v>
      </c>
      <c r="D806" s="35">
        <v>277.16699999999997</v>
      </c>
      <c r="E806" s="41">
        <v>829.952</v>
      </c>
      <c r="F806" s="35">
        <v>1239</v>
      </c>
      <c r="G806" s="35">
        <v>75</v>
      </c>
      <c r="H806" s="43">
        <v>600</v>
      </c>
      <c r="I806" s="35">
        <v>695</v>
      </c>
      <c r="J806" s="35">
        <v>0</v>
      </c>
      <c r="K806" s="36"/>
      <c r="L806" s="36"/>
      <c r="M806" s="36"/>
      <c r="N806" s="36"/>
      <c r="O806" s="36"/>
      <c r="P806" s="36"/>
      <c r="Q806" s="36"/>
      <c r="R806" s="36"/>
      <c r="S806" s="36"/>
      <c r="T806" s="36"/>
    </row>
    <row r="807" spans="1:20" ht="15.75">
      <c r="A807" s="13">
        <v>66080</v>
      </c>
      <c r="B807" s="44">
        <f t="shared" si="3"/>
        <v>30</v>
      </c>
      <c r="C807" s="35">
        <v>122.58</v>
      </c>
      <c r="D807" s="35">
        <v>297.94099999999997</v>
      </c>
      <c r="E807" s="41">
        <v>729.47900000000004</v>
      </c>
      <c r="F807" s="35">
        <v>1150</v>
      </c>
      <c r="G807" s="35">
        <v>100</v>
      </c>
      <c r="H807" s="43">
        <v>600</v>
      </c>
      <c r="I807" s="35">
        <v>695</v>
      </c>
      <c r="J807" s="35">
        <v>50</v>
      </c>
      <c r="K807" s="36"/>
      <c r="L807" s="36"/>
      <c r="M807" s="36"/>
      <c r="N807" s="36"/>
      <c r="O807" s="36"/>
      <c r="P807" s="36"/>
      <c r="Q807" s="36"/>
      <c r="R807" s="36"/>
      <c r="S807" s="36"/>
      <c r="T807" s="36"/>
    </row>
    <row r="808" spans="1:20" ht="15.75">
      <c r="A808" s="13">
        <v>66111</v>
      </c>
      <c r="B808" s="44">
        <f t="shared" si="3"/>
        <v>31</v>
      </c>
      <c r="C808" s="35">
        <v>122.58</v>
      </c>
      <c r="D808" s="35">
        <v>297.94099999999997</v>
      </c>
      <c r="E808" s="41">
        <v>729.47900000000004</v>
      </c>
      <c r="F808" s="35">
        <v>1150</v>
      </c>
      <c r="G808" s="35">
        <v>100</v>
      </c>
      <c r="H808" s="43">
        <v>600</v>
      </c>
      <c r="I808" s="35">
        <v>695</v>
      </c>
      <c r="J808" s="35">
        <v>50</v>
      </c>
      <c r="K808" s="36"/>
      <c r="L808" s="36"/>
      <c r="M808" s="36"/>
      <c r="N808" s="36"/>
      <c r="O808" s="36"/>
      <c r="P808" s="36"/>
      <c r="Q808" s="36"/>
      <c r="R808" s="36"/>
      <c r="S808" s="36"/>
      <c r="T808" s="36"/>
    </row>
    <row r="809" spans="1:20" ht="15.75">
      <c r="A809" s="13">
        <v>66142</v>
      </c>
      <c r="B809" s="44">
        <f t="shared" si="3"/>
        <v>31</v>
      </c>
      <c r="C809" s="35">
        <v>122.58</v>
      </c>
      <c r="D809" s="35">
        <v>297.94099999999997</v>
      </c>
      <c r="E809" s="41">
        <v>729.47900000000004</v>
      </c>
      <c r="F809" s="35">
        <v>1150</v>
      </c>
      <c r="G809" s="35">
        <v>100</v>
      </c>
      <c r="H809" s="43">
        <v>600</v>
      </c>
      <c r="I809" s="35">
        <v>695</v>
      </c>
      <c r="J809" s="35">
        <v>50</v>
      </c>
      <c r="K809" s="36"/>
      <c r="L809" s="36"/>
      <c r="M809" s="36"/>
      <c r="N809" s="36"/>
      <c r="O809" s="36"/>
      <c r="P809" s="36"/>
      <c r="Q809" s="36"/>
      <c r="R809" s="36"/>
      <c r="S809" s="36"/>
      <c r="T809" s="36"/>
    </row>
    <row r="810" spans="1:20" ht="15.75">
      <c r="A810" s="13">
        <v>66170</v>
      </c>
      <c r="B810" s="44">
        <f t="shared" si="3"/>
        <v>28</v>
      </c>
      <c r="C810" s="35">
        <v>122.58</v>
      </c>
      <c r="D810" s="35">
        <v>297.94099999999997</v>
      </c>
      <c r="E810" s="41">
        <v>729.47900000000004</v>
      </c>
      <c r="F810" s="35">
        <v>1150</v>
      </c>
      <c r="G810" s="35">
        <v>100</v>
      </c>
      <c r="H810" s="43">
        <v>600</v>
      </c>
      <c r="I810" s="35">
        <v>695</v>
      </c>
      <c r="J810" s="35">
        <v>50</v>
      </c>
      <c r="K810" s="36"/>
      <c r="L810" s="36"/>
      <c r="M810" s="36"/>
      <c r="N810" s="36"/>
      <c r="O810" s="36"/>
      <c r="P810" s="36"/>
      <c r="Q810" s="36"/>
      <c r="R810" s="36"/>
      <c r="S810" s="36"/>
      <c r="T810" s="36"/>
    </row>
    <row r="811" spans="1:20" ht="15.75">
      <c r="A811" s="13">
        <v>66201</v>
      </c>
      <c r="B811" s="44">
        <f t="shared" si="3"/>
        <v>31</v>
      </c>
      <c r="C811" s="35">
        <v>122.58</v>
      </c>
      <c r="D811" s="35">
        <v>297.94099999999997</v>
      </c>
      <c r="E811" s="41">
        <v>729.47900000000004</v>
      </c>
      <c r="F811" s="35">
        <v>1150</v>
      </c>
      <c r="G811" s="35">
        <v>100</v>
      </c>
      <c r="H811" s="43">
        <v>600</v>
      </c>
      <c r="I811" s="35">
        <v>695</v>
      </c>
      <c r="J811" s="35">
        <v>50</v>
      </c>
      <c r="K811" s="36"/>
      <c r="L811" s="36"/>
      <c r="M811" s="36"/>
      <c r="N811" s="36"/>
      <c r="O811" s="36"/>
      <c r="P811" s="36"/>
      <c r="Q811" s="36"/>
      <c r="R811" s="36"/>
      <c r="S811" s="36"/>
      <c r="T811" s="36"/>
    </row>
    <row r="812" spans="1:20" ht="15.75">
      <c r="A812" s="13">
        <v>66231</v>
      </c>
      <c r="B812" s="44">
        <f t="shared" si="3"/>
        <v>30</v>
      </c>
      <c r="C812" s="35">
        <v>141.29300000000001</v>
      </c>
      <c r="D812" s="35">
        <v>267.99299999999999</v>
      </c>
      <c r="E812" s="41">
        <v>829.71400000000006</v>
      </c>
      <c r="F812" s="35">
        <v>1239</v>
      </c>
      <c r="G812" s="35">
        <v>100</v>
      </c>
      <c r="H812" s="43">
        <v>600</v>
      </c>
      <c r="I812" s="35">
        <v>695</v>
      </c>
      <c r="J812" s="35">
        <v>50</v>
      </c>
      <c r="K812" s="36"/>
      <c r="L812" s="36"/>
      <c r="M812" s="36"/>
      <c r="N812" s="36"/>
      <c r="O812" s="36"/>
      <c r="P812" s="36"/>
      <c r="Q812" s="36"/>
      <c r="R812" s="36"/>
      <c r="S812" s="36"/>
      <c r="T812" s="36"/>
    </row>
    <row r="813" spans="1:20" ht="15.75">
      <c r="A813" s="13">
        <v>66262</v>
      </c>
      <c r="B813" s="44">
        <f t="shared" si="3"/>
        <v>31</v>
      </c>
      <c r="C813" s="35">
        <v>194.20500000000001</v>
      </c>
      <c r="D813" s="35">
        <v>267.46600000000001</v>
      </c>
      <c r="E813" s="41">
        <v>812.32899999999995</v>
      </c>
      <c r="F813" s="35">
        <v>1274</v>
      </c>
      <c r="G813" s="35">
        <v>75</v>
      </c>
      <c r="H813" s="43">
        <v>600</v>
      </c>
      <c r="I813" s="35">
        <v>695</v>
      </c>
      <c r="J813" s="35">
        <v>50</v>
      </c>
      <c r="K813" s="36"/>
      <c r="L813" s="36"/>
      <c r="M813" s="36"/>
      <c r="N813" s="36"/>
      <c r="O813" s="36"/>
      <c r="P813" s="36"/>
      <c r="Q813" s="36"/>
      <c r="R813" s="36"/>
      <c r="S813" s="36"/>
      <c r="T813" s="36"/>
    </row>
    <row r="814" spans="1:20" ht="15.75">
      <c r="A814" s="13">
        <v>66292</v>
      </c>
      <c r="B814" s="44">
        <f t="shared" si="3"/>
        <v>30</v>
      </c>
      <c r="C814" s="35">
        <v>194.20500000000001</v>
      </c>
      <c r="D814" s="35">
        <v>267.46600000000001</v>
      </c>
      <c r="E814" s="41">
        <v>812.32899999999995</v>
      </c>
      <c r="F814" s="35">
        <v>1274</v>
      </c>
      <c r="G814" s="35">
        <v>50</v>
      </c>
      <c r="H814" s="43">
        <v>600</v>
      </c>
      <c r="I814" s="35">
        <v>695</v>
      </c>
      <c r="J814" s="35">
        <v>50</v>
      </c>
      <c r="K814" s="36"/>
      <c r="L814" s="36"/>
      <c r="M814" s="36"/>
      <c r="N814" s="36"/>
      <c r="O814" s="36"/>
      <c r="P814" s="36"/>
      <c r="Q814" s="36"/>
      <c r="R814" s="36"/>
      <c r="S814" s="36"/>
      <c r="T814" s="36"/>
    </row>
    <row r="815" spans="1:20" ht="15.75">
      <c r="A815" s="13">
        <v>66323</v>
      </c>
      <c r="B815" s="44">
        <f t="shared" si="3"/>
        <v>31</v>
      </c>
      <c r="C815" s="35">
        <v>194.20500000000001</v>
      </c>
      <c r="D815" s="35">
        <v>267.46600000000001</v>
      </c>
      <c r="E815" s="41">
        <v>812.32899999999995</v>
      </c>
      <c r="F815" s="35">
        <v>1274</v>
      </c>
      <c r="G815" s="35">
        <v>50</v>
      </c>
      <c r="H815" s="43">
        <v>600</v>
      </c>
      <c r="I815" s="35">
        <v>695</v>
      </c>
      <c r="J815" s="35">
        <v>0</v>
      </c>
      <c r="K815" s="36"/>
      <c r="L815" s="36"/>
      <c r="M815" s="36"/>
      <c r="N815" s="36"/>
      <c r="O815" s="36"/>
      <c r="P815" s="36"/>
      <c r="Q815" s="36"/>
      <c r="R815" s="36"/>
      <c r="S815" s="36"/>
      <c r="T815" s="36"/>
    </row>
    <row r="816" spans="1:20" ht="15.75">
      <c r="A816" s="13">
        <v>66354</v>
      </c>
      <c r="B816" s="44">
        <f t="shared" si="3"/>
        <v>31</v>
      </c>
      <c r="C816" s="35">
        <v>194.20500000000001</v>
      </c>
      <c r="D816" s="35">
        <v>267.46600000000001</v>
      </c>
      <c r="E816" s="41">
        <v>812.32899999999995</v>
      </c>
      <c r="F816" s="35">
        <v>1274</v>
      </c>
      <c r="G816" s="35">
        <v>50</v>
      </c>
      <c r="H816" s="43">
        <v>600</v>
      </c>
      <c r="I816" s="35">
        <v>695</v>
      </c>
      <c r="J816" s="35">
        <v>0</v>
      </c>
      <c r="K816" s="36"/>
      <c r="L816" s="36"/>
      <c r="M816" s="36"/>
      <c r="N816" s="36"/>
      <c r="O816" s="36"/>
      <c r="P816" s="36"/>
      <c r="Q816" s="36"/>
      <c r="R816" s="36"/>
      <c r="S816" s="36"/>
      <c r="T816" s="36"/>
    </row>
    <row r="817" spans="1:20" ht="15.75">
      <c r="A817" s="13">
        <v>66384</v>
      </c>
      <c r="B817" s="44">
        <f t="shared" si="3"/>
        <v>30</v>
      </c>
      <c r="C817" s="35">
        <v>194.20500000000001</v>
      </c>
      <c r="D817" s="35">
        <v>267.46600000000001</v>
      </c>
      <c r="E817" s="41">
        <v>812.32899999999995</v>
      </c>
      <c r="F817" s="35">
        <v>1274</v>
      </c>
      <c r="G817" s="35">
        <v>50</v>
      </c>
      <c r="H817" s="43">
        <v>600</v>
      </c>
      <c r="I817" s="35">
        <v>695</v>
      </c>
      <c r="J817" s="35">
        <v>0</v>
      </c>
      <c r="K817" s="36"/>
      <c r="L817" s="36"/>
      <c r="M817" s="36"/>
      <c r="N817" s="36"/>
      <c r="O817" s="36"/>
      <c r="P817" s="36"/>
      <c r="Q817" s="36"/>
      <c r="R817" s="36"/>
      <c r="S817" s="36"/>
      <c r="T817" s="36"/>
    </row>
    <row r="818" spans="1:20" ht="15.75">
      <c r="A818" s="13">
        <v>66415</v>
      </c>
      <c r="B818" s="44">
        <f t="shared" si="3"/>
        <v>31</v>
      </c>
      <c r="C818" s="35">
        <v>131.881</v>
      </c>
      <c r="D818" s="35">
        <v>277.16699999999997</v>
      </c>
      <c r="E818" s="41">
        <v>829.952</v>
      </c>
      <c r="F818" s="35">
        <v>1239</v>
      </c>
      <c r="G818" s="35">
        <v>75</v>
      </c>
      <c r="H818" s="43">
        <v>600</v>
      </c>
      <c r="I818" s="35">
        <v>695</v>
      </c>
      <c r="J818" s="35">
        <v>0</v>
      </c>
      <c r="K818" s="36"/>
      <c r="L818" s="36"/>
      <c r="M818" s="36"/>
      <c r="N818" s="36"/>
      <c r="O818" s="36"/>
      <c r="P818" s="36"/>
      <c r="Q818" s="36"/>
      <c r="R818" s="36"/>
      <c r="S818" s="36"/>
      <c r="T818" s="36"/>
    </row>
    <row r="819" spans="1:20" ht="15.75">
      <c r="A819" s="13">
        <v>66445</v>
      </c>
      <c r="B819" s="44">
        <f t="shared" si="3"/>
        <v>30</v>
      </c>
      <c r="C819" s="35">
        <v>122.58</v>
      </c>
      <c r="D819" s="35">
        <v>297.94099999999997</v>
      </c>
      <c r="E819" s="41">
        <v>729.47900000000004</v>
      </c>
      <c r="F819" s="35">
        <v>1150</v>
      </c>
      <c r="G819" s="35">
        <v>100</v>
      </c>
      <c r="H819" s="43">
        <v>600</v>
      </c>
      <c r="I819" s="35">
        <v>695</v>
      </c>
      <c r="J819" s="35">
        <v>50</v>
      </c>
      <c r="K819" s="36"/>
      <c r="L819" s="36"/>
      <c r="M819" s="36"/>
      <c r="N819" s="36"/>
      <c r="O819" s="36"/>
      <c r="P819" s="36"/>
      <c r="Q819" s="36"/>
      <c r="R819" s="36"/>
      <c r="S819" s="36"/>
      <c r="T819" s="36"/>
    </row>
    <row r="820" spans="1:20" ht="15.75">
      <c r="A820" s="13">
        <v>66476</v>
      </c>
      <c r="B820" s="44">
        <f t="shared" si="3"/>
        <v>31</v>
      </c>
      <c r="C820" s="35">
        <v>122.58</v>
      </c>
      <c r="D820" s="35">
        <v>297.94099999999997</v>
      </c>
      <c r="E820" s="41">
        <v>729.47900000000004</v>
      </c>
      <c r="F820" s="35">
        <v>1150</v>
      </c>
      <c r="G820" s="35">
        <v>100</v>
      </c>
      <c r="H820" s="43">
        <v>600</v>
      </c>
      <c r="I820" s="35">
        <v>695</v>
      </c>
      <c r="J820" s="35">
        <v>50</v>
      </c>
      <c r="K820" s="36"/>
      <c r="L820" s="36"/>
      <c r="M820" s="36"/>
      <c r="N820" s="36"/>
      <c r="O820" s="36"/>
      <c r="P820" s="36"/>
      <c r="Q820" s="36"/>
      <c r="R820" s="36"/>
      <c r="S820" s="36"/>
      <c r="T820" s="36"/>
    </row>
    <row r="821" spans="1:20" ht="15.75">
      <c r="A821" s="13">
        <v>66507</v>
      </c>
      <c r="B821" s="44">
        <f t="shared" si="3"/>
        <v>31</v>
      </c>
      <c r="C821" s="35">
        <v>122.58</v>
      </c>
      <c r="D821" s="35">
        <v>297.94099999999997</v>
      </c>
      <c r="E821" s="41">
        <v>729.47900000000004</v>
      </c>
      <c r="F821" s="35">
        <v>1150</v>
      </c>
      <c r="G821" s="35">
        <v>100</v>
      </c>
      <c r="H821" s="43">
        <v>600</v>
      </c>
      <c r="I821" s="35">
        <v>695</v>
      </c>
      <c r="J821" s="35">
        <v>50</v>
      </c>
      <c r="K821" s="36"/>
      <c r="L821" s="36"/>
      <c r="M821" s="36"/>
      <c r="N821" s="36"/>
      <c r="O821" s="36"/>
      <c r="P821" s="36"/>
      <c r="Q821" s="36"/>
      <c r="R821" s="36"/>
      <c r="S821" s="36"/>
      <c r="T821" s="36"/>
    </row>
    <row r="822" spans="1:20" ht="15.75">
      <c r="A822" s="13">
        <v>66535</v>
      </c>
      <c r="B822" s="44">
        <f t="shared" si="3"/>
        <v>28</v>
      </c>
      <c r="C822" s="35">
        <v>122.58</v>
      </c>
      <c r="D822" s="35">
        <v>297.94099999999997</v>
      </c>
      <c r="E822" s="41">
        <v>729.47900000000004</v>
      </c>
      <c r="F822" s="35">
        <v>1150</v>
      </c>
      <c r="G822" s="35">
        <v>100</v>
      </c>
      <c r="H822" s="43">
        <v>600</v>
      </c>
      <c r="I822" s="35">
        <v>695</v>
      </c>
      <c r="J822" s="35">
        <v>50</v>
      </c>
      <c r="K822" s="36"/>
      <c r="L822" s="36"/>
      <c r="M822" s="36"/>
      <c r="N822" s="36"/>
      <c r="O822" s="36"/>
      <c r="P822" s="36"/>
      <c r="Q822" s="36"/>
      <c r="R822" s="36"/>
      <c r="S822" s="36"/>
      <c r="T822" s="36"/>
    </row>
    <row r="823" spans="1:20" ht="15.75">
      <c r="A823" s="13">
        <v>66566</v>
      </c>
      <c r="B823" s="44">
        <f t="shared" si="3"/>
        <v>31</v>
      </c>
      <c r="C823" s="35">
        <v>122.58</v>
      </c>
      <c r="D823" s="35">
        <v>297.94099999999997</v>
      </c>
      <c r="E823" s="41">
        <v>729.47900000000004</v>
      </c>
      <c r="F823" s="35">
        <v>1150</v>
      </c>
      <c r="G823" s="35">
        <v>100</v>
      </c>
      <c r="H823" s="43">
        <v>600</v>
      </c>
      <c r="I823" s="35">
        <v>695</v>
      </c>
      <c r="J823" s="35">
        <v>50</v>
      </c>
      <c r="K823" s="36"/>
      <c r="L823" s="36"/>
      <c r="M823" s="36"/>
      <c r="N823" s="36"/>
      <c r="O823" s="36"/>
      <c r="P823" s="36"/>
      <c r="Q823" s="36"/>
      <c r="R823" s="36"/>
      <c r="S823" s="36"/>
      <c r="T823" s="36"/>
    </row>
    <row r="824" spans="1:20" ht="15.75">
      <c r="A824" s="13">
        <v>66596</v>
      </c>
      <c r="B824" s="44">
        <f t="shared" si="3"/>
        <v>30</v>
      </c>
      <c r="C824" s="35">
        <v>141.29300000000001</v>
      </c>
      <c r="D824" s="35">
        <v>267.99299999999999</v>
      </c>
      <c r="E824" s="41">
        <v>829.71400000000006</v>
      </c>
      <c r="F824" s="35">
        <v>1239</v>
      </c>
      <c r="G824" s="35">
        <v>100</v>
      </c>
      <c r="H824" s="43">
        <v>600</v>
      </c>
      <c r="I824" s="35">
        <v>695</v>
      </c>
      <c r="J824" s="35">
        <v>50</v>
      </c>
      <c r="K824" s="36"/>
      <c r="L824" s="36"/>
      <c r="M824" s="36"/>
      <c r="N824" s="36"/>
      <c r="O824" s="36"/>
      <c r="P824" s="36"/>
      <c r="Q824" s="36"/>
      <c r="R824" s="36"/>
      <c r="S824" s="36"/>
      <c r="T824" s="36"/>
    </row>
    <row r="825" spans="1:20" ht="15.75">
      <c r="A825" s="13">
        <v>66627</v>
      </c>
      <c r="B825" s="44">
        <f t="shared" si="3"/>
        <v>31</v>
      </c>
      <c r="C825" s="35">
        <v>194.20500000000001</v>
      </c>
      <c r="D825" s="35">
        <v>267.46600000000001</v>
      </c>
      <c r="E825" s="41">
        <v>812.32899999999995</v>
      </c>
      <c r="F825" s="35">
        <v>1274</v>
      </c>
      <c r="G825" s="35">
        <v>75</v>
      </c>
      <c r="H825" s="43">
        <v>600</v>
      </c>
      <c r="I825" s="35">
        <v>695</v>
      </c>
      <c r="J825" s="35">
        <v>50</v>
      </c>
      <c r="K825" s="36"/>
      <c r="L825" s="36"/>
      <c r="M825" s="36"/>
      <c r="N825" s="36"/>
      <c r="O825" s="36"/>
      <c r="P825" s="36"/>
      <c r="Q825" s="36"/>
      <c r="R825" s="36"/>
      <c r="S825" s="36"/>
      <c r="T825" s="36"/>
    </row>
    <row r="826" spans="1:20" ht="15.75">
      <c r="A826" s="13">
        <v>66657</v>
      </c>
      <c r="B826" s="44">
        <f t="shared" si="3"/>
        <v>30</v>
      </c>
      <c r="C826" s="35">
        <v>194.20500000000001</v>
      </c>
      <c r="D826" s="35">
        <v>267.46600000000001</v>
      </c>
      <c r="E826" s="41">
        <v>812.32899999999995</v>
      </c>
      <c r="F826" s="35">
        <v>1274</v>
      </c>
      <c r="G826" s="35">
        <v>50</v>
      </c>
      <c r="H826" s="43">
        <v>600</v>
      </c>
      <c r="I826" s="35">
        <v>695</v>
      </c>
      <c r="J826" s="35">
        <v>50</v>
      </c>
      <c r="K826" s="36"/>
      <c r="L826" s="36"/>
      <c r="M826" s="36"/>
      <c r="N826" s="36"/>
      <c r="O826" s="36"/>
      <c r="P826" s="36"/>
      <c r="Q826" s="36"/>
      <c r="R826" s="36"/>
      <c r="S826" s="36"/>
      <c r="T826" s="36"/>
    </row>
    <row r="827" spans="1:20" ht="15.75">
      <c r="A827" s="13">
        <v>66688</v>
      </c>
      <c r="B827" s="44">
        <f t="shared" si="3"/>
        <v>31</v>
      </c>
      <c r="C827" s="35">
        <v>194.20500000000001</v>
      </c>
      <c r="D827" s="35">
        <v>267.46600000000001</v>
      </c>
      <c r="E827" s="41">
        <v>812.32899999999995</v>
      </c>
      <c r="F827" s="35">
        <v>1274</v>
      </c>
      <c r="G827" s="35">
        <v>50</v>
      </c>
      <c r="H827" s="43">
        <v>600</v>
      </c>
      <c r="I827" s="35">
        <v>695</v>
      </c>
      <c r="J827" s="35">
        <v>0</v>
      </c>
      <c r="K827" s="36"/>
      <c r="L827" s="36"/>
      <c r="M827" s="36"/>
      <c r="N827" s="36"/>
      <c r="O827" s="36"/>
      <c r="P827" s="36"/>
      <c r="Q827" s="36"/>
      <c r="R827" s="36"/>
      <c r="S827" s="36"/>
      <c r="T827" s="36"/>
    </row>
    <row r="828" spans="1:20" ht="15.75">
      <c r="A828" s="13">
        <v>66719</v>
      </c>
      <c r="B828" s="44">
        <f t="shared" si="3"/>
        <v>31</v>
      </c>
      <c r="C828" s="35">
        <v>194.20500000000001</v>
      </c>
      <c r="D828" s="35">
        <v>267.46600000000001</v>
      </c>
      <c r="E828" s="41">
        <v>812.32899999999995</v>
      </c>
      <c r="F828" s="35">
        <v>1274</v>
      </c>
      <c r="G828" s="35">
        <v>50</v>
      </c>
      <c r="H828" s="43">
        <v>600</v>
      </c>
      <c r="I828" s="35">
        <v>695</v>
      </c>
      <c r="J828" s="35">
        <v>0</v>
      </c>
      <c r="K828" s="36"/>
      <c r="L828" s="36"/>
      <c r="M828" s="36"/>
      <c r="N828" s="36"/>
      <c r="O828" s="36"/>
      <c r="P828" s="36"/>
      <c r="Q828" s="36"/>
      <c r="R828" s="36"/>
      <c r="S828" s="36"/>
      <c r="T828" s="36"/>
    </row>
    <row r="829" spans="1:20" ht="15.75">
      <c r="A829" s="13">
        <v>66749</v>
      </c>
      <c r="B829" s="44">
        <f t="shared" si="3"/>
        <v>30</v>
      </c>
      <c r="C829" s="35">
        <v>194.20500000000001</v>
      </c>
      <c r="D829" s="35">
        <v>267.46600000000001</v>
      </c>
      <c r="E829" s="41">
        <v>812.32899999999995</v>
      </c>
      <c r="F829" s="35">
        <v>1274</v>
      </c>
      <c r="G829" s="35">
        <v>50</v>
      </c>
      <c r="H829" s="43">
        <v>600</v>
      </c>
      <c r="I829" s="35">
        <v>695</v>
      </c>
      <c r="J829" s="35">
        <v>0</v>
      </c>
      <c r="K829" s="36"/>
      <c r="L829" s="36"/>
      <c r="M829" s="36"/>
      <c r="N829" s="36"/>
      <c r="O829" s="36"/>
      <c r="P829" s="36"/>
      <c r="Q829" s="36"/>
      <c r="R829" s="36"/>
      <c r="S829" s="36"/>
      <c r="T829" s="36"/>
    </row>
    <row r="830" spans="1:20" ht="15.75">
      <c r="A830" s="13">
        <v>66780</v>
      </c>
      <c r="B830" s="44">
        <f t="shared" si="3"/>
        <v>31</v>
      </c>
      <c r="C830" s="35">
        <v>131.881</v>
      </c>
      <c r="D830" s="35">
        <v>277.16699999999997</v>
      </c>
      <c r="E830" s="41">
        <v>829.952</v>
      </c>
      <c r="F830" s="35">
        <v>1239</v>
      </c>
      <c r="G830" s="35">
        <v>75</v>
      </c>
      <c r="H830" s="43">
        <v>600</v>
      </c>
      <c r="I830" s="35">
        <v>695</v>
      </c>
      <c r="J830" s="35">
        <v>0</v>
      </c>
      <c r="K830" s="36"/>
      <c r="L830" s="36"/>
      <c r="M830" s="36"/>
      <c r="N830" s="36"/>
      <c r="O830" s="36"/>
      <c r="P830" s="36"/>
      <c r="Q830" s="36"/>
      <c r="R830" s="36"/>
      <c r="S830" s="36"/>
      <c r="T830" s="36"/>
    </row>
    <row r="831" spans="1:20" ht="15.75">
      <c r="A831" s="13">
        <v>66810</v>
      </c>
      <c r="B831" s="44">
        <f t="shared" si="3"/>
        <v>30</v>
      </c>
      <c r="C831" s="35">
        <v>122.58</v>
      </c>
      <c r="D831" s="35">
        <v>297.94099999999997</v>
      </c>
      <c r="E831" s="41">
        <v>729.47900000000004</v>
      </c>
      <c r="F831" s="35">
        <v>1150</v>
      </c>
      <c r="G831" s="35">
        <v>100</v>
      </c>
      <c r="H831" s="43">
        <v>600</v>
      </c>
      <c r="I831" s="35">
        <v>695</v>
      </c>
      <c r="J831" s="35">
        <v>50</v>
      </c>
      <c r="K831" s="36"/>
      <c r="L831" s="36"/>
      <c r="M831" s="36"/>
      <c r="N831" s="36"/>
      <c r="O831" s="36"/>
      <c r="P831" s="36"/>
      <c r="Q831" s="36"/>
      <c r="R831" s="36"/>
      <c r="S831" s="36"/>
      <c r="T831" s="36"/>
    </row>
    <row r="832" spans="1:20" ht="15.75">
      <c r="A832" s="13">
        <v>66841</v>
      </c>
      <c r="B832" s="44">
        <f t="shared" si="3"/>
        <v>31</v>
      </c>
      <c r="C832" s="35">
        <v>122.58</v>
      </c>
      <c r="D832" s="35">
        <v>297.94099999999997</v>
      </c>
      <c r="E832" s="41">
        <v>729.47900000000004</v>
      </c>
      <c r="F832" s="35">
        <v>1150</v>
      </c>
      <c r="G832" s="35">
        <v>100</v>
      </c>
      <c r="H832" s="43">
        <v>600</v>
      </c>
      <c r="I832" s="35">
        <v>695</v>
      </c>
      <c r="J832" s="35">
        <v>50</v>
      </c>
      <c r="K832" s="36"/>
      <c r="L832" s="36"/>
      <c r="M832" s="36"/>
      <c r="N832" s="36"/>
      <c r="O832" s="36"/>
      <c r="P832" s="36"/>
      <c r="Q832" s="36"/>
      <c r="R832" s="36"/>
      <c r="S832" s="36"/>
      <c r="T832" s="36"/>
    </row>
    <row r="833" spans="1:20" ht="15.75">
      <c r="A833" s="13">
        <v>66872</v>
      </c>
      <c r="B833" s="44">
        <f t="shared" si="3"/>
        <v>31</v>
      </c>
      <c r="C833" s="35">
        <v>122.58</v>
      </c>
      <c r="D833" s="35">
        <v>297.94099999999997</v>
      </c>
      <c r="E833" s="41">
        <v>729.47900000000004</v>
      </c>
      <c r="F833" s="35">
        <v>1150</v>
      </c>
      <c r="G833" s="35">
        <v>100</v>
      </c>
      <c r="H833" s="43">
        <v>600</v>
      </c>
      <c r="I833" s="35">
        <v>695</v>
      </c>
      <c r="J833" s="35">
        <v>50</v>
      </c>
      <c r="K833" s="36"/>
      <c r="L833" s="36"/>
      <c r="M833" s="36"/>
      <c r="N833" s="36"/>
      <c r="O833" s="36"/>
      <c r="P833" s="36"/>
      <c r="Q833" s="36"/>
      <c r="R833" s="36"/>
      <c r="S833" s="36"/>
      <c r="T833" s="36"/>
    </row>
    <row r="834" spans="1:20" ht="15.75">
      <c r="A834" s="13">
        <v>66900</v>
      </c>
      <c r="B834" s="44">
        <f t="shared" si="3"/>
        <v>28</v>
      </c>
      <c r="C834" s="35">
        <v>122.58</v>
      </c>
      <c r="D834" s="35">
        <v>297.94099999999997</v>
      </c>
      <c r="E834" s="41">
        <v>729.47900000000004</v>
      </c>
      <c r="F834" s="35">
        <v>1150</v>
      </c>
      <c r="G834" s="35">
        <v>100</v>
      </c>
      <c r="H834" s="43">
        <v>600</v>
      </c>
      <c r="I834" s="35">
        <v>695</v>
      </c>
      <c r="J834" s="35">
        <v>50</v>
      </c>
      <c r="K834" s="36"/>
      <c r="L834" s="36"/>
      <c r="M834" s="36"/>
      <c r="N834" s="36"/>
      <c r="O834" s="36"/>
      <c r="P834" s="36"/>
      <c r="Q834" s="36"/>
      <c r="R834" s="36"/>
      <c r="S834" s="36"/>
      <c r="T834" s="36"/>
    </row>
    <row r="835" spans="1:20" ht="15.75">
      <c r="A835" s="13">
        <v>66931</v>
      </c>
      <c r="B835" s="44">
        <f t="shared" si="3"/>
        <v>31</v>
      </c>
      <c r="C835" s="35">
        <v>122.58</v>
      </c>
      <c r="D835" s="35">
        <v>297.94099999999997</v>
      </c>
      <c r="E835" s="41">
        <v>729.47900000000004</v>
      </c>
      <c r="F835" s="35">
        <v>1150</v>
      </c>
      <c r="G835" s="35">
        <v>100</v>
      </c>
      <c r="H835" s="43">
        <v>600</v>
      </c>
      <c r="I835" s="35">
        <v>695</v>
      </c>
      <c r="J835" s="35">
        <v>50</v>
      </c>
      <c r="K835" s="36"/>
      <c r="L835" s="36"/>
      <c r="M835" s="36"/>
      <c r="N835" s="36"/>
      <c r="O835" s="36"/>
      <c r="P835" s="36"/>
      <c r="Q835" s="36"/>
      <c r="R835" s="36"/>
      <c r="S835" s="36"/>
      <c r="T835" s="36"/>
    </row>
    <row r="836" spans="1:20" ht="15.75">
      <c r="A836" s="13">
        <v>66961</v>
      </c>
      <c r="B836" s="44">
        <f t="shared" si="3"/>
        <v>30</v>
      </c>
      <c r="C836" s="35">
        <v>141.29300000000001</v>
      </c>
      <c r="D836" s="35">
        <v>267.99299999999999</v>
      </c>
      <c r="E836" s="41">
        <v>829.71400000000006</v>
      </c>
      <c r="F836" s="35">
        <v>1239</v>
      </c>
      <c r="G836" s="35">
        <v>100</v>
      </c>
      <c r="H836" s="43">
        <v>600</v>
      </c>
      <c r="I836" s="35">
        <v>695</v>
      </c>
      <c r="J836" s="35">
        <v>50</v>
      </c>
      <c r="K836" s="36"/>
      <c r="L836" s="36"/>
      <c r="M836" s="36"/>
      <c r="N836" s="36"/>
      <c r="O836" s="36"/>
      <c r="P836" s="36"/>
      <c r="Q836" s="36"/>
      <c r="R836" s="36"/>
      <c r="S836" s="36"/>
      <c r="T836" s="36"/>
    </row>
    <row r="837" spans="1:20" ht="15.75">
      <c r="A837" s="13">
        <v>66992</v>
      </c>
      <c r="B837" s="44">
        <f t="shared" ref="B837:B900" si="4">EOMONTH(A837,0)-EOMONTH(A837,-1)</f>
        <v>31</v>
      </c>
      <c r="C837" s="35">
        <v>194.20500000000001</v>
      </c>
      <c r="D837" s="35">
        <v>267.46600000000001</v>
      </c>
      <c r="E837" s="41">
        <v>812.32899999999995</v>
      </c>
      <c r="F837" s="35">
        <v>1274</v>
      </c>
      <c r="G837" s="35">
        <v>75</v>
      </c>
      <c r="H837" s="43">
        <v>600</v>
      </c>
      <c r="I837" s="35">
        <v>695</v>
      </c>
      <c r="J837" s="35">
        <v>50</v>
      </c>
      <c r="K837" s="36"/>
      <c r="L837" s="36"/>
      <c r="M837" s="36"/>
      <c r="N837" s="36"/>
      <c r="O837" s="36"/>
      <c r="P837" s="36"/>
      <c r="Q837" s="36"/>
      <c r="R837" s="36"/>
      <c r="S837" s="36"/>
      <c r="T837" s="36"/>
    </row>
    <row r="838" spans="1:20" ht="15.75">
      <c r="A838" s="13">
        <v>67022</v>
      </c>
      <c r="B838" s="44">
        <f t="shared" si="4"/>
        <v>30</v>
      </c>
      <c r="C838" s="35">
        <v>194.20500000000001</v>
      </c>
      <c r="D838" s="35">
        <v>267.46600000000001</v>
      </c>
      <c r="E838" s="41">
        <v>812.32899999999995</v>
      </c>
      <c r="F838" s="35">
        <v>1274</v>
      </c>
      <c r="G838" s="35">
        <v>50</v>
      </c>
      <c r="H838" s="43">
        <v>600</v>
      </c>
      <c r="I838" s="35">
        <v>695</v>
      </c>
      <c r="J838" s="35">
        <v>50</v>
      </c>
      <c r="K838" s="36"/>
      <c r="L838" s="36"/>
      <c r="M838" s="36"/>
      <c r="N838" s="36"/>
      <c r="O838" s="36"/>
      <c r="P838" s="36"/>
      <c r="Q838" s="36"/>
      <c r="R838" s="36"/>
      <c r="S838" s="36"/>
      <c r="T838" s="36"/>
    </row>
    <row r="839" spans="1:20" ht="15.75">
      <c r="A839" s="13">
        <v>67053</v>
      </c>
      <c r="B839" s="44">
        <f t="shared" si="4"/>
        <v>31</v>
      </c>
      <c r="C839" s="35">
        <v>194.20500000000001</v>
      </c>
      <c r="D839" s="35">
        <v>267.46600000000001</v>
      </c>
      <c r="E839" s="41">
        <v>812.32899999999995</v>
      </c>
      <c r="F839" s="35">
        <v>1274</v>
      </c>
      <c r="G839" s="35">
        <v>50</v>
      </c>
      <c r="H839" s="43">
        <v>600</v>
      </c>
      <c r="I839" s="35">
        <v>695</v>
      </c>
      <c r="J839" s="35">
        <v>0</v>
      </c>
      <c r="K839" s="36"/>
      <c r="L839" s="36"/>
      <c r="M839" s="36"/>
      <c r="N839" s="36"/>
      <c r="O839" s="36"/>
      <c r="P839" s="36"/>
      <c r="Q839" s="36"/>
      <c r="R839" s="36"/>
      <c r="S839" s="36"/>
      <c r="T839" s="36"/>
    </row>
    <row r="840" spans="1:20" ht="15.75">
      <c r="A840" s="13">
        <v>67084</v>
      </c>
      <c r="B840" s="44">
        <f t="shared" si="4"/>
        <v>31</v>
      </c>
      <c r="C840" s="35">
        <v>194.20500000000001</v>
      </c>
      <c r="D840" s="35">
        <v>267.46600000000001</v>
      </c>
      <c r="E840" s="41">
        <v>812.32899999999995</v>
      </c>
      <c r="F840" s="35">
        <v>1274</v>
      </c>
      <c r="G840" s="35">
        <v>50</v>
      </c>
      <c r="H840" s="43">
        <v>600</v>
      </c>
      <c r="I840" s="35">
        <v>695</v>
      </c>
      <c r="J840" s="35">
        <v>0</v>
      </c>
      <c r="K840" s="36"/>
      <c r="L840" s="36"/>
      <c r="M840" s="36"/>
      <c r="N840" s="36"/>
      <c r="O840" s="36"/>
      <c r="P840" s="36"/>
      <c r="Q840" s="36"/>
      <c r="R840" s="36"/>
      <c r="S840" s="36"/>
      <c r="T840" s="36"/>
    </row>
    <row r="841" spans="1:20" ht="15.75">
      <c r="A841" s="13">
        <v>67114</v>
      </c>
      <c r="B841" s="44">
        <f t="shared" si="4"/>
        <v>30</v>
      </c>
      <c r="C841" s="35">
        <v>194.20500000000001</v>
      </c>
      <c r="D841" s="35">
        <v>267.46600000000001</v>
      </c>
      <c r="E841" s="41">
        <v>812.32899999999995</v>
      </c>
      <c r="F841" s="35">
        <v>1274</v>
      </c>
      <c r="G841" s="35">
        <v>50</v>
      </c>
      <c r="H841" s="43">
        <v>600</v>
      </c>
      <c r="I841" s="35">
        <v>695</v>
      </c>
      <c r="J841" s="35">
        <v>0</v>
      </c>
      <c r="K841" s="36"/>
      <c r="L841" s="36"/>
      <c r="M841" s="36"/>
      <c r="N841" s="36"/>
      <c r="O841" s="36"/>
      <c r="P841" s="36"/>
      <c r="Q841" s="36"/>
      <c r="R841" s="36"/>
      <c r="S841" s="36"/>
      <c r="T841" s="36"/>
    </row>
    <row r="842" spans="1:20" ht="15.75">
      <c r="A842" s="13">
        <v>67145</v>
      </c>
      <c r="B842" s="44">
        <f t="shared" si="4"/>
        <v>31</v>
      </c>
      <c r="C842" s="35">
        <v>131.881</v>
      </c>
      <c r="D842" s="35">
        <v>277.16699999999997</v>
      </c>
      <c r="E842" s="41">
        <v>829.952</v>
      </c>
      <c r="F842" s="35">
        <v>1239</v>
      </c>
      <c r="G842" s="35">
        <v>75</v>
      </c>
      <c r="H842" s="43">
        <v>600</v>
      </c>
      <c r="I842" s="35">
        <v>695</v>
      </c>
      <c r="J842" s="35">
        <v>0</v>
      </c>
      <c r="K842" s="36"/>
      <c r="L842" s="36"/>
      <c r="M842" s="36"/>
      <c r="N842" s="36"/>
      <c r="O842" s="36"/>
      <c r="P842" s="36"/>
      <c r="Q842" s="36"/>
      <c r="R842" s="36"/>
      <c r="S842" s="36"/>
      <c r="T842" s="36"/>
    </row>
    <row r="843" spans="1:20" ht="15.75">
      <c r="A843" s="13">
        <v>67175</v>
      </c>
      <c r="B843" s="44">
        <f t="shared" si="4"/>
        <v>30</v>
      </c>
      <c r="C843" s="35">
        <v>122.58</v>
      </c>
      <c r="D843" s="35">
        <v>297.94099999999997</v>
      </c>
      <c r="E843" s="41">
        <v>729.47900000000004</v>
      </c>
      <c r="F843" s="35">
        <v>1150</v>
      </c>
      <c r="G843" s="35">
        <v>100</v>
      </c>
      <c r="H843" s="43">
        <v>600</v>
      </c>
      <c r="I843" s="35">
        <v>695</v>
      </c>
      <c r="J843" s="35">
        <v>50</v>
      </c>
      <c r="K843" s="36"/>
      <c r="L843" s="36"/>
      <c r="M843" s="36"/>
      <c r="N843" s="36"/>
      <c r="O843" s="36"/>
      <c r="P843" s="36"/>
      <c r="Q843" s="36"/>
      <c r="R843" s="36"/>
      <c r="S843" s="36"/>
      <c r="T843" s="36"/>
    </row>
    <row r="844" spans="1:20" ht="15.75">
      <c r="A844" s="13">
        <v>67206</v>
      </c>
      <c r="B844" s="44">
        <f t="shared" si="4"/>
        <v>31</v>
      </c>
      <c r="C844" s="35">
        <v>122.58</v>
      </c>
      <c r="D844" s="35">
        <v>297.94099999999997</v>
      </c>
      <c r="E844" s="41">
        <v>729.47900000000004</v>
      </c>
      <c r="F844" s="35">
        <v>1150</v>
      </c>
      <c r="G844" s="35">
        <v>100</v>
      </c>
      <c r="H844" s="43">
        <v>600</v>
      </c>
      <c r="I844" s="35">
        <v>695</v>
      </c>
      <c r="J844" s="35">
        <v>50</v>
      </c>
      <c r="K844" s="36"/>
      <c r="L844" s="36"/>
      <c r="M844" s="36"/>
      <c r="N844" s="36"/>
      <c r="O844" s="36"/>
      <c r="P844" s="36"/>
      <c r="Q844" s="36"/>
      <c r="R844" s="36"/>
      <c r="S844" s="36"/>
      <c r="T844" s="36"/>
    </row>
    <row r="845" spans="1:20" ht="15.75">
      <c r="A845" s="13">
        <v>67237</v>
      </c>
      <c r="B845" s="44">
        <f t="shared" si="4"/>
        <v>31</v>
      </c>
      <c r="C845" s="35">
        <v>122.58</v>
      </c>
      <c r="D845" s="35">
        <v>297.94099999999997</v>
      </c>
      <c r="E845" s="41">
        <v>729.47900000000004</v>
      </c>
      <c r="F845" s="35">
        <v>1150</v>
      </c>
      <c r="G845" s="35">
        <v>100</v>
      </c>
      <c r="H845" s="43">
        <v>600</v>
      </c>
      <c r="I845" s="35">
        <v>695</v>
      </c>
      <c r="J845" s="35">
        <v>50</v>
      </c>
      <c r="K845" s="36"/>
      <c r="L845" s="36"/>
      <c r="M845" s="36"/>
      <c r="N845" s="36"/>
      <c r="O845" s="36"/>
      <c r="P845" s="36"/>
      <c r="Q845" s="36"/>
      <c r="R845" s="36"/>
      <c r="S845" s="36"/>
      <c r="T845" s="36"/>
    </row>
    <row r="846" spans="1:20" ht="15.75">
      <c r="A846" s="13">
        <v>67266</v>
      </c>
      <c r="B846" s="44">
        <f t="shared" si="4"/>
        <v>29</v>
      </c>
      <c r="C846" s="35">
        <v>122.58</v>
      </c>
      <c r="D846" s="35">
        <v>297.94099999999997</v>
      </c>
      <c r="E846" s="41">
        <v>729.47900000000004</v>
      </c>
      <c r="F846" s="35">
        <v>1150</v>
      </c>
      <c r="G846" s="35">
        <v>100</v>
      </c>
      <c r="H846" s="43">
        <v>600</v>
      </c>
      <c r="I846" s="35">
        <v>695</v>
      </c>
      <c r="J846" s="35">
        <v>50</v>
      </c>
      <c r="K846" s="36"/>
      <c r="L846" s="36"/>
      <c r="M846" s="36"/>
      <c r="N846" s="36"/>
      <c r="O846" s="36"/>
      <c r="P846" s="36"/>
      <c r="Q846" s="36"/>
      <c r="R846" s="36"/>
      <c r="S846" s="36"/>
      <c r="T846" s="36"/>
    </row>
    <row r="847" spans="1:20" ht="15.75">
      <c r="A847" s="13">
        <v>67297</v>
      </c>
      <c r="B847" s="44">
        <f t="shared" si="4"/>
        <v>31</v>
      </c>
      <c r="C847" s="35">
        <v>122.58</v>
      </c>
      <c r="D847" s="35">
        <v>297.94099999999997</v>
      </c>
      <c r="E847" s="41">
        <v>729.47900000000004</v>
      </c>
      <c r="F847" s="35">
        <v>1150</v>
      </c>
      <c r="G847" s="35">
        <v>100</v>
      </c>
      <c r="H847" s="43">
        <v>600</v>
      </c>
      <c r="I847" s="35">
        <v>695</v>
      </c>
      <c r="J847" s="35">
        <v>50</v>
      </c>
      <c r="K847" s="36"/>
      <c r="L847" s="36"/>
      <c r="M847" s="36"/>
      <c r="N847" s="36"/>
      <c r="O847" s="36"/>
      <c r="P847" s="36"/>
      <c r="Q847" s="36"/>
      <c r="R847" s="36"/>
      <c r="S847" s="36"/>
      <c r="T847" s="36"/>
    </row>
    <row r="848" spans="1:20" ht="15.75">
      <c r="A848" s="13">
        <v>67327</v>
      </c>
      <c r="B848" s="44">
        <f t="shared" si="4"/>
        <v>30</v>
      </c>
      <c r="C848" s="35">
        <v>141.29300000000001</v>
      </c>
      <c r="D848" s="35">
        <v>267.99299999999999</v>
      </c>
      <c r="E848" s="41">
        <v>829.71400000000006</v>
      </c>
      <c r="F848" s="35">
        <v>1239</v>
      </c>
      <c r="G848" s="35">
        <v>100</v>
      </c>
      <c r="H848" s="43">
        <v>600</v>
      </c>
      <c r="I848" s="35">
        <v>695</v>
      </c>
      <c r="J848" s="35">
        <v>50</v>
      </c>
      <c r="K848" s="36"/>
      <c r="L848" s="36"/>
      <c r="M848" s="36"/>
      <c r="N848" s="36"/>
      <c r="O848" s="36"/>
      <c r="P848" s="36"/>
      <c r="Q848" s="36"/>
      <c r="R848" s="36"/>
      <c r="S848" s="36"/>
      <c r="T848" s="36"/>
    </row>
    <row r="849" spans="1:20" ht="15.75">
      <c r="A849" s="13">
        <v>67358</v>
      </c>
      <c r="B849" s="44">
        <f t="shared" si="4"/>
        <v>31</v>
      </c>
      <c r="C849" s="35">
        <v>194.20500000000001</v>
      </c>
      <c r="D849" s="35">
        <v>267.46600000000001</v>
      </c>
      <c r="E849" s="41">
        <v>812.32899999999995</v>
      </c>
      <c r="F849" s="35">
        <v>1274</v>
      </c>
      <c r="G849" s="35">
        <v>75</v>
      </c>
      <c r="H849" s="43">
        <v>600</v>
      </c>
      <c r="I849" s="35">
        <v>695</v>
      </c>
      <c r="J849" s="35">
        <v>50</v>
      </c>
      <c r="K849" s="36"/>
      <c r="L849" s="36"/>
      <c r="M849" s="36"/>
      <c r="N849" s="36"/>
      <c r="O849" s="36"/>
      <c r="P849" s="36"/>
      <c r="Q849" s="36"/>
      <c r="R849" s="36"/>
      <c r="S849" s="36"/>
      <c r="T849" s="36"/>
    </row>
    <row r="850" spans="1:20" ht="15.75">
      <c r="A850" s="13">
        <v>67388</v>
      </c>
      <c r="B850" s="44">
        <f t="shared" si="4"/>
        <v>30</v>
      </c>
      <c r="C850" s="35">
        <v>194.20500000000001</v>
      </c>
      <c r="D850" s="35">
        <v>267.46600000000001</v>
      </c>
      <c r="E850" s="41">
        <v>812.32899999999995</v>
      </c>
      <c r="F850" s="35">
        <v>1274</v>
      </c>
      <c r="G850" s="35">
        <v>50</v>
      </c>
      <c r="H850" s="43">
        <v>600</v>
      </c>
      <c r="I850" s="35">
        <v>695</v>
      </c>
      <c r="J850" s="35">
        <v>50</v>
      </c>
      <c r="K850" s="36"/>
      <c r="L850" s="36"/>
      <c r="M850" s="36"/>
      <c r="N850" s="36"/>
      <c r="O850" s="36"/>
      <c r="P850" s="36"/>
      <c r="Q850" s="36"/>
      <c r="R850" s="36"/>
      <c r="S850" s="36"/>
      <c r="T850" s="36"/>
    </row>
    <row r="851" spans="1:20" ht="15.75">
      <c r="A851" s="13">
        <v>67419</v>
      </c>
      <c r="B851" s="44">
        <f t="shared" si="4"/>
        <v>31</v>
      </c>
      <c r="C851" s="35">
        <v>194.20500000000001</v>
      </c>
      <c r="D851" s="35">
        <v>267.46600000000001</v>
      </c>
      <c r="E851" s="41">
        <v>812.32899999999995</v>
      </c>
      <c r="F851" s="35">
        <v>1274</v>
      </c>
      <c r="G851" s="35">
        <v>50</v>
      </c>
      <c r="H851" s="43">
        <v>600</v>
      </c>
      <c r="I851" s="35">
        <v>695</v>
      </c>
      <c r="J851" s="35">
        <v>0</v>
      </c>
      <c r="K851" s="36"/>
      <c r="L851" s="36"/>
      <c r="M851" s="36"/>
      <c r="N851" s="36"/>
      <c r="O851" s="36"/>
      <c r="P851" s="36"/>
      <c r="Q851" s="36"/>
      <c r="R851" s="36"/>
      <c r="S851" s="36"/>
      <c r="T851" s="36"/>
    </row>
    <row r="852" spans="1:20" ht="15.75">
      <c r="A852" s="13">
        <v>67450</v>
      </c>
      <c r="B852" s="44">
        <f t="shared" si="4"/>
        <v>31</v>
      </c>
      <c r="C852" s="35">
        <v>194.20500000000001</v>
      </c>
      <c r="D852" s="35">
        <v>267.46600000000001</v>
      </c>
      <c r="E852" s="41">
        <v>812.32899999999995</v>
      </c>
      <c r="F852" s="35">
        <v>1274</v>
      </c>
      <c r="G852" s="35">
        <v>50</v>
      </c>
      <c r="H852" s="43">
        <v>600</v>
      </c>
      <c r="I852" s="35">
        <v>695</v>
      </c>
      <c r="J852" s="35">
        <v>0</v>
      </c>
      <c r="K852" s="36"/>
      <c r="L852" s="36"/>
      <c r="M852" s="36"/>
      <c r="N852" s="36"/>
      <c r="O852" s="36"/>
      <c r="P852" s="36"/>
      <c r="Q852" s="36"/>
      <c r="R852" s="36"/>
      <c r="S852" s="36"/>
      <c r="T852" s="36"/>
    </row>
    <row r="853" spans="1:20" ht="15.75">
      <c r="A853" s="13">
        <v>67480</v>
      </c>
      <c r="B853" s="44">
        <f t="shared" si="4"/>
        <v>30</v>
      </c>
      <c r="C853" s="35">
        <v>194.20500000000001</v>
      </c>
      <c r="D853" s="35">
        <v>267.46600000000001</v>
      </c>
      <c r="E853" s="41">
        <v>812.32899999999995</v>
      </c>
      <c r="F853" s="35">
        <v>1274</v>
      </c>
      <c r="G853" s="35">
        <v>50</v>
      </c>
      <c r="H853" s="43">
        <v>600</v>
      </c>
      <c r="I853" s="35">
        <v>695</v>
      </c>
      <c r="J853" s="35">
        <v>0</v>
      </c>
      <c r="K853" s="36"/>
      <c r="L853" s="36"/>
      <c r="M853" s="36"/>
      <c r="N853" s="36"/>
      <c r="O853" s="36"/>
      <c r="P853" s="36"/>
      <c r="Q853" s="36"/>
      <c r="R853" s="36"/>
      <c r="S853" s="36"/>
      <c r="T853" s="36"/>
    </row>
    <row r="854" spans="1:20" ht="15.75">
      <c r="A854" s="13">
        <v>67511</v>
      </c>
      <c r="B854" s="44">
        <f t="shared" si="4"/>
        <v>31</v>
      </c>
      <c r="C854" s="35">
        <v>131.881</v>
      </c>
      <c r="D854" s="35">
        <v>277.16699999999997</v>
      </c>
      <c r="E854" s="41">
        <v>829.952</v>
      </c>
      <c r="F854" s="35">
        <v>1239</v>
      </c>
      <c r="G854" s="35">
        <v>75</v>
      </c>
      <c r="H854" s="43">
        <v>600</v>
      </c>
      <c r="I854" s="35">
        <v>695</v>
      </c>
      <c r="J854" s="35">
        <v>0</v>
      </c>
      <c r="K854" s="36"/>
      <c r="L854" s="36"/>
      <c r="M854" s="36"/>
      <c r="N854" s="36"/>
      <c r="O854" s="36"/>
      <c r="P854" s="36"/>
      <c r="Q854" s="36"/>
      <c r="R854" s="36"/>
      <c r="S854" s="36"/>
      <c r="T854" s="36"/>
    </row>
    <row r="855" spans="1:20" ht="15.75">
      <c r="A855" s="13">
        <v>67541</v>
      </c>
      <c r="B855" s="44">
        <f t="shared" si="4"/>
        <v>30</v>
      </c>
      <c r="C855" s="35">
        <v>122.58</v>
      </c>
      <c r="D855" s="35">
        <v>297.94099999999997</v>
      </c>
      <c r="E855" s="41">
        <v>729.47900000000004</v>
      </c>
      <c r="F855" s="35">
        <v>1150</v>
      </c>
      <c r="G855" s="35">
        <v>100</v>
      </c>
      <c r="H855" s="43">
        <v>600</v>
      </c>
      <c r="I855" s="35">
        <v>695</v>
      </c>
      <c r="J855" s="35">
        <v>50</v>
      </c>
      <c r="K855" s="36"/>
      <c r="L855" s="36"/>
      <c r="M855" s="36"/>
      <c r="N855" s="36"/>
      <c r="O855" s="36"/>
      <c r="P855" s="36"/>
      <c r="Q855" s="36"/>
      <c r="R855" s="36"/>
      <c r="S855" s="36"/>
      <c r="T855" s="36"/>
    </row>
    <row r="856" spans="1:20" ht="15.75">
      <c r="A856" s="13">
        <v>67572</v>
      </c>
      <c r="B856" s="44">
        <f t="shared" si="4"/>
        <v>31</v>
      </c>
      <c r="C856" s="35">
        <v>122.58</v>
      </c>
      <c r="D856" s="35">
        <v>297.94099999999997</v>
      </c>
      <c r="E856" s="41">
        <v>729.47900000000004</v>
      </c>
      <c r="F856" s="35">
        <v>1150</v>
      </c>
      <c r="G856" s="35">
        <v>100</v>
      </c>
      <c r="H856" s="43">
        <v>600</v>
      </c>
      <c r="I856" s="35">
        <v>695</v>
      </c>
      <c r="J856" s="35">
        <v>50</v>
      </c>
      <c r="K856" s="36"/>
      <c r="L856" s="36"/>
      <c r="M856" s="36"/>
      <c r="N856" s="36"/>
      <c r="O856" s="36"/>
      <c r="P856" s="36"/>
      <c r="Q856" s="36"/>
      <c r="R856" s="36"/>
      <c r="S856" s="36"/>
      <c r="T856" s="36"/>
    </row>
    <row r="857" spans="1:20" ht="15.75">
      <c r="A857" s="13">
        <v>67603</v>
      </c>
      <c r="B857" s="44">
        <f t="shared" si="4"/>
        <v>31</v>
      </c>
      <c r="C857" s="35">
        <v>122.58</v>
      </c>
      <c r="D857" s="35">
        <v>297.94099999999997</v>
      </c>
      <c r="E857" s="41">
        <v>729.47900000000004</v>
      </c>
      <c r="F857" s="35">
        <v>1150</v>
      </c>
      <c r="G857" s="35">
        <v>100</v>
      </c>
      <c r="H857" s="43">
        <v>600</v>
      </c>
      <c r="I857" s="35">
        <v>695</v>
      </c>
      <c r="J857" s="35">
        <v>50</v>
      </c>
      <c r="K857" s="36"/>
      <c r="L857" s="36"/>
      <c r="M857" s="36"/>
      <c r="N857" s="36"/>
      <c r="O857" s="36"/>
      <c r="P857" s="36"/>
      <c r="Q857" s="36"/>
      <c r="R857" s="36"/>
      <c r="S857" s="36"/>
      <c r="T857" s="36"/>
    </row>
    <row r="858" spans="1:20" ht="15.75">
      <c r="A858" s="13">
        <v>67631</v>
      </c>
      <c r="B858" s="44">
        <f t="shared" si="4"/>
        <v>28</v>
      </c>
      <c r="C858" s="35">
        <v>122.58</v>
      </c>
      <c r="D858" s="35">
        <v>297.94099999999997</v>
      </c>
      <c r="E858" s="41">
        <v>729.47900000000004</v>
      </c>
      <c r="F858" s="35">
        <v>1150</v>
      </c>
      <c r="G858" s="35">
        <v>100</v>
      </c>
      <c r="H858" s="43">
        <v>600</v>
      </c>
      <c r="I858" s="35">
        <v>695</v>
      </c>
      <c r="J858" s="35">
        <v>50</v>
      </c>
      <c r="K858" s="36"/>
      <c r="L858" s="36"/>
      <c r="M858" s="36"/>
      <c r="N858" s="36"/>
      <c r="O858" s="36"/>
      <c r="P858" s="36"/>
      <c r="Q858" s="36"/>
      <c r="R858" s="36"/>
      <c r="S858" s="36"/>
      <c r="T858" s="36"/>
    </row>
    <row r="859" spans="1:20" ht="15.75">
      <c r="A859" s="13">
        <v>67662</v>
      </c>
      <c r="B859" s="44">
        <f t="shared" si="4"/>
        <v>31</v>
      </c>
      <c r="C859" s="35">
        <v>122.58</v>
      </c>
      <c r="D859" s="35">
        <v>297.94099999999997</v>
      </c>
      <c r="E859" s="41">
        <v>729.47900000000004</v>
      </c>
      <c r="F859" s="35">
        <v>1150</v>
      </c>
      <c r="G859" s="35">
        <v>100</v>
      </c>
      <c r="H859" s="43">
        <v>600</v>
      </c>
      <c r="I859" s="35">
        <v>695</v>
      </c>
      <c r="J859" s="35">
        <v>50</v>
      </c>
      <c r="K859" s="36"/>
      <c r="L859" s="36"/>
      <c r="M859" s="36"/>
      <c r="N859" s="36"/>
      <c r="O859" s="36"/>
      <c r="P859" s="36"/>
      <c r="Q859" s="36"/>
      <c r="R859" s="36"/>
      <c r="S859" s="36"/>
      <c r="T859" s="36"/>
    </row>
    <row r="860" spans="1:20" ht="15.75">
      <c r="A860" s="13">
        <v>67692</v>
      </c>
      <c r="B860" s="44">
        <f t="shared" si="4"/>
        <v>30</v>
      </c>
      <c r="C860" s="35">
        <v>141.29300000000001</v>
      </c>
      <c r="D860" s="35">
        <v>267.99299999999999</v>
      </c>
      <c r="E860" s="41">
        <v>829.71400000000006</v>
      </c>
      <c r="F860" s="35">
        <v>1239</v>
      </c>
      <c r="G860" s="35">
        <v>100</v>
      </c>
      <c r="H860" s="43">
        <v>600</v>
      </c>
      <c r="I860" s="35">
        <v>695</v>
      </c>
      <c r="J860" s="35">
        <v>50</v>
      </c>
      <c r="K860" s="36"/>
      <c r="L860" s="36"/>
      <c r="M860" s="36"/>
      <c r="N860" s="36"/>
      <c r="O860" s="36"/>
      <c r="P860" s="36"/>
      <c r="Q860" s="36"/>
      <c r="R860" s="36"/>
      <c r="S860" s="36"/>
      <c r="T860" s="36"/>
    </row>
    <row r="861" spans="1:20" ht="15.75">
      <c r="A861" s="13">
        <v>67723</v>
      </c>
      <c r="B861" s="44">
        <f t="shared" si="4"/>
        <v>31</v>
      </c>
      <c r="C861" s="35">
        <v>194.20500000000001</v>
      </c>
      <c r="D861" s="35">
        <v>267.46600000000001</v>
      </c>
      <c r="E861" s="41">
        <v>812.32899999999995</v>
      </c>
      <c r="F861" s="35">
        <v>1274</v>
      </c>
      <c r="G861" s="35">
        <v>75</v>
      </c>
      <c r="H861" s="43">
        <v>600</v>
      </c>
      <c r="I861" s="35">
        <v>695</v>
      </c>
      <c r="J861" s="35">
        <v>50</v>
      </c>
      <c r="K861" s="36"/>
      <c r="L861" s="36"/>
      <c r="M861" s="36"/>
      <c r="N861" s="36"/>
      <c r="O861" s="36"/>
      <c r="P861" s="36"/>
      <c r="Q861" s="36"/>
      <c r="R861" s="36"/>
      <c r="S861" s="36"/>
      <c r="T861" s="36"/>
    </row>
    <row r="862" spans="1:20" ht="15.75">
      <c r="A862" s="13">
        <v>67753</v>
      </c>
      <c r="B862" s="44">
        <f t="shared" si="4"/>
        <v>30</v>
      </c>
      <c r="C862" s="35">
        <v>194.20500000000001</v>
      </c>
      <c r="D862" s="35">
        <v>267.46600000000001</v>
      </c>
      <c r="E862" s="41">
        <v>812.32899999999995</v>
      </c>
      <c r="F862" s="35">
        <v>1274</v>
      </c>
      <c r="G862" s="35">
        <v>50</v>
      </c>
      <c r="H862" s="43">
        <v>600</v>
      </c>
      <c r="I862" s="35">
        <v>695</v>
      </c>
      <c r="J862" s="35">
        <v>50</v>
      </c>
      <c r="K862" s="36"/>
      <c r="L862" s="36"/>
      <c r="M862" s="36"/>
      <c r="N862" s="36"/>
      <c r="O862" s="36"/>
      <c r="P862" s="36"/>
      <c r="Q862" s="36"/>
      <c r="R862" s="36"/>
      <c r="S862" s="36"/>
      <c r="T862" s="36"/>
    </row>
    <row r="863" spans="1:20" ht="15.75">
      <c r="A863" s="13">
        <v>67784</v>
      </c>
      <c r="B863" s="44">
        <f t="shared" si="4"/>
        <v>31</v>
      </c>
      <c r="C863" s="35">
        <v>194.20500000000001</v>
      </c>
      <c r="D863" s="35">
        <v>267.46600000000001</v>
      </c>
      <c r="E863" s="41">
        <v>812.32899999999995</v>
      </c>
      <c r="F863" s="35">
        <v>1274</v>
      </c>
      <c r="G863" s="35">
        <v>50</v>
      </c>
      <c r="H863" s="43">
        <v>600</v>
      </c>
      <c r="I863" s="35">
        <v>695</v>
      </c>
      <c r="J863" s="35">
        <v>0</v>
      </c>
      <c r="K863" s="36"/>
      <c r="L863" s="36"/>
      <c r="M863" s="36"/>
      <c r="N863" s="36"/>
      <c r="O863" s="36"/>
      <c r="P863" s="36"/>
      <c r="Q863" s="36"/>
      <c r="R863" s="36"/>
      <c r="S863" s="36"/>
      <c r="T863" s="36"/>
    </row>
    <row r="864" spans="1:20" ht="15.75">
      <c r="A864" s="13">
        <v>67815</v>
      </c>
      <c r="B864" s="44">
        <f t="shared" si="4"/>
        <v>31</v>
      </c>
      <c r="C864" s="35">
        <v>194.20500000000001</v>
      </c>
      <c r="D864" s="35">
        <v>267.46600000000001</v>
      </c>
      <c r="E864" s="41">
        <v>812.32899999999995</v>
      </c>
      <c r="F864" s="35">
        <v>1274</v>
      </c>
      <c r="G864" s="35">
        <v>50</v>
      </c>
      <c r="H864" s="43">
        <v>600</v>
      </c>
      <c r="I864" s="35">
        <v>695</v>
      </c>
      <c r="J864" s="35">
        <v>0</v>
      </c>
      <c r="K864" s="36"/>
      <c r="L864" s="36"/>
      <c r="M864" s="36"/>
      <c r="N864" s="36"/>
      <c r="O864" s="36"/>
      <c r="P864" s="36"/>
      <c r="Q864" s="36"/>
      <c r="R864" s="36"/>
      <c r="S864" s="36"/>
      <c r="T864" s="36"/>
    </row>
    <row r="865" spans="1:20" ht="15.75">
      <c r="A865" s="13">
        <v>67845</v>
      </c>
      <c r="B865" s="44">
        <f t="shared" si="4"/>
        <v>30</v>
      </c>
      <c r="C865" s="35">
        <v>194.20500000000001</v>
      </c>
      <c r="D865" s="35">
        <v>267.46600000000001</v>
      </c>
      <c r="E865" s="41">
        <v>812.32899999999995</v>
      </c>
      <c r="F865" s="35">
        <v>1274</v>
      </c>
      <c r="G865" s="35">
        <v>50</v>
      </c>
      <c r="H865" s="43">
        <v>600</v>
      </c>
      <c r="I865" s="35">
        <v>695</v>
      </c>
      <c r="J865" s="35">
        <v>0</v>
      </c>
      <c r="K865" s="36"/>
      <c r="L865" s="36"/>
      <c r="M865" s="36"/>
      <c r="N865" s="36"/>
      <c r="O865" s="36"/>
      <c r="P865" s="36"/>
      <c r="Q865" s="36"/>
      <c r="R865" s="36"/>
      <c r="S865" s="36"/>
      <c r="T865" s="36"/>
    </row>
    <row r="866" spans="1:20" ht="15.75">
      <c r="A866" s="13">
        <v>67876</v>
      </c>
      <c r="B866" s="44">
        <f t="shared" si="4"/>
        <v>31</v>
      </c>
      <c r="C866" s="35">
        <v>131.881</v>
      </c>
      <c r="D866" s="35">
        <v>277.16699999999997</v>
      </c>
      <c r="E866" s="41">
        <v>829.952</v>
      </c>
      <c r="F866" s="35">
        <v>1239</v>
      </c>
      <c r="G866" s="35">
        <v>75</v>
      </c>
      <c r="H866" s="43">
        <v>600</v>
      </c>
      <c r="I866" s="35">
        <v>695</v>
      </c>
      <c r="J866" s="35">
        <v>0</v>
      </c>
      <c r="K866" s="36"/>
      <c r="L866" s="36"/>
      <c r="M866" s="36"/>
      <c r="N866" s="36"/>
      <c r="O866" s="36"/>
      <c r="P866" s="36"/>
      <c r="Q866" s="36"/>
      <c r="R866" s="36"/>
      <c r="S866" s="36"/>
      <c r="T866" s="36"/>
    </row>
    <row r="867" spans="1:20" ht="15.75">
      <c r="A867" s="13">
        <v>67906</v>
      </c>
      <c r="B867" s="44">
        <f t="shared" si="4"/>
        <v>30</v>
      </c>
      <c r="C867" s="35">
        <v>122.58</v>
      </c>
      <c r="D867" s="35">
        <v>297.94099999999997</v>
      </c>
      <c r="E867" s="41">
        <v>729.47900000000004</v>
      </c>
      <c r="F867" s="35">
        <v>1150</v>
      </c>
      <c r="G867" s="35">
        <v>100</v>
      </c>
      <c r="H867" s="43">
        <v>600</v>
      </c>
      <c r="I867" s="35">
        <v>695</v>
      </c>
      <c r="J867" s="35">
        <v>50</v>
      </c>
      <c r="K867" s="36"/>
      <c r="L867" s="36"/>
      <c r="M867" s="36"/>
      <c r="N867" s="36"/>
      <c r="O867" s="36"/>
      <c r="P867" s="36"/>
      <c r="Q867" s="36"/>
      <c r="R867" s="36"/>
      <c r="S867" s="36"/>
      <c r="T867" s="36"/>
    </row>
    <row r="868" spans="1:20" ht="15.75">
      <c r="A868" s="13">
        <v>67937</v>
      </c>
      <c r="B868" s="44">
        <f t="shared" si="4"/>
        <v>31</v>
      </c>
      <c r="C868" s="35">
        <v>122.58</v>
      </c>
      <c r="D868" s="35">
        <v>297.94099999999997</v>
      </c>
      <c r="E868" s="41">
        <v>729.47900000000004</v>
      </c>
      <c r="F868" s="35">
        <v>1150</v>
      </c>
      <c r="G868" s="35">
        <v>100</v>
      </c>
      <c r="H868" s="43">
        <v>600</v>
      </c>
      <c r="I868" s="35">
        <v>695</v>
      </c>
      <c r="J868" s="35">
        <v>50</v>
      </c>
      <c r="K868" s="36"/>
      <c r="L868" s="36"/>
      <c r="M868" s="36"/>
      <c r="N868" s="36"/>
      <c r="O868" s="36"/>
      <c r="P868" s="36"/>
      <c r="Q868" s="36"/>
      <c r="R868" s="36"/>
      <c r="S868" s="36"/>
      <c r="T868" s="36"/>
    </row>
    <row r="869" spans="1:20" ht="15.75">
      <c r="A869" s="13">
        <v>67968</v>
      </c>
      <c r="B869" s="44">
        <f t="shared" si="4"/>
        <v>31</v>
      </c>
      <c r="C869" s="35">
        <v>122.58</v>
      </c>
      <c r="D869" s="35">
        <v>297.94099999999997</v>
      </c>
      <c r="E869" s="41">
        <v>729.47900000000004</v>
      </c>
      <c r="F869" s="35">
        <v>1150</v>
      </c>
      <c r="G869" s="35">
        <v>100</v>
      </c>
      <c r="H869" s="43">
        <v>600</v>
      </c>
      <c r="I869" s="35">
        <v>695</v>
      </c>
      <c r="J869" s="35">
        <v>50</v>
      </c>
      <c r="K869" s="36"/>
      <c r="L869" s="36"/>
      <c r="M869" s="36"/>
      <c r="N869" s="36"/>
      <c r="O869" s="36"/>
      <c r="P869" s="36"/>
      <c r="Q869" s="36"/>
      <c r="R869" s="36"/>
      <c r="S869" s="36"/>
      <c r="T869" s="36"/>
    </row>
    <row r="870" spans="1:20" ht="15.75">
      <c r="A870" s="13">
        <v>67996</v>
      </c>
      <c r="B870" s="44">
        <f t="shared" si="4"/>
        <v>28</v>
      </c>
      <c r="C870" s="35">
        <v>122.58</v>
      </c>
      <c r="D870" s="35">
        <v>297.94099999999997</v>
      </c>
      <c r="E870" s="41">
        <v>729.47900000000004</v>
      </c>
      <c r="F870" s="35">
        <v>1150</v>
      </c>
      <c r="G870" s="35">
        <v>100</v>
      </c>
      <c r="H870" s="43">
        <v>600</v>
      </c>
      <c r="I870" s="35">
        <v>695</v>
      </c>
      <c r="J870" s="35">
        <v>50</v>
      </c>
      <c r="K870" s="36"/>
      <c r="L870" s="36"/>
      <c r="M870" s="36"/>
      <c r="N870" s="36"/>
      <c r="O870" s="36"/>
      <c r="P870" s="36"/>
      <c r="Q870" s="36"/>
      <c r="R870" s="36"/>
      <c r="S870" s="36"/>
      <c r="T870" s="36"/>
    </row>
    <row r="871" spans="1:20" ht="15.75">
      <c r="A871" s="13">
        <v>68027</v>
      </c>
      <c r="B871" s="44">
        <f t="shared" si="4"/>
        <v>31</v>
      </c>
      <c r="C871" s="35">
        <v>122.58</v>
      </c>
      <c r="D871" s="35">
        <v>297.94099999999997</v>
      </c>
      <c r="E871" s="41">
        <v>729.47900000000004</v>
      </c>
      <c r="F871" s="35">
        <v>1150</v>
      </c>
      <c r="G871" s="35">
        <v>100</v>
      </c>
      <c r="H871" s="43">
        <v>600</v>
      </c>
      <c r="I871" s="35">
        <v>695</v>
      </c>
      <c r="J871" s="35">
        <v>50</v>
      </c>
      <c r="K871" s="36"/>
      <c r="L871" s="36"/>
      <c r="M871" s="36"/>
      <c r="N871" s="36"/>
      <c r="O871" s="36"/>
      <c r="P871" s="36"/>
      <c r="Q871" s="36"/>
      <c r="R871" s="36"/>
      <c r="S871" s="36"/>
      <c r="T871" s="36"/>
    </row>
    <row r="872" spans="1:20" ht="15.75">
      <c r="A872" s="13">
        <v>68057</v>
      </c>
      <c r="B872" s="44">
        <f t="shared" si="4"/>
        <v>30</v>
      </c>
      <c r="C872" s="35">
        <v>141.29300000000001</v>
      </c>
      <c r="D872" s="35">
        <v>267.99299999999999</v>
      </c>
      <c r="E872" s="41">
        <v>829.71400000000006</v>
      </c>
      <c r="F872" s="35">
        <v>1239</v>
      </c>
      <c r="G872" s="35">
        <v>100</v>
      </c>
      <c r="H872" s="43">
        <v>600</v>
      </c>
      <c r="I872" s="35">
        <v>695</v>
      </c>
      <c r="J872" s="35">
        <v>50</v>
      </c>
      <c r="K872" s="36"/>
      <c r="L872" s="36"/>
      <c r="M872" s="36"/>
      <c r="N872" s="36"/>
      <c r="O872" s="36"/>
      <c r="P872" s="36"/>
      <c r="Q872" s="36"/>
      <c r="R872" s="36"/>
      <c r="S872" s="36"/>
      <c r="T872" s="36"/>
    </row>
    <row r="873" spans="1:20" ht="15.75">
      <c r="A873" s="13">
        <v>68088</v>
      </c>
      <c r="B873" s="44">
        <f t="shared" si="4"/>
        <v>31</v>
      </c>
      <c r="C873" s="35">
        <v>194.20500000000001</v>
      </c>
      <c r="D873" s="35">
        <v>267.46600000000001</v>
      </c>
      <c r="E873" s="41">
        <v>812.32899999999995</v>
      </c>
      <c r="F873" s="35">
        <v>1274</v>
      </c>
      <c r="G873" s="35">
        <v>75</v>
      </c>
      <c r="H873" s="43">
        <v>600</v>
      </c>
      <c r="I873" s="35">
        <v>695</v>
      </c>
      <c r="J873" s="35">
        <v>50</v>
      </c>
      <c r="K873" s="36"/>
      <c r="L873" s="36"/>
      <c r="M873" s="36"/>
      <c r="N873" s="36"/>
      <c r="O873" s="36"/>
      <c r="P873" s="36"/>
      <c r="Q873" s="36"/>
      <c r="R873" s="36"/>
      <c r="S873" s="36"/>
      <c r="T873" s="36"/>
    </row>
    <row r="874" spans="1:20" ht="15.75">
      <c r="A874" s="13">
        <v>68118</v>
      </c>
      <c r="B874" s="44">
        <f t="shared" si="4"/>
        <v>30</v>
      </c>
      <c r="C874" s="35">
        <v>194.20500000000001</v>
      </c>
      <c r="D874" s="35">
        <v>267.46600000000001</v>
      </c>
      <c r="E874" s="41">
        <v>812.32899999999995</v>
      </c>
      <c r="F874" s="35">
        <v>1274</v>
      </c>
      <c r="G874" s="35">
        <v>50</v>
      </c>
      <c r="H874" s="43">
        <v>600</v>
      </c>
      <c r="I874" s="35">
        <v>695</v>
      </c>
      <c r="J874" s="35">
        <v>50</v>
      </c>
      <c r="K874" s="36"/>
      <c r="L874" s="36"/>
      <c r="M874" s="36"/>
      <c r="N874" s="36"/>
      <c r="O874" s="36"/>
      <c r="P874" s="36"/>
      <c r="Q874" s="36"/>
      <c r="R874" s="36"/>
      <c r="S874" s="36"/>
      <c r="T874" s="36"/>
    </row>
    <row r="875" spans="1:20" ht="15.75">
      <c r="A875" s="13">
        <v>68149</v>
      </c>
      <c r="B875" s="44">
        <f t="shared" si="4"/>
        <v>31</v>
      </c>
      <c r="C875" s="35">
        <v>194.20500000000001</v>
      </c>
      <c r="D875" s="35">
        <v>267.46600000000001</v>
      </c>
      <c r="E875" s="41">
        <v>812.32899999999995</v>
      </c>
      <c r="F875" s="35">
        <v>1274</v>
      </c>
      <c r="G875" s="35">
        <v>50</v>
      </c>
      <c r="H875" s="43">
        <v>600</v>
      </c>
      <c r="I875" s="35">
        <v>695</v>
      </c>
      <c r="J875" s="35">
        <v>0</v>
      </c>
      <c r="K875" s="36"/>
      <c r="L875" s="36"/>
      <c r="M875" s="36"/>
      <c r="N875" s="36"/>
      <c r="O875" s="36"/>
      <c r="P875" s="36"/>
      <c r="Q875" s="36"/>
      <c r="R875" s="36"/>
      <c r="S875" s="36"/>
      <c r="T875" s="36"/>
    </row>
    <row r="876" spans="1:20" ht="15.75">
      <c r="A876" s="13">
        <v>68180</v>
      </c>
      <c r="B876" s="44">
        <f t="shared" si="4"/>
        <v>31</v>
      </c>
      <c r="C876" s="35">
        <v>194.20500000000001</v>
      </c>
      <c r="D876" s="35">
        <v>267.46600000000001</v>
      </c>
      <c r="E876" s="41">
        <v>812.32899999999995</v>
      </c>
      <c r="F876" s="35">
        <v>1274</v>
      </c>
      <c r="G876" s="35">
        <v>50</v>
      </c>
      <c r="H876" s="43">
        <v>600</v>
      </c>
      <c r="I876" s="35">
        <v>695</v>
      </c>
      <c r="J876" s="35">
        <v>0</v>
      </c>
      <c r="K876" s="36"/>
      <c r="L876" s="36"/>
      <c r="M876" s="36"/>
      <c r="N876" s="36"/>
      <c r="O876" s="36"/>
      <c r="P876" s="36"/>
      <c r="Q876" s="36"/>
      <c r="R876" s="36"/>
      <c r="S876" s="36"/>
      <c r="T876" s="36"/>
    </row>
    <row r="877" spans="1:20" ht="15.75">
      <c r="A877" s="13">
        <v>68210</v>
      </c>
      <c r="B877" s="44">
        <f t="shared" si="4"/>
        <v>30</v>
      </c>
      <c r="C877" s="35">
        <v>194.20500000000001</v>
      </c>
      <c r="D877" s="35">
        <v>267.46600000000001</v>
      </c>
      <c r="E877" s="41">
        <v>812.32899999999995</v>
      </c>
      <c r="F877" s="35">
        <v>1274</v>
      </c>
      <c r="G877" s="35">
        <v>50</v>
      </c>
      <c r="H877" s="43">
        <v>600</v>
      </c>
      <c r="I877" s="35">
        <v>695</v>
      </c>
      <c r="J877" s="35">
        <v>0</v>
      </c>
      <c r="K877" s="36"/>
      <c r="L877" s="36"/>
      <c r="M877" s="36"/>
      <c r="N877" s="36"/>
      <c r="O877" s="36"/>
      <c r="P877" s="36"/>
      <c r="Q877" s="36"/>
      <c r="R877" s="36"/>
      <c r="S877" s="36"/>
      <c r="T877" s="36"/>
    </row>
    <row r="878" spans="1:20" ht="15.75">
      <c r="A878" s="13">
        <v>68241</v>
      </c>
      <c r="B878" s="44">
        <f t="shared" si="4"/>
        <v>31</v>
      </c>
      <c r="C878" s="35">
        <v>131.881</v>
      </c>
      <c r="D878" s="35">
        <v>277.16699999999997</v>
      </c>
      <c r="E878" s="41">
        <v>829.952</v>
      </c>
      <c r="F878" s="35">
        <v>1239</v>
      </c>
      <c r="G878" s="35">
        <v>75</v>
      </c>
      <c r="H878" s="43">
        <v>600</v>
      </c>
      <c r="I878" s="35">
        <v>695</v>
      </c>
      <c r="J878" s="35">
        <v>0</v>
      </c>
      <c r="K878" s="36"/>
      <c r="L878" s="36"/>
      <c r="M878" s="36"/>
      <c r="N878" s="36"/>
      <c r="O878" s="36"/>
      <c r="P878" s="36"/>
      <c r="Q878" s="36"/>
      <c r="R878" s="36"/>
      <c r="S878" s="36"/>
      <c r="T878" s="36"/>
    </row>
    <row r="879" spans="1:20" ht="15.75">
      <c r="A879" s="13">
        <v>68271</v>
      </c>
      <c r="B879" s="44">
        <f t="shared" si="4"/>
        <v>30</v>
      </c>
      <c r="C879" s="35">
        <v>122.58</v>
      </c>
      <c r="D879" s="35">
        <v>297.94099999999997</v>
      </c>
      <c r="E879" s="41">
        <v>729.47900000000004</v>
      </c>
      <c r="F879" s="35">
        <v>1150</v>
      </c>
      <c r="G879" s="35">
        <v>100</v>
      </c>
      <c r="H879" s="43">
        <v>600</v>
      </c>
      <c r="I879" s="35">
        <v>695</v>
      </c>
      <c r="J879" s="35">
        <v>50</v>
      </c>
      <c r="K879" s="36"/>
      <c r="L879" s="36"/>
      <c r="M879" s="36"/>
      <c r="N879" s="36"/>
      <c r="O879" s="36"/>
      <c r="P879" s="36"/>
      <c r="Q879" s="36"/>
      <c r="R879" s="36"/>
      <c r="S879" s="36"/>
      <c r="T879" s="36"/>
    </row>
    <row r="880" spans="1:20" ht="15.75">
      <c r="A880" s="13">
        <v>68302</v>
      </c>
      <c r="B880" s="44">
        <f t="shared" si="4"/>
        <v>31</v>
      </c>
      <c r="C880" s="35">
        <v>122.58</v>
      </c>
      <c r="D880" s="35">
        <v>297.94099999999997</v>
      </c>
      <c r="E880" s="41">
        <v>729.47900000000004</v>
      </c>
      <c r="F880" s="35">
        <v>1150</v>
      </c>
      <c r="G880" s="35">
        <v>100</v>
      </c>
      <c r="H880" s="43">
        <v>600</v>
      </c>
      <c r="I880" s="35">
        <v>695</v>
      </c>
      <c r="J880" s="35">
        <v>50</v>
      </c>
      <c r="K880" s="36"/>
      <c r="L880" s="36"/>
      <c r="M880" s="36"/>
      <c r="N880" s="36"/>
      <c r="O880" s="36"/>
      <c r="P880" s="36"/>
      <c r="Q880" s="36"/>
      <c r="R880" s="36"/>
      <c r="S880" s="36"/>
      <c r="T880" s="36"/>
    </row>
    <row r="881" spans="1:20" ht="15.75">
      <c r="A881" s="13">
        <v>68333</v>
      </c>
      <c r="B881" s="44">
        <f t="shared" si="4"/>
        <v>31</v>
      </c>
      <c r="C881" s="35">
        <v>122.58</v>
      </c>
      <c r="D881" s="35">
        <v>297.94099999999997</v>
      </c>
      <c r="E881" s="41">
        <v>729.47900000000004</v>
      </c>
      <c r="F881" s="35">
        <v>1150</v>
      </c>
      <c r="G881" s="35">
        <v>100</v>
      </c>
      <c r="H881" s="43">
        <v>600</v>
      </c>
      <c r="I881" s="35">
        <v>695</v>
      </c>
      <c r="J881" s="35">
        <v>50</v>
      </c>
      <c r="K881" s="36"/>
      <c r="L881" s="36"/>
      <c r="M881" s="36"/>
      <c r="N881" s="36"/>
      <c r="O881" s="36"/>
      <c r="P881" s="36"/>
      <c r="Q881" s="36"/>
      <c r="R881" s="36"/>
      <c r="S881" s="36"/>
      <c r="T881" s="36"/>
    </row>
    <row r="882" spans="1:20" ht="15.75">
      <c r="A882" s="13">
        <v>68361</v>
      </c>
      <c r="B882" s="44">
        <f t="shared" si="4"/>
        <v>28</v>
      </c>
      <c r="C882" s="35">
        <v>122.58</v>
      </c>
      <c r="D882" s="35">
        <v>297.94099999999997</v>
      </c>
      <c r="E882" s="41">
        <v>729.47900000000004</v>
      </c>
      <c r="F882" s="35">
        <v>1150</v>
      </c>
      <c r="G882" s="35">
        <v>100</v>
      </c>
      <c r="H882" s="43">
        <v>600</v>
      </c>
      <c r="I882" s="35">
        <v>695</v>
      </c>
      <c r="J882" s="35">
        <v>50</v>
      </c>
      <c r="K882" s="36"/>
      <c r="L882" s="36"/>
      <c r="M882" s="36"/>
      <c r="N882" s="36"/>
      <c r="O882" s="36"/>
      <c r="P882" s="36"/>
      <c r="Q882" s="36"/>
      <c r="R882" s="36"/>
      <c r="S882" s="36"/>
      <c r="T882" s="36"/>
    </row>
    <row r="883" spans="1:20" ht="15.75">
      <c r="A883" s="13">
        <v>68392</v>
      </c>
      <c r="B883" s="44">
        <f t="shared" si="4"/>
        <v>31</v>
      </c>
      <c r="C883" s="35">
        <v>122.58</v>
      </c>
      <c r="D883" s="35">
        <v>297.94099999999997</v>
      </c>
      <c r="E883" s="41">
        <v>729.47900000000004</v>
      </c>
      <c r="F883" s="35">
        <v>1150</v>
      </c>
      <c r="G883" s="35">
        <v>100</v>
      </c>
      <c r="H883" s="43">
        <v>600</v>
      </c>
      <c r="I883" s="35">
        <v>695</v>
      </c>
      <c r="J883" s="35">
        <v>50</v>
      </c>
      <c r="K883" s="36"/>
      <c r="L883" s="36"/>
      <c r="M883" s="36"/>
      <c r="N883" s="36"/>
      <c r="O883" s="36"/>
      <c r="P883" s="36"/>
      <c r="Q883" s="36"/>
      <c r="R883" s="36"/>
      <c r="S883" s="36"/>
      <c r="T883" s="36"/>
    </row>
    <row r="884" spans="1:20" ht="15.75">
      <c r="A884" s="13">
        <v>68422</v>
      </c>
      <c r="B884" s="44">
        <f t="shared" si="4"/>
        <v>30</v>
      </c>
      <c r="C884" s="35">
        <v>141.29300000000001</v>
      </c>
      <c r="D884" s="35">
        <v>267.99299999999999</v>
      </c>
      <c r="E884" s="41">
        <v>829.71400000000006</v>
      </c>
      <c r="F884" s="35">
        <v>1239</v>
      </c>
      <c r="G884" s="35">
        <v>100</v>
      </c>
      <c r="H884" s="43">
        <v>600</v>
      </c>
      <c r="I884" s="35">
        <v>695</v>
      </c>
      <c r="J884" s="35">
        <v>50</v>
      </c>
      <c r="K884" s="36"/>
      <c r="L884" s="36"/>
      <c r="M884" s="36"/>
      <c r="N884" s="36"/>
      <c r="O884" s="36"/>
      <c r="P884" s="36"/>
      <c r="Q884" s="36"/>
      <c r="R884" s="36"/>
      <c r="S884" s="36"/>
      <c r="T884" s="36"/>
    </row>
    <row r="885" spans="1:20" ht="15.75">
      <c r="A885" s="13">
        <v>68453</v>
      </c>
      <c r="B885" s="44">
        <f t="shared" si="4"/>
        <v>31</v>
      </c>
      <c r="C885" s="35">
        <v>194.20500000000001</v>
      </c>
      <c r="D885" s="35">
        <v>267.46600000000001</v>
      </c>
      <c r="E885" s="41">
        <v>812.32899999999995</v>
      </c>
      <c r="F885" s="35">
        <v>1274</v>
      </c>
      <c r="G885" s="35">
        <v>75</v>
      </c>
      <c r="H885" s="43">
        <v>600</v>
      </c>
      <c r="I885" s="35">
        <v>695</v>
      </c>
      <c r="J885" s="35">
        <v>50</v>
      </c>
      <c r="K885" s="36"/>
      <c r="L885" s="36"/>
      <c r="M885" s="36"/>
      <c r="N885" s="36"/>
      <c r="O885" s="36"/>
      <c r="P885" s="36"/>
      <c r="Q885" s="36"/>
      <c r="R885" s="36"/>
      <c r="S885" s="36"/>
      <c r="T885" s="36"/>
    </row>
    <row r="886" spans="1:20" ht="15.75">
      <c r="A886" s="13">
        <v>68483</v>
      </c>
      <c r="B886" s="44">
        <f t="shared" si="4"/>
        <v>30</v>
      </c>
      <c r="C886" s="35">
        <v>194.20500000000001</v>
      </c>
      <c r="D886" s="35">
        <v>267.46600000000001</v>
      </c>
      <c r="E886" s="41">
        <v>812.32899999999995</v>
      </c>
      <c r="F886" s="35">
        <v>1274</v>
      </c>
      <c r="G886" s="35">
        <v>50</v>
      </c>
      <c r="H886" s="43">
        <v>600</v>
      </c>
      <c r="I886" s="35">
        <v>695</v>
      </c>
      <c r="J886" s="35">
        <v>50</v>
      </c>
      <c r="K886" s="36"/>
      <c r="L886" s="36"/>
      <c r="M886" s="36"/>
      <c r="N886" s="36"/>
      <c r="O886" s="36"/>
      <c r="P886" s="36"/>
      <c r="Q886" s="36"/>
      <c r="R886" s="36"/>
      <c r="S886" s="36"/>
      <c r="T886" s="36"/>
    </row>
    <row r="887" spans="1:20" ht="15.75">
      <c r="A887" s="13">
        <v>68514</v>
      </c>
      <c r="B887" s="44">
        <f t="shared" si="4"/>
        <v>31</v>
      </c>
      <c r="C887" s="35">
        <v>194.20500000000001</v>
      </c>
      <c r="D887" s="35">
        <v>267.46600000000001</v>
      </c>
      <c r="E887" s="41">
        <v>812.32899999999995</v>
      </c>
      <c r="F887" s="35">
        <v>1274</v>
      </c>
      <c r="G887" s="35">
        <v>50</v>
      </c>
      <c r="H887" s="43">
        <v>600</v>
      </c>
      <c r="I887" s="35">
        <v>695</v>
      </c>
      <c r="J887" s="35">
        <v>0</v>
      </c>
      <c r="K887" s="36"/>
      <c r="L887" s="36"/>
      <c r="M887" s="36"/>
      <c r="N887" s="36"/>
      <c r="O887" s="36"/>
      <c r="P887" s="36"/>
      <c r="Q887" s="36"/>
      <c r="R887" s="36"/>
      <c r="S887" s="36"/>
      <c r="T887" s="36"/>
    </row>
    <row r="888" spans="1:20" ht="15.75">
      <c r="A888" s="13">
        <v>68545</v>
      </c>
      <c r="B888" s="44">
        <f t="shared" si="4"/>
        <v>31</v>
      </c>
      <c r="C888" s="35">
        <v>194.20500000000001</v>
      </c>
      <c r="D888" s="35">
        <v>267.46600000000001</v>
      </c>
      <c r="E888" s="41">
        <v>812.32899999999995</v>
      </c>
      <c r="F888" s="35">
        <v>1274</v>
      </c>
      <c r="G888" s="35">
        <v>50</v>
      </c>
      <c r="H888" s="43">
        <v>600</v>
      </c>
      <c r="I888" s="35">
        <v>695</v>
      </c>
      <c r="J888" s="35">
        <v>0</v>
      </c>
      <c r="K888" s="36"/>
      <c r="L888" s="36"/>
      <c r="M888" s="36"/>
      <c r="N888" s="36"/>
      <c r="O888" s="36"/>
      <c r="P888" s="36"/>
      <c r="Q888" s="36"/>
      <c r="R888" s="36"/>
      <c r="S888" s="36"/>
      <c r="T888" s="36"/>
    </row>
    <row r="889" spans="1:20" ht="15.75">
      <c r="A889" s="13">
        <v>68575</v>
      </c>
      <c r="B889" s="44">
        <f t="shared" si="4"/>
        <v>30</v>
      </c>
      <c r="C889" s="35">
        <v>194.20500000000001</v>
      </c>
      <c r="D889" s="35">
        <v>267.46600000000001</v>
      </c>
      <c r="E889" s="41">
        <v>812.32899999999995</v>
      </c>
      <c r="F889" s="35">
        <v>1274</v>
      </c>
      <c r="G889" s="35">
        <v>50</v>
      </c>
      <c r="H889" s="43">
        <v>600</v>
      </c>
      <c r="I889" s="35">
        <v>695</v>
      </c>
      <c r="J889" s="35">
        <v>0</v>
      </c>
      <c r="K889" s="36"/>
      <c r="L889" s="36"/>
      <c r="M889" s="36"/>
      <c r="N889" s="36"/>
      <c r="O889" s="36"/>
      <c r="P889" s="36"/>
      <c r="Q889" s="36"/>
      <c r="R889" s="36"/>
      <c r="S889" s="36"/>
      <c r="T889" s="36"/>
    </row>
    <row r="890" spans="1:20" ht="15.75">
      <c r="A890" s="13">
        <v>68606</v>
      </c>
      <c r="B890" s="44">
        <f t="shared" si="4"/>
        <v>31</v>
      </c>
      <c r="C890" s="35">
        <v>131.881</v>
      </c>
      <c r="D890" s="35">
        <v>277.16699999999997</v>
      </c>
      <c r="E890" s="41">
        <v>829.952</v>
      </c>
      <c r="F890" s="35">
        <v>1239</v>
      </c>
      <c r="G890" s="35">
        <v>75</v>
      </c>
      <c r="H890" s="43">
        <v>600</v>
      </c>
      <c r="I890" s="35">
        <v>695</v>
      </c>
      <c r="J890" s="35">
        <v>0</v>
      </c>
      <c r="K890" s="36"/>
      <c r="L890" s="36"/>
      <c r="M890" s="36"/>
      <c r="N890" s="36"/>
      <c r="O890" s="36"/>
      <c r="P890" s="36"/>
      <c r="Q890" s="36"/>
      <c r="R890" s="36"/>
      <c r="S890" s="36"/>
      <c r="T890" s="36"/>
    </row>
    <row r="891" spans="1:20" ht="15.75">
      <c r="A891" s="13">
        <v>68636</v>
      </c>
      <c r="B891" s="44">
        <f t="shared" si="4"/>
        <v>30</v>
      </c>
      <c r="C891" s="35">
        <v>122.58</v>
      </c>
      <c r="D891" s="35">
        <v>297.94099999999997</v>
      </c>
      <c r="E891" s="41">
        <v>729.47900000000004</v>
      </c>
      <c r="F891" s="35">
        <v>1150</v>
      </c>
      <c r="G891" s="35">
        <v>100</v>
      </c>
      <c r="H891" s="43">
        <v>600</v>
      </c>
      <c r="I891" s="35">
        <v>695</v>
      </c>
      <c r="J891" s="35">
        <v>50</v>
      </c>
      <c r="K891" s="36"/>
      <c r="L891" s="36"/>
      <c r="M891" s="36"/>
      <c r="N891" s="36"/>
      <c r="O891" s="36"/>
      <c r="P891" s="36"/>
      <c r="Q891" s="36"/>
      <c r="R891" s="36"/>
      <c r="S891" s="36"/>
      <c r="T891" s="36"/>
    </row>
    <row r="892" spans="1:20" ht="15.75">
      <c r="A892" s="13">
        <v>68667</v>
      </c>
      <c r="B892" s="44">
        <f t="shared" si="4"/>
        <v>31</v>
      </c>
      <c r="C892" s="35">
        <v>122.58</v>
      </c>
      <c r="D892" s="35">
        <v>297.94099999999997</v>
      </c>
      <c r="E892" s="41">
        <v>729.47900000000004</v>
      </c>
      <c r="F892" s="35">
        <v>1150</v>
      </c>
      <c r="G892" s="35">
        <v>100</v>
      </c>
      <c r="H892" s="43">
        <v>600</v>
      </c>
      <c r="I892" s="35">
        <v>695</v>
      </c>
      <c r="J892" s="35">
        <v>50</v>
      </c>
      <c r="K892" s="36"/>
      <c r="L892" s="36"/>
      <c r="M892" s="36"/>
      <c r="N892" s="36"/>
      <c r="O892" s="36"/>
      <c r="P892" s="36"/>
      <c r="Q892" s="36"/>
      <c r="R892" s="36"/>
      <c r="S892" s="36"/>
      <c r="T892" s="36"/>
    </row>
    <row r="893" spans="1:20" ht="15.75">
      <c r="A893" s="13">
        <v>68698</v>
      </c>
      <c r="B893" s="44">
        <f t="shared" si="4"/>
        <v>31</v>
      </c>
      <c r="C893" s="35">
        <v>122.58</v>
      </c>
      <c r="D893" s="35">
        <v>297.94099999999997</v>
      </c>
      <c r="E893" s="41">
        <v>729.47900000000004</v>
      </c>
      <c r="F893" s="35">
        <v>1150</v>
      </c>
      <c r="G893" s="35">
        <v>100</v>
      </c>
      <c r="H893" s="43">
        <v>600</v>
      </c>
      <c r="I893" s="35">
        <v>695</v>
      </c>
      <c r="J893" s="35">
        <v>50</v>
      </c>
      <c r="K893" s="36"/>
      <c r="L893" s="36"/>
      <c r="M893" s="36"/>
      <c r="N893" s="36"/>
      <c r="O893" s="36"/>
      <c r="P893" s="36"/>
      <c r="Q893" s="36"/>
      <c r="R893" s="36"/>
      <c r="S893" s="36"/>
      <c r="T893" s="36"/>
    </row>
    <row r="894" spans="1:20" ht="15.75">
      <c r="A894" s="13">
        <v>68727</v>
      </c>
      <c r="B894" s="44">
        <f t="shared" si="4"/>
        <v>29</v>
      </c>
      <c r="C894" s="35">
        <v>122.58</v>
      </c>
      <c r="D894" s="35">
        <v>297.94099999999997</v>
      </c>
      <c r="E894" s="41">
        <v>729.47900000000004</v>
      </c>
      <c r="F894" s="35">
        <v>1150</v>
      </c>
      <c r="G894" s="35">
        <v>100</v>
      </c>
      <c r="H894" s="43">
        <v>600</v>
      </c>
      <c r="I894" s="35">
        <v>695</v>
      </c>
      <c r="J894" s="35">
        <v>50</v>
      </c>
      <c r="K894" s="36"/>
      <c r="L894" s="36"/>
      <c r="M894" s="36"/>
      <c r="N894" s="36"/>
      <c r="O894" s="36"/>
      <c r="P894" s="36"/>
      <c r="Q894" s="36"/>
      <c r="R894" s="36"/>
      <c r="S894" s="36"/>
      <c r="T894" s="36"/>
    </row>
    <row r="895" spans="1:20" ht="15.75">
      <c r="A895" s="13">
        <v>68758</v>
      </c>
      <c r="B895" s="44">
        <f t="shared" si="4"/>
        <v>31</v>
      </c>
      <c r="C895" s="35">
        <v>122.58</v>
      </c>
      <c r="D895" s="35">
        <v>297.94099999999997</v>
      </c>
      <c r="E895" s="41">
        <v>729.47900000000004</v>
      </c>
      <c r="F895" s="35">
        <v>1150</v>
      </c>
      <c r="G895" s="35">
        <v>100</v>
      </c>
      <c r="H895" s="43">
        <v>600</v>
      </c>
      <c r="I895" s="35">
        <v>695</v>
      </c>
      <c r="J895" s="35">
        <v>50</v>
      </c>
      <c r="K895" s="36"/>
      <c r="L895" s="36"/>
      <c r="M895" s="36"/>
      <c r="N895" s="36"/>
      <c r="O895" s="36"/>
      <c r="P895" s="36"/>
      <c r="Q895" s="36"/>
      <c r="R895" s="36"/>
      <c r="S895" s="36"/>
      <c r="T895" s="36"/>
    </row>
    <row r="896" spans="1:20" ht="15.75">
      <c r="A896" s="13">
        <v>68788</v>
      </c>
      <c r="B896" s="44">
        <f t="shared" si="4"/>
        <v>30</v>
      </c>
      <c r="C896" s="35">
        <v>141.29300000000001</v>
      </c>
      <c r="D896" s="35">
        <v>267.99299999999999</v>
      </c>
      <c r="E896" s="41">
        <v>829.71400000000006</v>
      </c>
      <c r="F896" s="35">
        <v>1239</v>
      </c>
      <c r="G896" s="35">
        <v>100</v>
      </c>
      <c r="H896" s="43">
        <v>600</v>
      </c>
      <c r="I896" s="35">
        <v>695</v>
      </c>
      <c r="J896" s="35">
        <v>50</v>
      </c>
      <c r="K896" s="36"/>
      <c r="L896" s="36"/>
      <c r="M896" s="36"/>
      <c r="N896" s="36"/>
      <c r="O896" s="36"/>
      <c r="P896" s="36"/>
      <c r="Q896" s="36"/>
      <c r="R896" s="36"/>
      <c r="S896" s="36"/>
      <c r="T896" s="36"/>
    </row>
    <row r="897" spans="1:20" ht="15.75">
      <c r="A897" s="13">
        <v>68819</v>
      </c>
      <c r="B897" s="44">
        <f t="shared" si="4"/>
        <v>31</v>
      </c>
      <c r="C897" s="35">
        <v>194.20500000000001</v>
      </c>
      <c r="D897" s="35">
        <v>267.46600000000001</v>
      </c>
      <c r="E897" s="41">
        <v>812.32899999999995</v>
      </c>
      <c r="F897" s="35">
        <v>1274</v>
      </c>
      <c r="G897" s="35">
        <v>75</v>
      </c>
      <c r="H897" s="43">
        <v>600</v>
      </c>
      <c r="I897" s="35">
        <v>695</v>
      </c>
      <c r="J897" s="35">
        <v>50</v>
      </c>
      <c r="K897" s="36"/>
      <c r="L897" s="36"/>
      <c r="M897" s="36"/>
      <c r="N897" s="36"/>
      <c r="O897" s="36"/>
      <c r="P897" s="36"/>
      <c r="Q897" s="36"/>
      <c r="R897" s="36"/>
      <c r="S897" s="36"/>
      <c r="T897" s="36"/>
    </row>
    <row r="898" spans="1:20" ht="15.75">
      <c r="A898" s="13">
        <v>68849</v>
      </c>
      <c r="B898" s="44">
        <f t="shared" si="4"/>
        <v>30</v>
      </c>
      <c r="C898" s="35">
        <v>194.20500000000001</v>
      </c>
      <c r="D898" s="35">
        <v>267.46600000000001</v>
      </c>
      <c r="E898" s="41">
        <v>812.32899999999995</v>
      </c>
      <c r="F898" s="35">
        <v>1274</v>
      </c>
      <c r="G898" s="35">
        <v>50</v>
      </c>
      <c r="H898" s="43">
        <v>600</v>
      </c>
      <c r="I898" s="35">
        <v>695</v>
      </c>
      <c r="J898" s="35">
        <v>50</v>
      </c>
      <c r="K898" s="36"/>
      <c r="L898" s="36"/>
      <c r="M898" s="36"/>
      <c r="N898" s="36"/>
      <c r="O898" s="36"/>
      <c r="P898" s="36"/>
      <c r="Q898" s="36"/>
      <c r="R898" s="36"/>
      <c r="S898" s="36"/>
      <c r="T898" s="36"/>
    </row>
    <row r="899" spans="1:20" ht="15.75">
      <c r="A899" s="13">
        <v>68880</v>
      </c>
      <c r="B899" s="44">
        <f t="shared" si="4"/>
        <v>31</v>
      </c>
      <c r="C899" s="35">
        <v>194.20500000000001</v>
      </c>
      <c r="D899" s="35">
        <v>267.46600000000001</v>
      </c>
      <c r="E899" s="41">
        <v>812.32899999999995</v>
      </c>
      <c r="F899" s="35">
        <v>1274</v>
      </c>
      <c r="G899" s="35">
        <v>50</v>
      </c>
      <c r="H899" s="43">
        <v>600</v>
      </c>
      <c r="I899" s="35">
        <v>695</v>
      </c>
      <c r="J899" s="35">
        <v>0</v>
      </c>
      <c r="K899" s="36"/>
      <c r="L899" s="36"/>
      <c r="M899" s="36"/>
      <c r="N899" s="36"/>
      <c r="O899" s="36"/>
      <c r="P899" s="36"/>
      <c r="Q899" s="36"/>
      <c r="R899" s="36"/>
      <c r="S899" s="36"/>
      <c r="T899" s="36"/>
    </row>
    <row r="900" spans="1:20" ht="15.75">
      <c r="A900" s="13">
        <v>68911</v>
      </c>
      <c r="B900" s="44">
        <f t="shared" si="4"/>
        <v>31</v>
      </c>
      <c r="C900" s="35">
        <v>194.20500000000001</v>
      </c>
      <c r="D900" s="35">
        <v>267.46600000000001</v>
      </c>
      <c r="E900" s="41">
        <v>812.32899999999995</v>
      </c>
      <c r="F900" s="35">
        <v>1274</v>
      </c>
      <c r="G900" s="35">
        <v>50</v>
      </c>
      <c r="H900" s="43">
        <v>600</v>
      </c>
      <c r="I900" s="35">
        <v>695</v>
      </c>
      <c r="J900" s="35">
        <v>0</v>
      </c>
      <c r="K900" s="36"/>
      <c r="L900" s="36"/>
      <c r="M900" s="36"/>
      <c r="N900" s="36"/>
      <c r="O900" s="36"/>
      <c r="P900" s="36"/>
      <c r="Q900" s="36"/>
      <c r="R900" s="36"/>
      <c r="S900" s="36"/>
      <c r="T900" s="36"/>
    </row>
    <row r="901" spans="1:20" ht="15.75">
      <c r="A901" s="13">
        <v>68941</v>
      </c>
      <c r="B901" s="44">
        <f t="shared" ref="B901:B964" si="5">EOMONTH(A901,0)-EOMONTH(A901,-1)</f>
        <v>30</v>
      </c>
      <c r="C901" s="35">
        <v>194.20500000000001</v>
      </c>
      <c r="D901" s="35">
        <v>267.46600000000001</v>
      </c>
      <c r="E901" s="41">
        <v>812.32899999999995</v>
      </c>
      <c r="F901" s="35">
        <v>1274</v>
      </c>
      <c r="G901" s="35">
        <v>50</v>
      </c>
      <c r="H901" s="43">
        <v>600</v>
      </c>
      <c r="I901" s="35">
        <v>695</v>
      </c>
      <c r="J901" s="35">
        <v>0</v>
      </c>
      <c r="K901" s="36"/>
      <c r="L901" s="36"/>
      <c r="M901" s="36"/>
      <c r="N901" s="36"/>
      <c r="O901" s="36"/>
      <c r="P901" s="36"/>
      <c r="Q901" s="36"/>
      <c r="R901" s="36"/>
      <c r="S901" s="36"/>
      <c r="T901" s="36"/>
    </row>
    <row r="902" spans="1:20" ht="15.75">
      <c r="A902" s="13">
        <v>68972</v>
      </c>
      <c r="B902" s="44">
        <f t="shared" si="5"/>
        <v>31</v>
      </c>
      <c r="C902" s="35">
        <v>131.881</v>
      </c>
      <c r="D902" s="35">
        <v>277.16699999999997</v>
      </c>
      <c r="E902" s="41">
        <v>829.952</v>
      </c>
      <c r="F902" s="35">
        <v>1239</v>
      </c>
      <c r="G902" s="35">
        <v>75</v>
      </c>
      <c r="H902" s="43">
        <v>600</v>
      </c>
      <c r="I902" s="35">
        <v>695</v>
      </c>
      <c r="J902" s="35">
        <v>0</v>
      </c>
      <c r="K902" s="36"/>
      <c r="L902" s="36"/>
      <c r="M902" s="36"/>
      <c r="N902" s="36"/>
      <c r="O902" s="36"/>
      <c r="P902" s="36"/>
      <c r="Q902" s="36"/>
      <c r="R902" s="36"/>
      <c r="S902" s="36"/>
      <c r="T902" s="36"/>
    </row>
    <row r="903" spans="1:20" ht="15.75">
      <c r="A903" s="13">
        <v>69002</v>
      </c>
      <c r="B903" s="44">
        <f t="shared" si="5"/>
        <v>30</v>
      </c>
      <c r="C903" s="35">
        <v>122.58</v>
      </c>
      <c r="D903" s="35">
        <v>297.94099999999997</v>
      </c>
      <c r="E903" s="41">
        <v>729.47900000000004</v>
      </c>
      <c r="F903" s="35">
        <v>1150</v>
      </c>
      <c r="G903" s="35">
        <v>100</v>
      </c>
      <c r="H903" s="43">
        <v>600</v>
      </c>
      <c r="I903" s="35">
        <v>695</v>
      </c>
      <c r="J903" s="35">
        <v>50</v>
      </c>
      <c r="K903" s="36"/>
      <c r="L903" s="36"/>
      <c r="M903" s="36"/>
      <c r="N903" s="36"/>
      <c r="O903" s="36"/>
      <c r="P903" s="36"/>
      <c r="Q903" s="36"/>
      <c r="R903" s="36"/>
      <c r="S903" s="36"/>
      <c r="T903" s="36"/>
    </row>
    <row r="904" spans="1:20" ht="15.75">
      <c r="A904" s="13">
        <v>69033</v>
      </c>
      <c r="B904" s="44">
        <f t="shared" si="5"/>
        <v>31</v>
      </c>
      <c r="C904" s="35">
        <v>122.58</v>
      </c>
      <c r="D904" s="35">
        <v>297.94099999999997</v>
      </c>
      <c r="E904" s="41">
        <v>729.47900000000004</v>
      </c>
      <c r="F904" s="35">
        <v>1150</v>
      </c>
      <c r="G904" s="35">
        <v>100</v>
      </c>
      <c r="H904" s="43">
        <v>600</v>
      </c>
      <c r="I904" s="35">
        <v>695</v>
      </c>
      <c r="J904" s="35">
        <v>50</v>
      </c>
      <c r="K904" s="36"/>
      <c r="L904" s="36"/>
      <c r="M904" s="36"/>
      <c r="N904" s="36"/>
      <c r="O904" s="36"/>
      <c r="P904" s="36"/>
      <c r="Q904" s="36"/>
      <c r="R904" s="36"/>
      <c r="S904" s="36"/>
      <c r="T904" s="36"/>
    </row>
    <row r="905" spans="1:20" ht="15.75">
      <c r="A905" s="13">
        <v>69064</v>
      </c>
      <c r="B905" s="44">
        <f t="shared" si="5"/>
        <v>31</v>
      </c>
      <c r="C905" s="35">
        <v>122.58</v>
      </c>
      <c r="D905" s="35">
        <v>297.94099999999997</v>
      </c>
      <c r="E905" s="41">
        <v>729.47900000000004</v>
      </c>
      <c r="F905" s="35">
        <v>1150</v>
      </c>
      <c r="G905" s="35">
        <v>100</v>
      </c>
      <c r="H905" s="43">
        <v>600</v>
      </c>
      <c r="I905" s="35">
        <v>695</v>
      </c>
      <c r="J905" s="35">
        <v>50</v>
      </c>
      <c r="K905" s="36"/>
      <c r="L905" s="36"/>
      <c r="M905" s="36"/>
      <c r="N905" s="36"/>
      <c r="O905" s="36"/>
      <c r="P905" s="36"/>
      <c r="Q905" s="36"/>
      <c r="R905" s="36"/>
      <c r="S905" s="36"/>
      <c r="T905" s="36"/>
    </row>
    <row r="906" spans="1:20" ht="15.75">
      <c r="A906" s="13">
        <v>69092</v>
      </c>
      <c r="B906" s="44">
        <f t="shared" si="5"/>
        <v>28</v>
      </c>
      <c r="C906" s="35">
        <v>122.58</v>
      </c>
      <c r="D906" s="35">
        <v>297.94099999999997</v>
      </c>
      <c r="E906" s="41">
        <v>729.47900000000004</v>
      </c>
      <c r="F906" s="35">
        <v>1150</v>
      </c>
      <c r="G906" s="35">
        <v>100</v>
      </c>
      <c r="H906" s="43">
        <v>600</v>
      </c>
      <c r="I906" s="35">
        <v>695</v>
      </c>
      <c r="J906" s="35">
        <v>50</v>
      </c>
      <c r="K906" s="36"/>
      <c r="L906" s="36"/>
      <c r="M906" s="36"/>
      <c r="N906" s="36"/>
      <c r="O906" s="36"/>
      <c r="P906" s="36"/>
      <c r="Q906" s="36"/>
      <c r="R906" s="36"/>
      <c r="S906" s="36"/>
      <c r="T906" s="36"/>
    </row>
    <row r="907" spans="1:20" ht="15.75">
      <c r="A907" s="13">
        <v>69123</v>
      </c>
      <c r="B907" s="44">
        <f t="shared" si="5"/>
        <v>31</v>
      </c>
      <c r="C907" s="35">
        <v>122.58</v>
      </c>
      <c r="D907" s="35">
        <v>297.94099999999997</v>
      </c>
      <c r="E907" s="41">
        <v>729.47900000000004</v>
      </c>
      <c r="F907" s="35">
        <v>1150</v>
      </c>
      <c r="G907" s="35">
        <v>100</v>
      </c>
      <c r="H907" s="43">
        <v>600</v>
      </c>
      <c r="I907" s="35">
        <v>695</v>
      </c>
      <c r="J907" s="35">
        <v>50</v>
      </c>
      <c r="K907" s="36"/>
      <c r="L907" s="36"/>
      <c r="M907" s="36"/>
      <c r="N907" s="36"/>
      <c r="O907" s="36"/>
      <c r="P907" s="36"/>
      <c r="Q907" s="36"/>
      <c r="R907" s="36"/>
      <c r="S907" s="36"/>
      <c r="T907" s="36"/>
    </row>
    <row r="908" spans="1:20" ht="15.75">
      <c r="A908" s="13">
        <v>69153</v>
      </c>
      <c r="B908" s="44">
        <f t="shared" si="5"/>
        <v>30</v>
      </c>
      <c r="C908" s="35">
        <v>141.29300000000001</v>
      </c>
      <c r="D908" s="35">
        <v>267.99299999999999</v>
      </c>
      <c r="E908" s="41">
        <v>829.71400000000006</v>
      </c>
      <c r="F908" s="35">
        <v>1239</v>
      </c>
      <c r="G908" s="35">
        <v>100</v>
      </c>
      <c r="H908" s="43">
        <v>600</v>
      </c>
      <c r="I908" s="35">
        <v>695</v>
      </c>
      <c r="J908" s="35">
        <v>50</v>
      </c>
      <c r="K908" s="36"/>
      <c r="L908" s="36"/>
      <c r="M908" s="36"/>
      <c r="N908" s="36"/>
      <c r="O908" s="36"/>
      <c r="P908" s="36"/>
      <c r="Q908" s="36"/>
      <c r="R908" s="36"/>
      <c r="S908" s="36"/>
      <c r="T908" s="36"/>
    </row>
    <row r="909" spans="1:20" ht="15.75">
      <c r="A909" s="13">
        <v>69184</v>
      </c>
      <c r="B909" s="44">
        <f t="shared" si="5"/>
        <v>31</v>
      </c>
      <c r="C909" s="35">
        <v>194.20500000000001</v>
      </c>
      <c r="D909" s="35">
        <v>267.46600000000001</v>
      </c>
      <c r="E909" s="41">
        <v>812.32899999999995</v>
      </c>
      <c r="F909" s="35">
        <v>1274</v>
      </c>
      <c r="G909" s="35">
        <v>75</v>
      </c>
      <c r="H909" s="43">
        <v>600</v>
      </c>
      <c r="I909" s="35">
        <v>695</v>
      </c>
      <c r="J909" s="35">
        <v>50</v>
      </c>
      <c r="K909" s="36"/>
      <c r="L909" s="36"/>
      <c r="M909" s="36"/>
      <c r="N909" s="36"/>
      <c r="O909" s="36"/>
      <c r="P909" s="36"/>
      <c r="Q909" s="36"/>
      <c r="R909" s="36"/>
      <c r="S909" s="36"/>
      <c r="T909" s="36"/>
    </row>
    <row r="910" spans="1:20" ht="15.75">
      <c r="A910" s="13">
        <v>69214</v>
      </c>
      <c r="B910" s="44">
        <f t="shared" si="5"/>
        <v>30</v>
      </c>
      <c r="C910" s="35">
        <v>194.20500000000001</v>
      </c>
      <c r="D910" s="35">
        <v>267.46600000000001</v>
      </c>
      <c r="E910" s="41">
        <v>812.32899999999995</v>
      </c>
      <c r="F910" s="35">
        <v>1274</v>
      </c>
      <c r="G910" s="35">
        <v>50</v>
      </c>
      <c r="H910" s="43">
        <v>600</v>
      </c>
      <c r="I910" s="35">
        <v>695</v>
      </c>
      <c r="J910" s="35">
        <v>50</v>
      </c>
      <c r="K910" s="36"/>
      <c r="L910" s="36"/>
      <c r="M910" s="36"/>
      <c r="N910" s="36"/>
      <c r="O910" s="36"/>
      <c r="P910" s="36"/>
      <c r="Q910" s="36"/>
      <c r="R910" s="36"/>
      <c r="S910" s="36"/>
      <c r="T910" s="36"/>
    </row>
    <row r="911" spans="1:20" ht="15.75">
      <c r="A911" s="13">
        <v>69245</v>
      </c>
      <c r="B911" s="44">
        <f t="shared" si="5"/>
        <v>31</v>
      </c>
      <c r="C911" s="35">
        <v>194.20500000000001</v>
      </c>
      <c r="D911" s="35">
        <v>267.46600000000001</v>
      </c>
      <c r="E911" s="41">
        <v>812.32899999999995</v>
      </c>
      <c r="F911" s="35">
        <v>1274</v>
      </c>
      <c r="G911" s="35">
        <v>50</v>
      </c>
      <c r="H911" s="43">
        <v>600</v>
      </c>
      <c r="I911" s="35">
        <v>695</v>
      </c>
      <c r="J911" s="35">
        <v>0</v>
      </c>
      <c r="K911" s="36"/>
      <c r="L911" s="36"/>
      <c r="M911" s="36"/>
      <c r="N911" s="36"/>
      <c r="O911" s="36"/>
      <c r="P911" s="36"/>
      <c r="Q911" s="36"/>
      <c r="R911" s="36"/>
      <c r="S911" s="36"/>
      <c r="T911" s="36"/>
    </row>
    <row r="912" spans="1:20" ht="15.75">
      <c r="A912" s="13">
        <v>69276</v>
      </c>
      <c r="B912" s="44">
        <f t="shared" si="5"/>
        <v>31</v>
      </c>
      <c r="C912" s="35">
        <v>194.20500000000001</v>
      </c>
      <c r="D912" s="35">
        <v>267.46600000000001</v>
      </c>
      <c r="E912" s="41">
        <v>812.32899999999995</v>
      </c>
      <c r="F912" s="35">
        <v>1274</v>
      </c>
      <c r="G912" s="35">
        <v>50</v>
      </c>
      <c r="H912" s="43">
        <v>600</v>
      </c>
      <c r="I912" s="35">
        <v>695</v>
      </c>
      <c r="J912" s="35">
        <v>0</v>
      </c>
      <c r="K912" s="36"/>
      <c r="L912" s="36"/>
      <c r="M912" s="36"/>
      <c r="N912" s="36"/>
      <c r="O912" s="36"/>
      <c r="P912" s="36"/>
      <c r="Q912" s="36"/>
      <c r="R912" s="36"/>
      <c r="S912" s="36"/>
      <c r="T912" s="36"/>
    </row>
    <row r="913" spans="1:20" ht="15.75">
      <c r="A913" s="13">
        <v>69306</v>
      </c>
      <c r="B913" s="44">
        <f t="shared" si="5"/>
        <v>30</v>
      </c>
      <c r="C913" s="35">
        <v>194.20500000000001</v>
      </c>
      <c r="D913" s="35">
        <v>267.46600000000001</v>
      </c>
      <c r="E913" s="41">
        <v>812.32899999999995</v>
      </c>
      <c r="F913" s="35">
        <v>1274</v>
      </c>
      <c r="G913" s="35">
        <v>50</v>
      </c>
      <c r="H913" s="43">
        <v>600</v>
      </c>
      <c r="I913" s="35">
        <v>695</v>
      </c>
      <c r="J913" s="35">
        <v>0</v>
      </c>
      <c r="K913" s="36"/>
      <c r="L913" s="36"/>
      <c r="M913" s="36"/>
      <c r="N913" s="36"/>
      <c r="O913" s="36"/>
      <c r="P913" s="36"/>
      <c r="Q913" s="36"/>
      <c r="R913" s="36"/>
      <c r="S913" s="36"/>
      <c r="T913" s="36"/>
    </row>
    <row r="914" spans="1:20" ht="15.75">
      <c r="A914" s="13">
        <v>69337</v>
      </c>
      <c r="B914" s="44">
        <f t="shared" si="5"/>
        <v>31</v>
      </c>
      <c r="C914" s="35">
        <v>131.881</v>
      </c>
      <c r="D914" s="35">
        <v>277.16699999999997</v>
      </c>
      <c r="E914" s="41">
        <v>829.952</v>
      </c>
      <c r="F914" s="35">
        <v>1239</v>
      </c>
      <c r="G914" s="35">
        <v>75</v>
      </c>
      <c r="H914" s="43">
        <v>600</v>
      </c>
      <c r="I914" s="35">
        <v>695</v>
      </c>
      <c r="J914" s="35">
        <v>0</v>
      </c>
      <c r="K914" s="36"/>
      <c r="L914" s="36"/>
      <c r="M914" s="36"/>
      <c r="N914" s="36"/>
      <c r="O914" s="36"/>
      <c r="P914" s="36"/>
      <c r="Q914" s="36"/>
      <c r="R914" s="36"/>
      <c r="S914" s="36"/>
      <c r="T914" s="36"/>
    </row>
    <row r="915" spans="1:20" ht="15.75">
      <c r="A915" s="13">
        <v>69367</v>
      </c>
      <c r="B915" s="44">
        <f t="shared" si="5"/>
        <v>30</v>
      </c>
      <c r="C915" s="35">
        <v>122.58</v>
      </c>
      <c r="D915" s="35">
        <v>297.94099999999997</v>
      </c>
      <c r="E915" s="41">
        <v>729.47900000000004</v>
      </c>
      <c r="F915" s="35">
        <v>1150</v>
      </c>
      <c r="G915" s="35">
        <v>100</v>
      </c>
      <c r="H915" s="43">
        <v>600</v>
      </c>
      <c r="I915" s="35">
        <v>695</v>
      </c>
      <c r="J915" s="35">
        <v>50</v>
      </c>
      <c r="K915" s="36"/>
      <c r="L915" s="36"/>
      <c r="M915" s="36"/>
      <c r="N915" s="36"/>
      <c r="O915" s="36"/>
      <c r="P915" s="36"/>
      <c r="Q915" s="36"/>
      <c r="R915" s="36"/>
      <c r="S915" s="36"/>
      <c r="T915" s="36"/>
    </row>
    <row r="916" spans="1:20" ht="15.75">
      <c r="A916" s="13">
        <v>69398</v>
      </c>
      <c r="B916" s="44">
        <f t="shared" si="5"/>
        <v>31</v>
      </c>
      <c r="C916" s="35">
        <v>122.58</v>
      </c>
      <c r="D916" s="35">
        <v>297.94099999999997</v>
      </c>
      <c r="E916" s="41">
        <v>729.47900000000004</v>
      </c>
      <c r="F916" s="35">
        <v>1150</v>
      </c>
      <c r="G916" s="35">
        <v>100</v>
      </c>
      <c r="H916" s="43">
        <v>600</v>
      </c>
      <c r="I916" s="35">
        <v>695</v>
      </c>
      <c r="J916" s="35">
        <v>50</v>
      </c>
      <c r="K916" s="36"/>
      <c r="L916" s="36"/>
      <c r="M916" s="36"/>
      <c r="N916" s="36"/>
      <c r="O916" s="36"/>
      <c r="P916" s="36"/>
      <c r="Q916" s="36"/>
      <c r="R916" s="36"/>
      <c r="S916" s="36"/>
      <c r="T916" s="36"/>
    </row>
    <row r="917" spans="1:20" ht="15.75">
      <c r="A917" s="13">
        <v>69429</v>
      </c>
      <c r="B917" s="44">
        <f t="shared" si="5"/>
        <v>31</v>
      </c>
      <c r="C917" s="35">
        <v>122.58</v>
      </c>
      <c r="D917" s="35">
        <v>297.94099999999997</v>
      </c>
      <c r="E917" s="41">
        <v>729.47900000000004</v>
      </c>
      <c r="F917" s="35">
        <v>1150</v>
      </c>
      <c r="G917" s="35">
        <v>100</v>
      </c>
      <c r="H917" s="43">
        <v>600</v>
      </c>
      <c r="I917" s="35">
        <v>695</v>
      </c>
      <c r="J917" s="35">
        <v>50</v>
      </c>
      <c r="K917" s="36"/>
      <c r="L917" s="36"/>
      <c r="M917" s="36"/>
      <c r="N917" s="36"/>
      <c r="O917" s="36"/>
      <c r="P917" s="36"/>
      <c r="Q917" s="36"/>
      <c r="R917" s="36"/>
      <c r="S917" s="36"/>
      <c r="T917" s="36"/>
    </row>
    <row r="918" spans="1:20" ht="15.75">
      <c r="A918" s="13">
        <v>69457</v>
      </c>
      <c r="B918" s="44">
        <f t="shared" si="5"/>
        <v>28</v>
      </c>
      <c r="C918" s="35">
        <v>122.58</v>
      </c>
      <c r="D918" s="35">
        <v>297.94099999999997</v>
      </c>
      <c r="E918" s="41">
        <v>729.47900000000004</v>
      </c>
      <c r="F918" s="35">
        <v>1150</v>
      </c>
      <c r="G918" s="35">
        <v>100</v>
      </c>
      <c r="H918" s="43">
        <v>600</v>
      </c>
      <c r="I918" s="35">
        <v>695</v>
      </c>
      <c r="J918" s="35">
        <v>50</v>
      </c>
      <c r="K918" s="36"/>
      <c r="L918" s="36"/>
      <c r="M918" s="36"/>
      <c r="N918" s="36"/>
      <c r="O918" s="36"/>
      <c r="P918" s="36"/>
      <c r="Q918" s="36"/>
      <c r="R918" s="36"/>
      <c r="S918" s="36"/>
      <c r="T918" s="36"/>
    </row>
    <row r="919" spans="1:20" ht="15.75">
      <c r="A919" s="13">
        <v>69488</v>
      </c>
      <c r="B919" s="44">
        <f t="shared" si="5"/>
        <v>31</v>
      </c>
      <c r="C919" s="35">
        <v>122.58</v>
      </c>
      <c r="D919" s="35">
        <v>297.94099999999997</v>
      </c>
      <c r="E919" s="41">
        <v>729.47900000000004</v>
      </c>
      <c r="F919" s="35">
        <v>1150</v>
      </c>
      <c r="G919" s="35">
        <v>100</v>
      </c>
      <c r="H919" s="43">
        <v>600</v>
      </c>
      <c r="I919" s="35">
        <v>695</v>
      </c>
      <c r="J919" s="35">
        <v>50</v>
      </c>
      <c r="K919" s="36"/>
      <c r="L919" s="36"/>
      <c r="M919" s="36"/>
      <c r="N919" s="36"/>
      <c r="O919" s="36"/>
      <c r="P919" s="36"/>
      <c r="Q919" s="36"/>
      <c r="R919" s="36"/>
      <c r="S919" s="36"/>
      <c r="T919" s="36"/>
    </row>
    <row r="920" spans="1:20" ht="15.75">
      <c r="A920" s="13">
        <v>69518</v>
      </c>
      <c r="B920" s="44">
        <f t="shared" si="5"/>
        <v>30</v>
      </c>
      <c r="C920" s="35">
        <v>141.29300000000001</v>
      </c>
      <c r="D920" s="35">
        <v>267.99299999999999</v>
      </c>
      <c r="E920" s="41">
        <v>829.71400000000006</v>
      </c>
      <c r="F920" s="35">
        <v>1239</v>
      </c>
      <c r="G920" s="35">
        <v>100</v>
      </c>
      <c r="H920" s="43">
        <v>600</v>
      </c>
      <c r="I920" s="35">
        <v>695</v>
      </c>
      <c r="J920" s="35">
        <v>50</v>
      </c>
      <c r="K920" s="36"/>
      <c r="L920" s="36"/>
      <c r="M920" s="36"/>
      <c r="N920" s="36"/>
      <c r="O920" s="36"/>
      <c r="P920" s="36"/>
      <c r="Q920" s="36"/>
      <c r="R920" s="36"/>
      <c r="S920" s="36"/>
      <c r="T920" s="36"/>
    </row>
    <row r="921" spans="1:20" ht="15.75">
      <c r="A921" s="13">
        <v>69549</v>
      </c>
      <c r="B921" s="44">
        <f t="shared" si="5"/>
        <v>31</v>
      </c>
      <c r="C921" s="35">
        <v>194.20500000000001</v>
      </c>
      <c r="D921" s="35">
        <v>267.46600000000001</v>
      </c>
      <c r="E921" s="41">
        <v>812.32899999999995</v>
      </c>
      <c r="F921" s="35">
        <v>1274</v>
      </c>
      <c r="G921" s="35">
        <v>75</v>
      </c>
      <c r="H921" s="43">
        <v>600</v>
      </c>
      <c r="I921" s="35">
        <v>695</v>
      </c>
      <c r="J921" s="35">
        <v>50</v>
      </c>
      <c r="K921" s="36"/>
      <c r="L921" s="36"/>
      <c r="M921" s="36"/>
      <c r="N921" s="36"/>
      <c r="O921" s="36"/>
      <c r="P921" s="36"/>
      <c r="Q921" s="36"/>
      <c r="R921" s="36"/>
      <c r="S921" s="36"/>
      <c r="T921" s="36"/>
    </row>
    <row r="922" spans="1:20" ht="15.75">
      <c r="A922" s="13">
        <v>69579</v>
      </c>
      <c r="B922" s="44">
        <f t="shared" si="5"/>
        <v>30</v>
      </c>
      <c r="C922" s="35">
        <v>194.20500000000001</v>
      </c>
      <c r="D922" s="35">
        <v>267.46600000000001</v>
      </c>
      <c r="E922" s="41">
        <v>812.32899999999995</v>
      </c>
      <c r="F922" s="35">
        <v>1274</v>
      </c>
      <c r="G922" s="35">
        <v>50</v>
      </c>
      <c r="H922" s="43">
        <v>600</v>
      </c>
      <c r="I922" s="35">
        <v>695</v>
      </c>
      <c r="J922" s="35">
        <v>50</v>
      </c>
      <c r="K922" s="36"/>
      <c r="L922" s="36"/>
      <c r="M922" s="36"/>
      <c r="N922" s="36"/>
      <c r="O922" s="36"/>
      <c r="P922" s="36"/>
      <c r="Q922" s="36"/>
      <c r="R922" s="36"/>
      <c r="S922" s="36"/>
      <c r="T922" s="36"/>
    </row>
    <row r="923" spans="1:20" ht="15.75">
      <c r="A923" s="13">
        <v>69610</v>
      </c>
      <c r="B923" s="44">
        <f t="shared" si="5"/>
        <v>31</v>
      </c>
      <c r="C923" s="35">
        <v>194.20500000000001</v>
      </c>
      <c r="D923" s="35">
        <v>267.46600000000001</v>
      </c>
      <c r="E923" s="41">
        <v>812.32899999999995</v>
      </c>
      <c r="F923" s="35">
        <v>1274</v>
      </c>
      <c r="G923" s="35">
        <v>50</v>
      </c>
      <c r="H923" s="43">
        <v>600</v>
      </c>
      <c r="I923" s="35">
        <v>695</v>
      </c>
      <c r="J923" s="35">
        <v>0</v>
      </c>
      <c r="K923" s="36"/>
      <c r="L923" s="36"/>
      <c r="M923" s="36"/>
      <c r="N923" s="36"/>
      <c r="O923" s="36"/>
      <c r="P923" s="36"/>
      <c r="Q923" s="36"/>
      <c r="R923" s="36"/>
      <c r="S923" s="36"/>
      <c r="T923" s="36"/>
    </row>
    <row r="924" spans="1:20" ht="15.75">
      <c r="A924" s="13">
        <v>69641</v>
      </c>
      <c r="B924" s="44">
        <f t="shared" si="5"/>
        <v>31</v>
      </c>
      <c r="C924" s="35">
        <v>194.20500000000001</v>
      </c>
      <c r="D924" s="35">
        <v>267.46600000000001</v>
      </c>
      <c r="E924" s="41">
        <v>812.32899999999995</v>
      </c>
      <c r="F924" s="35">
        <v>1274</v>
      </c>
      <c r="G924" s="35">
        <v>50</v>
      </c>
      <c r="H924" s="43">
        <v>600</v>
      </c>
      <c r="I924" s="35">
        <v>695</v>
      </c>
      <c r="J924" s="35">
        <v>0</v>
      </c>
      <c r="K924" s="36"/>
      <c r="L924" s="36"/>
      <c r="M924" s="36"/>
      <c r="N924" s="36"/>
      <c r="O924" s="36"/>
      <c r="P924" s="36"/>
      <c r="Q924" s="36"/>
      <c r="R924" s="36"/>
      <c r="S924" s="36"/>
      <c r="T924" s="36"/>
    </row>
    <row r="925" spans="1:20" ht="15.75">
      <c r="A925" s="13">
        <v>69671</v>
      </c>
      <c r="B925" s="44">
        <f t="shared" si="5"/>
        <v>30</v>
      </c>
      <c r="C925" s="35">
        <v>194.20500000000001</v>
      </c>
      <c r="D925" s="35">
        <v>267.46600000000001</v>
      </c>
      <c r="E925" s="41">
        <v>812.32899999999995</v>
      </c>
      <c r="F925" s="35">
        <v>1274</v>
      </c>
      <c r="G925" s="35">
        <v>50</v>
      </c>
      <c r="H925" s="43">
        <v>600</v>
      </c>
      <c r="I925" s="35">
        <v>695</v>
      </c>
      <c r="J925" s="35">
        <v>0</v>
      </c>
      <c r="K925" s="36"/>
      <c r="L925" s="36"/>
      <c r="M925" s="36"/>
      <c r="N925" s="36"/>
      <c r="O925" s="36"/>
      <c r="P925" s="36"/>
      <c r="Q925" s="36"/>
      <c r="R925" s="36"/>
      <c r="S925" s="36"/>
      <c r="T925" s="36"/>
    </row>
    <row r="926" spans="1:20" ht="15.75">
      <c r="A926" s="13">
        <v>69702</v>
      </c>
      <c r="B926" s="44">
        <f t="shared" si="5"/>
        <v>31</v>
      </c>
      <c r="C926" s="35">
        <v>131.881</v>
      </c>
      <c r="D926" s="35">
        <v>277.16699999999997</v>
      </c>
      <c r="E926" s="41">
        <v>829.952</v>
      </c>
      <c r="F926" s="35">
        <v>1239</v>
      </c>
      <c r="G926" s="35">
        <v>75</v>
      </c>
      <c r="H926" s="43">
        <v>600</v>
      </c>
      <c r="I926" s="35">
        <v>695</v>
      </c>
      <c r="J926" s="35">
        <v>0</v>
      </c>
      <c r="K926" s="36"/>
      <c r="L926" s="36"/>
      <c r="M926" s="36"/>
      <c r="N926" s="36"/>
      <c r="O926" s="36"/>
      <c r="P926" s="36"/>
      <c r="Q926" s="36"/>
      <c r="R926" s="36"/>
      <c r="S926" s="36"/>
      <c r="T926" s="36"/>
    </row>
    <row r="927" spans="1:20" ht="15.75">
      <c r="A927" s="13">
        <v>69732</v>
      </c>
      <c r="B927" s="44">
        <f t="shared" si="5"/>
        <v>30</v>
      </c>
      <c r="C927" s="35">
        <v>122.58</v>
      </c>
      <c r="D927" s="35">
        <v>297.94099999999997</v>
      </c>
      <c r="E927" s="41">
        <v>729.47900000000004</v>
      </c>
      <c r="F927" s="35">
        <v>1150</v>
      </c>
      <c r="G927" s="35">
        <v>100</v>
      </c>
      <c r="H927" s="43">
        <v>600</v>
      </c>
      <c r="I927" s="35">
        <v>695</v>
      </c>
      <c r="J927" s="35">
        <v>50</v>
      </c>
      <c r="K927" s="36"/>
      <c r="L927" s="36"/>
      <c r="M927" s="36"/>
      <c r="N927" s="36"/>
      <c r="O927" s="36"/>
      <c r="P927" s="36"/>
      <c r="Q927" s="36"/>
      <c r="R927" s="36"/>
      <c r="S927" s="36"/>
      <c r="T927" s="36"/>
    </row>
    <row r="928" spans="1:20" ht="15.75">
      <c r="A928" s="13">
        <v>69763</v>
      </c>
      <c r="B928" s="44">
        <f t="shared" si="5"/>
        <v>31</v>
      </c>
      <c r="C928" s="35">
        <v>122.58</v>
      </c>
      <c r="D928" s="35">
        <v>297.94099999999997</v>
      </c>
      <c r="E928" s="41">
        <v>729.47900000000004</v>
      </c>
      <c r="F928" s="35">
        <v>1150</v>
      </c>
      <c r="G928" s="35">
        <v>100</v>
      </c>
      <c r="H928" s="43">
        <v>600</v>
      </c>
      <c r="I928" s="35">
        <v>695</v>
      </c>
      <c r="J928" s="35">
        <v>50</v>
      </c>
      <c r="K928" s="36"/>
      <c r="L928" s="36"/>
      <c r="M928" s="36"/>
      <c r="N928" s="36"/>
      <c r="O928" s="36"/>
      <c r="P928" s="36"/>
      <c r="Q928" s="36"/>
      <c r="R928" s="36"/>
      <c r="S928" s="36"/>
      <c r="T928" s="36"/>
    </row>
    <row r="929" spans="1:20" ht="15.75">
      <c r="A929" s="13">
        <v>69794</v>
      </c>
      <c r="B929" s="44">
        <f t="shared" si="5"/>
        <v>31</v>
      </c>
      <c r="C929" s="35">
        <v>122.58</v>
      </c>
      <c r="D929" s="35">
        <v>297.94099999999997</v>
      </c>
      <c r="E929" s="41">
        <v>729.47900000000004</v>
      </c>
      <c r="F929" s="35">
        <v>1150</v>
      </c>
      <c r="G929" s="35">
        <v>100</v>
      </c>
      <c r="H929" s="43">
        <v>600</v>
      </c>
      <c r="I929" s="35">
        <v>695</v>
      </c>
      <c r="J929" s="35">
        <v>50</v>
      </c>
      <c r="K929" s="36"/>
      <c r="L929" s="36"/>
      <c r="M929" s="36"/>
      <c r="N929" s="36"/>
      <c r="O929" s="36"/>
      <c r="P929" s="36"/>
      <c r="Q929" s="36"/>
      <c r="R929" s="36"/>
      <c r="S929" s="36"/>
      <c r="T929" s="36"/>
    </row>
    <row r="930" spans="1:20" ht="15.75">
      <c r="A930" s="13">
        <v>69822</v>
      </c>
      <c r="B930" s="44">
        <f t="shared" si="5"/>
        <v>28</v>
      </c>
      <c r="C930" s="35">
        <v>122.58</v>
      </c>
      <c r="D930" s="35">
        <v>297.94099999999997</v>
      </c>
      <c r="E930" s="41">
        <v>729.47900000000004</v>
      </c>
      <c r="F930" s="35">
        <v>1150</v>
      </c>
      <c r="G930" s="35">
        <v>100</v>
      </c>
      <c r="H930" s="43">
        <v>600</v>
      </c>
      <c r="I930" s="35">
        <v>695</v>
      </c>
      <c r="J930" s="35">
        <v>50</v>
      </c>
      <c r="K930" s="36"/>
      <c r="L930" s="36"/>
      <c r="M930" s="36"/>
      <c r="N930" s="36"/>
      <c r="O930" s="36"/>
      <c r="P930" s="36"/>
      <c r="Q930" s="36"/>
      <c r="R930" s="36"/>
      <c r="S930" s="36"/>
      <c r="T930" s="36"/>
    </row>
    <row r="931" spans="1:20" ht="15.75">
      <c r="A931" s="13">
        <v>69853</v>
      </c>
      <c r="B931" s="44">
        <f t="shared" si="5"/>
        <v>31</v>
      </c>
      <c r="C931" s="35">
        <v>122.58</v>
      </c>
      <c r="D931" s="35">
        <v>297.94099999999997</v>
      </c>
      <c r="E931" s="41">
        <v>729.47900000000004</v>
      </c>
      <c r="F931" s="35">
        <v>1150</v>
      </c>
      <c r="G931" s="35">
        <v>100</v>
      </c>
      <c r="H931" s="43">
        <v>600</v>
      </c>
      <c r="I931" s="35">
        <v>695</v>
      </c>
      <c r="J931" s="35">
        <v>50</v>
      </c>
      <c r="K931" s="36"/>
      <c r="L931" s="36"/>
      <c r="M931" s="36"/>
      <c r="N931" s="36"/>
      <c r="O931" s="36"/>
      <c r="P931" s="36"/>
      <c r="Q931" s="36"/>
      <c r="R931" s="36"/>
      <c r="S931" s="36"/>
      <c r="T931" s="36"/>
    </row>
    <row r="932" spans="1:20" ht="15.75">
      <c r="A932" s="13">
        <v>69883</v>
      </c>
      <c r="B932" s="44">
        <f t="shared" si="5"/>
        <v>30</v>
      </c>
      <c r="C932" s="35">
        <v>141.29300000000001</v>
      </c>
      <c r="D932" s="35">
        <v>267.99299999999999</v>
      </c>
      <c r="E932" s="41">
        <v>829.71400000000006</v>
      </c>
      <c r="F932" s="35">
        <v>1239</v>
      </c>
      <c r="G932" s="35">
        <v>100</v>
      </c>
      <c r="H932" s="43">
        <v>600</v>
      </c>
      <c r="I932" s="35">
        <v>695</v>
      </c>
      <c r="J932" s="35">
        <v>50</v>
      </c>
      <c r="K932" s="36"/>
      <c r="L932" s="36"/>
      <c r="M932" s="36"/>
      <c r="N932" s="36"/>
      <c r="O932" s="36"/>
      <c r="P932" s="36"/>
      <c r="Q932" s="36"/>
      <c r="R932" s="36"/>
      <c r="S932" s="36"/>
      <c r="T932" s="36"/>
    </row>
    <row r="933" spans="1:20" ht="15.75">
      <c r="A933" s="13">
        <v>69914</v>
      </c>
      <c r="B933" s="44">
        <f t="shared" si="5"/>
        <v>31</v>
      </c>
      <c r="C933" s="35">
        <v>194.20500000000001</v>
      </c>
      <c r="D933" s="35">
        <v>267.46600000000001</v>
      </c>
      <c r="E933" s="41">
        <v>812.32899999999995</v>
      </c>
      <c r="F933" s="35">
        <v>1274</v>
      </c>
      <c r="G933" s="35">
        <v>75</v>
      </c>
      <c r="H933" s="43">
        <v>600</v>
      </c>
      <c r="I933" s="35">
        <v>695</v>
      </c>
      <c r="J933" s="35">
        <v>50</v>
      </c>
      <c r="K933" s="36"/>
      <c r="L933" s="36"/>
      <c r="M933" s="36"/>
      <c r="N933" s="36"/>
      <c r="O933" s="36"/>
      <c r="P933" s="36"/>
      <c r="Q933" s="36"/>
      <c r="R933" s="36"/>
      <c r="S933" s="36"/>
      <c r="T933" s="36"/>
    </row>
    <row r="934" spans="1:20" ht="15.75">
      <c r="A934" s="13">
        <v>69944</v>
      </c>
      <c r="B934" s="44">
        <f t="shared" si="5"/>
        <v>30</v>
      </c>
      <c r="C934" s="35">
        <v>194.20500000000001</v>
      </c>
      <c r="D934" s="35">
        <v>267.46600000000001</v>
      </c>
      <c r="E934" s="41">
        <v>812.32899999999995</v>
      </c>
      <c r="F934" s="35">
        <v>1274</v>
      </c>
      <c r="G934" s="35">
        <v>50</v>
      </c>
      <c r="H934" s="43">
        <v>600</v>
      </c>
      <c r="I934" s="35">
        <v>695</v>
      </c>
      <c r="J934" s="35">
        <v>50</v>
      </c>
      <c r="K934" s="36"/>
      <c r="L934" s="36"/>
      <c r="M934" s="36"/>
      <c r="N934" s="36"/>
      <c r="O934" s="36"/>
      <c r="P934" s="36"/>
      <c r="Q934" s="36"/>
      <c r="R934" s="36"/>
      <c r="S934" s="36"/>
      <c r="T934" s="36"/>
    </row>
    <row r="935" spans="1:20" ht="15.75">
      <c r="A935" s="13">
        <v>69975</v>
      </c>
      <c r="B935" s="44">
        <f t="shared" si="5"/>
        <v>31</v>
      </c>
      <c r="C935" s="35">
        <v>194.20500000000001</v>
      </c>
      <c r="D935" s="35">
        <v>267.46600000000001</v>
      </c>
      <c r="E935" s="41">
        <v>812.32899999999995</v>
      </c>
      <c r="F935" s="35">
        <v>1274</v>
      </c>
      <c r="G935" s="35">
        <v>50</v>
      </c>
      <c r="H935" s="43">
        <v>600</v>
      </c>
      <c r="I935" s="35">
        <v>695</v>
      </c>
      <c r="J935" s="35">
        <v>0</v>
      </c>
      <c r="K935" s="36"/>
      <c r="L935" s="36"/>
      <c r="M935" s="36"/>
      <c r="N935" s="36"/>
      <c r="O935" s="36"/>
      <c r="P935" s="36"/>
      <c r="Q935" s="36"/>
      <c r="R935" s="36"/>
      <c r="S935" s="36"/>
      <c r="T935" s="36"/>
    </row>
    <row r="936" spans="1:20" ht="15.75">
      <c r="A936" s="13">
        <v>70006</v>
      </c>
      <c r="B936" s="44">
        <f t="shared" si="5"/>
        <v>31</v>
      </c>
      <c r="C936" s="35">
        <v>194.20500000000001</v>
      </c>
      <c r="D936" s="35">
        <v>267.46600000000001</v>
      </c>
      <c r="E936" s="41">
        <v>812.32899999999995</v>
      </c>
      <c r="F936" s="35">
        <v>1274</v>
      </c>
      <c r="G936" s="35">
        <v>50</v>
      </c>
      <c r="H936" s="43">
        <v>600</v>
      </c>
      <c r="I936" s="35">
        <v>695</v>
      </c>
      <c r="J936" s="35">
        <v>0</v>
      </c>
      <c r="K936" s="36"/>
      <c r="L936" s="36"/>
      <c r="M936" s="36"/>
      <c r="N936" s="36"/>
      <c r="O936" s="36"/>
      <c r="P936" s="36"/>
      <c r="Q936" s="36"/>
      <c r="R936" s="36"/>
      <c r="S936" s="36"/>
      <c r="T936" s="36"/>
    </row>
    <row r="937" spans="1:20" ht="15.75">
      <c r="A937" s="13">
        <v>70036</v>
      </c>
      <c r="B937" s="44">
        <f t="shared" si="5"/>
        <v>30</v>
      </c>
      <c r="C937" s="35">
        <v>194.20500000000001</v>
      </c>
      <c r="D937" s="35">
        <v>267.46600000000001</v>
      </c>
      <c r="E937" s="41">
        <v>812.32899999999995</v>
      </c>
      <c r="F937" s="35">
        <v>1274</v>
      </c>
      <c r="G937" s="35">
        <v>50</v>
      </c>
      <c r="H937" s="43">
        <v>600</v>
      </c>
      <c r="I937" s="35">
        <v>695</v>
      </c>
      <c r="J937" s="35">
        <v>0</v>
      </c>
      <c r="K937" s="36"/>
      <c r="L937" s="36"/>
      <c r="M937" s="36"/>
      <c r="N937" s="36"/>
      <c r="O937" s="36"/>
      <c r="P937" s="36"/>
      <c r="Q937" s="36"/>
      <c r="R937" s="36"/>
      <c r="S937" s="36"/>
      <c r="T937" s="36"/>
    </row>
    <row r="938" spans="1:20" ht="15.75">
      <c r="A938" s="13">
        <v>70067</v>
      </c>
      <c r="B938" s="44">
        <f t="shared" si="5"/>
        <v>31</v>
      </c>
      <c r="C938" s="35">
        <v>131.881</v>
      </c>
      <c r="D938" s="35">
        <v>277.16699999999997</v>
      </c>
      <c r="E938" s="41">
        <v>829.952</v>
      </c>
      <c r="F938" s="35">
        <v>1239</v>
      </c>
      <c r="G938" s="35">
        <v>75</v>
      </c>
      <c r="H938" s="43">
        <v>600</v>
      </c>
      <c r="I938" s="35">
        <v>695</v>
      </c>
      <c r="J938" s="35">
        <v>0</v>
      </c>
      <c r="K938" s="36"/>
      <c r="L938" s="36"/>
      <c r="M938" s="36"/>
      <c r="N938" s="36"/>
      <c r="O938" s="36"/>
      <c r="P938" s="36"/>
      <c r="Q938" s="36"/>
      <c r="R938" s="36"/>
      <c r="S938" s="36"/>
      <c r="T938" s="36"/>
    </row>
    <row r="939" spans="1:20" ht="15.75">
      <c r="A939" s="13">
        <v>70097</v>
      </c>
      <c r="B939" s="44">
        <f t="shared" si="5"/>
        <v>30</v>
      </c>
      <c r="C939" s="35">
        <v>122.58</v>
      </c>
      <c r="D939" s="35">
        <v>297.94099999999997</v>
      </c>
      <c r="E939" s="41">
        <v>729.47900000000004</v>
      </c>
      <c r="F939" s="35">
        <v>1150</v>
      </c>
      <c r="G939" s="35">
        <v>100</v>
      </c>
      <c r="H939" s="43">
        <v>600</v>
      </c>
      <c r="I939" s="35">
        <v>695</v>
      </c>
      <c r="J939" s="35">
        <v>50</v>
      </c>
      <c r="K939" s="36"/>
      <c r="L939" s="36"/>
      <c r="M939" s="36"/>
      <c r="N939" s="36"/>
      <c r="O939" s="36"/>
      <c r="P939" s="36"/>
      <c r="Q939" s="36"/>
      <c r="R939" s="36"/>
      <c r="S939" s="36"/>
      <c r="T939" s="36"/>
    </row>
    <row r="940" spans="1:20" ht="15.75">
      <c r="A940" s="13">
        <v>70128</v>
      </c>
      <c r="B940" s="44">
        <f t="shared" si="5"/>
        <v>31</v>
      </c>
      <c r="C940" s="35">
        <v>122.58</v>
      </c>
      <c r="D940" s="35">
        <v>297.94099999999997</v>
      </c>
      <c r="E940" s="41">
        <v>729.47900000000004</v>
      </c>
      <c r="F940" s="35">
        <v>1150</v>
      </c>
      <c r="G940" s="35">
        <v>100</v>
      </c>
      <c r="H940" s="43">
        <v>600</v>
      </c>
      <c r="I940" s="35">
        <v>695</v>
      </c>
      <c r="J940" s="35">
        <v>50</v>
      </c>
      <c r="K940" s="36"/>
      <c r="L940" s="36"/>
      <c r="M940" s="36"/>
      <c r="N940" s="36"/>
      <c r="O940" s="36"/>
      <c r="P940" s="36"/>
      <c r="Q940" s="36"/>
      <c r="R940" s="36"/>
      <c r="S940" s="36"/>
      <c r="T940" s="36"/>
    </row>
    <row r="941" spans="1:20" ht="15.75">
      <c r="A941" s="13">
        <v>70159</v>
      </c>
      <c r="B941" s="44">
        <f t="shared" si="5"/>
        <v>31</v>
      </c>
      <c r="C941" s="35">
        <v>122.58</v>
      </c>
      <c r="D941" s="35">
        <v>297.94099999999997</v>
      </c>
      <c r="E941" s="41">
        <v>729.47900000000004</v>
      </c>
      <c r="F941" s="35">
        <v>1150</v>
      </c>
      <c r="G941" s="35">
        <v>100</v>
      </c>
      <c r="H941" s="43">
        <v>600</v>
      </c>
      <c r="I941" s="35">
        <v>695</v>
      </c>
      <c r="J941" s="35">
        <v>50</v>
      </c>
      <c r="K941" s="36"/>
      <c r="L941" s="36"/>
      <c r="M941" s="36"/>
      <c r="N941" s="36"/>
      <c r="O941" s="36"/>
      <c r="P941" s="36"/>
      <c r="Q941" s="36"/>
      <c r="R941" s="36"/>
      <c r="S941" s="36"/>
      <c r="T941" s="36"/>
    </row>
    <row r="942" spans="1:20" ht="15.75">
      <c r="A942" s="13">
        <v>70188</v>
      </c>
      <c r="B942" s="44">
        <f t="shared" si="5"/>
        <v>29</v>
      </c>
      <c r="C942" s="35">
        <v>122.58</v>
      </c>
      <c r="D942" s="35">
        <v>297.94099999999997</v>
      </c>
      <c r="E942" s="41">
        <v>729.47900000000004</v>
      </c>
      <c r="F942" s="35">
        <v>1150</v>
      </c>
      <c r="G942" s="35">
        <v>100</v>
      </c>
      <c r="H942" s="43">
        <v>600</v>
      </c>
      <c r="I942" s="35">
        <v>695</v>
      </c>
      <c r="J942" s="35">
        <v>50</v>
      </c>
      <c r="K942" s="36"/>
      <c r="L942" s="36"/>
      <c r="M942" s="36"/>
      <c r="N942" s="36"/>
      <c r="O942" s="36"/>
      <c r="P942" s="36"/>
      <c r="Q942" s="36"/>
      <c r="R942" s="36"/>
      <c r="S942" s="36"/>
      <c r="T942" s="36"/>
    </row>
    <row r="943" spans="1:20" ht="15.75">
      <c r="A943" s="13">
        <v>70219</v>
      </c>
      <c r="B943" s="44">
        <f t="shared" si="5"/>
        <v>31</v>
      </c>
      <c r="C943" s="35">
        <v>122.58</v>
      </c>
      <c r="D943" s="35">
        <v>297.94099999999997</v>
      </c>
      <c r="E943" s="41">
        <v>729.47900000000004</v>
      </c>
      <c r="F943" s="35">
        <v>1150</v>
      </c>
      <c r="G943" s="35">
        <v>100</v>
      </c>
      <c r="H943" s="43">
        <v>600</v>
      </c>
      <c r="I943" s="35">
        <v>695</v>
      </c>
      <c r="J943" s="35">
        <v>50</v>
      </c>
      <c r="K943" s="36"/>
      <c r="L943" s="36"/>
      <c r="M943" s="36"/>
      <c r="N943" s="36"/>
      <c r="O943" s="36"/>
      <c r="P943" s="36"/>
      <c r="Q943" s="36"/>
      <c r="R943" s="36"/>
      <c r="S943" s="36"/>
      <c r="T943" s="36"/>
    </row>
    <row r="944" spans="1:20" ht="15.75">
      <c r="A944" s="13">
        <v>70249</v>
      </c>
      <c r="B944" s="44">
        <f t="shared" si="5"/>
        <v>30</v>
      </c>
      <c r="C944" s="35">
        <v>141.29300000000001</v>
      </c>
      <c r="D944" s="35">
        <v>267.99299999999999</v>
      </c>
      <c r="E944" s="41">
        <v>829.71400000000006</v>
      </c>
      <c r="F944" s="35">
        <v>1239</v>
      </c>
      <c r="G944" s="35">
        <v>100</v>
      </c>
      <c r="H944" s="43">
        <v>600</v>
      </c>
      <c r="I944" s="35">
        <v>695</v>
      </c>
      <c r="J944" s="35">
        <v>50</v>
      </c>
      <c r="K944" s="36"/>
      <c r="L944" s="36"/>
      <c r="M944" s="36"/>
      <c r="N944" s="36"/>
      <c r="O944" s="36"/>
      <c r="P944" s="36"/>
      <c r="Q944" s="36"/>
      <c r="R944" s="36"/>
      <c r="S944" s="36"/>
      <c r="T944" s="36"/>
    </row>
    <row r="945" spans="1:20" ht="15.75">
      <c r="A945" s="13">
        <v>70280</v>
      </c>
      <c r="B945" s="44">
        <f t="shared" si="5"/>
        <v>31</v>
      </c>
      <c r="C945" s="35">
        <v>194.20500000000001</v>
      </c>
      <c r="D945" s="35">
        <v>267.46600000000001</v>
      </c>
      <c r="E945" s="41">
        <v>812.32899999999995</v>
      </c>
      <c r="F945" s="35">
        <v>1274</v>
      </c>
      <c r="G945" s="35">
        <v>75</v>
      </c>
      <c r="H945" s="43">
        <v>600</v>
      </c>
      <c r="I945" s="35">
        <v>695</v>
      </c>
      <c r="J945" s="35">
        <v>50</v>
      </c>
      <c r="K945" s="36"/>
      <c r="L945" s="36"/>
      <c r="M945" s="36"/>
      <c r="N945" s="36"/>
      <c r="O945" s="36"/>
      <c r="P945" s="36"/>
      <c r="Q945" s="36"/>
      <c r="R945" s="36"/>
      <c r="S945" s="36"/>
      <c r="T945" s="36"/>
    </row>
    <row r="946" spans="1:20" ht="15.75">
      <c r="A946" s="13">
        <v>70310</v>
      </c>
      <c r="B946" s="44">
        <f t="shared" si="5"/>
        <v>30</v>
      </c>
      <c r="C946" s="35">
        <v>194.20500000000001</v>
      </c>
      <c r="D946" s="35">
        <v>267.46600000000001</v>
      </c>
      <c r="E946" s="41">
        <v>812.32899999999995</v>
      </c>
      <c r="F946" s="35">
        <v>1274</v>
      </c>
      <c r="G946" s="35">
        <v>50</v>
      </c>
      <c r="H946" s="43">
        <v>600</v>
      </c>
      <c r="I946" s="35">
        <v>695</v>
      </c>
      <c r="J946" s="35">
        <v>50</v>
      </c>
      <c r="K946" s="36"/>
      <c r="L946" s="36"/>
      <c r="M946" s="36"/>
      <c r="N946" s="36"/>
      <c r="O946" s="36"/>
      <c r="P946" s="36"/>
      <c r="Q946" s="36"/>
      <c r="R946" s="36"/>
      <c r="S946" s="36"/>
      <c r="T946" s="36"/>
    </row>
    <row r="947" spans="1:20" ht="15.75">
      <c r="A947" s="13">
        <v>70341</v>
      </c>
      <c r="B947" s="44">
        <f t="shared" si="5"/>
        <v>31</v>
      </c>
      <c r="C947" s="35">
        <v>194.20500000000001</v>
      </c>
      <c r="D947" s="35">
        <v>267.46600000000001</v>
      </c>
      <c r="E947" s="41">
        <v>812.32899999999995</v>
      </c>
      <c r="F947" s="35">
        <v>1274</v>
      </c>
      <c r="G947" s="35">
        <v>50</v>
      </c>
      <c r="H947" s="43">
        <v>600</v>
      </c>
      <c r="I947" s="35">
        <v>695</v>
      </c>
      <c r="J947" s="35">
        <v>0</v>
      </c>
      <c r="K947" s="36"/>
      <c r="L947" s="36"/>
      <c r="M947" s="36"/>
      <c r="N947" s="36"/>
      <c r="O947" s="36"/>
      <c r="P947" s="36"/>
      <c r="Q947" s="36"/>
      <c r="R947" s="36"/>
      <c r="S947" s="36"/>
      <c r="T947" s="36"/>
    </row>
    <row r="948" spans="1:20" ht="15.75">
      <c r="A948" s="13">
        <v>70372</v>
      </c>
      <c r="B948" s="44">
        <f t="shared" si="5"/>
        <v>31</v>
      </c>
      <c r="C948" s="35">
        <v>194.20500000000001</v>
      </c>
      <c r="D948" s="35">
        <v>267.46600000000001</v>
      </c>
      <c r="E948" s="41">
        <v>812.32899999999995</v>
      </c>
      <c r="F948" s="35">
        <v>1274</v>
      </c>
      <c r="G948" s="35">
        <v>50</v>
      </c>
      <c r="H948" s="43">
        <v>600</v>
      </c>
      <c r="I948" s="35">
        <v>695</v>
      </c>
      <c r="J948" s="35">
        <v>0</v>
      </c>
      <c r="K948" s="36"/>
      <c r="L948" s="36"/>
      <c r="M948" s="36"/>
      <c r="N948" s="36"/>
      <c r="O948" s="36"/>
      <c r="P948" s="36"/>
      <c r="Q948" s="36"/>
      <c r="R948" s="36"/>
      <c r="S948" s="36"/>
      <c r="T948" s="36"/>
    </row>
    <row r="949" spans="1:20" ht="15.75">
      <c r="A949" s="13">
        <v>70402</v>
      </c>
      <c r="B949" s="44">
        <f t="shared" si="5"/>
        <v>30</v>
      </c>
      <c r="C949" s="35">
        <v>194.20500000000001</v>
      </c>
      <c r="D949" s="35">
        <v>267.46600000000001</v>
      </c>
      <c r="E949" s="41">
        <v>812.32899999999995</v>
      </c>
      <c r="F949" s="35">
        <v>1274</v>
      </c>
      <c r="G949" s="35">
        <v>50</v>
      </c>
      <c r="H949" s="43">
        <v>600</v>
      </c>
      <c r="I949" s="35">
        <v>695</v>
      </c>
      <c r="J949" s="35">
        <v>0</v>
      </c>
      <c r="K949" s="36"/>
      <c r="L949" s="36"/>
      <c r="M949" s="36"/>
      <c r="N949" s="36"/>
      <c r="O949" s="36"/>
      <c r="P949" s="36"/>
      <c r="Q949" s="36"/>
      <c r="R949" s="36"/>
      <c r="S949" s="36"/>
      <c r="T949" s="36"/>
    </row>
    <row r="950" spans="1:20" ht="15.75">
      <c r="A950" s="13">
        <v>70433</v>
      </c>
      <c r="B950" s="44">
        <f t="shared" si="5"/>
        <v>31</v>
      </c>
      <c r="C950" s="35">
        <v>131.881</v>
      </c>
      <c r="D950" s="35">
        <v>277.16699999999997</v>
      </c>
      <c r="E950" s="41">
        <v>829.952</v>
      </c>
      <c r="F950" s="35">
        <v>1239</v>
      </c>
      <c r="G950" s="35">
        <v>75</v>
      </c>
      <c r="H950" s="43">
        <v>600</v>
      </c>
      <c r="I950" s="35">
        <v>695</v>
      </c>
      <c r="J950" s="35">
        <v>0</v>
      </c>
      <c r="K950" s="36"/>
      <c r="L950" s="36"/>
      <c r="M950" s="36"/>
      <c r="N950" s="36"/>
      <c r="O950" s="36"/>
      <c r="P950" s="36"/>
      <c r="Q950" s="36"/>
      <c r="R950" s="36"/>
      <c r="S950" s="36"/>
      <c r="T950" s="36"/>
    </row>
    <row r="951" spans="1:20" ht="15.75">
      <c r="A951" s="13">
        <v>70463</v>
      </c>
      <c r="B951" s="44">
        <f t="shared" si="5"/>
        <v>30</v>
      </c>
      <c r="C951" s="35">
        <v>122.58</v>
      </c>
      <c r="D951" s="35">
        <v>297.94099999999997</v>
      </c>
      <c r="E951" s="41">
        <v>729.47900000000004</v>
      </c>
      <c r="F951" s="35">
        <v>1150</v>
      </c>
      <c r="G951" s="35">
        <v>100</v>
      </c>
      <c r="H951" s="43">
        <v>600</v>
      </c>
      <c r="I951" s="35">
        <v>695</v>
      </c>
      <c r="J951" s="35">
        <v>50</v>
      </c>
      <c r="K951" s="36"/>
      <c r="L951" s="36"/>
      <c r="M951" s="36"/>
      <c r="N951" s="36"/>
      <c r="O951" s="36"/>
      <c r="P951" s="36"/>
      <c r="Q951" s="36"/>
      <c r="R951" s="36"/>
      <c r="S951" s="36"/>
      <c r="T951" s="36"/>
    </row>
    <row r="952" spans="1:20" ht="15.75">
      <c r="A952" s="13">
        <v>70494</v>
      </c>
      <c r="B952" s="44">
        <f t="shared" si="5"/>
        <v>31</v>
      </c>
      <c r="C952" s="35">
        <v>122.58</v>
      </c>
      <c r="D952" s="35">
        <v>297.94099999999997</v>
      </c>
      <c r="E952" s="41">
        <v>729.47900000000004</v>
      </c>
      <c r="F952" s="35">
        <v>1150</v>
      </c>
      <c r="G952" s="35">
        <v>100</v>
      </c>
      <c r="H952" s="43">
        <v>600</v>
      </c>
      <c r="I952" s="35">
        <v>695</v>
      </c>
      <c r="J952" s="35">
        <v>50</v>
      </c>
      <c r="K952" s="36"/>
      <c r="L952" s="36"/>
      <c r="M952" s="36"/>
      <c r="N952" s="36"/>
      <c r="O952" s="36"/>
      <c r="P952" s="36"/>
      <c r="Q952" s="36"/>
      <c r="R952" s="36"/>
      <c r="S952" s="36"/>
      <c r="T952" s="36"/>
    </row>
    <row r="953" spans="1:20" ht="15.75">
      <c r="A953" s="13">
        <v>70525</v>
      </c>
      <c r="B953" s="44">
        <f t="shared" si="5"/>
        <v>31</v>
      </c>
      <c r="C953" s="35">
        <v>122.58</v>
      </c>
      <c r="D953" s="35">
        <v>297.94099999999997</v>
      </c>
      <c r="E953" s="41">
        <v>729.47900000000004</v>
      </c>
      <c r="F953" s="35">
        <v>1150</v>
      </c>
      <c r="G953" s="35">
        <v>100</v>
      </c>
      <c r="H953" s="43">
        <v>600</v>
      </c>
      <c r="I953" s="35">
        <v>695</v>
      </c>
      <c r="J953" s="35">
        <v>50</v>
      </c>
      <c r="K953" s="36"/>
      <c r="L953" s="36"/>
      <c r="M953" s="36"/>
      <c r="N953" s="36"/>
      <c r="O953" s="36"/>
      <c r="P953" s="36"/>
      <c r="Q953" s="36"/>
      <c r="R953" s="36"/>
      <c r="S953" s="36"/>
      <c r="T953" s="36"/>
    </row>
    <row r="954" spans="1:20" ht="15.75">
      <c r="A954" s="13">
        <v>70553</v>
      </c>
      <c r="B954" s="44">
        <f t="shared" si="5"/>
        <v>28</v>
      </c>
      <c r="C954" s="35">
        <v>122.58</v>
      </c>
      <c r="D954" s="35">
        <v>297.94099999999997</v>
      </c>
      <c r="E954" s="41">
        <v>729.47900000000004</v>
      </c>
      <c r="F954" s="35">
        <v>1150</v>
      </c>
      <c r="G954" s="35">
        <v>100</v>
      </c>
      <c r="H954" s="43">
        <v>600</v>
      </c>
      <c r="I954" s="35">
        <v>695</v>
      </c>
      <c r="J954" s="35">
        <v>50</v>
      </c>
      <c r="K954" s="36"/>
      <c r="L954" s="36"/>
      <c r="M954" s="36"/>
      <c r="N954" s="36"/>
      <c r="O954" s="36"/>
      <c r="P954" s="36"/>
      <c r="Q954" s="36"/>
      <c r="R954" s="36"/>
      <c r="S954" s="36"/>
      <c r="T954" s="36"/>
    </row>
    <row r="955" spans="1:20" ht="15.75">
      <c r="A955" s="13">
        <v>70584</v>
      </c>
      <c r="B955" s="44">
        <f t="shared" si="5"/>
        <v>31</v>
      </c>
      <c r="C955" s="35">
        <v>122.58</v>
      </c>
      <c r="D955" s="35">
        <v>297.94099999999997</v>
      </c>
      <c r="E955" s="41">
        <v>729.47900000000004</v>
      </c>
      <c r="F955" s="35">
        <v>1150</v>
      </c>
      <c r="G955" s="35">
        <v>100</v>
      </c>
      <c r="H955" s="43">
        <v>600</v>
      </c>
      <c r="I955" s="35">
        <v>695</v>
      </c>
      <c r="J955" s="35">
        <v>50</v>
      </c>
      <c r="K955" s="36"/>
      <c r="L955" s="36"/>
      <c r="M955" s="36"/>
      <c r="N955" s="36"/>
      <c r="O955" s="36"/>
      <c r="P955" s="36"/>
      <c r="Q955" s="36"/>
      <c r="R955" s="36"/>
      <c r="S955" s="36"/>
      <c r="T955" s="36"/>
    </row>
    <row r="956" spans="1:20" ht="15.75">
      <c r="A956" s="13">
        <v>70614</v>
      </c>
      <c r="B956" s="44">
        <f t="shared" si="5"/>
        <v>30</v>
      </c>
      <c r="C956" s="35">
        <v>141.29300000000001</v>
      </c>
      <c r="D956" s="35">
        <v>267.99299999999999</v>
      </c>
      <c r="E956" s="41">
        <v>829.71400000000006</v>
      </c>
      <c r="F956" s="35">
        <v>1239</v>
      </c>
      <c r="G956" s="35">
        <v>100</v>
      </c>
      <c r="H956" s="43">
        <v>600</v>
      </c>
      <c r="I956" s="35">
        <v>695</v>
      </c>
      <c r="J956" s="35">
        <v>50</v>
      </c>
      <c r="K956" s="36"/>
      <c r="L956" s="36"/>
      <c r="M956" s="36"/>
      <c r="N956" s="36"/>
      <c r="O956" s="36"/>
      <c r="P956" s="36"/>
      <c r="Q956" s="36"/>
      <c r="R956" s="36"/>
      <c r="S956" s="36"/>
      <c r="T956" s="36"/>
    </row>
    <row r="957" spans="1:20" ht="15.75">
      <c r="A957" s="13">
        <v>70645</v>
      </c>
      <c r="B957" s="44">
        <f t="shared" si="5"/>
        <v>31</v>
      </c>
      <c r="C957" s="35">
        <v>194.20500000000001</v>
      </c>
      <c r="D957" s="35">
        <v>267.46600000000001</v>
      </c>
      <c r="E957" s="41">
        <v>812.32899999999995</v>
      </c>
      <c r="F957" s="35">
        <v>1274</v>
      </c>
      <c r="G957" s="35">
        <v>75</v>
      </c>
      <c r="H957" s="43">
        <v>600</v>
      </c>
      <c r="I957" s="35">
        <v>695</v>
      </c>
      <c r="J957" s="35">
        <v>50</v>
      </c>
      <c r="K957" s="36"/>
      <c r="L957" s="36"/>
      <c r="M957" s="36"/>
      <c r="N957" s="36"/>
      <c r="O957" s="36"/>
      <c r="P957" s="36"/>
      <c r="Q957" s="36"/>
      <c r="R957" s="36"/>
      <c r="S957" s="36"/>
      <c r="T957" s="36"/>
    </row>
    <row r="958" spans="1:20" ht="15.75">
      <c r="A958" s="13">
        <v>70675</v>
      </c>
      <c r="B958" s="44">
        <f t="shared" si="5"/>
        <v>30</v>
      </c>
      <c r="C958" s="35">
        <v>194.20500000000001</v>
      </c>
      <c r="D958" s="35">
        <v>267.46600000000001</v>
      </c>
      <c r="E958" s="41">
        <v>812.32899999999995</v>
      </c>
      <c r="F958" s="35">
        <v>1274</v>
      </c>
      <c r="G958" s="35">
        <v>50</v>
      </c>
      <c r="H958" s="43">
        <v>600</v>
      </c>
      <c r="I958" s="35">
        <v>695</v>
      </c>
      <c r="J958" s="35">
        <v>50</v>
      </c>
      <c r="K958" s="36"/>
      <c r="L958" s="36"/>
      <c r="M958" s="36"/>
      <c r="N958" s="36"/>
      <c r="O958" s="36"/>
      <c r="P958" s="36"/>
      <c r="Q958" s="36"/>
      <c r="R958" s="36"/>
      <c r="S958" s="36"/>
      <c r="T958" s="36"/>
    </row>
    <row r="959" spans="1:20" ht="15.75">
      <c r="A959" s="13">
        <v>70706</v>
      </c>
      <c r="B959" s="44">
        <f t="shared" si="5"/>
        <v>31</v>
      </c>
      <c r="C959" s="35">
        <v>194.20500000000001</v>
      </c>
      <c r="D959" s="35">
        <v>267.46600000000001</v>
      </c>
      <c r="E959" s="41">
        <v>812.32899999999995</v>
      </c>
      <c r="F959" s="35">
        <v>1274</v>
      </c>
      <c r="G959" s="35">
        <v>50</v>
      </c>
      <c r="H959" s="43">
        <v>600</v>
      </c>
      <c r="I959" s="35">
        <v>695</v>
      </c>
      <c r="J959" s="35">
        <v>0</v>
      </c>
      <c r="K959" s="36"/>
      <c r="L959" s="36"/>
      <c r="M959" s="36"/>
      <c r="N959" s="36"/>
      <c r="O959" s="36"/>
      <c r="P959" s="36"/>
      <c r="Q959" s="36"/>
      <c r="R959" s="36"/>
      <c r="S959" s="36"/>
      <c r="T959" s="36"/>
    </row>
    <row r="960" spans="1:20" ht="15.75">
      <c r="A960" s="13">
        <v>70737</v>
      </c>
      <c r="B960" s="44">
        <f t="shared" si="5"/>
        <v>31</v>
      </c>
      <c r="C960" s="35">
        <v>194.20500000000001</v>
      </c>
      <c r="D960" s="35">
        <v>267.46600000000001</v>
      </c>
      <c r="E960" s="41">
        <v>812.32899999999995</v>
      </c>
      <c r="F960" s="35">
        <v>1274</v>
      </c>
      <c r="G960" s="35">
        <v>50</v>
      </c>
      <c r="H960" s="43">
        <v>600</v>
      </c>
      <c r="I960" s="35">
        <v>695</v>
      </c>
      <c r="J960" s="35">
        <v>0</v>
      </c>
      <c r="K960" s="36"/>
      <c r="L960" s="36"/>
      <c r="M960" s="36"/>
      <c r="N960" s="36"/>
      <c r="O960" s="36"/>
      <c r="P960" s="36"/>
      <c r="Q960" s="36"/>
      <c r="R960" s="36"/>
      <c r="S960" s="36"/>
      <c r="T960" s="36"/>
    </row>
    <row r="961" spans="1:20" ht="15.75">
      <c r="A961" s="13">
        <v>70767</v>
      </c>
      <c r="B961" s="44">
        <f t="shared" si="5"/>
        <v>30</v>
      </c>
      <c r="C961" s="35">
        <v>194.20500000000001</v>
      </c>
      <c r="D961" s="35">
        <v>267.46600000000001</v>
      </c>
      <c r="E961" s="41">
        <v>812.32899999999995</v>
      </c>
      <c r="F961" s="35">
        <v>1274</v>
      </c>
      <c r="G961" s="35">
        <v>50</v>
      </c>
      <c r="H961" s="43">
        <v>600</v>
      </c>
      <c r="I961" s="35">
        <v>695</v>
      </c>
      <c r="J961" s="35">
        <v>0</v>
      </c>
      <c r="K961" s="36"/>
      <c r="L961" s="36"/>
      <c r="M961" s="36"/>
      <c r="N961" s="36"/>
      <c r="O961" s="36"/>
      <c r="P961" s="36"/>
      <c r="Q961" s="36"/>
      <c r="R961" s="36"/>
      <c r="S961" s="36"/>
      <c r="T961" s="36"/>
    </row>
    <row r="962" spans="1:20" ht="15.75">
      <c r="A962" s="13">
        <v>70798</v>
      </c>
      <c r="B962" s="44">
        <f t="shared" si="5"/>
        <v>31</v>
      </c>
      <c r="C962" s="35">
        <v>131.881</v>
      </c>
      <c r="D962" s="35">
        <v>277.16699999999997</v>
      </c>
      <c r="E962" s="41">
        <v>829.952</v>
      </c>
      <c r="F962" s="35">
        <v>1239</v>
      </c>
      <c r="G962" s="35">
        <v>75</v>
      </c>
      <c r="H962" s="43">
        <v>600</v>
      </c>
      <c r="I962" s="35">
        <v>695</v>
      </c>
      <c r="J962" s="35">
        <v>0</v>
      </c>
      <c r="K962" s="36"/>
      <c r="L962" s="36"/>
      <c r="M962" s="36"/>
      <c r="N962" s="36"/>
      <c r="O962" s="36"/>
      <c r="P962" s="36"/>
      <c r="Q962" s="36"/>
      <c r="R962" s="36"/>
      <c r="S962" s="36"/>
      <c r="T962" s="36"/>
    </row>
    <row r="963" spans="1:20" ht="15.75">
      <c r="A963" s="13">
        <v>70828</v>
      </c>
      <c r="B963" s="44">
        <f t="shared" si="5"/>
        <v>30</v>
      </c>
      <c r="C963" s="35">
        <v>122.58</v>
      </c>
      <c r="D963" s="35">
        <v>297.94099999999997</v>
      </c>
      <c r="E963" s="41">
        <v>729.47900000000004</v>
      </c>
      <c r="F963" s="35">
        <v>1150</v>
      </c>
      <c r="G963" s="35">
        <v>100</v>
      </c>
      <c r="H963" s="43">
        <v>600</v>
      </c>
      <c r="I963" s="35">
        <v>695</v>
      </c>
      <c r="J963" s="35">
        <v>50</v>
      </c>
      <c r="K963" s="36"/>
      <c r="L963" s="36"/>
      <c r="M963" s="36"/>
      <c r="N963" s="36"/>
      <c r="O963" s="36"/>
      <c r="P963" s="36"/>
      <c r="Q963" s="36"/>
      <c r="R963" s="36"/>
      <c r="S963" s="36"/>
      <c r="T963" s="36"/>
    </row>
    <row r="964" spans="1:20" ht="15.75">
      <c r="A964" s="13">
        <v>70859</v>
      </c>
      <c r="B964" s="44">
        <f t="shared" si="5"/>
        <v>31</v>
      </c>
      <c r="C964" s="35">
        <v>122.58</v>
      </c>
      <c r="D964" s="35">
        <v>297.94099999999997</v>
      </c>
      <c r="E964" s="41">
        <v>729.47900000000004</v>
      </c>
      <c r="F964" s="35">
        <v>1150</v>
      </c>
      <c r="G964" s="35">
        <v>100</v>
      </c>
      <c r="H964" s="43">
        <v>600</v>
      </c>
      <c r="I964" s="35">
        <v>695</v>
      </c>
      <c r="J964" s="35">
        <v>50</v>
      </c>
      <c r="K964" s="36"/>
      <c r="L964" s="36"/>
      <c r="M964" s="36"/>
      <c r="N964" s="36"/>
      <c r="O964" s="36"/>
      <c r="P964" s="36"/>
      <c r="Q964" s="36"/>
      <c r="R964" s="36"/>
      <c r="S964" s="36"/>
      <c r="T964" s="36"/>
    </row>
    <row r="965" spans="1:20" ht="15.75">
      <c r="A965" s="13">
        <v>70890</v>
      </c>
      <c r="B965" s="44">
        <f t="shared" ref="B965:B1028" si="6">EOMONTH(A965,0)-EOMONTH(A965,-1)</f>
        <v>31</v>
      </c>
      <c r="C965" s="35">
        <v>122.58</v>
      </c>
      <c r="D965" s="35">
        <v>297.94099999999997</v>
      </c>
      <c r="E965" s="41">
        <v>729.47900000000004</v>
      </c>
      <c r="F965" s="35">
        <v>1150</v>
      </c>
      <c r="G965" s="35">
        <v>100</v>
      </c>
      <c r="H965" s="43">
        <v>600</v>
      </c>
      <c r="I965" s="35">
        <v>695</v>
      </c>
      <c r="J965" s="35">
        <v>50</v>
      </c>
      <c r="K965" s="36"/>
      <c r="L965" s="36"/>
      <c r="M965" s="36"/>
      <c r="N965" s="36"/>
      <c r="O965" s="36"/>
      <c r="P965" s="36"/>
      <c r="Q965" s="36"/>
      <c r="R965" s="36"/>
      <c r="S965" s="36"/>
      <c r="T965" s="36"/>
    </row>
    <row r="966" spans="1:20" ht="15.75">
      <c r="A966" s="13">
        <v>70918</v>
      </c>
      <c r="B966" s="44">
        <f t="shared" si="6"/>
        <v>28</v>
      </c>
      <c r="C966" s="35">
        <v>122.58</v>
      </c>
      <c r="D966" s="35">
        <v>297.94099999999997</v>
      </c>
      <c r="E966" s="41">
        <v>729.47900000000004</v>
      </c>
      <c r="F966" s="35">
        <v>1150</v>
      </c>
      <c r="G966" s="35">
        <v>100</v>
      </c>
      <c r="H966" s="43">
        <v>600</v>
      </c>
      <c r="I966" s="35">
        <v>695</v>
      </c>
      <c r="J966" s="35">
        <v>50</v>
      </c>
      <c r="K966" s="36"/>
      <c r="L966" s="36"/>
      <c r="M966" s="36"/>
      <c r="N966" s="36"/>
      <c r="O966" s="36"/>
      <c r="P966" s="36"/>
      <c r="Q966" s="36"/>
      <c r="R966" s="36"/>
      <c r="S966" s="36"/>
      <c r="T966" s="36"/>
    </row>
    <row r="967" spans="1:20" ht="15.75">
      <c r="A967" s="13">
        <v>70949</v>
      </c>
      <c r="B967" s="44">
        <f t="shared" si="6"/>
        <v>31</v>
      </c>
      <c r="C967" s="35">
        <v>122.58</v>
      </c>
      <c r="D967" s="35">
        <v>297.94099999999997</v>
      </c>
      <c r="E967" s="41">
        <v>729.47900000000004</v>
      </c>
      <c r="F967" s="35">
        <v>1150</v>
      </c>
      <c r="G967" s="35">
        <v>100</v>
      </c>
      <c r="H967" s="43">
        <v>600</v>
      </c>
      <c r="I967" s="35">
        <v>695</v>
      </c>
      <c r="J967" s="35">
        <v>50</v>
      </c>
      <c r="K967" s="36"/>
      <c r="L967" s="36"/>
      <c r="M967" s="36"/>
      <c r="N967" s="36"/>
      <c r="O967" s="36"/>
      <c r="P967" s="36"/>
      <c r="Q967" s="36"/>
      <c r="R967" s="36"/>
      <c r="S967" s="36"/>
      <c r="T967" s="36"/>
    </row>
    <row r="968" spans="1:20" ht="15.75">
      <c r="A968" s="13">
        <v>70979</v>
      </c>
      <c r="B968" s="44">
        <f t="shared" si="6"/>
        <v>30</v>
      </c>
      <c r="C968" s="35">
        <v>141.29300000000001</v>
      </c>
      <c r="D968" s="35">
        <v>267.99299999999999</v>
      </c>
      <c r="E968" s="41">
        <v>829.71400000000006</v>
      </c>
      <c r="F968" s="35">
        <v>1239</v>
      </c>
      <c r="G968" s="35">
        <v>100</v>
      </c>
      <c r="H968" s="43">
        <v>600</v>
      </c>
      <c r="I968" s="35">
        <v>695</v>
      </c>
      <c r="J968" s="35">
        <v>50</v>
      </c>
      <c r="K968" s="36"/>
      <c r="L968" s="36"/>
      <c r="M968" s="36"/>
      <c r="N968" s="36"/>
      <c r="O968" s="36"/>
      <c r="P968" s="36"/>
      <c r="Q968" s="36"/>
      <c r="R968" s="36"/>
      <c r="S968" s="36"/>
      <c r="T968" s="36"/>
    </row>
    <row r="969" spans="1:20" ht="15.75">
      <c r="A969" s="13">
        <v>71010</v>
      </c>
      <c r="B969" s="44">
        <f t="shared" si="6"/>
        <v>31</v>
      </c>
      <c r="C969" s="35">
        <v>194.20500000000001</v>
      </c>
      <c r="D969" s="35">
        <v>267.46600000000001</v>
      </c>
      <c r="E969" s="41">
        <v>812.32899999999995</v>
      </c>
      <c r="F969" s="35">
        <v>1274</v>
      </c>
      <c r="G969" s="35">
        <v>75</v>
      </c>
      <c r="H969" s="43">
        <v>600</v>
      </c>
      <c r="I969" s="35">
        <v>695</v>
      </c>
      <c r="J969" s="35">
        <v>50</v>
      </c>
      <c r="K969" s="36"/>
      <c r="L969" s="36"/>
      <c r="M969" s="36"/>
      <c r="N969" s="36"/>
      <c r="O969" s="36"/>
      <c r="P969" s="36"/>
      <c r="Q969" s="36"/>
      <c r="R969" s="36"/>
      <c r="S969" s="36"/>
      <c r="T969" s="36"/>
    </row>
    <row r="970" spans="1:20" ht="15.75">
      <c r="A970" s="13">
        <v>71040</v>
      </c>
      <c r="B970" s="44">
        <f t="shared" si="6"/>
        <v>30</v>
      </c>
      <c r="C970" s="35">
        <v>194.20500000000001</v>
      </c>
      <c r="D970" s="35">
        <v>267.46600000000001</v>
      </c>
      <c r="E970" s="41">
        <v>812.32899999999995</v>
      </c>
      <c r="F970" s="35">
        <v>1274</v>
      </c>
      <c r="G970" s="35">
        <v>50</v>
      </c>
      <c r="H970" s="43">
        <v>600</v>
      </c>
      <c r="I970" s="35">
        <v>695</v>
      </c>
      <c r="J970" s="35">
        <v>50</v>
      </c>
      <c r="K970" s="36"/>
      <c r="L970" s="36"/>
      <c r="M970" s="36"/>
      <c r="N970" s="36"/>
      <c r="O970" s="36"/>
      <c r="P970" s="36"/>
      <c r="Q970" s="36"/>
      <c r="R970" s="36"/>
      <c r="S970" s="36"/>
      <c r="T970" s="36"/>
    </row>
    <row r="971" spans="1:20" ht="15.75">
      <c r="A971" s="13">
        <v>71071</v>
      </c>
      <c r="B971" s="44">
        <f t="shared" si="6"/>
        <v>31</v>
      </c>
      <c r="C971" s="35">
        <v>194.20500000000001</v>
      </c>
      <c r="D971" s="35">
        <v>267.46600000000001</v>
      </c>
      <c r="E971" s="41">
        <v>812.32899999999995</v>
      </c>
      <c r="F971" s="35">
        <v>1274</v>
      </c>
      <c r="G971" s="35">
        <v>50</v>
      </c>
      <c r="H971" s="43">
        <v>600</v>
      </c>
      <c r="I971" s="35">
        <v>695</v>
      </c>
      <c r="J971" s="35">
        <v>0</v>
      </c>
      <c r="K971" s="36"/>
      <c r="L971" s="36"/>
      <c r="M971" s="36"/>
      <c r="N971" s="36"/>
      <c r="O971" s="36"/>
      <c r="P971" s="36"/>
      <c r="Q971" s="36"/>
      <c r="R971" s="36"/>
      <c r="S971" s="36"/>
      <c r="T971" s="36"/>
    </row>
    <row r="972" spans="1:20" ht="15.75">
      <c r="A972" s="13">
        <v>71102</v>
      </c>
      <c r="B972" s="44">
        <f t="shared" si="6"/>
        <v>31</v>
      </c>
      <c r="C972" s="35">
        <v>194.20500000000001</v>
      </c>
      <c r="D972" s="35">
        <v>267.46600000000001</v>
      </c>
      <c r="E972" s="41">
        <v>812.32899999999995</v>
      </c>
      <c r="F972" s="35">
        <v>1274</v>
      </c>
      <c r="G972" s="35">
        <v>50</v>
      </c>
      <c r="H972" s="43">
        <v>600</v>
      </c>
      <c r="I972" s="35">
        <v>695</v>
      </c>
      <c r="J972" s="35">
        <v>0</v>
      </c>
      <c r="K972" s="36"/>
      <c r="L972" s="36"/>
      <c r="M972" s="36"/>
      <c r="N972" s="36"/>
      <c r="O972" s="36"/>
      <c r="P972" s="36"/>
      <c r="Q972" s="36"/>
      <c r="R972" s="36"/>
      <c r="S972" s="36"/>
      <c r="T972" s="36"/>
    </row>
    <row r="973" spans="1:20" ht="15.75">
      <c r="A973" s="13">
        <v>71132</v>
      </c>
      <c r="B973" s="44">
        <f t="shared" si="6"/>
        <v>30</v>
      </c>
      <c r="C973" s="35">
        <v>194.20500000000001</v>
      </c>
      <c r="D973" s="35">
        <v>267.46600000000001</v>
      </c>
      <c r="E973" s="41">
        <v>812.32899999999995</v>
      </c>
      <c r="F973" s="35">
        <v>1274</v>
      </c>
      <c r="G973" s="35">
        <v>50</v>
      </c>
      <c r="H973" s="43">
        <v>600</v>
      </c>
      <c r="I973" s="35">
        <v>695</v>
      </c>
      <c r="J973" s="35">
        <v>0</v>
      </c>
      <c r="K973" s="36"/>
      <c r="L973" s="36"/>
      <c r="M973" s="36"/>
      <c r="N973" s="36"/>
      <c r="O973" s="36"/>
      <c r="P973" s="36"/>
      <c r="Q973" s="36"/>
      <c r="R973" s="36"/>
      <c r="S973" s="36"/>
      <c r="T973" s="36"/>
    </row>
    <row r="974" spans="1:20" ht="15.75">
      <c r="A974" s="13">
        <v>71163</v>
      </c>
      <c r="B974" s="44">
        <f t="shared" si="6"/>
        <v>31</v>
      </c>
      <c r="C974" s="35">
        <v>131.881</v>
      </c>
      <c r="D974" s="35">
        <v>277.16699999999997</v>
      </c>
      <c r="E974" s="41">
        <v>829.952</v>
      </c>
      <c r="F974" s="35">
        <v>1239</v>
      </c>
      <c r="G974" s="35">
        <v>75</v>
      </c>
      <c r="H974" s="43">
        <v>600</v>
      </c>
      <c r="I974" s="35">
        <v>695</v>
      </c>
      <c r="J974" s="35">
        <v>0</v>
      </c>
      <c r="K974" s="36"/>
      <c r="L974" s="36"/>
      <c r="M974" s="36"/>
      <c r="N974" s="36"/>
      <c r="O974" s="36"/>
      <c r="P974" s="36"/>
      <c r="Q974" s="36"/>
      <c r="R974" s="36"/>
      <c r="S974" s="36"/>
      <c r="T974" s="36"/>
    </row>
    <row r="975" spans="1:20" ht="15.75">
      <c r="A975" s="13">
        <v>71193</v>
      </c>
      <c r="B975" s="44">
        <f t="shared" si="6"/>
        <v>30</v>
      </c>
      <c r="C975" s="35">
        <v>122.58</v>
      </c>
      <c r="D975" s="35">
        <v>297.94099999999997</v>
      </c>
      <c r="E975" s="41">
        <v>729.47900000000004</v>
      </c>
      <c r="F975" s="35">
        <v>1150</v>
      </c>
      <c r="G975" s="35">
        <v>100</v>
      </c>
      <c r="H975" s="43">
        <v>600</v>
      </c>
      <c r="I975" s="35">
        <v>695</v>
      </c>
      <c r="J975" s="35">
        <v>50</v>
      </c>
      <c r="K975" s="36"/>
      <c r="L975" s="36"/>
      <c r="M975" s="36"/>
      <c r="N975" s="36"/>
      <c r="O975" s="36"/>
      <c r="P975" s="36"/>
      <c r="Q975" s="36"/>
      <c r="R975" s="36"/>
      <c r="S975" s="36"/>
      <c r="T975" s="36"/>
    </row>
    <row r="976" spans="1:20" ht="15.75">
      <c r="A976" s="13">
        <v>71224</v>
      </c>
      <c r="B976" s="44">
        <f t="shared" si="6"/>
        <v>31</v>
      </c>
      <c r="C976" s="35">
        <v>122.58</v>
      </c>
      <c r="D976" s="35">
        <v>297.94099999999997</v>
      </c>
      <c r="E976" s="41">
        <v>729.47900000000004</v>
      </c>
      <c r="F976" s="35">
        <v>1150</v>
      </c>
      <c r="G976" s="35">
        <v>100</v>
      </c>
      <c r="H976" s="43">
        <v>600</v>
      </c>
      <c r="I976" s="35">
        <v>695</v>
      </c>
      <c r="J976" s="35">
        <v>50</v>
      </c>
      <c r="K976" s="36"/>
      <c r="L976" s="36"/>
      <c r="M976" s="36"/>
      <c r="N976" s="36"/>
      <c r="O976" s="36"/>
      <c r="P976" s="36"/>
      <c r="Q976" s="36"/>
      <c r="R976" s="36"/>
      <c r="S976" s="36"/>
      <c r="T976" s="36"/>
    </row>
    <row r="977" spans="1:20" ht="15.75">
      <c r="A977" s="13">
        <v>71255</v>
      </c>
      <c r="B977" s="44">
        <f t="shared" si="6"/>
        <v>31</v>
      </c>
      <c r="C977" s="35">
        <v>122.58</v>
      </c>
      <c r="D977" s="35">
        <v>297.94099999999997</v>
      </c>
      <c r="E977" s="41">
        <v>729.47900000000004</v>
      </c>
      <c r="F977" s="35">
        <v>1150</v>
      </c>
      <c r="G977" s="35">
        <v>100</v>
      </c>
      <c r="H977" s="43">
        <v>600</v>
      </c>
      <c r="I977" s="35">
        <v>695</v>
      </c>
      <c r="J977" s="35">
        <v>50</v>
      </c>
      <c r="K977" s="36"/>
      <c r="L977" s="36"/>
      <c r="M977" s="36"/>
      <c r="N977" s="36"/>
      <c r="O977" s="36"/>
      <c r="P977" s="36"/>
      <c r="Q977" s="36"/>
      <c r="R977" s="36"/>
      <c r="S977" s="36"/>
      <c r="T977" s="36"/>
    </row>
    <row r="978" spans="1:20" ht="15.75">
      <c r="A978" s="13">
        <v>71283</v>
      </c>
      <c r="B978" s="44">
        <f t="shared" si="6"/>
        <v>28</v>
      </c>
      <c r="C978" s="35">
        <v>122.58</v>
      </c>
      <c r="D978" s="35">
        <v>297.94099999999997</v>
      </c>
      <c r="E978" s="41">
        <v>729.47900000000004</v>
      </c>
      <c r="F978" s="35">
        <v>1150</v>
      </c>
      <c r="G978" s="35">
        <v>100</v>
      </c>
      <c r="H978" s="43">
        <v>600</v>
      </c>
      <c r="I978" s="35">
        <v>695</v>
      </c>
      <c r="J978" s="35">
        <v>50</v>
      </c>
      <c r="K978" s="36"/>
      <c r="L978" s="36"/>
      <c r="M978" s="36"/>
      <c r="N978" s="36"/>
      <c r="O978" s="36"/>
      <c r="P978" s="36"/>
      <c r="Q978" s="36"/>
      <c r="R978" s="36"/>
      <c r="S978" s="36"/>
      <c r="T978" s="36"/>
    </row>
    <row r="979" spans="1:20" ht="15.75">
      <c r="A979" s="13">
        <v>71314</v>
      </c>
      <c r="B979" s="44">
        <f t="shared" si="6"/>
        <v>31</v>
      </c>
      <c r="C979" s="35">
        <v>122.58</v>
      </c>
      <c r="D979" s="35">
        <v>297.94099999999997</v>
      </c>
      <c r="E979" s="41">
        <v>729.47900000000004</v>
      </c>
      <c r="F979" s="35">
        <v>1150</v>
      </c>
      <c r="G979" s="35">
        <v>100</v>
      </c>
      <c r="H979" s="43">
        <v>600</v>
      </c>
      <c r="I979" s="35">
        <v>695</v>
      </c>
      <c r="J979" s="35">
        <v>50</v>
      </c>
      <c r="K979" s="36"/>
      <c r="L979" s="36"/>
      <c r="M979" s="36"/>
      <c r="N979" s="36"/>
      <c r="O979" s="36"/>
      <c r="P979" s="36"/>
      <c r="Q979" s="36"/>
      <c r="R979" s="36"/>
      <c r="S979" s="36"/>
      <c r="T979" s="36"/>
    </row>
    <row r="980" spans="1:20" ht="15.75">
      <c r="A980" s="13">
        <v>71344</v>
      </c>
      <c r="B980" s="44">
        <f t="shared" si="6"/>
        <v>30</v>
      </c>
      <c r="C980" s="35">
        <v>141.29300000000001</v>
      </c>
      <c r="D980" s="35">
        <v>267.99299999999999</v>
      </c>
      <c r="E980" s="41">
        <v>829.71400000000006</v>
      </c>
      <c r="F980" s="35">
        <v>1239</v>
      </c>
      <c r="G980" s="35">
        <v>100</v>
      </c>
      <c r="H980" s="43">
        <v>600</v>
      </c>
      <c r="I980" s="35">
        <v>695</v>
      </c>
      <c r="J980" s="35">
        <v>50</v>
      </c>
      <c r="K980" s="36"/>
      <c r="L980" s="36"/>
      <c r="M980" s="36"/>
      <c r="N980" s="36"/>
      <c r="O980" s="36"/>
      <c r="P980" s="36"/>
      <c r="Q980" s="36"/>
      <c r="R980" s="36"/>
      <c r="S980" s="36"/>
      <c r="T980" s="36"/>
    </row>
    <row r="981" spans="1:20" ht="15.75">
      <c r="A981" s="13">
        <v>71375</v>
      </c>
      <c r="B981" s="44">
        <f t="shared" si="6"/>
        <v>31</v>
      </c>
      <c r="C981" s="35">
        <v>194.20500000000001</v>
      </c>
      <c r="D981" s="35">
        <v>267.46600000000001</v>
      </c>
      <c r="E981" s="41">
        <v>812.32899999999995</v>
      </c>
      <c r="F981" s="35">
        <v>1274</v>
      </c>
      <c r="G981" s="35">
        <v>75</v>
      </c>
      <c r="H981" s="43">
        <v>600</v>
      </c>
      <c r="I981" s="35">
        <v>695</v>
      </c>
      <c r="J981" s="35">
        <v>50</v>
      </c>
      <c r="K981" s="36"/>
      <c r="L981" s="36"/>
      <c r="M981" s="36"/>
      <c r="N981" s="36"/>
      <c r="O981" s="36"/>
      <c r="P981" s="36"/>
      <c r="Q981" s="36"/>
      <c r="R981" s="36"/>
      <c r="S981" s="36"/>
      <c r="T981" s="36"/>
    </row>
    <row r="982" spans="1:20" ht="15.75">
      <c r="A982" s="13">
        <v>71405</v>
      </c>
      <c r="B982" s="44">
        <f t="shared" si="6"/>
        <v>30</v>
      </c>
      <c r="C982" s="35">
        <v>194.20500000000001</v>
      </c>
      <c r="D982" s="35">
        <v>267.46600000000001</v>
      </c>
      <c r="E982" s="41">
        <v>812.32899999999995</v>
      </c>
      <c r="F982" s="35">
        <v>1274</v>
      </c>
      <c r="G982" s="35">
        <v>50</v>
      </c>
      <c r="H982" s="43">
        <v>600</v>
      </c>
      <c r="I982" s="35">
        <v>695</v>
      </c>
      <c r="J982" s="35">
        <v>50</v>
      </c>
      <c r="K982" s="36"/>
      <c r="L982" s="36"/>
      <c r="M982" s="36"/>
      <c r="N982" s="36"/>
      <c r="O982" s="36"/>
      <c r="P982" s="36"/>
      <c r="Q982" s="36"/>
      <c r="R982" s="36"/>
      <c r="S982" s="36"/>
      <c r="T982" s="36"/>
    </row>
    <row r="983" spans="1:20" ht="15.75">
      <c r="A983" s="13">
        <v>71436</v>
      </c>
      <c r="B983" s="44">
        <f t="shared" si="6"/>
        <v>31</v>
      </c>
      <c r="C983" s="35">
        <v>194.20500000000001</v>
      </c>
      <c r="D983" s="35">
        <v>267.46600000000001</v>
      </c>
      <c r="E983" s="41">
        <v>812.32899999999995</v>
      </c>
      <c r="F983" s="35">
        <v>1274</v>
      </c>
      <c r="G983" s="35">
        <v>50</v>
      </c>
      <c r="H983" s="43">
        <v>600</v>
      </c>
      <c r="I983" s="35">
        <v>695</v>
      </c>
      <c r="J983" s="35">
        <v>0</v>
      </c>
      <c r="K983" s="36"/>
      <c r="L983" s="36"/>
      <c r="M983" s="36"/>
      <c r="N983" s="36"/>
      <c r="O983" s="36"/>
      <c r="P983" s="36"/>
      <c r="Q983" s="36"/>
      <c r="R983" s="36"/>
      <c r="S983" s="36"/>
      <c r="T983" s="36"/>
    </row>
    <row r="984" spans="1:20" ht="15.75">
      <c r="A984" s="13">
        <v>71467</v>
      </c>
      <c r="B984" s="44">
        <f t="shared" si="6"/>
        <v>31</v>
      </c>
      <c r="C984" s="35">
        <v>194.20500000000001</v>
      </c>
      <c r="D984" s="35">
        <v>267.46600000000001</v>
      </c>
      <c r="E984" s="41">
        <v>812.32899999999995</v>
      </c>
      <c r="F984" s="35">
        <v>1274</v>
      </c>
      <c r="G984" s="35">
        <v>50</v>
      </c>
      <c r="H984" s="43">
        <v>600</v>
      </c>
      <c r="I984" s="35">
        <v>695</v>
      </c>
      <c r="J984" s="35">
        <v>0</v>
      </c>
      <c r="K984" s="36"/>
      <c r="L984" s="36"/>
      <c r="M984" s="36"/>
      <c r="N984" s="36"/>
      <c r="O984" s="36"/>
      <c r="P984" s="36"/>
      <c r="Q984" s="36"/>
      <c r="R984" s="36"/>
      <c r="S984" s="36"/>
      <c r="T984" s="36"/>
    </row>
    <row r="985" spans="1:20" ht="15.75">
      <c r="A985" s="13">
        <v>71497</v>
      </c>
      <c r="B985" s="44">
        <f t="shared" si="6"/>
        <v>30</v>
      </c>
      <c r="C985" s="35">
        <v>194.20500000000001</v>
      </c>
      <c r="D985" s="35">
        <v>267.46600000000001</v>
      </c>
      <c r="E985" s="41">
        <v>812.32899999999995</v>
      </c>
      <c r="F985" s="35">
        <v>1274</v>
      </c>
      <c r="G985" s="35">
        <v>50</v>
      </c>
      <c r="H985" s="43">
        <v>600</v>
      </c>
      <c r="I985" s="35">
        <v>695</v>
      </c>
      <c r="J985" s="35">
        <v>0</v>
      </c>
      <c r="K985" s="36"/>
      <c r="L985" s="36"/>
      <c r="M985" s="36"/>
      <c r="N985" s="36"/>
      <c r="O985" s="36"/>
      <c r="P985" s="36"/>
      <c r="Q985" s="36"/>
      <c r="R985" s="36"/>
      <c r="S985" s="36"/>
      <c r="T985" s="36"/>
    </row>
    <row r="986" spans="1:20" ht="15.75">
      <c r="A986" s="13">
        <v>71528</v>
      </c>
      <c r="B986" s="44">
        <f t="shared" si="6"/>
        <v>31</v>
      </c>
      <c r="C986" s="35">
        <v>131.881</v>
      </c>
      <c r="D986" s="35">
        <v>277.16699999999997</v>
      </c>
      <c r="E986" s="41">
        <v>829.952</v>
      </c>
      <c r="F986" s="35">
        <v>1239</v>
      </c>
      <c r="G986" s="35">
        <v>75</v>
      </c>
      <c r="H986" s="43">
        <v>600</v>
      </c>
      <c r="I986" s="35">
        <v>695</v>
      </c>
      <c r="J986" s="35">
        <v>0</v>
      </c>
      <c r="K986" s="36"/>
      <c r="L986" s="36"/>
      <c r="M986" s="36"/>
      <c r="N986" s="36"/>
      <c r="O986" s="36"/>
      <c r="P986" s="36"/>
      <c r="Q986" s="36"/>
      <c r="R986" s="36"/>
      <c r="S986" s="36"/>
      <c r="T986" s="36"/>
    </row>
    <row r="987" spans="1:20" ht="15.75">
      <c r="A987" s="13">
        <v>71558</v>
      </c>
      <c r="B987" s="44">
        <f t="shared" si="6"/>
        <v>30</v>
      </c>
      <c r="C987" s="35">
        <v>122.58</v>
      </c>
      <c r="D987" s="35">
        <v>297.94099999999997</v>
      </c>
      <c r="E987" s="41">
        <v>729.47900000000004</v>
      </c>
      <c r="F987" s="35">
        <v>1150</v>
      </c>
      <c r="G987" s="35">
        <v>100</v>
      </c>
      <c r="H987" s="43">
        <v>600</v>
      </c>
      <c r="I987" s="35">
        <v>695</v>
      </c>
      <c r="J987" s="35">
        <v>50</v>
      </c>
      <c r="K987" s="36"/>
      <c r="L987" s="36"/>
      <c r="M987" s="36"/>
      <c r="N987" s="36"/>
      <c r="O987" s="36"/>
      <c r="P987" s="36"/>
      <c r="Q987" s="36"/>
      <c r="R987" s="36"/>
      <c r="S987" s="36"/>
      <c r="T987" s="36"/>
    </row>
    <row r="988" spans="1:20" ht="15.75">
      <c r="A988" s="13">
        <v>71589</v>
      </c>
      <c r="B988" s="44">
        <f t="shared" si="6"/>
        <v>31</v>
      </c>
      <c r="C988" s="35">
        <v>122.58</v>
      </c>
      <c r="D988" s="35">
        <v>297.94099999999997</v>
      </c>
      <c r="E988" s="41">
        <v>729.47900000000004</v>
      </c>
      <c r="F988" s="35">
        <v>1150</v>
      </c>
      <c r="G988" s="35">
        <v>100</v>
      </c>
      <c r="H988" s="43">
        <v>600</v>
      </c>
      <c r="I988" s="35">
        <v>695</v>
      </c>
      <c r="J988" s="35">
        <v>50</v>
      </c>
      <c r="K988" s="36"/>
      <c r="L988" s="36"/>
      <c r="M988" s="36"/>
      <c r="N988" s="36"/>
      <c r="O988" s="36"/>
      <c r="P988" s="36"/>
      <c r="Q988" s="36"/>
      <c r="R988" s="36"/>
      <c r="S988" s="36"/>
      <c r="T988" s="36"/>
    </row>
    <row r="989" spans="1:20" ht="15.75">
      <c r="A989" s="13">
        <v>71620</v>
      </c>
      <c r="B989" s="44">
        <f t="shared" si="6"/>
        <v>31</v>
      </c>
      <c r="C989" s="35">
        <v>122.58</v>
      </c>
      <c r="D989" s="35">
        <v>297.94099999999997</v>
      </c>
      <c r="E989" s="41">
        <v>729.47900000000004</v>
      </c>
      <c r="F989" s="35">
        <v>1150</v>
      </c>
      <c r="G989" s="35">
        <v>100</v>
      </c>
      <c r="H989" s="43">
        <v>600</v>
      </c>
      <c r="I989" s="35">
        <v>695</v>
      </c>
      <c r="J989" s="35">
        <v>50</v>
      </c>
      <c r="K989" s="36"/>
      <c r="L989" s="36"/>
      <c r="M989" s="36"/>
      <c r="N989" s="36"/>
      <c r="O989" s="36"/>
      <c r="P989" s="36"/>
      <c r="Q989" s="36"/>
      <c r="R989" s="36"/>
      <c r="S989" s="36"/>
      <c r="T989" s="36"/>
    </row>
    <row r="990" spans="1:20" ht="15.75">
      <c r="A990" s="13">
        <v>71649</v>
      </c>
      <c r="B990" s="44">
        <f t="shared" si="6"/>
        <v>29</v>
      </c>
      <c r="C990" s="35">
        <v>122.58</v>
      </c>
      <c r="D990" s="35">
        <v>297.94099999999997</v>
      </c>
      <c r="E990" s="41">
        <v>729.47900000000004</v>
      </c>
      <c r="F990" s="35">
        <v>1150</v>
      </c>
      <c r="G990" s="35">
        <v>100</v>
      </c>
      <c r="H990" s="43">
        <v>600</v>
      </c>
      <c r="I990" s="35">
        <v>695</v>
      </c>
      <c r="J990" s="35">
        <v>50</v>
      </c>
      <c r="K990" s="36"/>
      <c r="L990" s="36"/>
      <c r="M990" s="36"/>
      <c r="N990" s="36"/>
      <c r="O990" s="36"/>
      <c r="P990" s="36"/>
      <c r="Q990" s="36"/>
      <c r="R990" s="36"/>
      <c r="S990" s="36"/>
      <c r="T990" s="36"/>
    </row>
    <row r="991" spans="1:20" ht="15.75">
      <c r="A991" s="13">
        <v>71680</v>
      </c>
      <c r="B991" s="44">
        <f t="shared" si="6"/>
        <v>31</v>
      </c>
      <c r="C991" s="35">
        <v>122.58</v>
      </c>
      <c r="D991" s="35">
        <v>297.94099999999997</v>
      </c>
      <c r="E991" s="41">
        <v>729.47900000000004</v>
      </c>
      <c r="F991" s="35">
        <v>1150</v>
      </c>
      <c r="G991" s="35">
        <v>100</v>
      </c>
      <c r="H991" s="43">
        <v>600</v>
      </c>
      <c r="I991" s="35">
        <v>695</v>
      </c>
      <c r="J991" s="35">
        <v>50</v>
      </c>
      <c r="K991" s="36"/>
      <c r="L991" s="36"/>
      <c r="M991" s="36"/>
      <c r="N991" s="36"/>
      <c r="O991" s="36"/>
      <c r="P991" s="36"/>
      <c r="Q991" s="36"/>
      <c r="R991" s="36"/>
      <c r="S991" s="36"/>
      <c r="T991" s="36"/>
    </row>
    <row r="992" spans="1:20" ht="15.75">
      <c r="A992" s="13">
        <v>71710</v>
      </c>
      <c r="B992" s="44">
        <f t="shared" si="6"/>
        <v>30</v>
      </c>
      <c r="C992" s="35">
        <v>141.29300000000001</v>
      </c>
      <c r="D992" s="35">
        <v>267.99299999999999</v>
      </c>
      <c r="E992" s="41">
        <v>829.71400000000006</v>
      </c>
      <c r="F992" s="35">
        <v>1239</v>
      </c>
      <c r="G992" s="35">
        <v>100</v>
      </c>
      <c r="H992" s="43">
        <v>600</v>
      </c>
      <c r="I992" s="35">
        <v>695</v>
      </c>
      <c r="J992" s="35">
        <v>50</v>
      </c>
      <c r="K992" s="36"/>
      <c r="L992" s="36"/>
      <c r="M992" s="36"/>
      <c r="N992" s="36"/>
      <c r="O992" s="36"/>
      <c r="P992" s="36"/>
      <c r="Q992" s="36"/>
      <c r="R992" s="36"/>
      <c r="S992" s="36"/>
      <c r="T992" s="36"/>
    </row>
    <row r="993" spans="1:20" ht="15.75">
      <c r="A993" s="13">
        <v>71741</v>
      </c>
      <c r="B993" s="44">
        <f t="shared" si="6"/>
        <v>31</v>
      </c>
      <c r="C993" s="35">
        <v>194.20500000000001</v>
      </c>
      <c r="D993" s="35">
        <v>267.46600000000001</v>
      </c>
      <c r="E993" s="41">
        <v>812.32899999999995</v>
      </c>
      <c r="F993" s="35">
        <v>1274</v>
      </c>
      <c r="G993" s="35">
        <v>75</v>
      </c>
      <c r="H993" s="43">
        <v>600</v>
      </c>
      <c r="I993" s="35">
        <v>695</v>
      </c>
      <c r="J993" s="35">
        <v>50</v>
      </c>
      <c r="K993" s="36"/>
      <c r="L993" s="36"/>
      <c r="M993" s="36"/>
      <c r="N993" s="36"/>
      <c r="O993" s="36"/>
      <c r="P993" s="36"/>
      <c r="Q993" s="36"/>
      <c r="R993" s="36"/>
      <c r="S993" s="36"/>
      <c r="T993" s="36"/>
    </row>
    <row r="994" spans="1:20" ht="15.75">
      <c r="A994" s="13">
        <v>71771</v>
      </c>
      <c r="B994" s="44">
        <f t="shared" si="6"/>
        <v>30</v>
      </c>
      <c r="C994" s="35">
        <v>194.20500000000001</v>
      </c>
      <c r="D994" s="35">
        <v>267.46600000000001</v>
      </c>
      <c r="E994" s="41">
        <v>812.32899999999995</v>
      </c>
      <c r="F994" s="35">
        <v>1274</v>
      </c>
      <c r="G994" s="35">
        <v>50</v>
      </c>
      <c r="H994" s="43">
        <v>600</v>
      </c>
      <c r="I994" s="35">
        <v>695</v>
      </c>
      <c r="J994" s="35">
        <v>50</v>
      </c>
      <c r="K994" s="36"/>
      <c r="L994" s="36"/>
      <c r="M994" s="36"/>
      <c r="N994" s="36"/>
      <c r="O994" s="36"/>
      <c r="P994" s="36"/>
      <c r="Q994" s="36"/>
      <c r="R994" s="36"/>
      <c r="S994" s="36"/>
      <c r="T994" s="36"/>
    </row>
    <row r="995" spans="1:20" ht="15.75">
      <c r="A995" s="13">
        <v>71802</v>
      </c>
      <c r="B995" s="44">
        <f t="shared" si="6"/>
        <v>31</v>
      </c>
      <c r="C995" s="35">
        <v>194.20500000000001</v>
      </c>
      <c r="D995" s="35">
        <v>267.46600000000001</v>
      </c>
      <c r="E995" s="41">
        <v>812.32899999999995</v>
      </c>
      <c r="F995" s="35">
        <v>1274</v>
      </c>
      <c r="G995" s="35">
        <v>50</v>
      </c>
      <c r="H995" s="43">
        <v>600</v>
      </c>
      <c r="I995" s="35">
        <v>695</v>
      </c>
      <c r="J995" s="35">
        <v>0</v>
      </c>
      <c r="K995" s="36"/>
      <c r="L995" s="36"/>
      <c r="M995" s="36"/>
      <c r="N995" s="36"/>
      <c r="O995" s="36"/>
      <c r="P995" s="36"/>
      <c r="Q995" s="36"/>
      <c r="R995" s="36"/>
      <c r="S995" s="36"/>
      <c r="T995" s="36"/>
    </row>
    <row r="996" spans="1:20" ht="15.75">
      <c r="A996" s="13">
        <v>71833</v>
      </c>
      <c r="B996" s="44">
        <f t="shared" si="6"/>
        <v>31</v>
      </c>
      <c r="C996" s="35">
        <v>194.20500000000001</v>
      </c>
      <c r="D996" s="35">
        <v>267.46600000000001</v>
      </c>
      <c r="E996" s="41">
        <v>812.32899999999995</v>
      </c>
      <c r="F996" s="35">
        <v>1274</v>
      </c>
      <c r="G996" s="35">
        <v>50</v>
      </c>
      <c r="H996" s="43">
        <v>600</v>
      </c>
      <c r="I996" s="35">
        <v>695</v>
      </c>
      <c r="J996" s="35">
        <v>0</v>
      </c>
      <c r="K996" s="36"/>
      <c r="L996" s="36"/>
      <c r="M996" s="36"/>
      <c r="N996" s="36"/>
      <c r="O996" s="36"/>
      <c r="P996" s="36"/>
      <c r="Q996" s="36"/>
      <c r="R996" s="36"/>
      <c r="S996" s="36"/>
      <c r="T996" s="36"/>
    </row>
    <row r="997" spans="1:20" ht="15.75">
      <c r="A997" s="13">
        <v>71863</v>
      </c>
      <c r="B997" s="44">
        <f t="shared" si="6"/>
        <v>30</v>
      </c>
      <c r="C997" s="35">
        <v>194.20500000000001</v>
      </c>
      <c r="D997" s="35">
        <v>267.46600000000001</v>
      </c>
      <c r="E997" s="41">
        <v>812.32899999999995</v>
      </c>
      <c r="F997" s="35">
        <v>1274</v>
      </c>
      <c r="G997" s="35">
        <v>50</v>
      </c>
      <c r="H997" s="43">
        <v>600</v>
      </c>
      <c r="I997" s="35">
        <v>695</v>
      </c>
      <c r="J997" s="35">
        <v>0</v>
      </c>
      <c r="K997" s="36"/>
      <c r="L997" s="36"/>
      <c r="M997" s="36"/>
      <c r="N997" s="36"/>
      <c r="O997" s="36"/>
      <c r="P997" s="36"/>
      <c r="Q997" s="36"/>
      <c r="R997" s="36"/>
      <c r="S997" s="36"/>
      <c r="T997" s="36"/>
    </row>
    <row r="998" spans="1:20" ht="15.75">
      <c r="A998" s="13">
        <v>71894</v>
      </c>
      <c r="B998" s="44">
        <f t="shared" si="6"/>
        <v>31</v>
      </c>
      <c r="C998" s="35">
        <v>131.881</v>
      </c>
      <c r="D998" s="35">
        <v>277.16699999999997</v>
      </c>
      <c r="E998" s="41">
        <v>829.952</v>
      </c>
      <c r="F998" s="35">
        <v>1239</v>
      </c>
      <c r="G998" s="35">
        <v>75</v>
      </c>
      <c r="H998" s="43">
        <v>600</v>
      </c>
      <c r="I998" s="35">
        <v>695</v>
      </c>
      <c r="J998" s="35">
        <v>0</v>
      </c>
      <c r="K998" s="36"/>
      <c r="L998" s="36"/>
      <c r="M998" s="36"/>
      <c r="N998" s="36"/>
      <c r="O998" s="36"/>
      <c r="P998" s="36"/>
      <c r="Q998" s="36"/>
      <c r="R998" s="36"/>
      <c r="S998" s="36"/>
      <c r="T998" s="36"/>
    </row>
    <row r="999" spans="1:20" ht="15.75">
      <c r="A999" s="13">
        <v>71924</v>
      </c>
      <c r="B999" s="44">
        <f t="shared" si="6"/>
        <v>30</v>
      </c>
      <c r="C999" s="35">
        <v>122.58</v>
      </c>
      <c r="D999" s="35">
        <v>297.94099999999997</v>
      </c>
      <c r="E999" s="41">
        <v>729.47900000000004</v>
      </c>
      <c r="F999" s="35">
        <v>1150</v>
      </c>
      <c r="G999" s="35">
        <v>100</v>
      </c>
      <c r="H999" s="43">
        <v>600</v>
      </c>
      <c r="I999" s="35">
        <v>695</v>
      </c>
      <c r="J999" s="35">
        <v>50</v>
      </c>
      <c r="K999" s="36"/>
      <c r="L999" s="36"/>
      <c r="M999" s="36"/>
      <c r="N999" s="36"/>
      <c r="O999" s="36"/>
      <c r="P999" s="36"/>
      <c r="Q999" s="36"/>
      <c r="R999" s="36"/>
      <c r="S999" s="36"/>
      <c r="T999" s="36"/>
    </row>
    <row r="1000" spans="1:20" ht="15.75">
      <c r="A1000" s="13">
        <v>71955</v>
      </c>
      <c r="B1000" s="44">
        <f t="shared" si="6"/>
        <v>31</v>
      </c>
      <c r="C1000" s="35">
        <v>122.58</v>
      </c>
      <c r="D1000" s="35">
        <v>297.94099999999997</v>
      </c>
      <c r="E1000" s="41">
        <v>729.47900000000004</v>
      </c>
      <c r="F1000" s="35">
        <v>1150</v>
      </c>
      <c r="G1000" s="35">
        <v>100</v>
      </c>
      <c r="H1000" s="43">
        <v>600</v>
      </c>
      <c r="I1000" s="35">
        <v>695</v>
      </c>
      <c r="J1000" s="35">
        <v>50</v>
      </c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</row>
    <row r="1001" spans="1:20" ht="15.75">
      <c r="A1001" s="13">
        <v>71986</v>
      </c>
      <c r="B1001" s="44">
        <f t="shared" si="6"/>
        <v>31</v>
      </c>
      <c r="C1001" s="35">
        <v>122.58</v>
      </c>
      <c r="D1001" s="35">
        <v>297.94099999999997</v>
      </c>
      <c r="E1001" s="41">
        <v>729.47900000000004</v>
      </c>
      <c r="F1001" s="35">
        <v>1150</v>
      </c>
      <c r="G1001" s="35">
        <v>100</v>
      </c>
      <c r="H1001" s="43">
        <v>600</v>
      </c>
      <c r="I1001" s="35">
        <v>695</v>
      </c>
      <c r="J1001" s="35">
        <v>50</v>
      </c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</row>
    <row r="1002" spans="1:20" ht="15.75">
      <c r="A1002" s="13">
        <v>72014</v>
      </c>
      <c r="B1002" s="44">
        <f t="shared" si="6"/>
        <v>28</v>
      </c>
      <c r="C1002" s="35">
        <v>122.58</v>
      </c>
      <c r="D1002" s="35">
        <v>297.94099999999997</v>
      </c>
      <c r="E1002" s="41">
        <v>729.47900000000004</v>
      </c>
      <c r="F1002" s="35">
        <v>1150</v>
      </c>
      <c r="G1002" s="35">
        <v>100</v>
      </c>
      <c r="H1002" s="43">
        <v>600</v>
      </c>
      <c r="I1002" s="35">
        <v>695</v>
      </c>
      <c r="J1002" s="35">
        <v>50</v>
      </c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</row>
    <row r="1003" spans="1:20" ht="15.75">
      <c r="A1003" s="13">
        <v>72045</v>
      </c>
      <c r="B1003" s="44">
        <f t="shared" si="6"/>
        <v>31</v>
      </c>
      <c r="C1003" s="35">
        <v>122.58</v>
      </c>
      <c r="D1003" s="35">
        <v>297.94099999999997</v>
      </c>
      <c r="E1003" s="41">
        <v>729.47900000000004</v>
      </c>
      <c r="F1003" s="35">
        <v>1150</v>
      </c>
      <c r="G1003" s="35">
        <v>100</v>
      </c>
      <c r="H1003" s="43">
        <v>600</v>
      </c>
      <c r="I1003" s="35">
        <v>695</v>
      </c>
      <c r="J1003" s="35">
        <v>50</v>
      </c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</row>
    <row r="1004" spans="1:20" ht="15.75">
      <c r="A1004" s="13">
        <v>72075</v>
      </c>
      <c r="B1004" s="44">
        <f t="shared" si="6"/>
        <v>30</v>
      </c>
      <c r="C1004" s="35">
        <v>141.29300000000001</v>
      </c>
      <c r="D1004" s="35">
        <v>267.99299999999999</v>
      </c>
      <c r="E1004" s="41">
        <v>829.71400000000006</v>
      </c>
      <c r="F1004" s="35">
        <v>1239</v>
      </c>
      <c r="G1004" s="35">
        <v>100</v>
      </c>
      <c r="H1004" s="43">
        <v>600</v>
      </c>
      <c r="I1004" s="35">
        <v>695</v>
      </c>
      <c r="J1004" s="35">
        <v>50</v>
      </c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</row>
    <row r="1005" spans="1:20" ht="15.75">
      <c r="A1005" s="13">
        <v>72106</v>
      </c>
      <c r="B1005" s="44">
        <f t="shared" si="6"/>
        <v>31</v>
      </c>
      <c r="C1005" s="35">
        <v>194.20500000000001</v>
      </c>
      <c r="D1005" s="35">
        <v>267.46600000000001</v>
      </c>
      <c r="E1005" s="41">
        <v>812.32899999999995</v>
      </c>
      <c r="F1005" s="35">
        <v>1274</v>
      </c>
      <c r="G1005" s="35">
        <v>75</v>
      </c>
      <c r="H1005" s="43">
        <v>600</v>
      </c>
      <c r="I1005" s="35">
        <v>695</v>
      </c>
      <c r="J1005" s="35">
        <v>50</v>
      </c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</row>
    <row r="1006" spans="1:20" ht="15.75">
      <c r="A1006" s="13">
        <v>72136</v>
      </c>
      <c r="B1006" s="44">
        <f t="shared" si="6"/>
        <v>30</v>
      </c>
      <c r="C1006" s="35">
        <v>194.20500000000001</v>
      </c>
      <c r="D1006" s="35">
        <v>267.46600000000001</v>
      </c>
      <c r="E1006" s="41">
        <v>812.32899999999995</v>
      </c>
      <c r="F1006" s="35">
        <v>1274</v>
      </c>
      <c r="G1006" s="35">
        <v>50</v>
      </c>
      <c r="H1006" s="43">
        <v>600</v>
      </c>
      <c r="I1006" s="35">
        <v>695</v>
      </c>
      <c r="J1006" s="35">
        <v>50</v>
      </c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</row>
    <row r="1007" spans="1:20" ht="15.75">
      <c r="A1007" s="13">
        <v>72167</v>
      </c>
      <c r="B1007" s="44">
        <f t="shared" si="6"/>
        <v>31</v>
      </c>
      <c r="C1007" s="35">
        <v>194.20500000000001</v>
      </c>
      <c r="D1007" s="35">
        <v>267.46600000000001</v>
      </c>
      <c r="E1007" s="41">
        <v>812.32899999999995</v>
      </c>
      <c r="F1007" s="35">
        <v>1274</v>
      </c>
      <c r="G1007" s="35">
        <v>50</v>
      </c>
      <c r="H1007" s="43">
        <v>600</v>
      </c>
      <c r="I1007" s="35">
        <v>695</v>
      </c>
      <c r="J1007" s="35">
        <v>0</v>
      </c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</row>
    <row r="1008" spans="1:20" ht="15.75">
      <c r="A1008" s="13">
        <v>72198</v>
      </c>
      <c r="B1008" s="44">
        <f t="shared" si="6"/>
        <v>31</v>
      </c>
      <c r="C1008" s="35">
        <v>194.20500000000001</v>
      </c>
      <c r="D1008" s="35">
        <v>267.46600000000001</v>
      </c>
      <c r="E1008" s="41">
        <v>812.32899999999995</v>
      </c>
      <c r="F1008" s="35">
        <v>1274</v>
      </c>
      <c r="G1008" s="35">
        <v>50</v>
      </c>
      <c r="H1008" s="43">
        <v>600</v>
      </c>
      <c r="I1008" s="35">
        <v>695</v>
      </c>
      <c r="J1008" s="35">
        <v>0</v>
      </c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</row>
    <row r="1009" spans="1:20" ht="15.75">
      <c r="A1009" s="13">
        <v>72228</v>
      </c>
      <c r="B1009" s="44">
        <f t="shared" si="6"/>
        <v>30</v>
      </c>
      <c r="C1009" s="35">
        <v>194.20500000000001</v>
      </c>
      <c r="D1009" s="35">
        <v>267.46600000000001</v>
      </c>
      <c r="E1009" s="41">
        <v>812.32899999999995</v>
      </c>
      <c r="F1009" s="35">
        <v>1274</v>
      </c>
      <c r="G1009" s="35">
        <v>50</v>
      </c>
      <c r="H1009" s="43">
        <v>600</v>
      </c>
      <c r="I1009" s="35">
        <v>695</v>
      </c>
      <c r="J1009" s="35">
        <v>0</v>
      </c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</row>
    <row r="1010" spans="1:20" ht="15.75">
      <c r="A1010" s="13">
        <v>72259</v>
      </c>
      <c r="B1010" s="44">
        <f t="shared" si="6"/>
        <v>31</v>
      </c>
      <c r="C1010" s="35">
        <v>131.881</v>
      </c>
      <c r="D1010" s="35">
        <v>277.16699999999997</v>
      </c>
      <c r="E1010" s="41">
        <v>829.952</v>
      </c>
      <c r="F1010" s="35">
        <v>1239</v>
      </c>
      <c r="G1010" s="35">
        <v>75</v>
      </c>
      <c r="H1010" s="43">
        <v>600</v>
      </c>
      <c r="I1010" s="35">
        <v>695</v>
      </c>
      <c r="J1010" s="35">
        <v>0</v>
      </c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</row>
    <row r="1011" spans="1:20" ht="15.75">
      <c r="A1011" s="13">
        <v>72289</v>
      </c>
      <c r="B1011" s="44">
        <f t="shared" si="6"/>
        <v>30</v>
      </c>
      <c r="C1011" s="35">
        <v>122.58</v>
      </c>
      <c r="D1011" s="35">
        <v>297.94099999999997</v>
      </c>
      <c r="E1011" s="41">
        <v>729.47900000000004</v>
      </c>
      <c r="F1011" s="35">
        <v>1150</v>
      </c>
      <c r="G1011" s="35">
        <v>100</v>
      </c>
      <c r="H1011" s="43">
        <v>600</v>
      </c>
      <c r="I1011" s="35">
        <v>695</v>
      </c>
      <c r="J1011" s="35">
        <v>50</v>
      </c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</row>
    <row r="1012" spans="1:20" ht="15.75">
      <c r="A1012" s="13">
        <v>72320</v>
      </c>
      <c r="B1012" s="44">
        <f t="shared" si="6"/>
        <v>31</v>
      </c>
      <c r="C1012" s="35">
        <v>122.58</v>
      </c>
      <c r="D1012" s="35">
        <v>297.94099999999997</v>
      </c>
      <c r="E1012" s="41">
        <v>729.47900000000004</v>
      </c>
      <c r="F1012" s="35">
        <v>1150</v>
      </c>
      <c r="G1012" s="35">
        <v>100</v>
      </c>
      <c r="H1012" s="43">
        <v>600</v>
      </c>
      <c r="I1012" s="35">
        <v>695</v>
      </c>
      <c r="J1012" s="35">
        <v>50</v>
      </c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</row>
    <row r="1013" spans="1:20" ht="15.75">
      <c r="A1013" s="13">
        <v>72351</v>
      </c>
      <c r="B1013" s="44">
        <f t="shared" si="6"/>
        <v>31</v>
      </c>
      <c r="C1013" s="35">
        <v>122.58</v>
      </c>
      <c r="D1013" s="35">
        <v>297.94099999999997</v>
      </c>
      <c r="E1013" s="41">
        <v>729.47900000000004</v>
      </c>
      <c r="F1013" s="35">
        <v>1150</v>
      </c>
      <c r="G1013" s="35">
        <v>100</v>
      </c>
      <c r="H1013" s="43">
        <v>600</v>
      </c>
      <c r="I1013" s="35">
        <v>695</v>
      </c>
      <c r="J1013" s="35">
        <v>50</v>
      </c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</row>
    <row r="1014" spans="1:20" ht="15.75">
      <c r="A1014" s="13">
        <v>72379</v>
      </c>
      <c r="B1014" s="44">
        <f t="shared" si="6"/>
        <v>28</v>
      </c>
      <c r="C1014" s="35">
        <v>122.58</v>
      </c>
      <c r="D1014" s="35">
        <v>297.94099999999997</v>
      </c>
      <c r="E1014" s="41">
        <v>729.47900000000004</v>
      </c>
      <c r="F1014" s="35">
        <v>1150</v>
      </c>
      <c r="G1014" s="35">
        <v>100</v>
      </c>
      <c r="H1014" s="43">
        <v>600</v>
      </c>
      <c r="I1014" s="35">
        <v>695</v>
      </c>
      <c r="J1014" s="35">
        <v>50</v>
      </c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</row>
    <row r="1015" spans="1:20" ht="15.75">
      <c r="A1015" s="13">
        <v>72410</v>
      </c>
      <c r="B1015" s="44">
        <f t="shared" si="6"/>
        <v>31</v>
      </c>
      <c r="C1015" s="35">
        <v>122.58</v>
      </c>
      <c r="D1015" s="35">
        <v>297.94099999999997</v>
      </c>
      <c r="E1015" s="41">
        <v>729.47900000000004</v>
      </c>
      <c r="F1015" s="35">
        <v>1150</v>
      </c>
      <c r="G1015" s="35">
        <v>100</v>
      </c>
      <c r="H1015" s="43">
        <v>600</v>
      </c>
      <c r="I1015" s="35">
        <v>695</v>
      </c>
      <c r="J1015" s="35">
        <v>50</v>
      </c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</row>
    <row r="1016" spans="1:20" ht="15.75">
      <c r="A1016" s="13">
        <v>72440</v>
      </c>
      <c r="B1016" s="44">
        <f t="shared" si="6"/>
        <v>30</v>
      </c>
      <c r="C1016" s="35">
        <v>141.29300000000001</v>
      </c>
      <c r="D1016" s="35">
        <v>267.99299999999999</v>
      </c>
      <c r="E1016" s="41">
        <v>829.71400000000006</v>
      </c>
      <c r="F1016" s="35">
        <v>1239</v>
      </c>
      <c r="G1016" s="35">
        <v>100</v>
      </c>
      <c r="H1016" s="43">
        <v>600</v>
      </c>
      <c r="I1016" s="35">
        <v>695</v>
      </c>
      <c r="J1016" s="35">
        <v>50</v>
      </c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</row>
    <row r="1017" spans="1:20" ht="15.75">
      <c r="A1017" s="13">
        <v>72471</v>
      </c>
      <c r="B1017" s="44">
        <f t="shared" si="6"/>
        <v>31</v>
      </c>
      <c r="C1017" s="35">
        <v>194.20500000000001</v>
      </c>
      <c r="D1017" s="35">
        <v>267.46600000000001</v>
      </c>
      <c r="E1017" s="41">
        <v>812.32899999999995</v>
      </c>
      <c r="F1017" s="35">
        <v>1274</v>
      </c>
      <c r="G1017" s="35">
        <v>75</v>
      </c>
      <c r="H1017" s="43">
        <v>600</v>
      </c>
      <c r="I1017" s="35">
        <v>695</v>
      </c>
      <c r="J1017" s="35">
        <v>50</v>
      </c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</row>
    <row r="1018" spans="1:20" ht="15.75">
      <c r="A1018" s="13">
        <v>72501</v>
      </c>
      <c r="B1018" s="44">
        <f t="shared" si="6"/>
        <v>30</v>
      </c>
      <c r="C1018" s="35">
        <v>194.20500000000001</v>
      </c>
      <c r="D1018" s="35">
        <v>267.46600000000001</v>
      </c>
      <c r="E1018" s="41">
        <v>812.32899999999995</v>
      </c>
      <c r="F1018" s="35">
        <v>1274</v>
      </c>
      <c r="G1018" s="35">
        <v>50</v>
      </c>
      <c r="H1018" s="43">
        <v>600</v>
      </c>
      <c r="I1018" s="35">
        <v>695</v>
      </c>
      <c r="J1018" s="35">
        <v>50</v>
      </c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</row>
    <row r="1019" spans="1:20" ht="15.75">
      <c r="A1019" s="13">
        <v>72532</v>
      </c>
      <c r="B1019" s="44">
        <f t="shared" si="6"/>
        <v>31</v>
      </c>
      <c r="C1019" s="35">
        <v>194.20500000000001</v>
      </c>
      <c r="D1019" s="35">
        <v>267.46600000000001</v>
      </c>
      <c r="E1019" s="41">
        <v>812.32899999999995</v>
      </c>
      <c r="F1019" s="35">
        <v>1274</v>
      </c>
      <c r="G1019" s="35">
        <v>50</v>
      </c>
      <c r="H1019" s="43">
        <v>600</v>
      </c>
      <c r="I1019" s="35">
        <v>695</v>
      </c>
      <c r="J1019" s="35">
        <v>0</v>
      </c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</row>
    <row r="1020" spans="1:20" ht="15.75">
      <c r="A1020" s="13">
        <v>72563</v>
      </c>
      <c r="B1020" s="44">
        <f t="shared" si="6"/>
        <v>31</v>
      </c>
      <c r="C1020" s="35">
        <v>194.20500000000001</v>
      </c>
      <c r="D1020" s="35">
        <v>267.46600000000001</v>
      </c>
      <c r="E1020" s="41">
        <v>812.32899999999995</v>
      </c>
      <c r="F1020" s="35">
        <v>1274</v>
      </c>
      <c r="G1020" s="35">
        <v>50</v>
      </c>
      <c r="H1020" s="43">
        <v>600</v>
      </c>
      <c r="I1020" s="35">
        <v>695</v>
      </c>
      <c r="J1020" s="35">
        <v>0</v>
      </c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</row>
    <row r="1021" spans="1:20" ht="15.75">
      <c r="A1021" s="13">
        <v>72593</v>
      </c>
      <c r="B1021" s="44">
        <f t="shared" si="6"/>
        <v>30</v>
      </c>
      <c r="C1021" s="35">
        <v>194.20500000000001</v>
      </c>
      <c r="D1021" s="35">
        <v>267.46600000000001</v>
      </c>
      <c r="E1021" s="41">
        <v>812.32899999999995</v>
      </c>
      <c r="F1021" s="35">
        <v>1274</v>
      </c>
      <c r="G1021" s="35">
        <v>50</v>
      </c>
      <c r="H1021" s="43">
        <v>600</v>
      </c>
      <c r="I1021" s="35">
        <v>695</v>
      </c>
      <c r="J1021" s="35">
        <v>0</v>
      </c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</row>
    <row r="1022" spans="1:20" ht="15.75">
      <c r="A1022" s="13">
        <v>72624</v>
      </c>
      <c r="B1022" s="44">
        <f t="shared" si="6"/>
        <v>31</v>
      </c>
      <c r="C1022" s="35">
        <v>131.881</v>
      </c>
      <c r="D1022" s="35">
        <v>277.16699999999997</v>
      </c>
      <c r="E1022" s="41">
        <v>829.952</v>
      </c>
      <c r="F1022" s="35">
        <v>1239</v>
      </c>
      <c r="G1022" s="35">
        <v>75</v>
      </c>
      <c r="H1022" s="43">
        <v>600</v>
      </c>
      <c r="I1022" s="35">
        <v>695</v>
      </c>
      <c r="J1022" s="35">
        <v>0</v>
      </c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</row>
    <row r="1023" spans="1:20" ht="15.75">
      <c r="A1023" s="13">
        <v>72654</v>
      </c>
      <c r="B1023" s="44">
        <f t="shared" si="6"/>
        <v>30</v>
      </c>
      <c r="C1023" s="35">
        <v>122.58</v>
      </c>
      <c r="D1023" s="35">
        <v>297.94099999999997</v>
      </c>
      <c r="E1023" s="41">
        <v>729.47900000000004</v>
      </c>
      <c r="F1023" s="35">
        <v>1150</v>
      </c>
      <c r="G1023" s="35">
        <v>100</v>
      </c>
      <c r="H1023" s="43">
        <v>600</v>
      </c>
      <c r="I1023" s="35">
        <v>695</v>
      </c>
      <c r="J1023" s="35">
        <v>50</v>
      </c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</row>
    <row r="1024" spans="1:20" ht="15.75">
      <c r="A1024" s="13">
        <v>72685</v>
      </c>
      <c r="B1024" s="44">
        <f t="shared" si="6"/>
        <v>31</v>
      </c>
      <c r="C1024" s="35">
        <v>122.58</v>
      </c>
      <c r="D1024" s="35">
        <v>297.94099999999997</v>
      </c>
      <c r="E1024" s="41">
        <v>729.47900000000004</v>
      </c>
      <c r="F1024" s="35">
        <v>1150</v>
      </c>
      <c r="G1024" s="35">
        <v>100</v>
      </c>
      <c r="H1024" s="43">
        <v>600</v>
      </c>
      <c r="I1024" s="35">
        <v>695</v>
      </c>
      <c r="J1024" s="35">
        <v>50</v>
      </c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</row>
    <row r="1025" spans="1:20" ht="15.75">
      <c r="A1025" s="13">
        <v>72716</v>
      </c>
      <c r="B1025" s="44">
        <f t="shared" si="6"/>
        <v>31</v>
      </c>
      <c r="C1025" s="35">
        <v>122.58</v>
      </c>
      <c r="D1025" s="35">
        <v>297.94099999999997</v>
      </c>
      <c r="E1025" s="41">
        <v>729.47900000000004</v>
      </c>
      <c r="F1025" s="35">
        <v>1150</v>
      </c>
      <c r="G1025" s="35">
        <v>100</v>
      </c>
      <c r="H1025" s="43">
        <v>600</v>
      </c>
      <c r="I1025" s="35">
        <v>695</v>
      </c>
      <c r="J1025" s="35">
        <v>50</v>
      </c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</row>
    <row r="1026" spans="1:20" ht="15.75">
      <c r="A1026" s="13">
        <v>72744</v>
      </c>
      <c r="B1026" s="44">
        <f t="shared" si="6"/>
        <v>28</v>
      </c>
      <c r="C1026" s="35">
        <v>122.58</v>
      </c>
      <c r="D1026" s="35">
        <v>297.94099999999997</v>
      </c>
      <c r="E1026" s="41">
        <v>729.47900000000004</v>
      </c>
      <c r="F1026" s="35">
        <v>1150</v>
      </c>
      <c r="G1026" s="35">
        <v>100</v>
      </c>
      <c r="H1026" s="43">
        <v>600</v>
      </c>
      <c r="I1026" s="35">
        <v>695</v>
      </c>
      <c r="J1026" s="35">
        <v>50</v>
      </c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</row>
    <row r="1027" spans="1:20" ht="15.75">
      <c r="A1027" s="13">
        <v>72775</v>
      </c>
      <c r="B1027" s="44">
        <f t="shared" si="6"/>
        <v>31</v>
      </c>
      <c r="C1027" s="35">
        <v>122.58</v>
      </c>
      <c r="D1027" s="35">
        <v>297.94099999999997</v>
      </c>
      <c r="E1027" s="41">
        <v>729.47900000000004</v>
      </c>
      <c r="F1027" s="35">
        <v>1150</v>
      </c>
      <c r="G1027" s="35">
        <v>100</v>
      </c>
      <c r="H1027" s="43">
        <v>600</v>
      </c>
      <c r="I1027" s="35">
        <v>695</v>
      </c>
      <c r="J1027" s="35">
        <v>50</v>
      </c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</row>
    <row r="1028" spans="1:20" ht="15.75">
      <c r="A1028" s="13">
        <v>72805</v>
      </c>
      <c r="B1028" s="44">
        <f t="shared" si="6"/>
        <v>30</v>
      </c>
      <c r="C1028" s="35">
        <v>141.29300000000001</v>
      </c>
      <c r="D1028" s="35">
        <v>267.99299999999999</v>
      </c>
      <c r="E1028" s="41">
        <v>829.71400000000006</v>
      </c>
      <c r="F1028" s="35">
        <v>1239</v>
      </c>
      <c r="G1028" s="35">
        <v>100</v>
      </c>
      <c r="H1028" s="43">
        <v>600</v>
      </c>
      <c r="I1028" s="35">
        <v>695</v>
      </c>
      <c r="J1028" s="35">
        <v>50</v>
      </c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</row>
    <row r="1029" spans="1:20" ht="15.75">
      <c r="A1029" s="13">
        <v>72836</v>
      </c>
      <c r="B1029" s="44">
        <f t="shared" ref="B1029:B1048" si="7">EOMONTH(A1029,0)-EOMONTH(A1029,-1)</f>
        <v>31</v>
      </c>
      <c r="C1029" s="35">
        <v>194.20500000000001</v>
      </c>
      <c r="D1029" s="35">
        <v>267.46600000000001</v>
      </c>
      <c r="E1029" s="41">
        <v>812.32899999999995</v>
      </c>
      <c r="F1029" s="35">
        <v>1274</v>
      </c>
      <c r="G1029" s="35">
        <v>75</v>
      </c>
      <c r="H1029" s="43">
        <v>600</v>
      </c>
      <c r="I1029" s="35">
        <v>695</v>
      </c>
      <c r="J1029" s="35">
        <v>50</v>
      </c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</row>
    <row r="1030" spans="1:20" ht="15.75">
      <c r="A1030" s="13">
        <v>72866</v>
      </c>
      <c r="B1030" s="44">
        <f t="shared" si="7"/>
        <v>30</v>
      </c>
      <c r="C1030" s="35">
        <v>194.20500000000001</v>
      </c>
      <c r="D1030" s="35">
        <v>267.46600000000001</v>
      </c>
      <c r="E1030" s="41">
        <v>812.32899999999995</v>
      </c>
      <c r="F1030" s="35">
        <v>1274</v>
      </c>
      <c r="G1030" s="35">
        <v>50</v>
      </c>
      <c r="H1030" s="43">
        <v>600</v>
      </c>
      <c r="I1030" s="35">
        <v>695</v>
      </c>
      <c r="J1030" s="35">
        <v>50</v>
      </c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</row>
    <row r="1031" spans="1:20" ht="15.75">
      <c r="A1031" s="13">
        <v>72897</v>
      </c>
      <c r="B1031" s="44">
        <f t="shared" si="7"/>
        <v>31</v>
      </c>
      <c r="C1031" s="35">
        <v>194.20500000000001</v>
      </c>
      <c r="D1031" s="35">
        <v>267.46600000000001</v>
      </c>
      <c r="E1031" s="41">
        <v>812.32899999999995</v>
      </c>
      <c r="F1031" s="35">
        <v>1274</v>
      </c>
      <c r="G1031" s="35">
        <v>50</v>
      </c>
      <c r="H1031" s="43">
        <v>600</v>
      </c>
      <c r="I1031" s="35">
        <v>695</v>
      </c>
      <c r="J1031" s="35">
        <v>0</v>
      </c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</row>
    <row r="1032" spans="1:20" ht="15.75">
      <c r="A1032" s="13">
        <v>72928</v>
      </c>
      <c r="B1032" s="44">
        <f t="shared" si="7"/>
        <v>31</v>
      </c>
      <c r="C1032" s="35">
        <v>194.20500000000001</v>
      </c>
      <c r="D1032" s="35">
        <v>267.46600000000001</v>
      </c>
      <c r="E1032" s="41">
        <v>812.32899999999995</v>
      </c>
      <c r="F1032" s="35">
        <v>1274</v>
      </c>
      <c r="G1032" s="35">
        <v>50</v>
      </c>
      <c r="H1032" s="43">
        <v>600</v>
      </c>
      <c r="I1032" s="35">
        <v>695</v>
      </c>
      <c r="J1032" s="35">
        <v>0</v>
      </c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</row>
    <row r="1033" spans="1:20" ht="15.75">
      <c r="A1033" s="13">
        <v>72958</v>
      </c>
      <c r="B1033" s="44">
        <f t="shared" si="7"/>
        <v>30</v>
      </c>
      <c r="C1033" s="35">
        <v>194.20500000000001</v>
      </c>
      <c r="D1033" s="35">
        <v>267.46600000000001</v>
      </c>
      <c r="E1033" s="41">
        <v>812.32899999999995</v>
      </c>
      <c r="F1033" s="35">
        <v>1274</v>
      </c>
      <c r="G1033" s="35">
        <v>50</v>
      </c>
      <c r="H1033" s="43">
        <v>600</v>
      </c>
      <c r="I1033" s="35">
        <v>695</v>
      </c>
      <c r="J1033" s="35">
        <v>0</v>
      </c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</row>
    <row r="1034" spans="1:20" ht="15.75">
      <c r="A1034" s="13">
        <v>72989</v>
      </c>
      <c r="B1034" s="44">
        <f t="shared" si="7"/>
        <v>31</v>
      </c>
      <c r="C1034" s="35">
        <v>131.881</v>
      </c>
      <c r="D1034" s="35">
        <v>277.16699999999997</v>
      </c>
      <c r="E1034" s="41">
        <v>829.952</v>
      </c>
      <c r="F1034" s="35">
        <v>1239</v>
      </c>
      <c r="G1034" s="35">
        <v>75</v>
      </c>
      <c r="H1034" s="43">
        <v>600</v>
      </c>
      <c r="I1034" s="35">
        <v>695</v>
      </c>
      <c r="J1034" s="35">
        <v>0</v>
      </c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</row>
    <row r="1035" spans="1:20" ht="15.75">
      <c r="A1035" s="13">
        <v>73019</v>
      </c>
      <c r="B1035" s="44">
        <f t="shared" si="7"/>
        <v>30</v>
      </c>
      <c r="C1035" s="35">
        <v>122.58</v>
      </c>
      <c r="D1035" s="35">
        <v>297.94099999999997</v>
      </c>
      <c r="E1035" s="41">
        <v>729.47900000000004</v>
      </c>
      <c r="F1035" s="35">
        <v>1150</v>
      </c>
      <c r="G1035" s="35">
        <v>100</v>
      </c>
      <c r="H1035" s="43">
        <v>600</v>
      </c>
      <c r="I1035" s="35">
        <v>695</v>
      </c>
      <c r="J1035" s="35">
        <v>50</v>
      </c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</row>
    <row r="1036" spans="1:20" ht="15.75">
      <c r="A1036" s="13">
        <v>73050</v>
      </c>
      <c r="B1036" s="44">
        <f t="shared" si="7"/>
        <v>31</v>
      </c>
      <c r="C1036" s="35">
        <v>122.58</v>
      </c>
      <c r="D1036" s="35">
        <v>297.94099999999997</v>
      </c>
      <c r="E1036" s="41">
        <v>729.47900000000004</v>
      </c>
      <c r="F1036" s="35">
        <v>1150</v>
      </c>
      <c r="G1036" s="35">
        <v>100</v>
      </c>
      <c r="H1036" s="43">
        <v>600</v>
      </c>
      <c r="I1036" s="35">
        <v>695</v>
      </c>
      <c r="J1036" s="35">
        <v>50</v>
      </c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</row>
    <row r="1037" spans="1:20" ht="15.75">
      <c r="A1037" s="13">
        <v>73081</v>
      </c>
      <c r="B1037" s="44">
        <f t="shared" si="7"/>
        <v>31</v>
      </c>
      <c r="C1037" s="35">
        <v>122.58</v>
      </c>
      <c r="D1037" s="35">
        <v>297.94099999999997</v>
      </c>
      <c r="E1037" s="41">
        <v>729.47900000000004</v>
      </c>
      <c r="F1037" s="35">
        <v>1150</v>
      </c>
      <c r="G1037" s="35">
        <v>100</v>
      </c>
      <c r="H1037" s="43">
        <v>600</v>
      </c>
      <c r="I1037" s="35">
        <v>695</v>
      </c>
      <c r="J1037" s="35">
        <v>50</v>
      </c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</row>
    <row r="1038" spans="1:20" ht="15.75">
      <c r="A1038" s="13">
        <v>73109</v>
      </c>
      <c r="B1038" s="44">
        <f t="shared" si="7"/>
        <v>28</v>
      </c>
      <c r="C1038" s="35">
        <v>122.58</v>
      </c>
      <c r="D1038" s="35">
        <v>297.94099999999997</v>
      </c>
      <c r="E1038" s="41">
        <v>729.47900000000004</v>
      </c>
      <c r="F1038" s="35">
        <v>1150</v>
      </c>
      <c r="G1038" s="35">
        <v>100</v>
      </c>
      <c r="H1038" s="43">
        <v>600</v>
      </c>
      <c r="I1038" s="35">
        <v>695</v>
      </c>
      <c r="J1038" s="35">
        <v>50</v>
      </c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</row>
    <row r="1039" spans="1:20" ht="15.75">
      <c r="A1039" s="13">
        <v>73140</v>
      </c>
      <c r="B1039" s="44">
        <f t="shared" si="7"/>
        <v>31</v>
      </c>
      <c r="C1039" s="35">
        <v>122.58</v>
      </c>
      <c r="D1039" s="35">
        <v>297.94099999999997</v>
      </c>
      <c r="E1039" s="41">
        <v>729.47900000000004</v>
      </c>
      <c r="F1039" s="35">
        <v>1150</v>
      </c>
      <c r="G1039" s="35">
        <v>100</v>
      </c>
      <c r="H1039" s="43">
        <v>600</v>
      </c>
      <c r="I1039" s="35">
        <v>695</v>
      </c>
      <c r="J1039" s="35">
        <v>50</v>
      </c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</row>
    <row r="1040" spans="1:20" ht="15.75">
      <c r="A1040" s="13">
        <v>73170</v>
      </c>
      <c r="B1040" s="44">
        <f t="shared" si="7"/>
        <v>30</v>
      </c>
      <c r="C1040" s="35">
        <v>141.29300000000001</v>
      </c>
      <c r="D1040" s="35">
        <v>267.99299999999999</v>
      </c>
      <c r="E1040" s="41">
        <v>829.71400000000006</v>
      </c>
      <c r="F1040" s="35">
        <v>1239</v>
      </c>
      <c r="G1040" s="35">
        <v>100</v>
      </c>
      <c r="H1040" s="43">
        <v>600</v>
      </c>
      <c r="I1040" s="35">
        <v>695</v>
      </c>
      <c r="J1040" s="35">
        <v>50</v>
      </c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</row>
    <row r="1041" spans="1:20" ht="15.75">
      <c r="A1041" s="13">
        <v>73201</v>
      </c>
      <c r="B1041" s="44">
        <f t="shared" si="7"/>
        <v>31</v>
      </c>
      <c r="C1041" s="35">
        <v>194.20500000000001</v>
      </c>
      <c r="D1041" s="35">
        <v>267.46600000000001</v>
      </c>
      <c r="E1041" s="41">
        <v>812.32899999999995</v>
      </c>
      <c r="F1041" s="35">
        <v>1274</v>
      </c>
      <c r="G1041" s="35">
        <v>75</v>
      </c>
      <c r="H1041" s="43">
        <v>600</v>
      </c>
      <c r="I1041" s="35">
        <v>695</v>
      </c>
      <c r="J1041" s="35">
        <v>50</v>
      </c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</row>
    <row r="1042" spans="1:20" ht="15.75">
      <c r="A1042" s="13">
        <v>73231</v>
      </c>
      <c r="B1042" s="44">
        <f t="shared" si="7"/>
        <v>30</v>
      </c>
      <c r="C1042" s="35">
        <v>194.20500000000001</v>
      </c>
      <c r="D1042" s="35">
        <v>267.46600000000001</v>
      </c>
      <c r="E1042" s="41">
        <v>812.32899999999995</v>
      </c>
      <c r="F1042" s="35">
        <v>1274</v>
      </c>
      <c r="G1042" s="35">
        <v>50</v>
      </c>
      <c r="H1042" s="43">
        <v>600</v>
      </c>
      <c r="I1042" s="35">
        <v>695</v>
      </c>
      <c r="J1042" s="35">
        <v>50</v>
      </c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</row>
    <row r="1043" spans="1:20" ht="15.75">
      <c r="A1043" s="13">
        <v>73262</v>
      </c>
      <c r="B1043" s="44">
        <f t="shared" si="7"/>
        <v>31</v>
      </c>
      <c r="C1043" s="35">
        <v>194.20500000000001</v>
      </c>
      <c r="D1043" s="35">
        <v>267.46600000000001</v>
      </c>
      <c r="E1043" s="41">
        <v>812.32899999999995</v>
      </c>
      <c r="F1043" s="35">
        <v>1274</v>
      </c>
      <c r="G1043" s="35">
        <v>50</v>
      </c>
      <c r="H1043" s="43">
        <v>600</v>
      </c>
      <c r="I1043" s="35">
        <v>695</v>
      </c>
      <c r="J1043" s="35">
        <v>0</v>
      </c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</row>
    <row r="1044" spans="1:20" ht="15.75">
      <c r="A1044" s="13">
        <v>73293</v>
      </c>
      <c r="B1044" s="44">
        <f t="shared" si="7"/>
        <v>31</v>
      </c>
      <c r="C1044" s="35">
        <v>194.20500000000001</v>
      </c>
      <c r="D1044" s="35">
        <v>267.46600000000001</v>
      </c>
      <c r="E1044" s="41">
        <v>812.32899999999995</v>
      </c>
      <c r="F1044" s="35">
        <v>1274</v>
      </c>
      <c r="G1044" s="35">
        <v>50</v>
      </c>
      <c r="H1044" s="43">
        <v>600</v>
      </c>
      <c r="I1044" s="35">
        <v>695</v>
      </c>
      <c r="J1044" s="35">
        <v>0</v>
      </c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</row>
    <row r="1045" spans="1:20" ht="15.75">
      <c r="A1045" s="13">
        <v>73323</v>
      </c>
      <c r="B1045" s="44">
        <f t="shared" si="7"/>
        <v>30</v>
      </c>
      <c r="C1045" s="35">
        <v>194.20500000000001</v>
      </c>
      <c r="D1045" s="35">
        <v>267.46600000000001</v>
      </c>
      <c r="E1045" s="41">
        <v>812.32899999999995</v>
      </c>
      <c r="F1045" s="35">
        <v>1274</v>
      </c>
      <c r="G1045" s="35">
        <v>50</v>
      </c>
      <c r="H1045" s="43">
        <v>600</v>
      </c>
      <c r="I1045" s="35">
        <v>695</v>
      </c>
      <c r="J1045" s="35">
        <v>0</v>
      </c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</row>
    <row r="1046" spans="1:20" ht="15.75">
      <c r="A1046" s="13">
        <v>73354</v>
      </c>
      <c r="B1046" s="44">
        <f t="shared" si="7"/>
        <v>31</v>
      </c>
      <c r="C1046" s="35">
        <v>131.881</v>
      </c>
      <c r="D1046" s="35">
        <v>277.16699999999997</v>
      </c>
      <c r="E1046" s="41">
        <v>829.952</v>
      </c>
      <c r="F1046" s="35">
        <v>1239</v>
      </c>
      <c r="G1046" s="35">
        <v>75</v>
      </c>
      <c r="H1046" s="43">
        <v>600</v>
      </c>
      <c r="I1046" s="35">
        <v>695</v>
      </c>
      <c r="J1046" s="35">
        <v>0</v>
      </c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</row>
    <row r="1047" spans="1:20" ht="15.75">
      <c r="A1047" s="13">
        <v>73384</v>
      </c>
      <c r="B1047" s="44">
        <f t="shared" si="7"/>
        <v>30</v>
      </c>
      <c r="C1047" s="35">
        <v>122.58</v>
      </c>
      <c r="D1047" s="35">
        <v>297.94099999999997</v>
      </c>
      <c r="E1047" s="41">
        <v>729.47900000000004</v>
      </c>
      <c r="F1047" s="35">
        <v>1150</v>
      </c>
      <c r="G1047" s="35">
        <v>100</v>
      </c>
      <c r="H1047" s="43">
        <v>600</v>
      </c>
      <c r="I1047" s="35">
        <v>695</v>
      </c>
      <c r="J1047" s="35">
        <v>50</v>
      </c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</row>
    <row r="1048" spans="1:20" ht="15.75">
      <c r="A1048" s="13">
        <v>73415</v>
      </c>
      <c r="B1048" s="44">
        <f t="shared" si="7"/>
        <v>31</v>
      </c>
      <c r="C1048" s="35">
        <v>122.58</v>
      </c>
      <c r="D1048" s="35">
        <v>297.94099999999997</v>
      </c>
      <c r="E1048" s="41">
        <v>729.47900000000004</v>
      </c>
      <c r="F1048" s="35">
        <v>1150</v>
      </c>
      <c r="G1048" s="35">
        <v>100</v>
      </c>
      <c r="H1048" s="43">
        <v>600</v>
      </c>
      <c r="I1048" s="35">
        <v>695</v>
      </c>
      <c r="J1048" s="35">
        <v>50</v>
      </c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</row>
    <row r="1049" spans="1:20" ht="15">
      <c r="A1049" s="10"/>
      <c r="B1049" s="42"/>
      <c r="C1049" s="35"/>
      <c r="D1049" s="35"/>
      <c r="E1049" s="41"/>
      <c r="F1049" s="35"/>
      <c r="G1049" s="35"/>
      <c r="H1049" s="35"/>
      <c r="I1049" s="35"/>
      <c r="J1049" s="35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</row>
    <row r="1050" spans="1:20" ht="15.75">
      <c r="A1050" s="3">
        <v>2015</v>
      </c>
      <c r="B1050" s="3">
        <f t="shared" ref="B1050:B1081" si="8">DATE(A1050+1,1,1)-DATE(A1050,1,1)</f>
        <v>365</v>
      </c>
      <c r="C1050" s="38">
        <f>AVERAGE(C17:C28)</f>
        <v>154.75825</v>
      </c>
      <c r="D1050" s="38">
        <f>AVERAGE(D17:D28)</f>
        <v>281.0162499999999</v>
      </c>
      <c r="E1050" s="38">
        <f>AVERAGE(E17:E28)</f>
        <v>822.39216666666641</v>
      </c>
      <c r="F1050" s="38">
        <f>AVERAGE(F17:F28)</f>
        <v>1258.1666666666667</v>
      </c>
      <c r="G1050" s="38">
        <f>AVERAGE(G17:G28)</f>
        <v>79.166666666666671</v>
      </c>
      <c r="H1050" s="40"/>
      <c r="I1050" s="38">
        <f>AVERAGE(I17:I28)</f>
        <v>695</v>
      </c>
      <c r="J1050" s="38">
        <f>AVERAGE(J17:J28)</f>
        <v>33.333333333333336</v>
      </c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</row>
    <row r="1051" spans="1:20" ht="15.75">
      <c r="A1051" s="3">
        <v>2016</v>
      </c>
      <c r="B1051" s="3">
        <f t="shared" si="8"/>
        <v>366</v>
      </c>
      <c r="C1051" s="38">
        <f>AVERAGE(C29:C40)</f>
        <v>154.75825</v>
      </c>
      <c r="D1051" s="38">
        <f>AVERAGE(D29:D40)</f>
        <v>281.0162499999999</v>
      </c>
      <c r="E1051" s="38">
        <f>AVERAGE(E29:E40)</f>
        <v>822.39216666666641</v>
      </c>
      <c r="F1051" s="38">
        <f>AVERAGE(F29:F40)</f>
        <v>1258.1666666666667</v>
      </c>
      <c r="G1051" s="38">
        <f>AVERAGE(G29:G40)</f>
        <v>79.166666666666671</v>
      </c>
      <c r="H1051" s="40"/>
      <c r="I1051" s="38">
        <f>AVERAGE(I29:I40)</f>
        <v>695</v>
      </c>
      <c r="J1051" s="38">
        <f>AVERAGE(J29:J40)</f>
        <v>33.333333333333336</v>
      </c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</row>
    <row r="1052" spans="1:20" ht="15">
      <c r="A1052" s="3">
        <v>2017</v>
      </c>
      <c r="B1052" s="3">
        <f t="shared" si="8"/>
        <v>365</v>
      </c>
      <c r="C1052" s="38">
        <f t="shared" ref="C1052:J1052" si="9">AVERAGE(C41:C52)</f>
        <v>154.75825</v>
      </c>
      <c r="D1052" s="38">
        <f t="shared" si="9"/>
        <v>281.0162499999999</v>
      </c>
      <c r="E1052" s="38">
        <f t="shared" si="9"/>
        <v>780.7254999999999</v>
      </c>
      <c r="F1052" s="38">
        <f t="shared" si="9"/>
        <v>1216.5</v>
      </c>
      <c r="G1052" s="38">
        <f t="shared" si="9"/>
        <v>79.166666666666671</v>
      </c>
      <c r="H1052" s="39">
        <f t="shared" si="9"/>
        <v>400</v>
      </c>
      <c r="I1052" s="38">
        <f t="shared" si="9"/>
        <v>695</v>
      </c>
      <c r="J1052" s="38">
        <f t="shared" si="9"/>
        <v>33.333333333333336</v>
      </c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</row>
    <row r="1053" spans="1:20" ht="15">
      <c r="A1053" s="3">
        <v>2018</v>
      </c>
      <c r="B1053" s="3">
        <f t="shared" si="8"/>
        <v>365</v>
      </c>
      <c r="C1053" s="38">
        <f t="shared" ref="C1053:J1053" si="10">AVERAGE(C53:C64)</f>
        <v>154.75825</v>
      </c>
      <c r="D1053" s="38">
        <f t="shared" si="10"/>
        <v>281.0162499999999</v>
      </c>
      <c r="E1053" s="38">
        <f t="shared" si="10"/>
        <v>780.7254999999999</v>
      </c>
      <c r="F1053" s="38">
        <f t="shared" si="10"/>
        <v>1216.5</v>
      </c>
      <c r="G1053" s="38">
        <f t="shared" si="10"/>
        <v>79.166666666666671</v>
      </c>
      <c r="H1053" s="39">
        <f t="shared" si="10"/>
        <v>400</v>
      </c>
      <c r="I1053" s="38">
        <f t="shared" si="10"/>
        <v>695</v>
      </c>
      <c r="J1053" s="38">
        <f t="shared" si="10"/>
        <v>33.333333333333336</v>
      </c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</row>
    <row r="1054" spans="1:20" ht="15">
      <c r="A1054" s="3">
        <v>2019</v>
      </c>
      <c r="B1054" s="3">
        <f t="shared" si="8"/>
        <v>365</v>
      </c>
      <c r="C1054" s="38">
        <f t="shared" ref="C1054:J1054" si="11">AVERAGE(C65:C76)</f>
        <v>154.75825</v>
      </c>
      <c r="D1054" s="38">
        <f t="shared" si="11"/>
        <v>281.0162499999999</v>
      </c>
      <c r="E1054" s="38">
        <f t="shared" si="11"/>
        <v>780.7254999999999</v>
      </c>
      <c r="F1054" s="38">
        <f t="shared" si="11"/>
        <v>1216.5</v>
      </c>
      <c r="G1054" s="38">
        <f t="shared" si="11"/>
        <v>79.166666666666671</v>
      </c>
      <c r="H1054" s="39">
        <f t="shared" si="11"/>
        <v>400</v>
      </c>
      <c r="I1054" s="38">
        <f t="shared" si="11"/>
        <v>695</v>
      </c>
      <c r="J1054" s="38">
        <f t="shared" si="11"/>
        <v>33.333333333333336</v>
      </c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</row>
    <row r="1055" spans="1:20" ht="15">
      <c r="A1055" s="3">
        <v>2020</v>
      </c>
      <c r="B1055" s="3">
        <f t="shared" si="8"/>
        <v>366</v>
      </c>
      <c r="C1055" s="38">
        <f t="shared" ref="C1055:J1055" si="12">AVERAGE(C77:C88)</f>
        <v>154.75825</v>
      </c>
      <c r="D1055" s="38">
        <f t="shared" si="12"/>
        <v>281.0162499999999</v>
      </c>
      <c r="E1055" s="38">
        <f t="shared" si="12"/>
        <v>780.7254999999999</v>
      </c>
      <c r="F1055" s="38">
        <f t="shared" si="12"/>
        <v>1216.5</v>
      </c>
      <c r="G1055" s="38">
        <f t="shared" si="12"/>
        <v>79.166666666666671</v>
      </c>
      <c r="H1055" s="39">
        <f t="shared" si="12"/>
        <v>533.33333333333337</v>
      </c>
      <c r="I1055" s="38">
        <f t="shared" si="12"/>
        <v>695</v>
      </c>
      <c r="J1055" s="38">
        <f t="shared" si="12"/>
        <v>33.333333333333336</v>
      </c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</row>
    <row r="1056" spans="1:20" ht="15">
      <c r="A1056" s="3">
        <v>2021</v>
      </c>
      <c r="B1056" s="3">
        <f t="shared" si="8"/>
        <v>365</v>
      </c>
      <c r="C1056" s="38">
        <f t="shared" ref="C1056:J1056" si="13">AVERAGE(C89:C100)</f>
        <v>154.75825</v>
      </c>
      <c r="D1056" s="38">
        <f t="shared" si="13"/>
        <v>281.0162499999999</v>
      </c>
      <c r="E1056" s="38">
        <f t="shared" si="13"/>
        <v>780.7254999999999</v>
      </c>
      <c r="F1056" s="38">
        <f t="shared" si="13"/>
        <v>1216.5</v>
      </c>
      <c r="G1056" s="38">
        <f t="shared" si="13"/>
        <v>79.166666666666671</v>
      </c>
      <c r="H1056" s="39">
        <f t="shared" si="13"/>
        <v>600</v>
      </c>
      <c r="I1056" s="38">
        <f t="shared" si="13"/>
        <v>695</v>
      </c>
      <c r="J1056" s="38">
        <f t="shared" si="13"/>
        <v>33.333333333333336</v>
      </c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</row>
    <row r="1057" spans="1:20" ht="15">
      <c r="A1057" s="3">
        <v>2022</v>
      </c>
      <c r="B1057" s="3">
        <f t="shared" si="8"/>
        <v>365</v>
      </c>
      <c r="C1057" s="38">
        <f t="shared" ref="C1057:J1057" si="14">AVERAGE(C101:C112)</f>
        <v>154.75825</v>
      </c>
      <c r="D1057" s="38">
        <f t="shared" si="14"/>
        <v>281.0162499999999</v>
      </c>
      <c r="E1057" s="38">
        <f t="shared" si="14"/>
        <v>780.7254999999999</v>
      </c>
      <c r="F1057" s="38">
        <f t="shared" si="14"/>
        <v>1216.5</v>
      </c>
      <c r="G1057" s="38">
        <f t="shared" si="14"/>
        <v>79.166666666666671</v>
      </c>
      <c r="H1057" s="39">
        <f t="shared" si="14"/>
        <v>600</v>
      </c>
      <c r="I1057" s="38">
        <f t="shared" si="14"/>
        <v>695</v>
      </c>
      <c r="J1057" s="38">
        <f t="shared" si="14"/>
        <v>33.333333333333336</v>
      </c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</row>
    <row r="1058" spans="1:20" ht="15">
      <c r="A1058" s="3">
        <v>2023</v>
      </c>
      <c r="B1058" s="3">
        <f t="shared" si="8"/>
        <v>365</v>
      </c>
      <c r="C1058" s="38">
        <f t="shared" ref="C1058:J1058" si="15">AVERAGE(C113:C124)</f>
        <v>154.75825</v>
      </c>
      <c r="D1058" s="38">
        <f t="shared" si="15"/>
        <v>281.0162499999999</v>
      </c>
      <c r="E1058" s="38">
        <f t="shared" si="15"/>
        <v>780.7254999999999</v>
      </c>
      <c r="F1058" s="38">
        <f t="shared" si="15"/>
        <v>1216.5</v>
      </c>
      <c r="G1058" s="38">
        <f t="shared" si="15"/>
        <v>79.166666666666671</v>
      </c>
      <c r="H1058" s="39">
        <f t="shared" si="15"/>
        <v>600</v>
      </c>
      <c r="I1058" s="38">
        <f t="shared" si="15"/>
        <v>695</v>
      </c>
      <c r="J1058" s="38">
        <f t="shared" si="15"/>
        <v>33.333333333333336</v>
      </c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</row>
    <row r="1059" spans="1:20" ht="15">
      <c r="A1059" s="3">
        <v>2024</v>
      </c>
      <c r="B1059" s="3">
        <f t="shared" si="8"/>
        <v>366</v>
      </c>
      <c r="C1059" s="38">
        <f t="shared" ref="C1059:J1059" si="16">AVERAGE(C125:C136)</f>
        <v>154.75825</v>
      </c>
      <c r="D1059" s="38">
        <f t="shared" si="16"/>
        <v>281.0162499999999</v>
      </c>
      <c r="E1059" s="38">
        <f t="shared" si="16"/>
        <v>780.7254999999999</v>
      </c>
      <c r="F1059" s="38">
        <f t="shared" si="16"/>
        <v>1216.5</v>
      </c>
      <c r="G1059" s="38">
        <f t="shared" si="16"/>
        <v>79.166666666666671</v>
      </c>
      <c r="H1059" s="39">
        <f t="shared" si="16"/>
        <v>600</v>
      </c>
      <c r="I1059" s="38">
        <f t="shared" si="16"/>
        <v>695</v>
      </c>
      <c r="J1059" s="38">
        <f t="shared" si="16"/>
        <v>33.333333333333336</v>
      </c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</row>
    <row r="1060" spans="1:20" ht="15">
      <c r="A1060" s="3">
        <v>2025</v>
      </c>
      <c r="B1060" s="3">
        <f t="shared" si="8"/>
        <v>365</v>
      </c>
      <c r="C1060" s="38">
        <f t="shared" ref="C1060:J1060" si="17">AVERAGE(C137:C148)</f>
        <v>154.75825</v>
      </c>
      <c r="D1060" s="38">
        <f t="shared" si="17"/>
        <v>281.0162499999999</v>
      </c>
      <c r="E1060" s="38">
        <f t="shared" si="17"/>
        <v>780.7254999999999</v>
      </c>
      <c r="F1060" s="38">
        <f t="shared" si="17"/>
        <v>1216.5</v>
      </c>
      <c r="G1060" s="38">
        <f t="shared" si="17"/>
        <v>79.166666666666671</v>
      </c>
      <c r="H1060" s="39">
        <f t="shared" si="17"/>
        <v>600</v>
      </c>
      <c r="I1060" s="38">
        <f t="shared" si="17"/>
        <v>695</v>
      </c>
      <c r="J1060" s="38">
        <f t="shared" si="17"/>
        <v>33.333333333333336</v>
      </c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</row>
    <row r="1061" spans="1:20" ht="15">
      <c r="A1061" s="3">
        <v>2026</v>
      </c>
      <c r="B1061" s="3">
        <f t="shared" si="8"/>
        <v>365</v>
      </c>
      <c r="C1061" s="38">
        <f t="shared" ref="C1061:J1061" si="18">AVERAGE(C149:C160)</f>
        <v>154.75825</v>
      </c>
      <c r="D1061" s="38">
        <f t="shared" si="18"/>
        <v>281.0162499999999</v>
      </c>
      <c r="E1061" s="38">
        <f t="shared" si="18"/>
        <v>780.7254999999999</v>
      </c>
      <c r="F1061" s="38">
        <f t="shared" si="18"/>
        <v>1216.5</v>
      </c>
      <c r="G1061" s="38">
        <f t="shared" si="18"/>
        <v>79.166666666666671</v>
      </c>
      <c r="H1061" s="39">
        <f t="shared" si="18"/>
        <v>600</v>
      </c>
      <c r="I1061" s="38">
        <f t="shared" si="18"/>
        <v>695</v>
      </c>
      <c r="J1061" s="38">
        <f t="shared" si="18"/>
        <v>33.333333333333336</v>
      </c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</row>
    <row r="1062" spans="1:20" ht="15">
      <c r="A1062" s="3">
        <v>2027</v>
      </c>
      <c r="B1062" s="3">
        <f t="shared" si="8"/>
        <v>365</v>
      </c>
      <c r="C1062" s="38">
        <f t="shared" ref="C1062:J1062" si="19">AVERAGE(C161:C172)</f>
        <v>154.75825</v>
      </c>
      <c r="D1062" s="38">
        <f t="shared" si="19"/>
        <v>281.0162499999999</v>
      </c>
      <c r="E1062" s="38">
        <f t="shared" si="19"/>
        <v>780.7254999999999</v>
      </c>
      <c r="F1062" s="38">
        <f t="shared" si="19"/>
        <v>1216.5</v>
      </c>
      <c r="G1062" s="38">
        <f t="shared" si="19"/>
        <v>79.166666666666671</v>
      </c>
      <c r="H1062" s="39">
        <f t="shared" si="19"/>
        <v>600</v>
      </c>
      <c r="I1062" s="38">
        <f t="shared" si="19"/>
        <v>695</v>
      </c>
      <c r="J1062" s="38">
        <f t="shared" si="19"/>
        <v>33.333333333333336</v>
      </c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</row>
    <row r="1063" spans="1:20" ht="15">
      <c r="A1063" s="3">
        <v>2028</v>
      </c>
      <c r="B1063" s="3">
        <f t="shared" si="8"/>
        <v>366</v>
      </c>
      <c r="C1063" s="38">
        <f t="shared" ref="C1063:J1063" si="20">AVERAGE(C173:C184)</f>
        <v>154.75825</v>
      </c>
      <c r="D1063" s="38">
        <f t="shared" si="20"/>
        <v>281.0162499999999</v>
      </c>
      <c r="E1063" s="38">
        <f t="shared" si="20"/>
        <v>780.7254999999999</v>
      </c>
      <c r="F1063" s="38">
        <f t="shared" si="20"/>
        <v>1216.5</v>
      </c>
      <c r="G1063" s="38">
        <f t="shared" si="20"/>
        <v>79.166666666666671</v>
      </c>
      <c r="H1063" s="39">
        <f t="shared" si="20"/>
        <v>600</v>
      </c>
      <c r="I1063" s="38">
        <f t="shared" si="20"/>
        <v>695</v>
      </c>
      <c r="J1063" s="38">
        <f t="shared" si="20"/>
        <v>33.333333333333336</v>
      </c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</row>
    <row r="1064" spans="1:20" ht="15">
      <c r="A1064" s="3">
        <v>2029</v>
      </c>
      <c r="B1064" s="3">
        <f t="shared" si="8"/>
        <v>365</v>
      </c>
      <c r="C1064" s="38">
        <f t="shared" ref="C1064:J1064" si="21">AVERAGE(C185:C196)</f>
        <v>154.75825</v>
      </c>
      <c r="D1064" s="38">
        <f t="shared" si="21"/>
        <v>281.0162499999999</v>
      </c>
      <c r="E1064" s="38">
        <f t="shared" si="21"/>
        <v>780.7254999999999</v>
      </c>
      <c r="F1064" s="38">
        <f t="shared" si="21"/>
        <v>1216.5</v>
      </c>
      <c r="G1064" s="38">
        <f t="shared" si="21"/>
        <v>79.166666666666671</v>
      </c>
      <c r="H1064" s="39">
        <f t="shared" si="21"/>
        <v>600</v>
      </c>
      <c r="I1064" s="38">
        <f t="shared" si="21"/>
        <v>695</v>
      </c>
      <c r="J1064" s="38">
        <f t="shared" si="21"/>
        <v>33.333333333333336</v>
      </c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</row>
    <row r="1065" spans="1:20" ht="15">
      <c r="A1065" s="3">
        <v>2030</v>
      </c>
      <c r="B1065" s="3">
        <f t="shared" si="8"/>
        <v>365</v>
      </c>
      <c r="C1065" s="38">
        <f t="shared" ref="C1065:J1065" si="22">AVERAGE(C197:C208)</f>
        <v>154.75825</v>
      </c>
      <c r="D1065" s="38">
        <f t="shared" si="22"/>
        <v>281.0162499999999</v>
      </c>
      <c r="E1065" s="38">
        <f t="shared" si="22"/>
        <v>780.7254999999999</v>
      </c>
      <c r="F1065" s="38">
        <f t="shared" si="22"/>
        <v>1216.5</v>
      </c>
      <c r="G1065" s="38">
        <f t="shared" si="22"/>
        <v>79.166666666666671</v>
      </c>
      <c r="H1065" s="39">
        <f t="shared" si="22"/>
        <v>600</v>
      </c>
      <c r="I1065" s="38">
        <f t="shared" si="22"/>
        <v>695</v>
      </c>
      <c r="J1065" s="38">
        <f t="shared" si="22"/>
        <v>33.333333333333336</v>
      </c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</row>
    <row r="1066" spans="1:20" ht="15">
      <c r="A1066" s="3">
        <v>2031</v>
      </c>
      <c r="B1066" s="3">
        <f t="shared" si="8"/>
        <v>365</v>
      </c>
      <c r="C1066" s="38">
        <f t="shared" ref="C1066:J1066" si="23">AVERAGE(C209:C220)</f>
        <v>154.75825</v>
      </c>
      <c r="D1066" s="38">
        <f t="shared" si="23"/>
        <v>281.0162499999999</v>
      </c>
      <c r="E1066" s="38">
        <f t="shared" si="23"/>
        <v>780.7254999999999</v>
      </c>
      <c r="F1066" s="38">
        <f t="shared" si="23"/>
        <v>1216.5</v>
      </c>
      <c r="G1066" s="38">
        <f t="shared" si="23"/>
        <v>79.166666666666671</v>
      </c>
      <c r="H1066" s="39">
        <f t="shared" si="23"/>
        <v>600</v>
      </c>
      <c r="I1066" s="38">
        <f t="shared" si="23"/>
        <v>695</v>
      </c>
      <c r="J1066" s="38">
        <f t="shared" si="23"/>
        <v>33.333333333333336</v>
      </c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</row>
    <row r="1067" spans="1:20" ht="15">
      <c r="A1067" s="3">
        <v>2032</v>
      </c>
      <c r="B1067" s="3">
        <f t="shared" si="8"/>
        <v>366</v>
      </c>
      <c r="C1067" s="38">
        <f t="shared" ref="C1067:J1067" si="24">AVERAGE(C221:C232)</f>
        <v>154.75825</v>
      </c>
      <c r="D1067" s="38">
        <f t="shared" si="24"/>
        <v>281.0162499999999</v>
      </c>
      <c r="E1067" s="38">
        <f t="shared" si="24"/>
        <v>780.7254999999999</v>
      </c>
      <c r="F1067" s="38">
        <f t="shared" si="24"/>
        <v>1216.5</v>
      </c>
      <c r="G1067" s="38">
        <f t="shared" si="24"/>
        <v>79.166666666666671</v>
      </c>
      <c r="H1067" s="39">
        <f t="shared" si="24"/>
        <v>600</v>
      </c>
      <c r="I1067" s="38">
        <f t="shared" si="24"/>
        <v>695</v>
      </c>
      <c r="J1067" s="38">
        <f t="shared" si="24"/>
        <v>33.333333333333336</v>
      </c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</row>
    <row r="1068" spans="1:20" ht="15">
      <c r="A1068" s="3">
        <v>2033</v>
      </c>
      <c r="B1068" s="3">
        <f t="shared" si="8"/>
        <v>365</v>
      </c>
      <c r="C1068" s="38">
        <f t="shared" ref="C1068:J1068" si="25">AVERAGE(C233:C244)</f>
        <v>154.75825</v>
      </c>
      <c r="D1068" s="38">
        <f t="shared" si="25"/>
        <v>281.0162499999999</v>
      </c>
      <c r="E1068" s="38">
        <f t="shared" si="25"/>
        <v>780.7254999999999</v>
      </c>
      <c r="F1068" s="38">
        <f t="shared" si="25"/>
        <v>1216.5</v>
      </c>
      <c r="G1068" s="38">
        <f t="shared" si="25"/>
        <v>79.166666666666671</v>
      </c>
      <c r="H1068" s="39">
        <f t="shared" si="25"/>
        <v>600</v>
      </c>
      <c r="I1068" s="38">
        <f t="shared" si="25"/>
        <v>695</v>
      </c>
      <c r="J1068" s="38">
        <f t="shared" si="25"/>
        <v>33.333333333333336</v>
      </c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</row>
    <row r="1069" spans="1:20" ht="15">
      <c r="A1069" s="3">
        <v>2034</v>
      </c>
      <c r="B1069" s="3">
        <f t="shared" si="8"/>
        <v>365</v>
      </c>
      <c r="C1069" s="38">
        <f t="shared" ref="C1069:J1069" si="26">AVERAGE(C245:C256)</f>
        <v>154.75825</v>
      </c>
      <c r="D1069" s="38">
        <f t="shared" si="26"/>
        <v>281.0162499999999</v>
      </c>
      <c r="E1069" s="38">
        <f t="shared" si="26"/>
        <v>780.7254999999999</v>
      </c>
      <c r="F1069" s="38">
        <f t="shared" si="26"/>
        <v>1216.5</v>
      </c>
      <c r="G1069" s="38">
        <f t="shared" si="26"/>
        <v>79.166666666666671</v>
      </c>
      <c r="H1069" s="39">
        <f t="shared" si="26"/>
        <v>600</v>
      </c>
      <c r="I1069" s="38">
        <f t="shared" si="26"/>
        <v>695</v>
      </c>
      <c r="J1069" s="38">
        <f t="shared" si="26"/>
        <v>33.333333333333336</v>
      </c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</row>
    <row r="1070" spans="1:20" ht="15">
      <c r="A1070" s="3">
        <v>2035</v>
      </c>
      <c r="B1070" s="3">
        <f t="shared" si="8"/>
        <v>365</v>
      </c>
      <c r="C1070" s="38">
        <f t="shared" ref="C1070:J1070" si="27">AVERAGE(C257:C268)</f>
        <v>154.75825</v>
      </c>
      <c r="D1070" s="38">
        <f t="shared" si="27"/>
        <v>281.0162499999999</v>
      </c>
      <c r="E1070" s="38">
        <f t="shared" si="27"/>
        <v>780.7254999999999</v>
      </c>
      <c r="F1070" s="38">
        <f t="shared" si="27"/>
        <v>1216.5</v>
      </c>
      <c r="G1070" s="38">
        <f t="shared" si="27"/>
        <v>79.166666666666671</v>
      </c>
      <c r="H1070" s="39">
        <f t="shared" si="27"/>
        <v>600</v>
      </c>
      <c r="I1070" s="38">
        <f t="shared" si="27"/>
        <v>695</v>
      </c>
      <c r="J1070" s="38">
        <f t="shared" si="27"/>
        <v>33.333333333333336</v>
      </c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</row>
    <row r="1071" spans="1:20" ht="15">
      <c r="A1071" s="3">
        <v>2036</v>
      </c>
      <c r="B1071" s="3">
        <f t="shared" si="8"/>
        <v>366</v>
      </c>
      <c r="C1071" s="38">
        <f t="shared" ref="C1071:J1071" si="28">AVERAGE(C269:C280)</f>
        <v>154.75825</v>
      </c>
      <c r="D1071" s="38">
        <f t="shared" si="28"/>
        <v>281.0162499999999</v>
      </c>
      <c r="E1071" s="38">
        <f t="shared" si="28"/>
        <v>780.7254999999999</v>
      </c>
      <c r="F1071" s="38">
        <f t="shared" si="28"/>
        <v>1216.5</v>
      </c>
      <c r="G1071" s="38">
        <f t="shared" si="28"/>
        <v>79.166666666666671</v>
      </c>
      <c r="H1071" s="39">
        <f t="shared" si="28"/>
        <v>600</v>
      </c>
      <c r="I1071" s="38">
        <f t="shared" si="28"/>
        <v>695</v>
      </c>
      <c r="J1071" s="38">
        <f t="shared" si="28"/>
        <v>33.333333333333336</v>
      </c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</row>
    <row r="1072" spans="1:20" ht="15">
      <c r="A1072" s="3">
        <v>2037</v>
      </c>
      <c r="B1072" s="3">
        <f t="shared" si="8"/>
        <v>365</v>
      </c>
      <c r="C1072" s="38">
        <f t="shared" ref="C1072:J1072" si="29">AVERAGE(C281:C292)</f>
        <v>154.75825</v>
      </c>
      <c r="D1072" s="38">
        <f t="shared" si="29"/>
        <v>281.0162499999999</v>
      </c>
      <c r="E1072" s="38">
        <f t="shared" si="29"/>
        <v>780.7254999999999</v>
      </c>
      <c r="F1072" s="38">
        <f t="shared" si="29"/>
        <v>1216.5</v>
      </c>
      <c r="G1072" s="38">
        <f t="shared" si="29"/>
        <v>79.166666666666671</v>
      </c>
      <c r="H1072" s="39">
        <f t="shared" si="29"/>
        <v>600</v>
      </c>
      <c r="I1072" s="38">
        <f t="shared" si="29"/>
        <v>695</v>
      </c>
      <c r="J1072" s="38">
        <f t="shared" si="29"/>
        <v>33.333333333333336</v>
      </c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</row>
    <row r="1073" spans="1:20" ht="15">
      <c r="A1073" s="3">
        <f t="shared" ref="A1073:A1104" si="30">A1072+1</f>
        <v>2038</v>
      </c>
      <c r="B1073" s="3">
        <f t="shared" si="8"/>
        <v>365</v>
      </c>
      <c r="C1073" s="35">
        <f t="shared" ref="C1073:J1073" si="31">AVERAGE(C293:C304)</f>
        <v>154.75825</v>
      </c>
      <c r="D1073" s="35">
        <f t="shared" si="31"/>
        <v>281.0162499999999</v>
      </c>
      <c r="E1073" s="35">
        <f t="shared" si="31"/>
        <v>780.7254999999999</v>
      </c>
      <c r="F1073" s="35">
        <f t="shared" si="31"/>
        <v>1216.5</v>
      </c>
      <c r="G1073" s="35">
        <f t="shared" si="31"/>
        <v>79.166666666666671</v>
      </c>
      <c r="H1073" s="37">
        <f t="shared" si="31"/>
        <v>600</v>
      </c>
      <c r="I1073" s="35">
        <f t="shared" si="31"/>
        <v>695</v>
      </c>
      <c r="J1073" s="35">
        <f t="shared" si="31"/>
        <v>33.333333333333336</v>
      </c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</row>
    <row r="1074" spans="1:20" ht="15">
      <c r="A1074" s="3">
        <f t="shared" si="30"/>
        <v>2039</v>
      </c>
      <c r="B1074" s="3">
        <f t="shared" si="8"/>
        <v>365</v>
      </c>
      <c r="C1074" s="35">
        <f t="shared" ref="C1074:J1074" si="32">AVERAGE(C305:C316)</f>
        <v>154.75825</v>
      </c>
      <c r="D1074" s="35">
        <f t="shared" si="32"/>
        <v>281.0162499999999</v>
      </c>
      <c r="E1074" s="35">
        <f t="shared" si="32"/>
        <v>780.7254999999999</v>
      </c>
      <c r="F1074" s="35">
        <f t="shared" si="32"/>
        <v>1216.5</v>
      </c>
      <c r="G1074" s="35">
        <f t="shared" si="32"/>
        <v>79.166666666666671</v>
      </c>
      <c r="H1074" s="37">
        <f t="shared" si="32"/>
        <v>600</v>
      </c>
      <c r="I1074" s="35">
        <f t="shared" si="32"/>
        <v>695</v>
      </c>
      <c r="J1074" s="35">
        <f t="shared" si="32"/>
        <v>33.333333333333336</v>
      </c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</row>
    <row r="1075" spans="1:20" ht="15">
      <c r="A1075" s="3">
        <f t="shared" si="30"/>
        <v>2040</v>
      </c>
      <c r="B1075" s="3">
        <f t="shared" si="8"/>
        <v>366</v>
      </c>
      <c r="C1075" s="35">
        <f t="shared" ref="C1075:J1075" si="33">AVERAGE(C317:C328)</f>
        <v>154.75825</v>
      </c>
      <c r="D1075" s="35">
        <f t="shared" si="33"/>
        <v>281.0162499999999</v>
      </c>
      <c r="E1075" s="35">
        <f t="shared" si="33"/>
        <v>780.7254999999999</v>
      </c>
      <c r="F1075" s="35">
        <f t="shared" si="33"/>
        <v>1216.5</v>
      </c>
      <c r="G1075" s="35">
        <f t="shared" si="33"/>
        <v>79.166666666666671</v>
      </c>
      <c r="H1075" s="37">
        <f t="shared" si="33"/>
        <v>600</v>
      </c>
      <c r="I1075" s="35">
        <f t="shared" si="33"/>
        <v>695</v>
      </c>
      <c r="J1075" s="35">
        <f t="shared" si="33"/>
        <v>33.333333333333336</v>
      </c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</row>
    <row r="1076" spans="1:20" ht="15">
      <c r="A1076" s="3">
        <f t="shared" si="30"/>
        <v>2041</v>
      </c>
      <c r="B1076" s="3">
        <f t="shared" si="8"/>
        <v>365</v>
      </c>
      <c r="C1076" s="35">
        <f t="shared" ref="C1076:J1076" si="34">AVERAGE(C329:C340)</f>
        <v>154.75825</v>
      </c>
      <c r="D1076" s="35">
        <f t="shared" si="34"/>
        <v>281.0162499999999</v>
      </c>
      <c r="E1076" s="35">
        <f t="shared" si="34"/>
        <v>780.7254999999999</v>
      </c>
      <c r="F1076" s="35">
        <f t="shared" si="34"/>
        <v>1216.5</v>
      </c>
      <c r="G1076" s="35">
        <f t="shared" si="34"/>
        <v>79.166666666666671</v>
      </c>
      <c r="H1076" s="37">
        <f t="shared" si="34"/>
        <v>600</v>
      </c>
      <c r="I1076" s="35">
        <f t="shared" si="34"/>
        <v>695</v>
      </c>
      <c r="J1076" s="35">
        <f t="shared" si="34"/>
        <v>33.333333333333336</v>
      </c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</row>
    <row r="1077" spans="1:20" ht="15">
      <c r="A1077" s="3">
        <f t="shared" si="30"/>
        <v>2042</v>
      </c>
      <c r="B1077" s="3">
        <f t="shared" si="8"/>
        <v>365</v>
      </c>
      <c r="C1077" s="35">
        <f t="shared" ref="C1077:J1077" si="35">AVERAGE(C341:C352)</f>
        <v>154.75825</v>
      </c>
      <c r="D1077" s="35">
        <f t="shared" si="35"/>
        <v>281.0162499999999</v>
      </c>
      <c r="E1077" s="35">
        <f t="shared" si="35"/>
        <v>780.7254999999999</v>
      </c>
      <c r="F1077" s="35">
        <f t="shared" si="35"/>
        <v>1216.5</v>
      </c>
      <c r="G1077" s="35">
        <f t="shared" si="35"/>
        <v>79.166666666666671</v>
      </c>
      <c r="H1077" s="37">
        <f t="shared" si="35"/>
        <v>600</v>
      </c>
      <c r="I1077" s="35">
        <f t="shared" si="35"/>
        <v>695</v>
      </c>
      <c r="J1077" s="35">
        <f t="shared" si="35"/>
        <v>33.333333333333336</v>
      </c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</row>
    <row r="1078" spans="1:20" ht="15">
      <c r="A1078" s="3">
        <f t="shared" si="30"/>
        <v>2043</v>
      </c>
      <c r="B1078" s="3">
        <f t="shared" si="8"/>
        <v>365</v>
      </c>
      <c r="C1078" s="35">
        <f t="shared" ref="C1078:J1078" si="36">AVERAGE(C353:C364)</f>
        <v>154.75825</v>
      </c>
      <c r="D1078" s="35">
        <f t="shared" si="36"/>
        <v>281.0162499999999</v>
      </c>
      <c r="E1078" s="35">
        <f t="shared" si="36"/>
        <v>780.7254999999999</v>
      </c>
      <c r="F1078" s="35">
        <f t="shared" si="36"/>
        <v>1216.5</v>
      </c>
      <c r="G1078" s="35">
        <f t="shared" si="36"/>
        <v>79.166666666666671</v>
      </c>
      <c r="H1078" s="37">
        <f t="shared" si="36"/>
        <v>600</v>
      </c>
      <c r="I1078" s="35">
        <f t="shared" si="36"/>
        <v>695</v>
      </c>
      <c r="J1078" s="35">
        <f t="shared" si="36"/>
        <v>33.333333333333336</v>
      </c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</row>
    <row r="1079" spans="1:20" ht="15">
      <c r="A1079" s="3">
        <f t="shared" si="30"/>
        <v>2044</v>
      </c>
      <c r="B1079" s="3">
        <f t="shared" si="8"/>
        <v>366</v>
      </c>
      <c r="C1079" s="35">
        <f t="shared" ref="C1079:J1079" si="37">AVERAGE(C365:C376)</f>
        <v>154.75825</v>
      </c>
      <c r="D1079" s="35">
        <f t="shared" si="37"/>
        <v>281.0162499999999</v>
      </c>
      <c r="E1079" s="35">
        <f t="shared" si="37"/>
        <v>780.7254999999999</v>
      </c>
      <c r="F1079" s="35">
        <f t="shared" si="37"/>
        <v>1216.5</v>
      </c>
      <c r="G1079" s="35">
        <f t="shared" si="37"/>
        <v>79.166666666666671</v>
      </c>
      <c r="H1079" s="37">
        <f t="shared" si="37"/>
        <v>600</v>
      </c>
      <c r="I1079" s="35">
        <f t="shared" si="37"/>
        <v>695</v>
      </c>
      <c r="J1079" s="35">
        <f t="shared" si="37"/>
        <v>33.333333333333336</v>
      </c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</row>
    <row r="1080" spans="1:20" ht="15">
      <c r="A1080" s="3">
        <f t="shared" si="30"/>
        <v>2045</v>
      </c>
      <c r="B1080" s="3">
        <f t="shared" si="8"/>
        <v>365</v>
      </c>
      <c r="C1080" s="35">
        <f t="shared" ref="C1080:J1080" si="38">AVERAGE(C377:C388)</f>
        <v>154.75825</v>
      </c>
      <c r="D1080" s="35">
        <f t="shared" si="38"/>
        <v>281.0162499999999</v>
      </c>
      <c r="E1080" s="35">
        <f t="shared" si="38"/>
        <v>780.7254999999999</v>
      </c>
      <c r="F1080" s="35">
        <f t="shared" si="38"/>
        <v>1216.5</v>
      </c>
      <c r="G1080" s="35">
        <f t="shared" si="38"/>
        <v>79.166666666666671</v>
      </c>
      <c r="H1080" s="37">
        <f t="shared" si="38"/>
        <v>600</v>
      </c>
      <c r="I1080" s="35">
        <f t="shared" si="38"/>
        <v>695</v>
      </c>
      <c r="J1080" s="35">
        <f t="shared" si="38"/>
        <v>33.333333333333336</v>
      </c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</row>
    <row r="1081" spans="1:20" ht="15">
      <c r="A1081" s="3">
        <f t="shared" si="30"/>
        <v>2046</v>
      </c>
      <c r="B1081" s="3">
        <f t="shared" si="8"/>
        <v>365</v>
      </c>
      <c r="C1081" s="35">
        <f t="shared" ref="C1081:J1081" si="39">AVERAGE(C389:C400)</f>
        <v>154.75825</v>
      </c>
      <c r="D1081" s="35">
        <f t="shared" si="39"/>
        <v>281.0162499999999</v>
      </c>
      <c r="E1081" s="35">
        <f t="shared" si="39"/>
        <v>780.7254999999999</v>
      </c>
      <c r="F1081" s="35">
        <f t="shared" si="39"/>
        <v>1216.5</v>
      </c>
      <c r="G1081" s="35">
        <f t="shared" si="39"/>
        <v>79.166666666666671</v>
      </c>
      <c r="H1081" s="37">
        <f t="shared" si="39"/>
        <v>600</v>
      </c>
      <c r="I1081" s="35">
        <f t="shared" si="39"/>
        <v>695</v>
      </c>
      <c r="J1081" s="35">
        <f t="shared" si="39"/>
        <v>33.333333333333336</v>
      </c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</row>
    <row r="1082" spans="1:20" ht="15">
      <c r="A1082" s="3">
        <f t="shared" si="30"/>
        <v>2047</v>
      </c>
      <c r="B1082" s="3">
        <f t="shared" ref="B1082:B1113" si="40">DATE(A1082+1,1,1)-DATE(A1082,1,1)</f>
        <v>365</v>
      </c>
      <c r="C1082" s="35">
        <f t="shared" ref="C1082:J1082" si="41">AVERAGE(C401:C412)</f>
        <v>154.75825</v>
      </c>
      <c r="D1082" s="35">
        <f t="shared" si="41"/>
        <v>281.0162499999999</v>
      </c>
      <c r="E1082" s="35">
        <f t="shared" si="41"/>
        <v>780.7254999999999</v>
      </c>
      <c r="F1082" s="35">
        <f t="shared" si="41"/>
        <v>1216.5</v>
      </c>
      <c r="G1082" s="35">
        <f t="shared" si="41"/>
        <v>79.166666666666671</v>
      </c>
      <c r="H1082" s="37">
        <f t="shared" si="41"/>
        <v>600</v>
      </c>
      <c r="I1082" s="35">
        <f t="shared" si="41"/>
        <v>695</v>
      </c>
      <c r="J1082" s="35">
        <f t="shared" si="41"/>
        <v>33.333333333333336</v>
      </c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</row>
    <row r="1083" spans="1:20" ht="15">
      <c r="A1083" s="3">
        <f t="shared" si="30"/>
        <v>2048</v>
      </c>
      <c r="B1083" s="3">
        <f t="shared" si="40"/>
        <v>366</v>
      </c>
      <c r="C1083" s="35">
        <f t="shared" ref="C1083:J1083" si="42">AVERAGE(C413:C424)</f>
        <v>154.75825</v>
      </c>
      <c r="D1083" s="35">
        <f t="shared" si="42"/>
        <v>281.0162499999999</v>
      </c>
      <c r="E1083" s="35">
        <f t="shared" si="42"/>
        <v>780.7254999999999</v>
      </c>
      <c r="F1083" s="35">
        <f t="shared" si="42"/>
        <v>1216.5</v>
      </c>
      <c r="G1083" s="35">
        <f t="shared" si="42"/>
        <v>79.166666666666671</v>
      </c>
      <c r="H1083" s="37">
        <f t="shared" si="42"/>
        <v>600</v>
      </c>
      <c r="I1083" s="35">
        <f t="shared" si="42"/>
        <v>695</v>
      </c>
      <c r="J1083" s="35">
        <f t="shared" si="42"/>
        <v>33.333333333333336</v>
      </c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</row>
    <row r="1084" spans="1:20" ht="15">
      <c r="A1084" s="3">
        <f t="shared" si="30"/>
        <v>2049</v>
      </c>
      <c r="B1084" s="3">
        <f t="shared" si="40"/>
        <v>365</v>
      </c>
      <c r="C1084" s="35">
        <f t="shared" ref="C1084:J1084" si="43">AVERAGE(C425:C436)</f>
        <v>154.75825</v>
      </c>
      <c r="D1084" s="35">
        <f t="shared" si="43"/>
        <v>281.0162499999999</v>
      </c>
      <c r="E1084" s="35">
        <f t="shared" si="43"/>
        <v>780.7254999999999</v>
      </c>
      <c r="F1084" s="35">
        <f t="shared" si="43"/>
        <v>1216.5</v>
      </c>
      <c r="G1084" s="35">
        <f t="shared" si="43"/>
        <v>79.166666666666671</v>
      </c>
      <c r="H1084" s="37">
        <f t="shared" si="43"/>
        <v>600</v>
      </c>
      <c r="I1084" s="35">
        <f t="shared" si="43"/>
        <v>695</v>
      </c>
      <c r="J1084" s="35">
        <f t="shared" si="43"/>
        <v>33.333333333333336</v>
      </c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</row>
    <row r="1085" spans="1:20" ht="15">
      <c r="A1085" s="3">
        <f t="shared" si="30"/>
        <v>2050</v>
      </c>
      <c r="B1085" s="3">
        <f t="shared" si="40"/>
        <v>365</v>
      </c>
      <c r="C1085" s="35">
        <f t="shared" ref="C1085:J1085" si="44">AVERAGE(C437:C448)</f>
        <v>154.75825</v>
      </c>
      <c r="D1085" s="35">
        <f t="shared" si="44"/>
        <v>281.0162499999999</v>
      </c>
      <c r="E1085" s="35">
        <f t="shared" si="44"/>
        <v>780.7254999999999</v>
      </c>
      <c r="F1085" s="35">
        <f t="shared" si="44"/>
        <v>1216.5</v>
      </c>
      <c r="G1085" s="35">
        <f t="shared" si="44"/>
        <v>79.166666666666671</v>
      </c>
      <c r="H1085" s="37">
        <f t="shared" si="44"/>
        <v>600</v>
      </c>
      <c r="I1085" s="35">
        <f t="shared" si="44"/>
        <v>695</v>
      </c>
      <c r="J1085" s="35">
        <f t="shared" si="44"/>
        <v>33.333333333333336</v>
      </c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</row>
    <row r="1086" spans="1:20" ht="15">
      <c r="A1086" s="3">
        <f t="shared" si="30"/>
        <v>2051</v>
      </c>
      <c r="B1086" s="3">
        <f t="shared" si="40"/>
        <v>365</v>
      </c>
      <c r="C1086" s="35">
        <f t="shared" ref="C1086:J1086" si="45">AVERAGE(C449:C460)</f>
        <v>154.75825</v>
      </c>
      <c r="D1086" s="35">
        <f t="shared" si="45"/>
        <v>281.0162499999999</v>
      </c>
      <c r="E1086" s="35">
        <f t="shared" si="45"/>
        <v>780.7254999999999</v>
      </c>
      <c r="F1086" s="35">
        <f t="shared" si="45"/>
        <v>1216.5</v>
      </c>
      <c r="G1086" s="35">
        <f t="shared" si="45"/>
        <v>79.166666666666671</v>
      </c>
      <c r="H1086" s="37">
        <f t="shared" si="45"/>
        <v>600</v>
      </c>
      <c r="I1086" s="35">
        <f t="shared" si="45"/>
        <v>695</v>
      </c>
      <c r="J1086" s="35">
        <f t="shared" si="45"/>
        <v>33.333333333333336</v>
      </c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</row>
    <row r="1087" spans="1:20" ht="15">
      <c r="A1087" s="3">
        <f t="shared" si="30"/>
        <v>2052</v>
      </c>
      <c r="B1087" s="3">
        <f t="shared" si="40"/>
        <v>366</v>
      </c>
      <c r="C1087" s="35">
        <f t="shared" ref="C1087:J1087" si="46">AVERAGE(C461:C472)</f>
        <v>154.75825</v>
      </c>
      <c r="D1087" s="35">
        <f t="shared" si="46"/>
        <v>281.0162499999999</v>
      </c>
      <c r="E1087" s="35">
        <f t="shared" si="46"/>
        <v>780.7254999999999</v>
      </c>
      <c r="F1087" s="35">
        <f t="shared" si="46"/>
        <v>1216.5</v>
      </c>
      <c r="G1087" s="35">
        <f t="shared" si="46"/>
        <v>79.166666666666671</v>
      </c>
      <c r="H1087" s="37">
        <f t="shared" si="46"/>
        <v>600</v>
      </c>
      <c r="I1087" s="35">
        <f t="shared" si="46"/>
        <v>695</v>
      </c>
      <c r="J1087" s="35">
        <f t="shared" si="46"/>
        <v>33.333333333333336</v>
      </c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</row>
    <row r="1088" spans="1:20" ht="15">
      <c r="A1088" s="3">
        <f t="shared" si="30"/>
        <v>2053</v>
      </c>
      <c r="B1088" s="3">
        <f t="shared" si="40"/>
        <v>365</v>
      </c>
      <c r="C1088" s="35">
        <f t="shared" ref="C1088:J1088" si="47">AVERAGE(C473:C484)</f>
        <v>154.75825</v>
      </c>
      <c r="D1088" s="35">
        <f t="shared" si="47"/>
        <v>281.0162499999999</v>
      </c>
      <c r="E1088" s="35">
        <f t="shared" si="47"/>
        <v>780.7254999999999</v>
      </c>
      <c r="F1088" s="35">
        <f t="shared" si="47"/>
        <v>1216.5</v>
      </c>
      <c r="G1088" s="35">
        <f t="shared" si="47"/>
        <v>79.166666666666671</v>
      </c>
      <c r="H1088" s="37">
        <f t="shared" si="47"/>
        <v>600</v>
      </c>
      <c r="I1088" s="35">
        <f t="shared" si="47"/>
        <v>695</v>
      </c>
      <c r="J1088" s="35">
        <f t="shared" si="47"/>
        <v>33.333333333333336</v>
      </c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</row>
    <row r="1089" spans="1:20" ht="15">
      <c r="A1089" s="3">
        <f t="shared" si="30"/>
        <v>2054</v>
      </c>
      <c r="B1089" s="3">
        <f t="shared" si="40"/>
        <v>365</v>
      </c>
      <c r="C1089" s="35">
        <f t="shared" ref="C1089:J1096" si="48">AVERAGE(C485:C496)</f>
        <v>154.75825</v>
      </c>
      <c r="D1089" s="35">
        <f t="shared" si="48"/>
        <v>281.0162499999999</v>
      </c>
      <c r="E1089" s="35">
        <f t="shared" si="48"/>
        <v>780.7254999999999</v>
      </c>
      <c r="F1089" s="35">
        <f t="shared" si="48"/>
        <v>1216.5</v>
      </c>
      <c r="G1089" s="35">
        <f t="shared" si="48"/>
        <v>79.166666666666671</v>
      </c>
      <c r="H1089" s="37">
        <f t="shared" si="48"/>
        <v>600</v>
      </c>
      <c r="I1089" s="35">
        <f t="shared" si="48"/>
        <v>695</v>
      </c>
      <c r="J1089" s="35">
        <f t="shared" si="48"/>
        <v>33.333333333333336</v>
      </c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</row>
    <row r="1090" spans="1:20" ht="15">
      <c r="A1090" s="3">
        <f t="shared" si="30"/>
        <v>2055</v>
      </c>
      <c r="B1090" s="3">
        <f t="shared" si="40"/>
        <v>365</v>
      </c>
      <c r="C1090" s="35">
        <f t="shared" si="48"/>
        <v>154.75825</v>
      </c>
      <c r="D1090" s="35">
        <f t="shared" si="48"/>
        <v>281.0162499999999</v>
      </c>
      <c r="E1090" s="35">
        <f t="shared" si="48"/>
        <v>780.7254999999999</v>
      </c>
      <c r="F1090" s="35">
        <f t="shared" si="48"/>
        <v>1216.5</v>
      </c>
      <c r="G1090" s="35">
        <f t="shared" si="48"/>
        <v>79.166666666666671</v>
      </c>
      <c r="H1090" s="37">
        <f t="shared" si="48"/>
        <v>600</v>
      </c>
      <c r="I1090" s="35">
        <f t="shared" si="48"/>
        <v>695</v>
      </c>
      <c r="J1090" s="35">
        <f t="shared" si="48"/>
        <v>33.333333333333336</v>
      </c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</row>
    <row r="1091" spans="1:20" ht="15">
      <c r="A1091" s="3">
        <f t="shared" si="30"/>
        <v>2056</v>
      </c>
      <c r="B1091" s="3">
        <f t="shared" si="40"/>
        <v>366</v>
      </c>
      <c r="C1091" s="35">
        <f t="shared" si="48"/>
        <v>154.75824999999998</v>
      </c>
      <c r="D1091" s="35">
        <f t="shared" si="48"/>
        <v>281.0162499999999</v>
      </c>
      <c r="E1091" s="35">
        <f t="shared" si="48"/>
        <v>780.7254999999999</v>
      </c>
      <c r="F1091" s="35">
        <f t="shared" si="48"/>
        <v>1216.5</v>
      </c>
      <c r="G1091" s="35">
        <f t="shared" si="48"/>
        <v>79.166666666666671</v>
      </c>
      <c r="H1091" s="37">
        <f t="shared" si="48"/>
        <v>600</v>
      </c>
      <c r="I1091" s="35">
        <f t="shared" si="48"/>
        <v>695</v>
      </c>
      <c r="J1091" s="35">
        <f t="shared" si="48"/>
        <v>33.333333333333336</v>
      </c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</row>
    <row r="1092" spans="1:20" ht="15">
      <c r="A1092" s="3">
        <f t="shared" si="30"/>
        <v>2057</v>
      </c>
      <c r="B1092" s="3">
        <f t="shared" si="40"/>
        <v>365</v>
      </c>
      <c r="C1092" s="35">
        <f t="shared" si="48"/>
        <v>154.75825</v>
      </c>
      <c r="D1092" s="35">
        <f t="shared" si="48"/>
        <v>281.0162499999999</v>
      </c>
      <c r="E1092" s="35">
        <f t="shared" si="48"/>
        <v>780.72550000000001</v>
      </c>
      <c r="F1092" s="35">
        <f t="shared" si="48"/>
        <v>1216.5</v>
      </c>
      <c r="G1092" s="35">
        <f t="shared" si="48"/>
        <v>79.166666666666671</v>
      </c>
      <c r="H1092" s="37">
        <f t="shared" si="48"/>
        <v>600</v>
      </c>
      <c r="I1092" s="35">
        <f t="shared" si="48"/>
        <v>695</v>
      </c>
      <c r="J1092" s="35">
        <f t="shared" si="48"/>
        <v>33.333333333333336</v>
      </c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</row>
    <row r="1093" spans="1:20" ht="15">
      <c r="A1093" s="3">
        <f t="shared" si="30"/>
        <v>2058</v>
      </c>
      <c r="B1093" s="3">
        <f t="shared" si="40"/>
        <v>365</v>
      </c>
      <c r="C1093" s="35">
        <f t="shared" si="48"/>
        <v>154.75824999999998</v>
      </c>
      <c r="D1093" s="35">
        <f t="shared" si="48"/>
        <v>281.01624999999996</v>
      </c>
      <c r="E1093" s="35">
        <f t="shared" si="48"/>
        <v>780.72550000000001</v>
      </c>
      <c r="F1093" s="35">
        <f t="shared" si="48"/>
        <v>1216.5</v>
      </c>
      <c r="G1093" s="35">
        <f t="shared" si="48"/>
        <v>79.166666666666671</v>
      </c>
      <c r="H1093" s="37">
        <f t="shared" si="48"/>
        <v>600</v>
      </c>
      <c r="I1093" s="35">
        <f t="shared" si="48"/>
        <v>695</v>
      </c>
      <c r="J1093" s="35">
        <f t="shared" si="48"/>
        <v>33.333333333333336</v>
      </c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</row>
    <row r="1094" spans="1:20" ht="15">
      <c r="A1094" s="3">
        <f t="shared" si="30"/>
        <v>2059</v>
      </c>
      <c r="B1094" s="3">
        <f t="shared" si="40"/>
        <v>365</v>
      </c>
      <c r="C1094" s="35">
        <f t="shared" si="48"/>
        <v>154.75824999999998</v>
      </c>
      <c r="D1094" s="35">
        <f t="shared" si="48"/>
        <v>281.01624999999996</v>
      </c>
      <c r="E1094" s="35">
        <f t="shared" si="48"/>
        <v>780.72550000000012</v>
      </c>
      <c r="F1094" s="35">
        <f t="shared" si="48"/>
        <v>1216.5</v>
      </c>
      <c r="G1094" s="35">
        <f t="shared" si="48"/>
        <v>79.166666666666671</v>
      </c>
      <c r="H1094" s="37">
        <f t="shared" si="48"/>
        <v>600</v>
      </c>
      <c r="I1094" s="35">
        <f t="shared" si="48"/>
        <v>695</v>
      </c>
      <c r="J1094" s="35">
        <f t="shared" si="48"/>
        <v>33.333333333333336</v>
      </c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</row>
    <row r="1095" spans="1:20" ht="15">
      <c r="A1095" s="3">
        <f t="shared" si="30"/>
        <v>2060</v>
      </c>
      <c r="B1095" s="3">
        <f t="shared" si="40"/>
        <v>366</v>
      </c>
      <c r="C1095" s="35">
        <f t="shared" si="48"/>
        <v>154.75824999999998</v>
      </c>
      <c r="D1095" s="35">
        <f t="shared" si="48"/>
        <v>281.01624999999996</v>
      </c>
      <c r="E1095" s="35">
        <f t="shared" si="48"/>
        <v>780.72550000000012</v>
      </c>
      <c r="F1095" s="35">
        <f t="shared" si="48"/>
        <v>1216.5</v>
      </c>
      <c r="G1095" s="35">
        <f t="shared" si="48"/>
        <v>79.166666666666671</v>
      </c>
      <c r="H1095" s="37">
        <f t="shared" si="48"/>
        <v>600</v>
      </c>
      <c r="I1095" s="35">
        <f t="shared" si="48"/>
        <v>695</v>
      </c>
      <c r="J1095" s="35">
        <f t="shared" si="48"/>
        <v>33.333333333333336</v>
      </c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</row>
    <row r="1096" spans="1:20" ht="15">
      <c r="A1096" s="3">
        <f t="shared" si="30"/>
        <v>2061</v>
      </c>
      <c r="B1096" s="3">
        <f t="shared" si="40"/>
        <v>365</v>
      </c>
      <c r="C1096" s="35">
        <f t="shared" si="48"/>
        <v>154.75825</v>
      </c>
      <c r="D1096" s="35">
        <f t="shared" si="48"/>
        <v>281.01624999999996</v>
      </c>
      <c r="E1096" s="35">
        <f t="shared" si="48"/>
        <v>780.72550000000001</v>
      </c>
      <c r="F1096" s="35">
        <f t="shared" si="48"/>
        <v>1216.5</v>
      </c>
      <c r="G1096" s="35">
        <f t="shared" si="48"/>
        <v>79.166666666666671</v>
      </c>
      <c r="H1096" s="37">
        <f t="shared" si="48"/>
        <v>600</v>
      </c>
      <c r="I1096" s="35">
        <f t="shared" si="48"/>
        <v>695</v>
      </c>
      <c r="J1096" s="35">
        <f t="shared" si="48"/>
        <v>33.333333333333336</v>
      </c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</row>
    <row r="1097" spans="1:20" ht="15">
      <c r="A1097" s="3">
        <f t="shared" si="30"/>
        <v>2062</v>
      </c>
      <c r="B1097" s="3">
        <f t="shared" si="40"/>
        <v>365</v>
      </c>
      <c r="C1097" s="35">
        <f t="shared" ref="C1097:J1106" ca="1" si="49">AVERAGE(OFFSET(C$581,($A1097-$A$1097)*12,0,12,1))</f>
        <v>154.75825</v>
      </c>
      <c r="D1097" s="35">
        <f t="shared" ca="1" si="49"/>
        <v>281.0162499999999</v>
      </c>
      <c r="E1097" s="35">
        <f t="shared" ca="1" si="49"/>
        <v>780.7254999999999</v>
      </c>
      <c r="F1097" s="35">
        <f t="shared" ca="1" si="49"/>
        <v>1216.5</v>
      </c>
      <c r="G1097" s="35">
        <f t="shared" ca="1" si="49"/>
        <v>79.166666666666671</v>
      </c>
      <c r="H1097" s="35">
        <f t="shared" ca="1" si="49"/>
        <v>600</v>
      </c>
      <c r="I1097" s="35">
        <f t="shared" ca="1" si="49"/>
        <v>695</v>
      </c>
      <c r="J1097" s="35">
        <f t="shared" ca="1" si="49"/>
        <v>33.333333333333336</v>
      </c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</row>
    <row r="1098" spans="1:20" ht="15">
      <c r="A1098" s="3">
        <f t="shared" si="30"/>
        <v>2063</v>
      </c>
      <c r="B1098" s="3">
        <f t="shared" si="40"/>
        <v>365</v>
      </c>
      <c r="C1098" s="35">
        <f t="shared" ca="1" si="49"/>
        <v>154.75825</v>
      </c>
      <c r="D1098" s="35">
        <f t="shared" ca="1" si="49"/>
        <v>281.0162499999999</v>
      </c>
      <c r="E1098" s="35">
        <f t="shared" ca="1" si="49"/>
        <v>780.7254999999999</v>
      </c>
      <c r="F1098" s="35">
        <f t="shared" ca="1" si="49"/>
        <v>1216.5</v>
      </c>
      <c r="G1098" s="35">
        <f t="shared" ca="1" si="49"/>
        <v>79.166666666666671</v>
      </c>
      <c r="H1098" s="35">
        <f t="shared" ca="1" si="49"/>
        <v>600</v>
      </c>
      <c r="I1098" s="35">
        <f t="shared" ca="1" si="49"/>
        <v>695</v>
      </c>
      <c r="J1098" s="35">
        <f t="shared" ca="1" si="49"/>
        <v>33.333333333333336</v>
      </c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</row>
    <row r="1099" spans="1:20" ht="15">
      <c r="A1099" s="3">
        <f t="shared" si="30"/>
        <v>2064</v>
      </c>
      <c r="B1099" s="3">
        <f t="shared" si="40"/>
        <v>366</v>
      </c>
      <c r="C1099" s="35">
        <f t="shared" ca="1" si="49"/>
        <v>154.75825</v>
      </c>
      <c r="D1099" s="35">
        <f t="shared" ca="1" si="49"/>
        <v>281.0162499999999</v>
      </c>
      <c r="E1099" s="35">
        <f t="shared" ca="1" si="49"/>
        <v>780.7254999999999</v>
      </c>
      <c r="F1099" s="35">
        <f t="shared" ca="1" si="49"/>
        <v>1216.5</v>
      </c>
      <c r="G1099" s="35">
        <f t="shared" ca="1" si="49"/>
        <v>79.166666666666671</v>
      </c>
      <c r="H1099" s="35">
        <f t="shared" ca="1" si="49"/>
        <v>600</v>
      </c>
      <c r="I1099" s="35">
        <f t="shared" ca="1" si="49"/>
        <v>695</v>
      </c>
      <c r="J1099" s="35">
        <f t="shared" ca="1" si="49"/>
        <v>33.333333333333336</v>
      </c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</row>
    <row r="1100" spans="1:20" ht="15">
      <c r="A1100" s="3">
        <f t="shared" si="30"/>
        <v>2065</v>
      </c>
      <c r="B1100" s="3">
        <f t="shared" si="40"/>
        <v>365</v>
      </c>
      <c r="C1100" s="35">
        <f t="shared" ca="1" si="49"/>
        <v>154.75825</v>
      </c>
      <c r="D1100" s="35">
        <f t="shared" ca="1" si="49"/>
        <v>281.0162499999999</v>
      </c>
      <c r="E1100" s="35">
        <f t="shared" ca="1" si="49"/>
        <v>780.7254999999999</v>
      </c>
      <c r="F1100" s="35">
        <f t="shared" ca="1" si="49"/>
        <v>1216.5</v>
      </c>
      <c r="G1100" s="35">
        <f t="shared" ca="1" si="49"/>
        <v>79.166666666666671</v>
      </c>
      <c r="H1100" s="35">
        <f t="shared" ca="1" si="49"/>
        <v>600</v>
      </c>
      <c r="I1100" s="35">
        <f t="shared" ca="1" si="49"/>
        <v>695</v>
      </c>
      <c r="J1100" s="35">
        <f t="shared" ca="1" si="49"/>
        <v>33.333333333333336</v>
      </c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</row>
    <row r="1101" spans="1:20" ht="15">
      <c r="A1101" s="3">
        <f t="shared" si="30"/>
        <v>2066</v>
      </c>
      <c r="B1101" s="3">
        <f t="shared" si="40"/>
        <v>365</v>
      </c>
      <c r="C1101" s="35">
        <f t="shared" ca="1" si="49"/>
        <v>154.75825</v>
      </c>
      <c r="D1101" s="35">
        <f t="shared" ca="1" si="49"/>
        <v>281.0162499999999</v>
      </c>
      <c r="E1101" s="35">
        <f t="shared" ca="1" si="49"/>
        <v>780.7254999999999</v>
      </c>
      <c r="F1101" s="35">
        <f t="shared" ca="1" si="49"/>
        <v>1216.5</v>
      </c>
      <c r="G1101" s="35">
        <f t="shared" ca="1" si="49"/>
        <v>79.166666666666671</v>
      </c>
      <c r="H1101" s="35">
        <f t="shared" ca="1" si="49"/>
        <v>600</v>
      </c>
      <c r="I1101" s="35">
        <f t="shared" ca="1" si="49"/>
        <v>695</v>
      </c>
      <c r="J1101" s="35">
        <f t="shared" ca="1" si="49"/>
        <v>33.333333333333336</v>
      </c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</row>
    <row r="1102" spans="1:20" ht="15">
      <c r="A1102" s="3">
        <f t="shared" si="30"/>
        <v>2067</v>
      </c>
      <c r="B1102" s="3">
        <f t="shared" si="40"/>
        <v>365</v>
      </c>
      <c r="C1102" s="35">
        <f t="shared" ca="1" si="49"/>
        <v>154.75825</v>
      </c>
      <c r="D1102" s="35">
        <f t="shared" ca="1" si="49"/>
        <v>281.0162499999999</v>
      </c>
      <c r="E1102" s="35">
        <f t="shared" ca="1" si="49"/>
        <v>780.7254999999999</v>
      </c>
      <c r="F1102" s="35">
        <f t="shared" ca="1" si="49"/>
        <v>1216.5</v>
      </c>
      <c r="G1102" s="35">
        <f t="shared" ca="1" si="49"/>
        <v>79.166666666666671</v>
      </c>
      <c r="H1102" s="35">
        <f t="shared" ca="1" si="49"/>
        <v>600</v>
      </c>
      <c r="I1102" s="35">
        <f t="shared" ca="1" si="49"/>
        <v>695</v>
      </c>
      <c r="J1102" s="35">
        <f t="shared" ca="1" si="49"/>
        <v>33.333333333333336</v>
      </c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</row>
    <row r="1103" spans="1:20" ht="15">
      <c r="A1103" s="3">
        <f t="shared" si="30"/>
        <v>2068</v>
      </c>
      <c r="B1103" s="3">
        <f t="shared" si="40"/>
        <v>366</v>
      </c>
      <c r="C1103" s="35">
        <f t="shared" ca="1" si="49"/>
        <v>154.75825</v>
      </c>
      <c r="D1103" s="35">
        <f t="shared" ca="1" si="49"/>
        <v>281.0162499999999</v>
      </c>
      <c r="E1103" s="35">
        <f t="shared" ca="1" si="49"/>
        <v>780.7254999999999</v>
      </c>
      <c r="F1103" s="35">
        <f t="shared" ca="1" si="49"/>
        <v>1216.5</v>
      </c>
      <c r="G1103" s="35">
        <f t="shared" ca="1" si="49"/>
        <v>79.166666666666671</v>
      </c>
      <c r="H1103" s="35">
        <f t="shared" ca="1" si="49"/>
        <v>600</v>
      </c>
      <c r="I1103" s="35">
        <f t="shared" ca="1" si="49"/>
        <v>695</v>
      </c>
      <c r="J1103" s="35">
        <f t="shared" ca="1" si="49"/>
        <v>33.333333333333336</v>
      </c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</row>
    <row r="1104" spans="1:20" ht="15">
      <c r="A1104" s="3">
        <f t="shared" si="30"/>
        <v>2069</v>
      </c>
      <c r="B1104" s="3">
        <f t="shared" si="40"/>
        <v>365</v>
      </c>
      <c r="C1104" s="35">
        <f t="shared" ca="1" si="49"/>
        <v>154.75825</v>
      </c>
      <c r="D1104" s="35">
        <f t="shared" ca="1" si="49"/>
        <v>281.0162499999999</v>
      </c>
      <c r="E1104" s="35">
        <f t="shared" ca="1" si="49"/>
        <v>780.7254999999999</v>
      </c>
      <c r="F1104" s="35">
        <f t="shared" ca="1" si="49"/>
        <v>1216.5</v>
      </c>
      <c r="G1104" s="35">
        <f t="shared" ca="1" si="49"/>
        <v>79.166666666666671</v>
      </c>
      <c r="H1104" s="35">
        <f t="shared" ca="1" si="49"/>
        <v>600</v>
      </c>
      <c r="I1104" s="35">
        <f t="shared" ca="1" si="49"/>
        <v>695</v>
      </c>
      <c r="J1104" s="35">
        <f t="shared" ca="1" si="49"/>
        <v>33.333333333333336</v>
      </c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</row>
    <row r="1105" spans="1:20" ht="15">
      <c r="A1105" s="3">
        <f t="shared" ref="A1105:A1135" si="50">A1104+1</f>
        <v>2070</v>
      </c>
      <c r="B1105" s="3">
        <f t="shared" si="40"/>
        <v>365</v>
      </c>
      <c r="C1105" s="35">
        <f t="shared" ca="1" si="49"/>
        <v>154.75825</v>
      </c>
      <c r="D1105" s="35">
        <f t="shared" ca="1" si="49"/>
        <v>281.0162499999999</v>
      </c>
      <c r="E1105" s="35">
        <f t="shared" ca="1" si="49"/>
        <v>780.7254999999999</v>
      </c>
      <c r="F1105" s="35">
        <f t="shared" ca="1" si="49"/>
        <v>1216.5</v>
      </c>
      <c r="G1105" s="35">
        <f t="shared" ca="1" si="49"/>
        <v>79.166666666666671</v>
      </c>
      <c r="H1105" s="35">
        <f t="shared" ca="1" si="49"/>
        <v>600</v>
      </c>
      <c r="I1105" s="35">
        <f t="shared" ca="1" si="49"/>
        <v>695</v>
      </c>
      <c r="J1105" s="35">
        <f t="shared" ca="1" si="49"/>
        <v>33.333333333333336</v>
      </c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</row>
    <row r="1106" spans="1:20" ht="15">
      <c r="A1106" s="3">
        <f t="shared" si="50"/>
        <v>2071</v>
      </c>
      <c r="B1106" s="3">
        <f t="shared" si="40"/>
        <v>365</v>
      </c>
      <c r="C1106" s="35">
        <f t="shared" ca="1" si="49"/>
        <v>154.75825</v>
      </c>
      <c r="D1106" s="35">
        <f t="shared" ca="1" si="49"/>
        <v>281.0162499999999</v>
      </c>
      <c r="E1106" s="35">
        <f t="shared" ca="1" si="49"/>
        <v>780.7254999999999</v>
      </c>
      <c r="F1106" s="35">
        <f t="shared" ca="1" si="49"/>
        <v>1216.5</v>
      </c>
      <c r="G1106" s="35">
        <f t="shared" ca="1" si="49"/>
        <v>79.166666666666671</v>
      </c>
      <c r="H1106" s="35">
        <f t="shared" ca="1" si="49"/>
        <v>600</v>
      </c>
      <c r="I1106" s="35">
        <f t="shared" ca="1" si="49"/>
        <v>695</v>
      </c>
      <c r="J1106" s="35">
        <f t="shared" ca="1" si="49"/>
        <v>33.333333333333336</v>
      </c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</row>
    <row r="1107" spans="1:20" ht="15">
      <c r="A1107" s="3">
        <f t="shared" si="50"/>
        <v>2072</v>
      </c>
      <c r="B1107" s="3">
        <f t="shared" si="40"/>
        <v>366</v>
      </c>
      <c r="C1107" s="35">
        <f t="shared" ref="C1107:J1116" ca="1" si="51">AVERAGE(OFFSET(C$581,($A1107-$A$1097)*12,0,12,1))</f>
        <v>154.75825</v>
      </c>
      <c r="D1107" s="35">
        <f t="shared" ca="1" si="51"/>
        <v>281.0162499999999</v>
      </c>
      <c r="E1107" s="35">
        <f t="shared" ca="1" si="51"/>
        <v>780.7254999999999</v>
      </c>
      <c r="F1107" s="35">
        <f t="shared" ca="1" si="51"/>
        <v>1216.5</v>
      </c>
      <c r="G1107" s="35">
        <f t="shared" ca="1" si="51"/>
        <v>79.166666666666671</v>
      </c>
      <c r="H1107" s="35">
        <f t="shared" ca="1" si="51"/>
        <v>600</v>
      </c>
      <c r="I1107" s="35">
        <f t="shared" ca="1" si="51"/>
        <v>695</v>
      </c>
      <c r="J1107" s="35">
        <f t="shared" ca="1" si="51"/>
        <v>33.333333333333336</v>
      </c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</row>
    <row r="1108" spans="1:20" ht="15">
      <c r="A1108" s="3">
        <f t="shared" si="50"/>
        <v>2073</v>
      </c>
      <c r="B1108" s="3">
        <f t="shared" si="40"/>
        <v>365</v>
      </c>
      <c r="C1108" s="35">
        <f t="shared" ca="1" si="51"/>
        <v>154.75825</v>
      </c>
      <c r="D1108" s="35">
        <f t="shared" ca="1" si="51"/>
        <v>281.0162499999999</v>
      </c>
      <c r="E1108" s="35">
        <f t="shared" ca="1" si="51"/>
        <v>780.7254999999999</v>
      </c>
      <c r="F1108" s="35">
        <f t="shared" ca="1" si="51"/>
        <v>1216.5</v>
      </c>
      <c r="G1108" s="35">
        <f t="shared" ca="1" si="51"/>
        <v>79.166666666666671</v>
      </c>
      <c r="H1108" s="35">
        <f t="shared" ca="1" si="51"/>
        <v>600</v>
      </c>
      <c r="I1108" s="35">
        <f t="shared" ca="1" si="51"/>
        <v>695</v>
      </c>
      <c r="J1108" s="35">
        <f t="shared" ca="1" si="51"/>
        <v>33.333333333333336</v>
      </c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</row>
    <row r="1109" spans="1:20" ht="15">
      <c r="A1109" s="3">
        <f t="shared" si="50"/>
        <v>2074</v>
      </c>
      <c r="B1109" s="3">
        <f t="shared" si="40"/>
        <v>365</v>
      </c>
      <c r="C1109" s="35">
        <f t="shared" ca="1" si="51"/>
        <v>154.75825</v>
      </c>
      <c r="D1109" s="35">
        <f t="shared" ca="1" si="51"/>
        <v>281.0162499999999</v>
      </c>
      <c r="E1109" s="35">
        <f t="shared" ca="1" si="51"/>
        <v>780.7254999999999</v>
      </c>
      <c r="F1109" s="35">
        <f t="shared" ca="1" si="51"/>
        <v>1216.5</v>
      </c>
      <c r="G1109" s="35">
        <f t="shared" ca="1" si="51"/>
        <v>79.166666666666671</v>
      </c>
      <c r="H1109" s="35">
        <f t="shared" ca="1" si="51"/>
        <v>600</v>
      </c>
      <c r="I1109" s="35">
        <f t="shared" ca="1" si="51"/>
        <v>695</v>
      </c>
      <c r="J1109" s="35">
        <f t="shared" ca="1" si="51"/>
        <v>33.333333333333336</v>
      </c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</row>
    <row r="1110" spans="1:20" ht="15">
      <c r="A1110" s="3">
        <f t="shared" si="50"/>
        <v>2075</v>
      </c>
      <c r="B1110" s="3">
        <f t="shared" si="40"/>
        <v>365</v>
      </c>
      <c r="C1110" s="35">
        <f t="shared" ca="1" si="51"/>
        <v>154.75825</v>
      </c>
      <c r="D1110" s="35">
        <f t="shared" ca="1" si="51"/>
        <v>281.0162499999999</v>
      </c>
      <c r="E1110" s="35">
        <f t="shared" ca="1" si="51"/>
        <v>780.7254999999999</v>
      </c>
      <c r="F1110" s="35">
        <f t="shared" ca="1" si="51"/>
        <v>1216.5</v>
      </c>
      <c r="G1110" s="35">
        <f t="shared" ca="1" si="51"/>
        <v>79.166666666666671</v>
      </c>
      <c r="H1110" s="35">
        <f t="shared" ca="1" si="51"/>
        <v>600</v>
      </c>
      <c r="I1110" s="35">
        <f t="shared" ca="1" si="51"/>
        <v>695</v>
      </c>
      <c r="J1110" s="35">
        <f t="shared" ca="1" si="51"/>
        <v>33.333333333333336</v>
      </c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</row>
    <row r="1111" spans="1:20" ht="15">
      <c r="A1111" s="3">
        <f t="shared" si="50"/>
        <v>2076</v>
      </c>
      <c r="B1111" s="3">
        <f t="shared" si="40"/>
        <v>366</v>
      </c>
      <c r="C1111" s="35">
        <f t="shared" ca="1" si="51"/>
        <v>154.75825</v>
      </c>
      <c r="D1111" s="35">
        <f t="shared" ca="1" si="51"/>
        <v>281.0162499999999</v>
      </c>
      <c r="E1111" s="35">
        <f t="shared" ca="1" si="51"/>
        <v>780.7254999999999</v>
      </c>
      <c r="F1111" s="35">
        <f t="shared" ca="1" si="51"/>
        <v>1216.5</v>
      </c>
      <c r="G1111" s="35">
        <f t="shared" ca="1" si="51"/>
        <v>79.166666666666671</v>
      </c>
      <c r="H1111" s="35">
        <f t="shared" ca="1" si="51"/>
        <v>600</v>
      </c>
      <c r="I1111" s="35">
        <f t="shared" ca="1" si="51"/>
        <v>695</v>
      </c>
      <c r="J1111" s="35">
        <f t="shared" ca="1" si="51"/>
        <v>33.333333333333336</v>
      </c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</row>
    <row r="1112" spans="1:20" ht="15">
      <c r="A1112" s="3">
        <f t="shared" si="50"/>
        <v>2077</v>
      </c>
      <c r="B1112" s="3">
        <f t="shared" si="40"/>
        <v>365</v>
      </c>
      <c r="C1112" s="35">
        <f t="shared" ca="1" si="51"/>
        <v>154.75825</v>
      </c>
      <c r="D1112" s="35">
        <f t="shared" ca="1" si="51"/>
        <v>281.0162499999999</v>
      </c>
      <c r="E1112" s="35">
        <f t="shared" ca="1" si="51"/>
        <v>780.7254999999999</v>
      </c>
      <c r="F1112" s="35">
        <f t="shared" ca="1" si="51"/>
        <v>1216.5</v>
      </c>
      <c r="G1112" s="35">
        <f t="shared" ca="1" si="51"/>
        <v>79.166666666666671</v>
      </c>
      <c r="H1112" s="35">
        <f t="shared" ca="1" si="51"/>
        <v>600</v>
      </c>
      <c r="I1112" s="35">
        <f t="shared" ca="1" si="51"/>
        <v>695</v>
      </c>
      <c r="J1112" s="35">
        <f t="shared" ca="1" si="51"/>
        <v>33.333333333333336</v>
      </c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</row>
    <row r="1113" spans="1:20" ht="15">
      <c r="A1113" s="3">
        <f t="shared" si="50"/>
        <v>2078</v>
      </c>
      <c r="B1113" s="3">
        <f t="shared" si="40"/>
        <v>365</v>
      </c>
      <c r="C1113" s="35">
        <f t="shared" ca="1" si="51"/>
        <v>154.75825</v>
      </c>
      <c r="D1113" s="35">
        <f t="shared" ca="1" si="51"/>
        <v>281.0162499999999</v>
      </c>
      <c r="E1113" s="35">
        <f t="shared" ca="1" si="51"/>
        <v>780.7254999999999</v>
      </c>
      <c r="F1113" s="35">
        <f t="shared" ca="1" si="51"/>
        <v>1216.5</v>
      </c>
      <c r="G1113" s="35">
        <f t="shared" ca="1" si="51"/>
        <v>79.166666666666671</v>
      </c>
      <c r="H1113" s="35">
        <f t="shared" ca="1" si="51"/>
        <v>600</v>
      </c>
      <c r="I1113" s="35">
        <f t="shared" ca="1" si="51"/>
        <v>695</v>
      </c>
      <c r="J1113" s="35">
        <f t="shared" ca="1" si="51"/>
        <v>33.333333333333336</v>
      </c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</row>
    <row r="1114" spans="1:20" ht="15">
      <c r="A1114" s="3">
        <f t="shared" si="50"/>
        <v>2079</v>
      </c>
      <c r="B1114" s="3">
        <f t="shared" ref="B1114:B1135" si="52">DATE(A1114+1,1,1)-DATE(A1114,1,1)</f>
        <v>365</v>
      </c>
      <c r="C1114" s="35">
        <f t="shared" ca="1" si="51"/>
        <v>154.75825</v>
      </c>
      <c r="D1114" s="35">
        <f t="shared" ca="1" si="51"/>
        <v>281.0162499999999</v>
      </c>
      <c r="E1114" s="35">
        <f t="shared" ca="1" si="51"/>
        <v>780.7254999999999</v>
      </c>
      <c r="F1114" s="35">
        <f t="shared" ca="1" si="51"/>
        <v>1216.5</v>
      </c>
      <c r="G1114" s="35">
        <f t="shared" ca="1" si="51"/>
        <v>79.166666666666671</v>
      </c>
      <c r="H1114" s="35">
        <f t="shared" ca="1" si="51"/>
        <v>600</v>
      </c>
      <c r="I1114" s="35">
        <f t="shared" ca="1" si="51"/>
        <v>695</v>
      </c>
      <c r="J1114" s="35">
        <f t="shared" ca="1" si="51"/>
        <v>33.333333333333336</v>
      </c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</row>
    <row r="1115" spans="1:20" ht="15">
      <c r="A1115" s="3">
        <f t="shared" si="50"/>
        <v>2080</v>
      </c>
      <c r="B1115" s="3">
        <f t="shared" si="52"/>
        <v>366</v>
      </c>
      <c r="C1115" s="35">
        <f t="shared" ca="1" si="51"/>
        <v>154.75825</v>
      </c>
      <c r="D1115" s="35">
        <f t="shared" ca="1" si="51"/>
        <v>281.0162499999999</v>
      </c>
      <c r="E1115" s="35">
        <f t="shared" ca="1" si="51"/>
        <v>780.7254999999999</v>
      </c>
      <c r="F1115" s="35">
        <f t="shared" ca="1" si="51"/>
        <v>1216.5</v>
      </c>
      <c r="G1115" s="35">
        <f t="shared" ca="1" si="51"/>
        <v>79.166666666666671</v>
      </c>
      <c r="H1115" s="35">
        <f t="shared" ca="1" si="51"/>
        <v>600</v>
      </c>
      <c r="I1115" s="35">
        <f t="shared" ca="1" si="51"/>
        <v>695</v>
      </c>
      <c r="J1115" s="35">
        <f t="shared" ca="1" si="51"/>
        <v>33.333333333333336</v>
      </c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</row>
    <row r="1116" spans="1:20" ht="15">
      <c r="A1116" s="3">
        <f t="shared" si="50"/>
        <v>2081</v>
      </c>
      <c r="B1116" s="3">
        <f t="shared" si="52"/>
        <v>365</v>
      </c>
      <c r="C1116" s="35">
        <f t="shared" ca="1" si="51"/>
        <v>154.75825</v>
      </c>
      <c r="D1116" s="35">
        <f t="shared" ca="1" si="51"/>
        <v>281.0162499999999</v>
      </c>
      <c r="E1116" s="35">
        <f t="shared" ca="1" si="51"/>
        <v>780.7254999999999</v>
      </c>
      <c r="F1116" s="35">
        <f t="shared" ca="1" si="51"/>
        <v>1216.5</v>
      </c>
      <c r="G1116" s="35">
        <f t="shared" ca="1" si="51"/>
        <v>79.166666666666671</v>
      </c>
      <c r="H1116" s="35">
        <f t="shared" ca="1" si="51"/>
        <v>600</v>
      </c>
      <c r="I1116" s="35">
        <f t="shared" ca="1" si="51"/>
        <v>695</v>
      </c>
      <c r="J1116" s="35">
        <f t="shared" ca="1" si="51"/>
        <v>33.333333333333336</v>
      </c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</row>
    <row r="1117" spans="1:20" ht="15">
      <c r="A1117" s="3">
        <f t="shared" si="50"/>
        <v>2082</v>
      </c>
      <c r="B1117" s="3">
        <f t="shared" si="52"/>
        <v>365</v>
      </c>
      <c r="C1117" s="35">
        <f t="shared" ref="C1117:J1126" ca="1" si="53">AVERAGE(OFFSET(C$581,($A1117-$A$1097)*12,0,12,1))</f>
        <v>154.75825</v>
      </c>
      <c r="D1117" s="35">
        <f t="shared" ca="1" si="53"/>
        <v>281.0162499999999</v>
      </c>
      <c r="E1117" s="35">
        <f t="shared" ca="1" si="53"/>
        <v>780.7254999999999</v>
      </c>
      <c r="F1117" s="35">
        <f t="shared" ca="1" si="53"/>
        <v>1216.5</v>
      </c>
      <c r="G1117" s="35">
        <f t="shared" ca="1" si="53"/>
        <v>79.166666666666671</v>
      </c>
      <c r="H1117" s="35">
        <f t="shared" ca="1" si="53"/>
        <v>600</v>
      </c>
      <c r="I1117" s="35">
        <f t="shared" ca="1" si="53"/>
        <v>695</v>
      </c>
      <c r="J1117" s="35">
        <f t="shared" ca="1" si="53"/>
        <v>33.333333333333336</v>
      </c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</row>
    <row r="1118" spans="1:20" ht="15">
      <c r="A1118" s="3">
        <f t="shared" si="50"/>
        <v>2083</v>
      </c>
      <c r="B1118" s="3">
        <f t="shared" si="52"/>
        <v>365</v>
      </c>
      <c r="C1118" s="35">
        <f t="shared" ca="1" si="53"/>
        <v>154.75825</v>
      </c>
      <c r="D1118" s="35">
        <f t="shared" ca="1" si="53"/>
        <v>281.0162499999999</v>
      </c>
      <c r="E1118" s="35">
        <f t="shared" ca="1" si="53"/>
        <v>780.7254999999999</v>
      </c>
      <c r="F1118" s="35">
        <f t="shared" ca="1" si="53"/>
        <v>1216.5</v>
      </c>
      <c r="G1118" s="35">
        <f t="shared" ca="1" si="53"/>
        <v>79.166666666666671</v>
      </c>
      <c r="H1118" s="35">
        <f t="shared" ca="1" si="53"/>
        <v>600</v>
      </c>
      <c r="I1118" s="35">
        <f t="shared" ca="1" si="53"/>
        <v>695</v>
      </c>
      <c r="J1118" s="35">
        <f t="shared" ca="1" si="53"/>
        <v>33.333333333333336</v>
      </c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</row>
    <row r="1119" spans="1:20" ht="15">
      <c r="A1119" s="3">
        <f t="shared" si="50"/>
        <v>2084</v>
      </c>
      <c r="B1119" s="3">
        <f t="shared" si="52"/>
        <v>366</v>
      </c>
      <c r="C1119" s="35">
        <f t="shared" ca="1" si="53"/>
        <v>154.75825</v>
      </c>
      <c r="D1119" s="35">
        <f t="shared" ca="1" si="53"/>
        <v>281.0162499999999</v>
      </c>
      <c r="E1119" s="35">
        <f t="shared" ca="1" si="53"/>
        <v>780.7254999999999</v>
      </c>
      <c r="F1119" s="35">
        <f t="shared" ca="1" si="53"/>
        <v>1216.5</v>
      </c>
      <c r="G1119" s="35">
        <f t="shared" ca="1" si="53"/>
        <v>79.166666666666671</v>
      </c>
      <c r="H1119" s="35">
        <f t="shared" ca="1" si="53"/>
        <v>600</v>
      </c>
      <c r="I1119" s="35">
        <f t="shared" ca="1" si="53"/>
        <v>695</v>
      </c>
      <c r="J1119" s="35">
        <f t="shared" ca="1" si="53"/>
        <v>33.333333333333336</v>
      </c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</row>
    <row r="1120" spans="1:20" ht="15">
      <c r="A1120" s="3">
        <f t="shared" si="50"/>
        <v>2085</v>
      </c>
      <c r="B1120" s="3">
        <f t="shared" si="52"/>
        <v>365</v>
      </c>
      <c r="C1120" s="35">
        <f t="shared" ca="1" si="53"/>
        <v>154.75825</v>
      </c>
      <c r="D1120" s="35">
        <f t="shared" ca="1" si="53"/>
        <v>281.0162499999999</v>
      </c>
      <c r="E1120" s="35">
        <f t="shared" ca="1" si="53"/>
        <v>780.7254999999999</v>
      </c>
      <c r="F1120" s="35">
        <f t="shared" ca="1" si="53"/>
        <v>1216.5</v>
      </c>
      <c r="G1120" s="35">
        <f t="shared" ca="1" si="53"/>
        <v>79.166666666666671</v>
      </c>
      <c r="H1120" s="35">
        <f t="shared" ca="1" si="53"/>
        <v>600</v>
      </c>
      <c r="I1120" s="35">
        <f t="shared" ca="1" si="53"/>
        <v>695</v>
      </c>
      <c r="J1120" s="35">
        <f t="shared" ca="1" si="53"/>
        <v>33.333333333333336</v>
      </c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</row>
    <row r="1121" spans="1:20" ht="15">
      <c r="A1121" s="3">
        <f t="shared" si="50"/>
        <v>2086</v>
      </c>
      <c r="B1121" s="3">
        <f t="shared" si="52"/>
        <v>365</v>
      </c>
      <c r="C1121" s="35">
        <f t="shared" ca="1" si="53"/>
        <v>154.75825</v>
      </c>
      <c r="D1121" s="35">
        <f t="shared" ca="1" si="53"/>
        <v>281.0162499999999</v>
      </c>
      <c r="E1121" s="35">
        <f t="shared" ca="1" si="53"/>
        <v>780.7254999999999</v>
      </c>
      <c r="F1121" s="35">
        <f t="shared" ca="1" si="53"/>
        <v>1216.5</v>
      </c>
      <c r="G1121" s="35">
        <f t="shared" ca="1" si="53"/>
        <v>79.166666666666671</v>
      </c>
      <c r="H1121" s="35">
        <f t="shared" ca="1" si="53"/>
        <v>600</v>
      </c>
      <c r="I1121" s="35">
        <f t="shared" ca="1" si="53"/>
        <v>695</v>
      </c>
      <c r="J1121" s="35">
        <f t="shared" ca="1" si="53"/>
        <v>33.333333333333336</v>
      </c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</row>
    <row r="1122" spans="1:20" ht="15">
      <c r="A1122" s="3">
        <f t="shared" si="50"/>
        <v>2087</v>
      </c>
      <c r="B1122" s="3">
        <f t="shared" si="52"/>
        <v>365</v>
      </c>
      <c r="C1122" s="35">
        <f t="shared" ca="1" si="53"/>
        <v>154.75825</v>
      </c>
      <c r="D1122" s="35">
        <f t="shared" ca="1" si="53"/>
        <v>281.0162499999999</v>
      </c>
      <c r="E1122" s="35">
        <f t="shared" ca="1" si="53"/>
        <v>780.7254999999999</v>
      </c>
      <c r="F1122" s="35">
        <f t="shared" ca="1" si="53"/>
        <v>1216.5</v>
      </c>
      <c r="G1122" s="35">
        <f t="shared" ca="1" si="53"/>
        <v>79.166666666666671</v>
      </c>
      <c r="H1122" s="35">
        <f t="shared" ca="1" si="53"/>
        <v>600</v>
      </c>
      <c r="I1122" s="35">
        <f t="shared" ca="1" si="53"/>
        <v>695</v>
      </c>
      <c r="J1122" s="35">
        <f t="shared" ca="1" si="53"/>
        <v>33.333333333333336</v>
      </c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</row>
    <row r="1123" spans="1:20" ht="15">
      <c r="A1123" s="3">
        <f t="shared" si="50"/>
        <v>2088</v>
      </c>
      <c r="B1123" s="3">
        <f t="shared" si="52"/>
        <v>366</v>
      </c>
      <c r="C1123" s="35">
        <f t="shared" ca="1" si="53"/>
        <v>154.75825</v>
      </c>
      <c r="D1123" s="35">
        <f t="shared" ca="1" si="53"/>
        <v>281.0162499999999</v>
      </c>
      <c r="E1123" s="35">
        <f t="shared" ca="1" si="53"/>
        <v>780.7254999999999</v>
      </c>
      <c r="F1123" s="35">
        <f t="shared" ca="1" si="53"/>
        <v>1216.5</v>
      </c>
      <c r="G1123" s="35">
        <f t="shared" ca="1" si="53"/>
        <v>79.166666666666671</v>
      </c>
      <c r="H1123" s="35">
        <f t="shared" ca="1" si="53"/>
        <v>600</v>
      </c>
      <c r="I1123" s="35">
        <f t="shared" ca="1" si="53"/>
        <v>695</v>
      </c>
      <c r="J1123" s="35">
        <f t="shared" ca="1" si="53"/>
        <v>33.333333333333336</v>
      </c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</row>
    <row r="1124" spans="1:20" ht="15">
      <c r="A1124" s="3">
        <f t="shared" si="50"/>
        <v>2089</v>
      </c>
      <c r="B1124" s="3">
        <f t="shared" si="52"/>
        <v>365</v>
      </c>
      <c r="C1124" s="35">
        <f t="shared" ca="1" si="53"/>
        <v>154.75825</v>
      </c>
      <c r="D1124" s="35">
        <f t="shared" ca="1" si="53"/>
        <v>281.0162499999999</v>
      </c>
      <c r="E1124" s="35">
        <f t="shared" ca="1" si="53"/>
        <v>780.7254999999999</v>
      </c>
      <c r="F1124" s="35">
        <f t="shared" ca="1" si="53"/>
        <v>1216.5</v>
      </c>
      <c r="G1124" s="35">
        <f t="shared" ca="1" si="53"/>
        <v>79.166666666666671</v>
      </c>
      <c r="H1124" s="35">
        <f t="shared" ca="1" si="53"/>
        <v>600</v>
      </c>
      <c r="I1124" s="35">
        <f t="shared" ca="1" si="53"/>
        <v>695</v>
      </c>
      <c r="J1124" s="35">
        <f t="shared" ca="1" si="53"/>
        <v>33.333333333333336</v>
      </c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</row>
    <row r="1125" spans="1:20" ht="15">
      <c r="A1125" s="3">
        <f t="shared" si="50"/>
        <v>2090</v>
      </c>
      <c r="B1125" s="3">
        <f t="shared" si="52"/>
        <v>365</v>
      </c>
      <c r="C1125" s="35">
        <f t="shared" ca="1" si="53"/>
        <v>154.75825</v>
      </c>
      <c r="D1125" s="35">
        <f t="shared" ca="1" si="53"/>
        <v>281.0162499999999</v>
      </c>
      <c r="E1125" s="35">
        <f t="shared" ca="1" si="53"/>
        <v>780.7254999999999</v>
      </c>
      <c r="F1125" s="35">
        <f t="shared" ca="1" si="53"/>
        <v>1216.5</v>
      </c>
      <c r="G1125" s="35">
        <f t="shared" ca="1" si="53"/>
        <v>79.166666666666671</v>
      </c>
      <c r="H1125" s="35">
        <f t="shared" ca="1" si="53"/>
        <v>600</v>
      </c>
      <c r="I1125" s="35">
        <f t="shared" ca="1" si="53"/>
        <v>695</v>
      </c>
      <c r="J1125" s="35">
        <f t="shared" ca="1" si="53"/>
        <v>33.333333333333336</v>
      </c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</row>
    <row r="1126" spans="1:20" ht="15">
      <c r="A1126" s="3">
        <f t="shared" si="50"/>
        <v>2091</v>
      </c>
      <c r="B1126" s="3">
        <f t="shared" si="52"/>
        <v>365</v>
      </c>
      <c r="C1126" s="35">
        <f t="shared" ca="1" si="53"/>
        <v>154.75825</v>
      </c>
      <c r="D1126" s="35">
        <f t="shared" ca="1" si="53"/>
        <v>281.0162499999999</v>
      </c>
      <c r="E1126" s="35">
        <f t="shared" ca="1" si="53"/>
        <v>780.7254999999999</v>
      </c>
      <c r="F1126" s="35">
        <f t="shared" ca="1" si="53"/>
        <v>1216.5</v>
      </c>
      <c r="G1126" s="35">
        <f t="shared" ca="1" si="53"/>
        <v>79.166666666666671</v>
      </c>
      <c r="H1126" s="35">
        <f t="shared" ca="1" si="53"/>
        <v>600</v>
      </c>
      <c r="I1126" s="35">
        <f t="shared" ca="1" si="53"/>
        <v>695</v>
      </c>
      <c r="J1126" s="35">
        <f t="shared" ca="1" si="53"/>
        <v>33.333333333333336</v>
      </c>
    </row>
    <row r="1127" spans="1:20" ht="15">
      <c r="A1127" s="3">
        <f t="shared" si="50"/>
        <v>2092</v>
      </c>
      <c r="B1127" s="3">
        <f t="shared" si="52"/>
        <v>366</v>
      </c>
      <c r="C1127" s="35">
        <f t="shared" ref="C1127:J1135" ca="1" si="54">AVERAGE(OFFSET(C$581,($A1127-$A$1097)*12,0,12,1))</f>
        <v>154.75825</v>
      </c>
      <c r="D1127" s="35">
        <f t="shared" ca="1" si="54"/>
        <v>281.0162499999999</v>
      </c>
      <c r="E1127" s="35">
        <f t="shared" ca="1" si="54"/>
        <v>780.7254999999999</v>
      </c>
      <c r="F1127" s="35">
        <f t="shared" ca="1" si="54"/>
        <v>1216.5</v>
      </c>
      <c r="G1127" s="35">
        <f t="shared" ca="1" si="54"/>
        <v>79.166666666666671</v>
      </c>
      <c r="H1127" s="35">
        <f t="shared" ca="1" si="54"/>
        <v>600</v>
      </c>
      <c r="I1127" s="35">
        <f t="shared" ca="1" si="54"/>
        <v>695</v>
      </c>
      <c r="J1127" s="35">
        <f t="shared" ca="1" si="54"/>
        <v>33.333333333333336</v>
      </c>
    </row>
    <row r="1128" spans="1:20" ht="15">
      <c r="A1128" s="3">
        <f t="shared" si="50"/>
        <v>2093</v>
      </c>
      <c r="B1128" s="3">
        <f t="shared" si="52"/>
        <v>365</v>
      </c>
      <c r="C1128" s="35">
        <f t="shared" ca="1" si="54"/>
        <v>154.75825</v>
      </c>
      <c r="D1128" s="35">
        <f t="shared" ca="1" si="54"/>
        <v>281.0162499999999</v>
      </c>
      <c r="E1128" s="35">
        <f t="shared" ca="1" si="54"/>
        <v>780.7254999999999</v>
      </c>
      <c r="F1128" s="35">
        <f t="shared" ca="1" si="54"/>
        <v>1216.5</v>
      </c>
      <c r="G1128" s="35">
        <f t="shared" ca="1" si="54"/>
        <v>79.166666666666671</v>
      </c>
      <c r="H1128" s="35">
        <f t="shared" ca="1" si="54"/>
        <v>600</v>
      </c>
      <c r="I1128" s="35">
        <f t="shared" ca="1" si="54"/>
        <v>695</v>
      </c>
      <c r="J1128" s="35">
        <f t="shared" ca="1" si="54"/>
        <v>33.333333333333336</v>
      </c>
    </row>
    <row r="1129" spans="1:20" ht="15">
      <c r="A1129" s="3">
        <f t="shared" si="50"/>
        <v>2094</v>
      </c>
      <c r="B1129" s="3">
        <f t="shared" si="52"/>
        <v>365</v>
      </c>
      <c r="C1129" s="35">
        <f t="shared" ca="1" si="54"/>
        <v>154.75825</v>
      </c>
      <c r="D1129" s="35">
        <f t="shared" ca="1" si="54"/>
        <v>281.0162499999999</v>
      </c>
      <c r="E1129" s="35">
        <f t="shared" ca="1" si="54"/>
        <v>780.7254999999999</v>
      </c>
      <c r="F1129" s="35">
        <f t="shared" ca="1" si="54"/>
        <v>1216.5</v>
      </c>
      <c r="G1129" s="35">
        <f t="shared" ca="1" si="54"/>
        <v>79.166666666666671</v>
      </c>
      <c r="H1129" s="35">
        <f t="shared" ca="1" si="54"/>
        <v>600</v>
      </c>
      <c r="I1129" s="35">
        <f t="shared" ca="1" si="54"/>
        <v>695</v>
      </c>
      <c r="J1129" s="35">
        <f t="shared" ca="1" si="54"/>
        <v>33.333333333333336</v>
      </c>
    </row>
    <row r="1130" spans="1:20" ht="15">
      <c r="A1130" s="3">
        <f t="shared" si="50"/>
        <v>2095</v>
      </c>
      <c r="B1130" s="3">
        <f t="shared" si="52"/>
        <v>365</v>
      </c>
      <c r="C1130" s="35">
        <f t="shared" ca="1" si="54"/>
        <v>154.75825</v>
      </c>
      <c r="D1130" s="35">
        <f t="shared" ca="1" si="54"/>
        <v>281.0162499999999</v>
      </c>
      <c r="E1130" s="35">
        <f t="shared" ca="1" si="54"/>
        <v>780.7254999999999</v>
      </c>
      <c r="F1130" s="35">
        <f t="shared" ca="1" si="54"/>
        <v>1216.5</v>
      </c>
      <c r="G1130" s="35">
        <f t="shared" ca="1" si="54"/>
        <v>79.166666666666671</v>
      </c>
      <c r="H1130" s="35">
        <f t="shared" ca="1" si="54"/>
        <v>600</v>
      </c>
      <c r="I1130" s="35">
        <f t="shared" ca="1" si="54"/>
        <v>695</v>
      </c>
      <c r="J1130" s="35">
        <f t="shared" ca="1" si="54"/>
        <v>33.333333333333336</v>
      </c>
    </row>
    <row r="1131" spans="1:20" ht="15">
      <c r="A1131" s="3">
        <f t="shared" si="50"/>
        <v>2096</v>
      </c>
      <c r="B1131" s="3">
        <f t="shared" si="52"/>
        <v>366</v>
      </c>
      <c r="C1131" s="35">
        <f t="shared" ca="1" si="54"/>
        <v>154.75825</v>
      </c>
      <c r="D1131" s="35">
        <f t="shared" ca="1" si="54"/>
        <v>281.0162499999999</v>
      </c>
      <c r="E1131" s="35">
        <f t="shared" ca="1" si="54"/>
        <v>780.7254999999999</v>
      </c>
      <c r="F1131" s="35">
        <f t="shared" ca="1" si="54"/>
        <v>1216.5</v>
      </c>
      <c r="G1131" s="35">
        <f t="shared" ca="1" si="54"/>
        <v>79.166666666666671</v>
      </c>
      <c r="H1131" s="35">
        <f t="shared" ca="1" si="54"/>
        <v>600</v>
      </c>
      <c r="I1131" s="35">
        <f t="shared" ca="1" si="54"/>
        <v>695</v>
      </c>
      <c r="J1131" s="35">
        <f t="shared" ca="1" si="54"/>
        <v>33.333333333333336</v>
      </c>
    </row>
    <row r="1132" spans="1:20" ht="15">
      <c r="A1132" s="3">
        <f t="shared" si="50"/>
        <v>2097</v>
      </c>
      <c r="B1132" s="3">
        <f t="shared" si="52"/>
        <v>365</v>
      </c>
      <c r="C1132" s="35">
        <f t="shared" ca="1" si="54"/>
        <v>154.75825</v>
      </c>
      <c r="D1132" s="35">
        <f t="shared" ca="1" si="54"/>
        <v>281.0162499999999</v>
      </c>
      <c r="E1132" s="35">
        <f t="shared" ca="1" si="54"/>
        <v>780.7254999999999</v>
      </c>
      <c r="F1132" s="35">
        <f t="shared" ca="1" si="54"/>
        <v>1216.5</v>
      </c>
      <c r="G1132" s="35">
        <f t="shared" ca="1" si="54"/>
        <v>79.166666666666671</v>
      </c>
      <c r="H1132" s="35">
        <f t="shared" ca="1" si="54"/>
        <v>600</v>
      </c>
      <c r="I1132" s="35">
        <f t="shared" ca="1" si="54"/>
        <v>695</v>
      </c>
      <c r="J1132" s="35">
        <f t="shared" ca="1" si="54"/>
        <v>33.333333333333336</v>
      </c>
    </row>
    <row r="1133" spans="1:20" ht="15">
      <c r="A1133" s="3">
        <f t="shared" si="50"/>
        <v>2098</v>
      </c>
      <c r="B1133" s="3">
        <f t="shared" si="52"/>
        <v>365</v>
      </c>
      <c r="C1133" s="35">
        <f t="shared" ca="1" si="54"/>
        <v>154.75825</v>
      </c>
      <c r="D1133" s="35">
        <f t="shared" ca="1" si="54"/>
        <v>281.0162499999999</v>
      </c>
      <c r="E1133" s="35">
        <f t="shared" ca="1" si="54"/>
        <v>780.7254999999999</v>
      </c>
      <c r="F1133" s="35">
        <f t="shared" ca="1" si="54"/>
        <v>1216.5</v>
      </c>
      <c r="G1133" s="35">
        <f t="shared" ca="1" si="54"/>
        <v>79.166666666666671</v>
      </c>
      <c r="H1133" s="35">
        <f t="shared" ca="1" si="54"/>
        <v>600</v>
      </c>
      <c r="I1133" s="35">
        <f t="shared" ca="1" si="54"/>
        <v>695</v>
      </c>
      <c r="J1133" s="35">
        <f t="shared" ca="1" si="54"/>
        <v>33.333333333333336</v>
      </c>
    </row>
    <row r="1134" spans="1:20" ht="15">
      <c r="A1134" s="3">
        <f t="shared" si="50"/>
        <v>2099</v>
      </c>
      <c r="B1134" s="3">
        <f t="shared" si="52"/>
        <v>365</v>
      </c>
      <c r="C1134" s="35">
        <f t="shared" ca="1" si="54"/>
        <v>154.75825</v>
      </c>
      <c r="D1134" s="35">
        <f t="shared" ca="1" si="54"/>
        <v>281.0162499999999</v>
      </c>
      <c r="E1134" s="35">
        <f t="shared" ca="1" si="54"/>
        <v>780.7254999999999</v>
      </c>
      <c r="F1134" s="35">
        <f t="shared" ca="1" si="54"/>
        <v>1216.5</v>
      </c>
      <c r="G1134" s="35">
        <f t="shared" ca="1" si="54"/>
        <v>79.166666666666671</v>
      </c>
      <c r="H1134" s="35">
        <f t="shared" ca="1" si="54"/>
        <v>600</v>
      </c>
      <c r="I1134" s="35">
        <f t="shared" ca="1" si="54"/>
        <v>695</v>
      </c>
      <c r="J1134" s="35">
        <f t="shared" ca="1" si="54"/>
        <v>33.333333333333336</v>
      </c>
    </row>
    <row r="1135" spans="1:20" ht="15">
      <c r="A1135" s="3">
        <f t="shared" si="50"/>
        <v>2100</v>
      </c>
      <c r="B1135" s="3">
        <f t="shared" si="52"/>
        <v>365</v>
      </c>
      <c r="C1135" s="35">
        <f t="shared" ca="1" si="54"/>
        <v>154.75825</v>
      </c>
      <c r="D1135" s="35">
        <f t="shared" ca="1" si="54"/>
        <v>281.0162499999999</v>
      </c>
      <c r="E1135" s="35">
        <f t="shared" ca="1" si="54"/>
        <v>780.7254999999999</v>
      </c>
      <c r="F1135" s="35">
        <f t="shared" ca="1" si="54"/>
        <v>1216.5</v>
      </c>
      <c r="G1135" s="35">
        <f t="shared" ca="1" si="54"/>
        <v>79.166666666666671</v>
      </c>
      <c r="H1135" s="35">
        <f t="shared" ca="1" si="54"/>
        <v>600</v>
      </c>
      <c r="I1135" s="35">
        <f t="shared" ca="1" si="54"/>
        <v>695</v>
      </c>
      <c r="J1135" s="35">
        <f t="shared" ca="1" si="54"/>
        <v>33.333333333333336</v>
      </c>
    </row>
    <row r="1136" spans="1:20">
      <c r="A1136" s="32"/>
      <c r="B1136" s="32"/>
      <c r="C1136" s="34"/>
      <c r="D1136" s="34"/>
      <c r="E1136" s="34"/>
      <c r="F1136" s="34"/>
      <c r="G1136" s="34"/>
    </row>
    <row r="1137" spans="1:2">
      <c r="A1137" s="32"/>
      <c r="B1137" s="32"/>
    </row>
    <row r="1138" spans="1:2">
      <c r="A1138" s="32"/>
      <c r="B1138" s="32"/>
    </row>
    <row r="1139" spans="1:2">
      <c r="A1139" s="32"/>
      <c r="B1139" s="32"/>
    </row>
    <row r="1140" spans="1:2">
      <c r="A1140" s="32"/>
      <c r="B1140" s="32"/>
    </row>
    <row r="1141" spans="1:2">
      <c r="A1141" s="32"/>
      <c r="B1141" s="32"/>
    </row>
    <row r="1142" spans="1:2">
      <c r="A1142" s="32"/>
      <c r="B1142" s="32"/>
    </row>
    <row r="1143" spans="1:2">
      <c r="A1143" s="32"/>
      <c r="B1143" s="32"/>
    </row>
    <row r="1144" spans="1:2">
      <c r="A1144" s="32"/>
      <c r="B1144" s="32"/>
    </row>
    <row r="1145" spans="1:2">
      <c r="A1145" s="32"/>
      <c r="B1145" s="32"/>
    </row>
    <row r="1146" spans="1:2">
      <c r="A1146" s="32"/>
      <c r="B1146" s="32"/>
    </row>
    <row r="1147" spans="1:2">
      <c r="A1147" s="32"/>
      <c r="B1147" s="32"/>
    </row>
    <row r="1148" spans="1:2">
      <c r="A1148" s="32"/>
      <c r="B1148" s="32"/>
    </row>
    <row r="1149" spans="1:2">
      <c r="A1149" s="32"/>
      <c r="B1149" s="32"/>
    </row>
    <row r="1150" spans="1:2">
      <c r="A1150" s="32"/>
      <c r="B1150" s="32"/>
    </row>
    <row r="1151" spans="1:2">
      <c r="A1151" s="32"/>
      <c r="B1151" s="32"/>
    </row>
    <row r="1152" spans="1:2">
      <c r="A1152" s="32"/>
      <c r="B1152" s="32"/>
    </row>
    <row r="1153" spans="1:2">
      <c r="A1153" s="32"/>
      <c r="B1153" s="32"/>
    </row>
    <row r="1154" spans="1:2">
      <c r="A1154" s="32"/>
      <c r="B1154" s="32"/>
    </row>
    <row r="1155" spans="1:2">
      <c r="A1155" s="32"/>
      <c r="B1155" s="32"/>
    </row>
  </sheetData>
  <mergeCells count="1">
    <mergeCell ref="C14:E14"/>
  </mergeCells>
  <pageMargins left="0.25" right="0.25" top="0.5" bottom="0.5" header="0.25" footer="0.25"/>
  <pageSetup scale="75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55"/>
  <sheetViews>
    <sheetView zoomScale="70" zoomScaleNormal="70" workbookViewId="0">
      <pane xSplit="1" ySplit="16" topLeftCell="B17" activePane="bottomRight" state="frozen"/>
      <selection activeCell="K30" sqref="K30"/>
      <selection pane="topRight" activeCell="K30" sqref="K30"/>
      <selection pane="bottomLeft" activeCell="K30" sqref="K30"/>
      <selection pane="bottomRight" activeCell="B17" sqref="B17"/>
    </sheetView>
  </sheetViews>
  <sheetFormatPr defaultColWidth="7.109375" defaultRowHeight="12.75"/>
  <cols>
    <col min="1" max="1" width="7.5546875" style="33" bestFit="1" customWidth="1"/>
    <col min="2" max="2" width="10" style="33" customWidth="1"/>
    <col min="3" max="3" width="12" style="33" customWidth="1"/>
    <col min="4" max="4" width="12.109375" style="33" bestFit="1" customWidth="1"/>
    <col min="5" max="5" width="8.44140625" style="33" bestFit="1" customWidth="1"/>
    <col min="6" max="16384" width="7.109375" style="32"/>
  </cols>
  <sheetData>
    <row r="1" spans="1:7" ht="15.75">
      <c r="A1" s="84" t="s">
        <v>64</v>
      </c>
    </row>
    <row r="2" spans="1:7" ht="15.75">
      <c r="A2" s="84" t="s">
        <v>65</v>
      </c>
    </row>
    <row r="3" spans="1:7" ht="15.75">
      <c r="A3" s="84" t="s">
        <v>66</v>
      </c>
    </row>
    <row r="4" spans="1:7" ht="15.75">
      <c r="A4" s="84" t="s">
        <v>67</v>
      </c>
    </row>
    <row r="5" spans="1:7" ht="15.75">
      <c r="A5" s="84" t="s">
        <v>69</v>
      </c>
    </row>
    <row r="6" spans="1:7" ht="15.75">
      <c r="A6" s="84" t="s">
        <v>71</v>
      </c>
    </row>
    <row r="8" spans="1:7" ht="20.25">
      <c r="A8" s="31" t="s">
        <v>43</v>
      </c>
    </row>
    <row r="9" spans="1:7" ht="15" customHeight="1">
      <c r="A9" s="57" t="s">
        <v>25</v>
      </c>
    </row>
    <row r="10" spans="1:7" ht="15" customHeight="1">
      <c r="A10" s="62"/>
      <c r="F10" s="60"/>
      <c r="G10" s="60"/>
    </row>
    <row r="11" spans="1:7" ht="15" customHeight="1">
      <c r="A11" s="62"/>
      <c r="B11" s="61"/>
      <c r="C11" s="61"/>
      <c r="D11" s="61"/>
      <c r="E11" s="61"/>
      <c r="F11" s="60"/>
      <c r="G11" s="60"/>
    </row>
    <row r="12" spans="1:7" ht="15" customHeight="1"/>
    <row r="13" spans="1:7" ht="15" customHeight="1">
      <c r="B13" s="59" t="s">
        <v>24</v>
      </c>
      <c r="C13" s="58">
        <f>1-0.261</f>
        <v>0.73899999999999999</v>
      </c>
      <c r="D13" s="59" t="s">
        <v>23</v>
      </c>
      <c r="E13" s="58">
        <f>1+0.261</f>
        <v>1.2610000000000001</v>
      </c>
    </row>
    <row r="14" spans="1:7" ht="15" customHeight="1">
      <c r="A14" s="57"/>
      <c r="B14" s="87" t="s">
        <v>42</v>
      </c>
      <c r="C14" s="87"/>
      <c r="D14" s="56" t="s">
        <v>41</v>
      </c>
      <c r="E14" s="51"/>
    </row>
    <row r="15" spans="1:7" s="54" customFormat="1" ht="63">
      <c r="B15" s="55" t="s">
        <v>40</v>
      </c>
      <c r="C15" s="55" t="s">
        <v>39</v>
      </c>
      <c r="D15" s="55" t="s">
        <v>38</v>
      </c>
      <c r="E15" s="23" t="s">
        <v>37</v>
      </c>
    </row>
    <row r="16" spans="1:7" s="54" customFormat="1" ht="21" customHeight="1">
      <c r="A16" s="20" t="s">
        <v>2</v>
      </c>
      <c r="B16" s="46" t="s">
        <v>1</v>
      </c>
      <c r="C16" s="46" t="s">
        <v>1</v>
      </c>
      <c r="D16" s="46" t="s">
        <v>1</v>
      </c>
      <c r="E16" s="20" t="s">
        <v>36</v>
      </c>
    </row>
    <row r="17" spans="1:5" ht="15">
      <c r="A17" s="13">
        <v>42005</v>
      </c>
      <c r="B17" s="4">
        <f>8.0406 * CHOOSE(CONTROL!$C$9, $C$13, 100%, $E$13) + CHOOSE(CONTROL!$C$28, 0.0211, 0)</f>
        <v>8.0617000000000001</v>
      </c>
      <c r="C17" s="4">
        <f>7.6773 * CHOOSE(CONTROL!$C$9, $C$13, 100%, $E$13) + CHOOSE(CONTROL!$C$28, 0.0211, 0)</f>
        <v>7.6983999999999995</v>
      </c>
      <c r="D17" s="4">
        <f>15.1549 * CHOOSE(CONTROL!$C$9, $C$13, 100%, $E$13) + CHOOSE(CONTROL!$C$28, 0.0021, 0)</f>
        <v>15.157</v>
      </c>
      <c r="E17" s="4">
        <f>56.52 * CHOOSE(CONTROL!$C$9, $C$13, 100%, $E$13) + CHOOSE(CONTROL!$C$28, 0.0021, 0)</f>
        <v>56.522100000000002</v>
      </c>
    </row>
    <row r="18" spans="1:5" ht="15">
      <c r="A18" s="13">
        <v>42036</v>
      </c>
      <c r="B18" s="4">
        <f>9.525 * CHOOSE(CONTROL!$C$9, $C$13, 100%, $E$13) + CHOOSE(CONTROL!$C$28, 0.0211, 0)</f>
        <v>9.5461000000000009</v>
      </c>
      <c r="C18" s="4">
        <f>9.1617 * CHOOSE(CONTROL!$C$9, $C$13, 100%, $E$13) + CHOOSE(CONTROL!$C$28, 0.0211, 0)</f>
        <v>9.1828000000000003</v>
      </c>
      <c r="D18" s="4">
        <f>14.0001 * CHOOSE(CONTROL!$C$9, $C$13, 100%, $E$13) + CHOOSE(CONTROL!$C$28, 0.0021, 0)</f>
        <v>14.0022</v>
      </c>
      <c r="E18" s="4">
        <f>46.39 * CHOOSE(CONTROL!$C$9, $C$13, 100%, $E$13) + CHOOSE(CONTROL!$C$28, 0.0021, 0)</f>
        <v>46.392099999999999</v>
      </c>
    </row>
    <row r="19" spans="1:5" ht="15">
      <c r="A19" s="13">
        <v>42064</v>
      </c>
      <c r="B19" s="4">
        <f>9.3391 * CHOOSE(CONTROL!$C$9, $C$13, 100%, $E$13) + CHOOSE(CONTROL!$C$28, 0.0211, 0)</f>
        <v>9.3602000000000007</v>
      </c>
      <c r="C19" s="4">
        <f>8.9758 * CHOOSE(CONTROL!$C$9, $C$13, 100%, $E$13) + CHOOSE(CONTROL!$C$28, 0.0211, 0)</f>
        <v>8.9969000000000001</v>
      </c>
      <c r="D19" s="4">
        <f>18.4133 * CHOOSE(CONTROL!$C$9, $C$13, 100%, $E$13) + CHOOSE(CONTROL!$C$28, 0.0021, 0)</f>
        <v>18.415399999999998</v>
      </c>
      <c r="E19" s="4">
        <f>50.34 * CHOOSE(CONTROL!$C$9, $C$13, 100%, $E$13) + CHOOSE(CONTROL!$C$28, 0.0021, 0)</f>
        <v>50.342100000000002</v>
      </c>
    </row>
    <row r="20" spans="1:5" ht="15">
      <c r="A20" s="13">
        <v>42095</v>
      </c>
      <c r="B20" s="4">
        <f>9.2734 * CHOOSE(CONTROL!$C$9, $C$13, 100%, $E$13) + CHOOSE(CONTROL!$C$28, 0.0211, 0)</f>
        <v>9.2945000000000011</v>
      </c>
      <c r="C20" s="4">
        <f>8.9102 * CHOOSE(CONTROL!$C$9, $C$13, 100%, $E$13) + CHOOSE(CONTROL!$C$28, 0.0211, 0)</f>
        <v>8.9313000000000002</v>
      </c>
      <c r="D20" s="4">
        <f>15.4481 * CHOOSE(CONTROL!$C$9, $C$13, 100%, $E$13) + CHOOSE(CONTROL!$C$28, 0.0021, 0)</f>
        <v>15.450200000000001</v>
      </c>
      <c r="E20" s="4">
        <f>49.59 * CHOOSE(CONTROL!$C$9, $C$13, 100%, $E$13) + CHOOSE(CONTROL!$C$28, 0.0021, 0)</f>
        <v>49.592100000000002</v>
      </c>
    </row>
    <row r="21" spans="1:5" ht="15">
      <c r="A21" s="13">
        <v>42125</v>
      </c>
      <c r="B21" s="4">
        <f>9.3047 * CHOOSE(CONTROL!$C$9, $C$13, 100%, $E$13) + CHOOSE(CONTROL!$C$28, 0.0415, 0)</f>
        <v>9.3461999999999996</v>
      </c>
      <c r="C21" s="4">
        <f>8.9414 * CHOOSE(CONTROL!$C$9, $C$13, 100%, $E$13) + CHOOSE(CONTROL!$C$28, 0.0415, 0)</f>
        <v>8.982899999999999</v>
      </c>
      <c r="D21" s="4">
        <f>15.2327 * CHOOSE(CONTROL!$C$9, $C$13, 100%, $E$13) + CHOOSE(CONTROL!$C$28, 0.0021, 0)</f>
        <v>15.2348</v>
      </c>
      <c r="E21" s="4">
        <f>51.52 * CHOOSE(CONTROL!$C$9, $C$13, 100%, $E$13) + CHOOSE(CONTROL!$C$28, 0.0021, 0)</f>
        <v>51.522100000000002</v>
      </c>
    </row>
    <row r="22" spans="1:5" ht="15">
      <c r="A22" s="13">
        <v>42156</v>
      </c>
      <c r="B22" s="4">
        <f>9.3516 * CHOOSE(CONTROL!$C$9, $C$13, 100%, $E$13) + CHOOSE(CONTROL!$C$28, 0.0415, 0)</f>
        <v>9.3930999999999987</v>
      </c>
      <c r="C22" s="4">
        <f>8.9883 * CHOOSE(CONTROL!$C$9, $C$13, 100%, $E$13) + CHOOSE(CONTROL!$C$28, 0.0415, 0)</f>
        <v>9.0297999999999998</v>
      </c>
      <c r="D22" s="4">
        <f>15.2435 * CHOOSE(CONTROL!$C$9, $C$13, 100%, $E$13) + CHOOSE(CONTROL!$C$28, 0.0021, 0)</f>
        <v>15.2456</v>
      </c>
      <c r="E22" s="4">
        <f>52.98 * CHOOSE(CONTROL!$C$9, $C$13, 100%, $E$13) + CHOOSE(CONTROL!$C$28, 0.0021, 0)</f>
        <v>52.982099999999996</v>
      </c>
    </row>
    <row r="23" spans="1:5" ht="15">
      <c r="A23" s="13">
        <v>42186</v>
      </c>
      <c r="B23" s="4">
        <f>9.3984 * CHOOSE(CONTROL!$C$9, $C$13, 100%, $E$13) + CHOOSE(CONTROL!$C$28, 0.0415, 0)</f>
        <v>9.4398999999999997</v>
      </c>
      <c r="C23" s="4">
        <f>9.0352 * CHOOSE(CONTROL!$C$9, $C$13, 100%, $E$13) + CHOOSE(CONTROL!$C$28, 0.0415, 0)</f>
        <v>9.0766999999999989</v>
      </c>
      <c r="D23" s="4">
        <f>15.3141 * CHOOSE(CONTROL!$C$9, $C$13, 100%, $E$13) + CHOOSE(CONTROL!$C$28, 0.0021, 0)</f>
        <v>15.3162</v>
      </c>
      <c r="E23" s="4">
        <f>54.4 * CHOOSE(CONTROL!$C$9, $C$13, 100%, $E$13) + CHOOSE(CONTROL!$C$28, 0.0021, 0)</f>
        <v>54.402099999999997</v>
      </c>
    </row>
    <row r="24" spans="1:5" ht="15">
      <c r="A24" s="13">
        <v>42217</v>
      </c>
      <c r="B24" s="4">
        <f>9.4453 * CHOOSE(CONTROL!$C$9, $C$13, 100%, $E$13) + CHOOSE(CONTROL!$C$28, 0.0415, 0)</f>
        <v>9.4867999999999988</v>
      </c>
      <c r="C24" s="4">
        <f>9.082 * CHOOSE(CONTROL!$C$9, $C$13, 100%, $E$13) + CHOOSE(CONTROL!$C$28, 0.0415, 0)</f>
        <v>9.1234999999999999</v>
      </c>
      <c r="D24" s="4">
        <f>15.4114 * CHOOSE(CONTROL!$C$9, $C$13, 100%, $E$13) + CHOOSE(CONTROL!$C$28, 0.0021, 0)</f>
        <v>15.413500000000001</v>
      </c>
      <c r="E24" s="4">
        <f>55.68 * CHOOSE(CONTROL!$C$9, $C$13, 100%, $E$13) + CHOOSE(CONTROL!$C$28, 0.0021, 0)</f>
        <v>55.682099999999998</v>
      </c>
    </row>
    <row r="25" spans="1:5" ht="15">
      <c r="A25" s="13">
        <v>42248</v>
      </c>
      <c r="B25" s="4">
        <f>9.4922 * CHOOSE(CONTROL!$C$9, $C$13, 100%, $E$13) + CHOOSE(CONTROL!$C$28, 0.0415, 0)</f>
        <v>9.5336999999999996</v>
      </c>
      <c r="C25" s="4">
        <f>9.1289 * CHOOSE(CONTROL!$C$9, $C$13, 100%, $E$13) + CHOOSE(CONTROL!$C$28, 0.0415, 0)</f>
        <v>9.170399999999999</v>
      </c>
      <c r="D25" s="4">
        <f>15.5504 * CHOOSE(CONTROL!$C$9, $C$13, 100%, $E$13) + CHOOSE(CONTROL!$C$28, 0.0021, 0)</f>
        <v>15.5525</v>
      </c>
      <c r="E25" s="4">
        <f>56.74 * CHOOSE(CONTROL!$C$9, $C$13, 100%, $E$13) + CHOOSE(CONTROL!$C$28, 0.0021, 0)</f>
        <v>56.742100000000001</v>
      </c>
    </row>
    <row r="26" spans="1:5" ht="15">
      <c r="A26" s="13">
        <v>42278</v>
      </c>
      <c r="B26" s="4">
        <f>9.5469 * CHOOSE(CONTROL!$C$9, $C$13, 100%, $E$13) + CHOOSE(CONTROL!$C$28, 0.0211, 0)</f>
        <v>9.5680000000000014</v>
      </c>
      <c r="C26" s="4">
        <f>9.1836 * CHOOSE(CONTROL!$C$9, $C$13, 100%, $E$13) + CHOOSE(CONTROL!$C$28, 0.0211, 0)</f>
        <v>9.2047000000000008</v>
      </c>
      <c r="D26" s="4">
        <f>15.7096 * CHOOSE(CONTROL!$C$9, $C$13, 100%, $E$13) + CHOOSE(CONTROL!$C$28, 0.0021, 0)</f>
        <v>15.7117</v>
      </c>
      <c r="E26" s="4">
        <f>57.54 * CHOOSE(CONTROL!$C$9, $C$13, 100%, $E$13) + CHOOSE(CONTROL!$C$28, 0.0021, 0)</f>
        <v>57.542099999999998</v>
      </c>
    </row>
    <row r="27" spans="1:5" ht="15">
      <c r="A27" s="13">
        <v>42309</v>
      </c>
      <c r="B27" s="4">
        <f>9.6016 * CHOOSE(CONTROL!$C$9, $C$13, 100%, $E$13) + CHOOSE(CONTROL!$C$28, 0.0211, 0)</f>
        <v>9.6227</v>
      </c>
      <c r="C27" s="4">
        <f>9.2383 * CHOOSE(CONTROL!$C$9, $C$13, 100%, $E$13) + CHOOSE(CONTROL!$C$28, 0.0211, 0)</f>
        <v>9.2594000000000012</v>
      </c>
      <c r="D27" s="4">
        <f>15.8573 * CHOOSE(CONTROL!$C$9, $C$13, 100%, $E$13) + CHOOSE(CONTROL!$C$28, 0.0021, 0)</f>
        <v>15.859400000000001</v>
      </c>
      <c r="E27" s="4">
        <f>58.21 * CHOOSE(CONTROL!$C$9, $C$13, 100%, $E$13) + CHOOSE(CONTROL!$C$28, 0.0021, 0)</f>
        <v>58.2121</v>
      </c>
    </row>
    <row r="28" spans="1:5" ht="15">
      <c r="A28" s="13">
        <v>42339</v>
      </c>
      <c r="B28" s="4">
        <f>9.6562 * CHOOSE(CONTROL!$C$9, $C$13, 100%, $E$13) + CHOOSE(CONTROL!$C$28, 0.0211, 0)</f>
        <v>9.6773000000000007</v>
      </c>
      <c r="C28" s="4">
        <f>9.293 * CHOOSE(CONTROL!$C$9, $C$13, 100%, $E$13) + CHOOSE(CONTROL!$C$28, 0.0211, 0)</f>
        <v>9.3140999999999998</v>
      </c>
      <c r="D28" s="4">
        <f>15.9906 * CHOOSE(CONTROL!$C$9, $C$13, 100%, $E$13) + CHOOSE(CONTROL!$C$28, 0.0021, 0)</f>
        <v>15.992700000000001</v>
      </c>
      <c r="E28" s="4">
        <f>58.83 * CHOOSE(CONTROL!$C$9, $C$13, 100%, $E$13) + CHOOSE(CONTROL!$C$28, 0.0021, 0)</f>
        <v>58.832099999999997</v>
      </c>
    </row>
    <row r="29" spans="1:5" ht="15">
      <c r="A29" s="13">
        <v>42370</v>
      </c>
      <c r="B29" s="4">
        <f>9.7344 * CHOOSE(CONTROL!$C$9, $C$13, 100%, $E$13) + CHOOSE(CONTROL!$C$28, 0.0211, 0)</f>
        <v>9.7555000000000014</v>
      </c>
      <c r="C29" s="4">
        <f>9.3711 * CHOOSE(CONTROL!$C$9, $C$13, 100%, $E$13) + CHOOSE(CONTROL!$C$28, 0.0211, 0)</f>
        <v>9.3922000000000008</v>
      </c>
      <c r="D29" s="4">
        <f>16.1145 * CHOOSE(CONTROL!$C$9, $C$13, 100%, $E$13) + CHOOSE(CONTROL!$C$28, 0.0021, 0)</f>
        <v>16.116599999999998</v>
      </c>
      <c r="E29" s="4">
        <f>59.37 * CHOOSE(CONTROL!$C$9, $C$13, 100%, $E$13) + CHOOSE(CONTROL!$C$28, 0.0021, 0)</f>
        <v>59.372099999999996</v>
      </c>
    </row>
    <row r="30" spans="1:5" ht="15">
      <c r="A30" s="13">
        <v>42401</v>
      </c>
      <c r="B30" s="4">
        <f>9.8047 * CHOOSE(CONTROL!$C$9, $C$13, 100%, $E$13) + CHOOSE(CONTROL!$C$28, 0.0211, 0)</f>
        <v>9.825800000000001</v>
      </c>
      <c r="C30" s="4">
        <f>9.4414 * CHOOSE(CONTROL!$C$9, $C$13, 100%, $E$13) + CHOOSE(CONTROL!$C$28, 0.0211, 0)</f>
        <v>9.4625000000000004</v>
      </c>
      <c r="D30" s="4">
        <f>16.1584 * CHOOSE(CONTROL!$C$9, $C$13, 100%, $E$13) + CHOOSE(CONTROL!$C$28, 0.0021, 0)</f>
        <v>16.160499999999999</v>
      </c>
      <c r="E30" s="4">
        <f>59.89 * CHOOSE(CONTROL!$C$9, $C$13, 100%, $E$13) + CHOOSE(CONTROL!$C$28, 0.0021, 0)</f>
        <v>59.892099999999999</v>
      </c>
    </row>
    <row r="31" spans="1:5" ht="15">
      <c r="A31" s="13">
        <v>42430</v>
      </c>
      <c r="B31" s="4">
        <f>9.875 * CHOOSE(CONTROL!$C$9, $C$13, 100%, $E$13) + CHOOSE(CONTROL!$C$28, 0.0211, 0)</f>
        <v>9.8961000000000006</v>
      </c>
      <c r="C31" s="4">
        <f>9.5117 * CHOOSE(CONTROL!$C$9, $C$13, 100%, $E$13) + CHOOSE(CONTROL!$C$28, 0.0211, 0)</f>
        <v>9.5327999999999999</v>
      </c>
      <c r="D31" s="4">
        <f>16.1404 * CHOOSE(CONTROL!$C$9, $C$13, 100%, $E$13) + CHOOSE(CONTROL!$C$28, 0.0021, 0)</f>
        <v>16.142499999999998</v>
      </c>
      <c r="E31" s="4">
        <f>60.41 * CHOOSE(CONTROL!$C$9, $C$13, 100%, $E$13) + CHOOSE(CONTROL!$C$28, 0.0021, 0)</f>
        <v>60.412099999999995</v>
      </c>
    </row>
    <row r="32" spans="1:5" ht="15">
      <c r="A32" s="13">
        <v>42461</v>
      </c>
      <c r="B32" s="4">
        <f>9.9453 * CHOOSE(CONTROL!$C$9, $C$13, 100%, $E$13) + CHOOSE(CONTROL!$C$28, 0.0211, 0)</f>
        <v>9.9664000000000001</v>
      </c>
      <c r="C32" s="4">
        <f>9.582 * CHOOSE(CONTROL!$C$9, $C$13, 100%, $E$13) + CHOOSE(CONTROL!$C$28, 0.0211, 0)</f>
        <v>9.6031000000000013</v>
      </c>
      <c r="D32" s="4">
        <f>16.0705 * CHOOSE(CONTROL!$C$9, $C$13, 100%, $E$13) + CHOOSE(CONTROL!$C$28, 0.0021, 0)</f>
        <v>16.072599999999998</v>
      </c>
      <c r="E32" s="4">
        <f>60.9 * CHOOSE(CONTROL!$C$9, $C$13, 100%, $E$13) + CHOOSE(CONTROL!$C$28, 0.0021, 0)</f>
        <v>60.902099999999997</v>
      </c>
    </row>
    <row r="33" spans="1:5" ht="15">
      <c r="A33" s="13">
        <v>42491</v>
      </c>
      <c r="B33" s="4">
        <f>10.0156 * CHOOSE(CONTROL!$C$9, $C$13, 100%, $E$13) + CHOOSE(CONTROL!$C$28, 0.0415, 0)</f>
        <v>10.057099999999998</v>
      </c>
      <c r="C33" s="4">
        <f>9.6523 * CHOOSE(CONTROL!$C$9, $C$13, 100%, $E$13) + CHOOSE(CONTROL!$C$28, 0.0415, 0)</f>
        <v>9.6937999999999995</v>
      </c>
      <c r="D33" s="4">
        <f>16.1037 * CHOOSE(CONTROL!$C$9, $C$13, 100%, $E$13) + CHOOSE(CONTROL!$C$28, 0.0021, 0)</f>
        <v>16.105799999999999</v>
      </c>
      <c r="E33" s="4">
        <f>61.32 * CHOOSE(CONTROL!$C$9, $C$13, 100%, $E$13) + CHOOSE(CONTROL!$C$28, 0.0021, 0)</f>
        <v>61.322099999999999</v>
      </c>
    </row>
    <row r="34" spans="1:5" ht="15">
      <c r="A34" s="13">
        <v>42522</v>
      </c>
      <c r="B34" s="4">
        <f>10.0859 * CHOOSE(CONTROL!$C$9, $C$13, 100%, $E$13) + CHOOSE(CONTROL!$C$28, 0.0415, 0)</f>
        <v>10.1274</v>
      </c>
      <c r="C34" s="4">
        <f>9.7227 * CHOOSE(CONTROL!$C$9, $C$13, 100%, $E$13) + CHOOSE(CONTROL!$C$28, 0.0415, 0)</f>
        <v>9.7641999999999989</v>
      </c>
      <c r="D34" s="4">
        <f>16.1829 * CHOOSE(CONTROL!$C$9, $C$13, 100%, $E$13) + CHOOSE(CONTROL!$C$28, 0.0021, 0)</f>
        <v>16.184999999999999</v>
      </c>
      <c r="E34" s="4">
        <f>61.7 * CHOOSE(CONTROL!$C$9, $C$13, 100%, $E$13) + CHOOSE(CONTROL!$C$28, 0.0021, 0)</f>
        <v>61.702100000000002</v>
      </c>
    </row>
    <row r="35" spans="1:5" ht="15">
      <c r="A35" s="13">
        <v>42552</v>
      </c>
      <c r="B35" s="4">
        <f>10.1562 * CHOOSE(CONTROL!$C$9, $C$13, 100%, $E$13) + CHOOSE(CONTROL!$C$28, 0.0415, 0)</f>
        <v>10.197699999999999</v>
      </c>
      <c r="C35" s="4">
        <f>9.793 * CHOOSE(CONTROL!$C$9, $C$13, 100%, $E$13) + CHOOSE(CONTROL!$C$28, 0.0415, 0)</f>
        <v>9.8344999999999985</v>
      </c>
      <c r="D35" s="4">
        <f>16.2687 * CHOOSE(CONTROL!$C$9, $C$13, 100%, $E$13) + CHOOSE(CONTROL!$C$28, 0.0021, 0)</f>
        <v>16.270799999999998</v>
      </c>
      <c r="E35" s="4">
        <f>61.98 * CHOOSE(CONTROL!$C$9, $C$13, 100%, $E$13) + CHOOSE(CONTROL!$C$28, 0.0021, 0)</f>
        <v>61.982099999999996</v>
      </c>
    </row>
    <row r="36" spans="1:5" ht="15">
      <c r="A36" s="13">
        <v>42583</v>
      </c>
      <c r="B36" s="4">
        <f>10.2266 * CHOOSE(CONTROL!$C$9, $C$13, 100%, $E$13) + CHOOSE(CONTROL!$C$28, 0.0415, 0)</f>
        <v>10.268099999999999</v>
      </c>
      <c r="C36" s="4">
        <f>9.8633 * CHOOSE(CONTROL!$C$9, $C$13, 100%, $E$13) + CHOOSE(CONTROL!$C$28, 0.0415, 0)</f>
        <v>9.9047999999999998</v>
      </c>
      <c r="D36" s="4">
        <f>16.3803 * CHOOSE(CONTROL!$C$9, $C$13, 100%, $E$13) + CHOOSE(CONTROL!$C$28, 0.0021, 0)</f>
        <v>16.382399999999997</v>
      </c>
      <c r="E36" s="4">
        <f>62.24 * CHOOSE(CONTROL!$C$9, $C$13, 100%, $E$13) + CHOOSE(CONTROL!$C$28, 0.0021, 0)</f>
        <v>62.242100000000001</v>
      </c>
    </row>
    <row r="37" spans="1:5" ht="15">
      <c r="A37" s="13">
        <v>42614</v>
      </c>
      <c r="B37" s="4">
        <f>10.2969 * CHOOSE(CONTROL!$C$9, $C$13, 100%, $E$13) + CHOOSE(CONTROL!$C$28, 0.0415, 0)</f>
        <v>10.3384</v>
      </c>
      <c r="C37" s="4">
        <f>9.9336 * CHOOSE(CONTROL!$C$9, $C$13, 100%, $E$13) + CHOOSE(CONTROL!$C$28, 0.0415, 0)</f>
        <v>9.9750999999999994</v>
      </c>
      <c r="D37" s="4">
        <f>16.5078 * CHOOSE(CONTROL!$C$9, $C$13, 100%, $E$13) + CHOOSE(CONTROL!$C$28, 0.0021, 0)</f>
        <v>16.509899999999998</v>
      </c>
      <c r="E37" s="4">
        <f>62.47 * CHOOSE(CONTROL!$C$9, $C$13, 100%, $E$13) + CHOOSE(CONTROL!$C$28, 0.0021, 0)</f>
        <v>62.472099999999998</v>
      </c>
    </row>
    <row r="38" spans="1:5" ht="15">
      <c r="A38" s="13">
        <v>42644</v>
      </c>
      <c r="B38" s="4">
        <f>10.3672 * CHOOSE(CONTROL!$C$9, $C$13, 100%, $E$13) + CHOOSE(CONTROL!$C$28, 0.0211, 0)</f>
        <v>10.388300000000001</v>
      </c>
      <c r="C38" s="4">
        <f>10.0039 * CHOOSE(CONTROL!$C$9, $C$13, 100%, $E$13) + CHOOSE(CONTROL!$C$28, 0.0211, 0)</f>
        <v>10.025</v>
      </c>
      <c r="D38" s="4">
        <f>16.5986 * CHOOSE(CONTROL!$C$9, $C$13, 100%, $E$13) + CHOOSE(CONTROL!$C$28, 0.0021, 0)</f>
        <v>16.6007</v>
      </c>
      <c r="E38" s="4">
        <f>62.71 * CHOOSE(CONTROL!$C$9, $C$13, 100%, $E$13) + CHOOSE(CONTROL!$C$28, 0.0021, 0)</f>
        <v>62.7121</v>
      </c>
    </row>
    <row r="39" spans="1:5" ht="15">
      <c r="A39" s="13">
        <v>42675</v>
      </c>
      <c r="B39" s="4">
        <f>10.4375 * CHOOSE(CONTROL!$C$9, $C$13, 100%, $E$13) + CHOOSE(CONTROL!$C$28, 0.0211, 0)</f>
        <v>10.458600000000001</v>
      </c>
      <c r="C39" s="4">
        <f>10.0742 * CHOOSE(CONTROL!$C$9, $C$13, 100%, $E$13) + CHOOSE(CONTROL!$C$28, 0.0211, 0)</f>
        <v>10.0953</v>
      </c>
      <c r="D39" s="4">
        <f>16.6843 * CHOOSE(CONTROL!$C$9, $C$13, 100%, $E$13) + CHOOSE(CONTROL!$C$28, 0.0021, 0)</f>
        <v>16.686399999999999</v>
      </c>
      <c r="E39" s="4">
        <f>62.96 * CHOOSE(CONTROL!$C$9, $C$13, 100%, $E$13) + CHOOSE(CONTROL!$C$28, 0.0021, 0)</f>
        <v>62.9621</v>
      </c>
    </row>
    <row r="40" spans="1:5" ht="15">
      <c r="A40" s="13">
        <v>42705</v>
      </c>
      <c r="B40" s="4">
        <f>10.5078 * CHOOSE(CONTROL!$C$9, $C$13, 100%, $E$13) + CHOOSE(CONTROL!$C$28, 0.0211, 0)</f>
        <v>10.5289</v>
      </c>
      <c r="C40" s="4">
        <f>10.1445 * CHOOSE(CONTROL!$C$9, $C$13, 100%, $E$13) + CHOOSE(CONTROL!$C$28, 0.0211, 0)</f>
        <v>10.165600000000001</v>
      </c>
      <c r="D40" s="4">
        <f>16.7657 * CHOOSE(CONTROL!$C$9, $C$13, 100%, $E$13) + CHOOSE(CONTROL!$C$28, 0.0021, 0)</f>
        <v>16.767799999999998</v>
      </c>
      <c r="E40" s="4">
        <f>63.23 * CHOOSE(CONTROL!$C$9, $C$13, 100%, $E$13) + CHOOSE(CONTROL!$C$28, 0.0021, 0)</f>
        <v>63.232099999999996</v>
      </c>
    </row>
    <row r="41" spans="1:5" ht="15">
      <c r="A41" s="13">
        <v>42736</v>
      </c>
      <c r="B41" s="4">
        <f>10.3594 * CHOOSE(CONTROL!$C$9, $C$13, 100%, $E$13) + CHOOSE(CONTROL!$C$28, 0.0211, 0)</f>
        <v>10.380500000000001</v>
      </c>
      <c r="C41" s="4">
        <f>9.9961 * CHOOSE(CONTROL!$C$9, $C$13, 100%, $E$13) + CHOOSE(CONTROL!$C$28, 0.0211, 0)</f>
        <v>10.017200000000001</v>
      </c>
      <c r="D41" s="4">
        <f>16.8407 * CHOOSE(CONTROL!$C$9, $C$13, 100%, $E$13) + CHOOSE(CONTROL!$C$28, 0.0021, 0)</f>
        <v>16.842799999999997</v>
      </c>
      <c r="E41" s="4">
        <f>63.37 * CHOOSE(CONTROL!$C$9, $C$13, 100%, $E$13) + CHOOSE(CONTROL!$C$28, 0.0021, 0)</f>
        <v>63.372099999999996</v>
      </c>
    </row>
    <row r="42" spans="1:5" ht="15">
      <c r="A42" s="13">
        <v>42767</v>
      </c>
      <c r="B42" s="4">
        <f>10.3766 * CHOOSE(CONTROL!$C$9, $C$13, 100%, $E$13) + CHOOSE(CONTROL!$C$28, 0.0211, 0)</f>
        <v>10.3977</v>
      </c>
      <c r="C42" s="4">
        <f>10.0133 * CHOOSE(CONTROL!$C$9, $C$13, 100%, $E$13) + CHOOSE(CONTROL!$C$28, 0.0211, 0)</f>
        <v>10.0344</v>
      </c>
      <c r="D42" s="4">
        <f>16.8767 * CHOOSE(CONTROL!$C$9, $C$13, 100%, $E$13) + CHOOSE(CONTROL!$C$28, 0.0021, 0)</f>
        <v>16.878799999999998</v>
      </c>
      <c r="E42" s="4">
        <f>63.55 * CHOOSE(CONTROL!$C$9, $C$13, 100%, $E$13) + CHOOSE(CONTROL!$C$28, 0.0021, 0)</f>
        <v>63.552099999999996</v>
      </c>
    </row>
    <row r="43" spans="1:5" ht="15">
      <c r="A43" s="13">
        <v>42795</v>
      </c>
      <c r="B43" s="4">
        <f>10.3969 * CHOOSE(CONTROL!$C$9, $C$13, 100%, $E$13) + CHOOSE(CONTROL!$C$28, 0.0211, 0)</f>
        <v>10.418000000000001</v>
      </c>
      <c r="C43" s="4">
        <f>10.0336 * CHOOSE(CONTROL!$C$9, $C$13, 100%, $E$13) + CHOOSE(CONTROL!$C$28, 0.0211, 0)</f>
        <v>10.0547</v>
      </c>
      <c r="D43" s="4">
        <f>16.8695 * CHOOSE(CONTROL!$C$9, $C$13, 100%, $E$13) + CHOOSE(CONTROL!$C$28, 0.0021, 0)</f>
        <v>16.871599999999997</v>
      </c>
      <c r="E43" s="4">
        <f>63.75 * CHOOSE(CONTROL!$C$9, $C$13, 100%, $E$13) + CHOOSE(CONTROL!$C$28, 0.0021, 0)</f>
        <v>63.752099999999999</v>
      </c>
    </row>
    <row r="44" spans="1:5" ht="15">
      <c r="A44" s="13">
        <v>42826</v>
      </c>
      <c r="B44" s="4">
        <f>10.4281 * CHOOSE(CONTROL!$C$9, $C$13, 100%, $E$13) + CHOOSE(CONTROL!$C$28, 0.0211, 0)</f>
        <v>10.449200000000001</v>
      </c>
      <c r="C44" s="4">
        <f>10.0648 * CHOOSE(CONTROL!$C$9, $C$13, 100%, $E$13) + CHOOSE(CONTROL!$C$28, 0.0211, 0)</f>
        <v>10.085900000000001</v>
      </c>
      <c r="D44" s="4">
        <f>16.8191 * CHOOSE(CONTROL!$C$9, $C$13, 100%, $E$13) + CHOOSE(CONTROL!$C$28, 0.0021, 0)</f>
        <v>16.821199999999997</v>
      </c>
      <c r="E44" s="4">
        <f>63.99 * CHOOSE(CONTROL!$C$9, $C$13, 100%, $E$13) + CHOOSE(CONTROL!$C$28, 0.0021, 0)</f>
        <v>63.992100000000001</v>
      </c>
    </row>
    <row r="45" spans="1:5" ht="15">
      <c r="A45" s="13">
        <v>42856</v>
      </c>
      <c r="B45" s="4">
        <f>10.4734 * CHOOSE(CONTROL!$C$9, $C$13, 100%, $E$13) + CHOOSE(CONTROL!$C$28, 0.0415, 0)</f>
        <v>10.514899999999999</v>
      </c>
      <c r="C45" s="4">
        <f>10.1102 * CHOOSE(CONTROL!$C$9, $C$13, 100%, $E$13) + CHOOSE(CONTROL!$C$28, 0.0415, 0)</f>
        <v>10.1517</v>
      </c>
      <c r="D45" s="4">
        <f>16.8191 * CHOOSE(CONTROL!$C$9, $C$13, 100%, $E$13) + CHOOSE(CONTROL!$C$28, 0.0021, 0)</f>
        <v>16.821199999999997</v>
      </c>
      <c r="E45" s="4">
        <f>64.25 * CHOOSE(CONTROL!$C$9, $C$13, 100%, $E$13) + CHOOSE(CONTROL!$C$28, 0.0021, 0)</f>
        <v>64.252099999999999</v>
      </c>
    </row>
    <row r="46" spans="1:5" ht="15">
      <c r="A46" s="13">
        <v>42887</v>
      </c>
      <c r="B46" s="4">
        <f>10.5266 * CHOOSE(CONTROL!$C$9, $C$13, 100%, $E$13) + CHOOSE(CONTROL!$C$28, 0.0415, 0)</f>
        <v>10.568099999999999</v>
      </c>
      <c r="C46" s="4">
        <f>10.1633 * CHOOSE(CONTROL!$C$9, $C$13, 100%, $E$13) + CHOOSE(CONTROL!$C$28, 0.0415, 0)</f>
        <v>10.204799999999999</v>
      </c>
      <c r="D46" s="4">
        <f>16.8227 * CHOOSE(CONTROL!$C$9, $C$13, 100%, $E$13) + CHOOSE(CONTROL!$C$28, 0.0021, 0)</f>
        <v>16.8248</v>
      </c>
      <c r="E46" s="4">
        <f>64.52 * CHOOSE(CONTROL!$C$9, $C$13, 100%, $E$13) + CHOOSE(CONTROL!$C$28, 0.0021, 0)</f>
        <v>64.522099999999995</v>
      </c>
    </row>
    <row r="47" spans="1:5" ht="15">
      <c r="A47" s="13">
        <v>42917</v>
      </c>
      <c r="B47" s="4">
        <f>10.5719 * CHOOSE(CONTROL!$C$9, $C$13, 100%, $E$13) + CHOOSE(CONTROL!$C$28, 0.0415, 0)</f>
        <v>10.613399999999999</v>
      </c>
      <c r="C47" s="4">
        <f>10.2086 * CHOOSE(CONTROL!$C$9, $C$13, 100%, $E$13) + CHOOSE(CONTROL!$C$28, 0.0415, 0)</f>
        <v>10.2501</v>
      </c>
      <c r="D47" s="4">
        <f>16.8659 * CHOOSE(CONTROL!$C$9, $C$13, 100%, $E$13) + CHOOSE(CONTROL!$C$28, 0.0021, 0)</f>
        <v>16.867999999999999</v>
      </c>
      <c r="E47" s="4">
        <f>64.64 * CHOOSE(CONTROL!$C$9, $C$13, 100%, $E$13) + CHOOSE(CONTROL!$C$28, 0.0021, 0)</f>
        <v>64.642099999999999</v>
      </c>
    </row>
    <row r="48" spans="1:5" ht="15">
      <c r="A48" s="13">
        <v>42948</v>
      </c>
      <c r="B48" s="4">
        <f>10.6344 * CHOOSE(CONTROL!$C$9, $C$13, 100%, $E$13) + CHOOSE(CONTROL!$C$28, 0.0415, 0)</f>
        <v>10.675899999999999</v>
      </c>
      <c r="C48" s="4">
        <f>10.2711 * CHOOSE(CONTROL!$C$9, $C$13, 100%, $E$13) + CHOOSE(CONTROL!$C$28, 0.0415, 0)</f>
        <v>10.3126</v>
      </c>
      <c r="D48" s="4">
        <f>16.9379 * CHOOSE(CONTROL!$C$9, $C$13, 100%, $E$13) + CHOOSE(CONTROL!$C$28, 0.0021, 0)</f>
        <v>16.939999999999998</v>
      </c>
      <c r="E48" s="4">
        <f>64.85 * CHOOSE(CONTROL!$C$9, $C$13, 100%, $E$13) + CHOOSE(CONTROL!$C$28, 0.0021, 0)</f>
        <v>64.852099999999993</v>
      </c>
    </row>
    <row r="49" spans="1:5" ht="15">
      <c r="A49" s="13">
        <v>42979</v>
      </c>
      <c r="B49" s="4">
        <f>10.7047 * CHOOSE(CONTROL!$C$9, $C$13, 100%, $E$13) + CHOOSE(CONTROL!$C$28, 0.0415, 0)</f>
        <v>10.7462</v>
      </c>
      <c r="C49" s="4">
        <f>10.3414 * CHOOSE(CONTROL!$C$9, $C$13, 100%, $E$13) + CHOOSE(CONTROL!$C$28, 0.0415, 0)</f>
        <v>10.382899999999999</v>
      </c>
      <c r="D49" s="4">
        <f>17.01 * CHOOSE(CONTROL!$C$9, $C$13, 100%, $E$13) + CHOOSE(CONTROL!$C$28, 0.0021, 0)</f>
        <v>17.0121</v>
      </c>
      <c r="E49" s="4">
        <f>65.08 * CHOOSE(CONTROL!$C$9, $C$13, 100%, $E$13) + CHOOSE(CONTROL!$C$28, 0.0021, 0)</f>
        <v>65.082099999999997</v>
      </c>
    </row>
    <row r="50" spans="1:5" ht="15">
      <c r="A50" s="13">
        <v>43009</v>
      </c>
      <c r="B50" s="4">
        <f>10.775 * CHOOSE(CONTROL!$C$9, $C$13, 100%, $E$13) + CHOOSE(CONTROL!$C$28, 0.0211, 0)</f>
        <v>10.796100000000001</v>
      </c>
      <c r="C50" s="4">
        <f>10.4117 * CHOOSE(CONTROL!$C$9, $C$13, 100%, $E$13) + CHOOSE(CONTROL!$C$28, 0.0211, 0)</f>
        <v>10.4328</v>
      </c>
      <c r="D50" s="4">
        <f>17.082 * CHOOSE(CONTROL!$C$9, $C$13, 100%, $E$13) + CHOOSE(CONTROL!$C$28, 0.0021, 0)</f>
        <v>17.084099999999999</v>
      </c>
      <c r="E50" s="4">
        <f>65.32 * CHOOSE(CONTROL!$C$9, $C$13, 100%, $E$13) + CHOOSE(CONTROL!$C$28, 0.0021, 0)</f>
        <v>65.322099999999992</v>
      </c>
    </row>
    <row r="51" spans="1:5" ht="15">
      <c r="A51" s="13">
        <v>43040</v>
      </c>
      <c r="B51" s="4">
        <f>10.8453 * CHOOSE(CONTROL!$C$9, $C$13, 100%, $E$13) + CHOOSE(CONTROL!$C$28, 0.0211, 0)</f>
        <v>10.866400000000001</v>
      </c>
      <c r="C51" s="4">
        <f>10.482 * CHOOSE(CONTROL!$C$9, $C$13, 100%, $E$13) + CHOOSE(CONTROL!$C$28, 0.0211, 0)</f>
        <v>10.5031</v>
      </c>
      <c r="D51" s="4">
        <f>17.1504 * CHOOSE(CONTROL!$C$9, $C$13, 100%, $E$13) + CHOOSE(CONTROL!$C$28, 0.0021, 0)</f>
        <v>17.1525</v>
      </c>
      <c r="E51" s="4">
        <f>65.57 * CHOOSE(CONTROL!$C$9, $C$13, 100%, $E$13) + CHOOSE(CONTROL!$C$28, 0.0021, 0)</f>
        <v>65.572099999999992</v>
      </c>
    </row>
    <row r="52" spans="1:5" ht="15">
      <c r="A52" s="13">
        <v>43070</v>
      </c>
      <c r="B52" s="4">
        <f>10.9141 * CHOOSE(CONTROL!$C$9, $C$13, 100%, $E$13) + CHOOSE(CONTROL!$C$28, 0.0211, 0)</f>
        <v>10.9352</v>
      </c>
      <c r="C52" s="4">
        <f>10.5508 * CHOOSE(CONTROL!$C$9, $C$13, 100%, $E$13) + CHOOSE(CONTROL!$C$28, 0.0211, 0)</f>
        <v>10.571900000000001</v>
      </c>
      <c r="D52" s="4">
        <f>17.2117 * CHOOSE(CONTROL!$C$9, $C$13, 100%, $E$13) + CHOOSE(CONTROL!$C$28, 0.0021, 0)</f>
        <v>17.213799999999999</v>
      </c>
      <c r="E52" s="4">
        <f>65.83 * CHOOSE(CONTROL!$C$9, $C$13, 100%, $E$13) + CHOOSE(CONTROL!$C$28, 0.0021, 0)</f>
        <v>65.832099999999997</v>
      </c>
    </row>
    <row r="53" spans="1:5" ht="15">
      <c r="A53" s="13">
        <v>43101</v>
      </c>
      <c r="B53" s="4">
        <f>10.7862 * CHOOSE(CONTROL!$C$9, $C$13, 100%, $E$13) + CHOOSE(CONTROL!$C$28, 0.0211, 0)</f>
        <v>10.8073</v>
      </c>
      <c r="C53" s="4">
        <f>10.4229 * CHOOSE(CONTROL!$C$9, $C$13, 100%, $E$13) + CHOOSE(CONTROL!$C$28, 0.0211, 0)</f>
        <v>10.444000000000001</v>
      </c>
      <c r="D53" s="4">
        <f>16.8057 * CHOOSE(CONTROL!$C$9, $C$13, 100%, $E$13) + CHOOSE(CONTROL!$C$28, 0.0021, 0)</f>
        <v>16.8078</v>
      </c>
      <c r="E53" s="4">
        <f>66.827116285746 * CHOOSE(CONTROL!$C$9, $C$13, 100%, $E$13) + CHOOSE(CONTROL!$C$28, 0.0021, 0)</f>
        <v>66.829216285746</v>
      </c>
    </row>
    <row r="54" spans="1:5" ht="15">
      <c r="A54" s="13">
        <v>43132</v>
      </c>
      <c r="B54" s="4">
        <f>11.0239 * CHOOSE(CONTROL!$C$9, $C$13, 100%, $E$13) + CHOOSE(CONTROL!$C$28, 0.0211, 0)</f>
        <v>11.045</v>
      </c>
      <c r="C54" s="4">
        <f>10.6606 * CHOOSE(CONTROL!$C$9, $C$13, 100%, $E$13) + CHOOSE(CONTROL!$C$28, 0.0211, 0)</f>
        <v>10.681700000000001</v>
      </c>
      <c r="D54" s="4">
        <f>17.3334 * CHOOSE(CONTROL!$C$9, $C$13, 100%, $E$13) + CHOOSE(CONTROL!$C$28, 0.0021, 0)</f>
        <v>17.3355</v>
      </c>
      <c r="E54" s="4">
        <f>68.4138553859831 * CHOOSE(CONTROL!$C$9, $C$13, 100%, $E$13) + CHOOSE(CONTROL!$C$28, 0.0021, 0)</f>
        <v>68.415955385983096</v>
      </c>
    </row>
    <row r="55" spans="1:5" ht="15">
      <c r="A55" s="13">
        <v>43160</v>
      </c>
      <c r="B55" s="4">
        <f>11.6482 * CHOOSE(CONTROL!$C$9, $C$13, 100%, $E$13) + CHOOSE(CONTROL!$C$28, 0.0211, 0)</f>
        <v>11.6693</v>
      </c>
      <c r="C55" s="4">
        <f>11.2849 * CHOOSE(CONTROL!$C$9, $C$13, 100%, $E$13) + CHOOSE(CONTROL!$C$28, 0.0211, 0)</f>
        <v>11.306000000000001</v>
      </c>
      <c r="D55" s="4">
        <f>18.1596 * CHOOSE(CONTROL!$C$9, $C$13, 100%, $E$13) + CHOOSE(CONTROL!$C$28, 0.0021, 0)</f>
        <v>18.1617</v>
      </c>
      <c r="E55" s="4">
        <f>72.5807165876426 * CHOOSE(CONTROL!$C$9, $C$13, 100%, $E$13) + CHOOSE(CONTROL!$C$28, 0.0021, 0)</f>
        <v>72.582816587642597</v>
      </c>
    </row>
    <row r="56" spans="1:5" ht="15">
      <c r="A56" s="13">
        <v>43191</v>
      </c>
      <c r="B56" s="4">
        <f>12.0918 * CHOOSE(CONTROL!$C$9, $C$13, 100%, $E$13) + CHOOSE(CONTROL!$C$28, 0.0211, 0)</f>
        <v>12.1129</v>
      </c>
      <c r="C56" s="4">
        <f>11.7285 * CHOOSE(CONTROL!$C$9, $C$13, 100%, $E$13) + CHOOSE(CONTROL!$C$28, 0.0211, 0)</f>
        <v>11.749600000000001</v>
      </c>
      <c r="D56" s="4">
        <f>18.6356 * CHOOSE(CONTROL!$C$9, $C$13, 100%, $E$13) + CHOOSE(CONTROL!$C$28, 0.0021, 0)</f>
        <v>18.637699999999999</v>
      </c>
      <c r="E56" s="4">
        <f>75.5413270021485 * CHOOSE(CONTROL!$C$9, $C$13, 100%, $E$13) + CHOOSE(CONTROL!$C$28, 0.0021, 0)</f>
        <v>75.543427002148505</v>
      </c>
    </row>
    <row r="57" spans="1:5" ht="15">
      <c r="A57" s="13">
        <v>43221</v>
      </c>
      <c r="B57" s="4">
        <f>12.3628 * CHOOSE(CONTROL!$C$9, $C$13, 100%, $E$13) + CHOOSE(CONTROL!$C$28, 0.0415, 0)</f>
        <v>12.404299999999999</v>
      </c>
      <c r="C57" s="4">
        <f>11.9995 * CHOOSE(CONTROL!$C$9, $C$13, 100%, $E$13) + CHOOSE(CONTROL!$C$28, 0.0415, 0)</f>
        <v>12.040999999999999</v>
      </c>
      <c r="D57" s="4">
        <f>18.4475 * CHOOSE(CONTROL!$C$9, $C$13, 100%, $E$13) + CHOOSE(CONTROL!$C$28, 0.0021, 0)</f>
        <v>18.4496</v>
      </c>
      <c r="E57" s="4">
        <f>77.3501890094829 * CHOOSE(CONTROL!$C$9, $C$13, 100%, $E$13) + CHOOSE(CONTROL!$C$28, 0.0021, 0)</f>
        <v>77.352289009482902</v>
      </c>
    </row>
    <row r="58" spans="1:5" ht="15">
      <c r="A58" s="13">
        <v>43252</v>
      </c>
      <c r="B58" s="4">
        <f>12.3995 * CHOOSE(CONTROL!$C$9, $C$13, 100%, $E$13) + CHOOSE(CONTROL!$C$28, 0.0415, 0)</f>
        <v>12.440999999999999</v>
      </c>
      <c r="C58" s="4">
        <f>12.0362 * CHOOSE(CONTROL!$C$9, $C$13, 100%, $E$13) + CHOOSE(CONTROL!$C$28, 0.0415, 0)</f>
        <v>12.077699999999998</v>
      </c>
      <c r="D58" s="4">
        <f>18.6007 * CHOOSE(CONTROL!$C$9, $C$13, 100%, $E$13) + CHOOSE(CONTROL!$C$28, 0.0021, 0)</f>
        <v>18.602799999999998</v>
      </c>
      <c r="E58" s="4">
        <f>77.5949355460068 * CHOOSE(CONTROL!$C$9, $C$13, 100%, $E$13) + CHOOSE(CONTROL!$C$28, 0.0021, 0)</f>
        <v>77.597035546006794</v>
      </c>
    </row>
    <row r="59" spans="1:5" ht="15">
      <c r="A59" s="13">
        <v>43282</v>
      </c>
      <c r="B59" s="4">
        <f>12.3958 * CHOOSE(CONTROL!$C$9, $C$13, 100%, $E$13) + CHOOSE(CONTROL!$C$28, 0.0415, 0)</f>
        <v>12.437299999999999</v>
      </c>
      <c r="C59" s="4">
        <f>12.0325 * CHOOSE(CONTROL!$C$9, $C$13, 100%, $E$13) + CHOOSE(CONTROL!$C$28, 0.0415, 0)</f>
        <v>12.074</v>
      </c>
      <c r="D59" s="4">
        <f>18.877 * CHOOSE(CONTROL!$C$9, $C$13, 100%, $E$13) + CHOOSE(CONTROL!$C$28, 0.0021, 0)</f>
        <v>18.879099999999998</v>
      </c>
      <c r="E59" s="4">
        <f>77.570255222996 * CHOOSE(CONTROL!$C$9, $C$13, 100%, $E$13) + CHOOSE(CONTROL!$C$28, 0.0021, 0)</f>
        <v>77.572355222995995</v>
      </c>
    </row>
    <row r="60" spans="1:5" ht="15">
      <c r="A60" s="13">
        <v>43313</v>
      </c>
      <c r="B60" s="4">
        <f>12.6741 * CHOOSE(CONTROL!$C$9, $C$13, 100%, $E$13) + CHOOSE(CONTROL!$C$28, 0.0415, 0)</f>
        <v>12.715599999999998</v>
      </c>
      <c r="C60" s="4">
        <f>12.3108 * CHOOSE(CONTROL!$C$9, $C$13, 100%, $E$13) + CHOOSE(CONTROL!$C$28, 0.0415, 0)</f>
        <v>12.3523</v>
      </c>
      <c r="D60" s="4">
        <f>18.6945 * CHOOSE(CONTROL!$C$9, $C$13, 100%, $E$13) + CHOOSE(CONTROL!$C$28, 0.0021, 0)</f>
        <v>18.6966</v>
      </c>
      <c r="E60" s="4">
        <f>79.4274495295599 * CHOOSE(CONTROL!$C$9, $C$13, 100%, $E$13) + CHOOSE(CONTROL!$C$28, 0.0021, 0)</f>
        <v>79.429549529559893</v>
      </c>
    </row>
    <row r="61" spans="1:5" ht="15">
      <c r="A61" s="13">
        <v>43344</v>
      </c>
      <c r="B61" s="4">
        <f>12.1998 * CHOOSE(CONTROL!$C$9, $C$13, 100%, $E$13) + CHOOSE(CONTROL!$C$28, 0.0415, 0)</f>
        <v>12.241299999999999</v>
      </c>
      <c r="C61" s="4">
        <f>11.8365 * CHOOSE(CONTROL!$C$9, $C$13, 100%, $E$13) + CHOOSE(CONTROL!$C$28, 0.0415, 0)</f>
        <v>11.877999999999998</v>
      </c>
      <c r="D61" s="4">
        <f>18.6083 * CHOOSE(CONTROL!$C$9, $C$13, 100%, $E$13) + CHOOSE(CONTROL!$C$28, 0.0021, 0)</f>
        <v>18.610399999999998</v>
      </c>
      <c r="E61" s="4">
        <f>76.2621981034227 * CHOOSE(CONTROL!$C$9, $C$13, 100%, $E$13) + CHOOSE(CONTROL!$C$28, 0.0021, 0)</f>
        <v>76.264298103422703</v>
      </c>
    </row>
    <row r="62" spans="1:5" ht="15">
      <c r="A62" s="13">
        <v>43374</v>
      </c>
      <c r="B62" s="4">
        <f>11.8202 * CHOOSE(CONTROL!$C$9, $C$13, 100%, $E$13) + CHOOSE(CONTROL!$C$28, 0.0211, 0)</f>
        <v>11.8413</v>
      </c>
      <c r="C62" s="4">
        <f>11.4569 * CHOOSE(CONTROL!$C$9, $C$13, 100%, $E$13) + CHOOSE(CONTROL!$C$28, 0.0211, 0)</f>
        <v>11.478</v>
      </c>
      <c r="D62" s="4">
        <f>18.3774 * CHOOSE(CONTROL!$C$9, $C$13, 100%, $E$13) + CHOOSE(CONTROL!$C$28, 0.0021, 0)</f>
        <v>18.3795</v>
      </c>
      <c r="E62" s="4">
        <f>73.7283516076456 * CHOOSE(CONTROL!$C$9, $C$13, 100%, $E$13) + CHOOSE(CONTROL!$C$28, 0.0021, 0)</f>
        <v>73.730451607645605</v>
      </c>
    </row>
    <row r="63" spans="1:5" ht="15">
      <c r="A63" s="13">
        <v>43405</v>
      </c>
      <c r="B63" s="4">
        <f>11.5756 * CHOOSE(CONTROL!$C$9, $C$13, 100%, $E$13) + CHOOSE(CONTROL!$C$28, 0.0211, 0)</f>
        <v>11.5967</v>
      </c>
      <c r="C63" s="4">
        <f>11.2124 * CHOOSE(CONTROL!$C$9, $C$13, 100%, $E$13) + CHOOSE(CONTROL!$C$28, 0.0211, 0)</f>
        <v>11.233500000000001</v>
      </c>
      <c r="D63" s="4">
        <f>18.298 * CHOOSE(CONTROL!$C$9, $C$13, 100%, $E$13) + CHOOSE(CONTROL!$C$28, 0.0021, 0)</f>
        <v>18.300099999999997</v>
      </c>
      <c r="E63" s="4">
        <f>72.0963652485553 * CHOOSE(CONTROL!$C$9, $C$13, 100%, $E$13) + CHOOSE(CONTROL!$C$28, 0.0021, 0)</f>
        <v>72.0984652485553</v>
      </c>
    </row>
    <row r="64" spans="1:5" ht="15">
      <c r="A64" s="13">
        <v>43435</v>
      </c>
      <c r="B64" s="4">
        <f>11.4065 * CHOOSE(CONTROL!$C$9, $C$13, 100%, $E$13) + CHOOSE(CONTROL!$C$28, 0.0211, 0)</f>
        <v>11.4276</v>
      </c>
      <c r="C64" s="4">
        <f>11.0432 * CHOOSE(CONTROL!$C$9, $C$13, 100%, $E$13) + CHOOSE(CONTROL!$C$28, 0.0211, 0)</f>
        <v>11.064300000000001</v>
      </c>
      <c r="D64" s="4">
        <f>17.7136 * CHOOSE(CONTROL!$C$9, $C$13, 100%, $E$13) + CHOOSE(CONTROL!$C$28, 0.0021, 0)</f>
        <v>17.715699999999998</v>
      </c>
      <c r="E64" s="4">
        <f>70.9672404708105 * CHOOSE(CONTROL!$C$9, $C$13, 100%, $E$13) + CHOOSE(CONTROL!$C$28, 0.0021, 0)</f>
        <v>70.969340470810494</v>
      </c>
    </row>
    <row r="65" spans="1:5" ht="15">
      <c r="A65" s="13">
        <v>43466</v>
      </c>
      <c r="B65" s="4">
        <f>11.1933 * CHOOSE(CONTROL!$C$9, $C$13, 100%, $E$13) + CHOOSE(CONTROL!$C$28, 0.0211, 0)</f>
        <v>11.214400000000001</v>
      </c>
      <c r="C65" s="4">
        <f>10.83 * CHOOSE(CONTROL!$C$9, $C$13, 100%, $E$13) + CHOOSE(CONTROL!$C$28, 0.0211, 0)</f>
        <v>10.851100000000001</v>
      </c>
      <c r="D65" s="4">
        <f>17.3654 * CHOOSE(CONTROL!$C$9, $C$13, 100%, $E$13) + CHOOSE(CONTROL!$C$28, 0.0021, 0)</f>
        <v>17.3675</v>
      </c>
      <c r="E65" s="4">
        <f>69.7857267789054 * CHOOSE(CONTROL!$C$9, $C$13, 100%, $E$13) + CHOOSE(CONTROL!$C$28, 0.0021, 0)</f>
        <v>69.787826778905398</v>
      </c>
    </row>
    <row r="66" spans="1:5" ht="15">
      <c r="A66" s="13">
        <v>43497</v>
      </c>
      <c r="B66" s="4">
        <f>11.4407 * CHOOSE(CONTROL!$C$9, $C$13, 100%, $E$13) + CHOOSE(CONTROL!$C$28, 0.0211, 0)</f>
        <v>11.4618</v>
      </c>
      <c r="C66" s="4">
        <f>11.0774 * CHOOSE(CONTROL!$C$9, $C$13, 100%, $E$13) + CHOOSE(CONTROL!$C$28, 0.0211, 0)</f>
        <v>11.098500000000001</v>
      </c>
      <c r="D66" s="4">
        <f>17.9129 * CHOOSE(CONTROL!$C$9, $C$13, 100%, $E$13) + CHOOSE(CONTROL!$C$28, 0.0021, 0)</f>
        <v>17.914999999999999</v>
      </c>
      <c r="E66" s="4">
        <f>71.4427149518661 * CHOOSE(CONTROL!$C$9, $C$13, 100%, $E$13) + CHOOSE(CONTROL!$C$28, 0.0021, 0)</f>
        <v>71.444814951866093</v>
      </c>
    </row>
    <row r="67" spans="1:5" ht="15">
      <c r="A67" s="13">
        <v>43525</v>
      </c>
      <c r="B67" s="4">
        <f>12.0904 * CHOOSE(CONTROL!$C$9, $C$13, 100%, $E$13) + CHOOSE(CONTROL!$C$28, 0.0211, 0)</f>
        <v>12.111500000000001</v>
      </c>
      <c r="C67" s="4">
        <f>11.7271 * CHOOSE(CONTROL!$C$9, $C$13, 100%, $E$13) + CHOOSE(CONTROL!$C$28, 0.0211, 0)</f>
        <v>11.748200000000001</v>
      </c>
      <c r="D67" s="4">
        <f>18.7701 * CHOOSE(CONTROL!$C$9, $C$13, 100%, $E$13) + CHOOSE(CONTROL!$C$28, 0.0021, 0)</f>
        <v>18.772199999999998</v>
      </c>
      <c r="E67" s="4">
        <f>75.7940539517602 * CHOOSE(CONTROL!$C$9, $C$13, 100%, $E$13) + CHOOSE(CONTROL!$C$28, 0.0021, 0)</f>
        <v>75.796153951760203</v>
      </c>
    </row>
    <row r="68" spans="1:5" ht="15">
      <c r="A68" s="13">
        <v>43556</v>
      </c>
      <c r="B68" s="4">
        <f>12.5521 * CHOOSE(CONTROL!$C$9, $C$13, 100%, $E$13) + CHOOSE(CONTROL!$C$28, 0.0211, 0)</f>
        <v>12.5732</v>
      </c>
      <c r="C68" s="4">
        <f>12.1888 * CHOOSE(CONTROL!$C$9, $C$13, 100%, $E$13) + CHOOSE(CONTROL!$C$28, 0.0211, 0)</f>
        <v>12.209900000000001</v>
      </c>
      <c r="D68" s="4">
        <f>19.2638 * CHOOSE(CONTROL!$C$9, $C$13, 100%, $E$13) + CHOOSE(CONTROL!$C$28, 0.0021, 0)</f>
        <v>19.265899999999998</v>
      </c>
      <c r="E68" s="4">
        <f>78.8857383004018 * CHOOSE(CONTROL!$C$9, $C$13, 100%, $E$13) + CHOOSE(CONTROL!$C$28, 0.0021, 0)</f>
        <v>78.887838300401796</v>
      </c>
    </row>
    <row r="69" spans="1:5" ht="15">
      <c r="A69" s="13">
        <v>43586</v>
      </c>
      <c r="B69" s="4">
        <f>12.8341 * CHOOSE(CONTROL!$C$9, $C$13, 100%, $E$13) + CHOOSE(CONTROL!$C$28, 0.0415, 0)</f>
        <v>12.875599999999999</v>
      </c>
      <c r="C69" s="4">
        <f>12.4708 * CHOOSE(CONTROL!$C$9, $C$13, 100%, $E$13) + CHOOSE(CONTROL!$C$28, 0.0415, 0)</f>
        <v>12.5123</v>
      </c>
      <c r="D69" s="4">
        <f>19.0687 * CHOOSE(CONTROL!$C$9, $C$13, 100%, $E$13) + CHOOSE(CONTROL!$C$28, 0.0021, 0)</f>
        <v>19.070799999999998</v>
      </c>
      <c r="E69" s="4">
        <f>80.7746833400893 * CHOOSE(CONTROL!$C$9, $C$13, 100%, $E$13) + CHOOSE(CONTROL!$C$28, 0.0021, 0)</f>
        <v>80.776783340089295</v>
      </c>
    </row>
    <row r="70" spans="1:5" ht="15">
      <c r="A70" s="13">
        <v>43617</v>
      </c>
      <c r="B70" s="4">
        <f>12.8723 * CHOOSE(CONTROL!$C$9, $C$13, 100%, $E$13) + CHOOSE(CONTROL!$C$28, 0.0415, 0)</f>
        <v>12.913799999999998</v>
      </c>
      <c r="C70" s="4">
        <f>12.509 * CHOOSE(CONTROL!$C$9, $C$13, 100%, $E$13) + CHOOSE(CONTROL!$C$28, 0.0415, 0)</f>
        <v>12.5505</v>
      </c>
      <c r="D70" s="4">
        <f>19.2276 * CHOOSE(CONTROL!$C$9, $C$13, 100%, $E$13) + CHOOSE(CONTROL!$C$28, 0.0021, 0)</f>
        <v>19.229699999999998</v>
      </c>
      <c r="E70" s="4">
        <f>81.030265443242 * CHOOSE(CONTROL!$C$9, $C$13, 100%, $E$13) + CHOOSE(CONTROL!$C$28, 0.0021, 0)</f>
        <v>81.032365443242</v>
      </c>
    </row>
    <row r="71" spans="1:5" ht="15">
      <c r="A71" s="13">
        <v>43647</v>
      </c>
      <c r="B71" s="4">
        <f>12.8684 * CHOOSE(CONTROL!$C$9, $C$13, 100%, $E$13) + CHOOSE(CONTROL!$C$28, 0.0415, 0)</f>
        <v>12.909899999999999</v>
      </c>
      <c r="C71" s="4">
        <f>12.5051 * CHOOSE(CONTROL!$C$9, $C$13, 100%, $E$13) + CHOOSE(CONTROL!$C$28, 0.0415, 0)</f>
        <v>12.5466</v>
      </c>
      <c r="D71" s="4">
        <f>19.5143 * CHOOSE(CONTROL!$C$9, $C$13, 100%, $E$13) + CHOOSE(CONTROL!$C$28, 0.0021, 0)</f>
        <v>19.516399999999997</v>
      </c>
      <c r="E71" s="4">
        <f>81.0044924580502 * CHOOSE(CONTROL!$C$9, $C$13, 100%, $E$13) + CHOOSE(CONTROL!$C$28, 0.0021, 0)</f>
        <v>81.006592458050193</v>
      </c>
    </row>
    <row r="72" spans="1:5" ht="15">
      <c r="A72" s="13">
        <v>43678</v>
      </c>
      <c r="B72" s="4">
        <f>13.158 * CHOOSE(CONTROL!$C$9, $C$13, 100%, $E$13) + CHOOSE(CONTROL!$C$28, 0.0415, 0)</f>
        <v>13.199499999999999</v>
      </c>
      <c r="C72" s="4">
        <f>12.7947 * CHOOSE(CONTROL!$C$9, $C$13, 100%, $E$13) + CHOOSE(CONTROL!$C$28, 0.0415, 0)</f>
        <v>12.8362</v>
      </c>
      <c r="D72" s="4">
        <f>19.3249 * CHOOSE(CONTROL!$C$9, $C$13, 100%, $E$13) + CHOOSE(CONTROL!$C$28, 0.0021, 0)</f>
        <v>19.326999999999998</v>
      </c>
      <c r="E72" s="4">
        <f>82.9439095937384 * CHOOSE(CONTROL!$C$9, $C$13, 100%, $E$13) + CHOOSE(CONTROL!$C$28, 0.0021, 0)</f>
        <v>82.946009593738395</v>
      </c>
    </row>
    <row r="73" spans="1:5" ht="15">
      <c r="A73" s="13">
        <v>43709</v>
      </c>
      <c r="B73" s="4">
        <f>12.6645 * CHOOSE(CONTROL!$C$9, $C$13, 100%, $E$13) + CHOOSE(CONTROL!$C$28, 0.0415, 0)</f>
        <v>12.706</v>
      </c>
      <c r="C73" s="4">
        <f>12.3012 * CHOOSE(CONTROL!$C$9, $C$13, 100%, $E$13) + CHOOSE(CONTROL!$C$28, 0.0415, 0)</f>
        <v>12.342699999999999</v>
      </c>
      <c r="D73" s="4">
        <f>19.2355 * CHOOSE(CONTROL!$C$9, $C$13, 100%, $E$13) + CHOOSE(CONTROL!$C$28, 0.0021, 0)</f>
        <v>19.237599999999997</v>
      </c>
      <c r="E73" s="4">
        <f>79.638524242881 * CHOOSE(CONTROL!$C$9, $C$13, 100%, $E$13) + CHOOSE(CONTROL!$C$28, 0.0021, 0)</f>
        <v>79.640624242881003</v>
      </c>
    </row>
    <row r="74" spans="1:5" ht="15">
      <c r="A74" s="13">
        <v>43739</v>
      </c>
      <c r="B74" s="4">
        <f>12.2694 * CHOOSE(CONTROL!$C$9, $C$13, 100%, $E$13) + CHOOSE(CONTROL!$C$28, 0.0211, 0)</f>
        <v>12.2905</v>
      </c>
      <c r="C74" s="4">
        <f>11.9061 * CHOOSE(CONTROL!$C$9, $C$13, 100%, $E$13) + CHOOSE(CONTROL!$C$28, 0.0211, 0)</f>
        <v>11.927200000000001</v>
      </c>
      <c r="D74" s="4">
        <f>18.996 * CHOOSE(CONTROL!$C$9, $C$13, 100%, $E$13) + CHOOSE(CONTROL!$C$28, 0.0021, 0)</f>
        <v>18.998099999999997</v>
      </c>
      <c r="E74" s="4">
        <f>76.9924977631823 * CHOOSE(CONTROL!$C$9, $C$13, 100%, $E$13) + CHOOSE(CONTROL!$C$28, 0.0021, 0)</f>
        <v>76.994597763182298</v>
      </c>
    </row>
    <row r="75" spans="1:5" ht="15">
      <c r="A75" s="13">
        <v>43770</v>
      </c>
      <c r="B75" s="4">
        <f>12.0149 * CHOOSE(CONTROL!$C$9, $C$13, 100%, $E$13) + CHOOSE(CONTROL!$C$28, 0.0211, 0)</f>
        <v>12.036000000000001</v>
      </c>
      <c r="C75" s="4">
        <f>11.6516 * CHOOSE(CONTROL!$C$9, $C$13, 100%, $E$13) + CHOOSE(CONTROL!$C$28, 0.0211, 0)</f>
        <v>11.672700000000001</v>
      </c>
      <c r="D75" s="4">
        <f>18.9136 * CHOOSE(CONTROL!$C$9, $C$13, 100%, $E$13) + CHOOSE(CONTROL!$C$28, 0.0021, 0)</f>
        <v>18.915699999999998</v>
      </c>
      <c r="E75" s="4">
        <f>75.2882591173698 * CHOOSE(CONTROL!$C$9, $C$13, 100%, $E$13) + CHOOSE(CONTROL!$C$28, 0.0021, 0)</f>
        <v>75.290359117369803</v>
      </c>
    </row>
    <row r="76" spans="1:5" ht="15">
      <c r="A76" s="13">
        <v>43800</v>
      </c>
      <c r="B76" s="4">
        <f>11.8389 * CHOOSE(CONTROL!$C$9, $C$13, 100%, $E$13) + CHOOSE(CONTROL!$C$28, 0.0211, 0)</f>
        <v>11.860000000000001</v>
      </c>
      <c r="C76" s="4">
        <f>11.4756 * CHOOSE(CONTROL!$C$9, $C$13, 100%, $E$13) + CHOOSE(CONTROL!$C$28, 0.0211, 0)</f>
        <v>11.496700000000001</v>
      </c>
      <c r="D76" s="4">
        <f>18.3073 * CHOOSE(CONTROL!$C$9, $C$13, 100%, $E$13) + CHOOSE(CONTROL!$C$28, 0.0021, 0)</f>
        <v>18.3094</v>
      </c>
      <c r="E76" s="4">
        <f>74.1091450448417 * CHOOSE(CONTROL!$C$9, $C$13, 100%, $E$13) + CHOOSE(CONTROL!$C$28, 0.0021, 0)</f>
        <v>74.111245044841695</v>
      </c>
    </row>
    <row r="77" spans="1:5" ht="15">
      <c r="A77" s="13">
        <v>43831</v>
      </c>
      <c r="B77" s="4">
        <f>12.8082 * CHOOSE(CONTROL!$C$9, $C$13, 100%, $E$13) + CHOOSE(CONTROL!$C$28, 0.0211, 0)</f>
        <v>12.8293</v>
      </c>
      <c r="C77" s="4">
        <f>12.4449 * CHOOSE(CONTROL!$C$9, $C$13, 100%, $E$13) + CHOOSE(CONTROL!$C$28, 0.0211, 0)</f>
        <v>12.466000000000001</v>
      </c>
      <c r="D77" s="4">
        <f>19.2397 * CHOOSE(CONTROL!$C$9, $C$13, 100%, $E$13) + CHOOSE(CONTROL!$C$28, 0.0021, 0)</f>
        <v>19.241799999999998</v>
      </c>
      <c r="E77" s="4">
        <f>82.0078688574678 * CHOOSE(CONTROL!$C$9, $C$13, 100%, $E$13) + CHOOSE(CONTROL!$C$28, 0.0021, 0)</f>
        <v>82.009968857467797</v>
      </c>
    </row>
    <row r="78" spans="1:5" ht="15">
      <c r="A78" s="13">
        <v>43862</v>
      </c>
      <c r="B78" s="4">
        <f>13.0939 * CHOOSE(CONTROL!$C$9, $C$13, 100%, $E$13) + CHOOSE(CONTROL!$C$28, 0.0211, 0)</f>
        <v>13.115</v>
      </c>
      <c r="C78" s="4">
        <f>12.7307 * CHOOSE(CONTROL!$C$9, $C$13, 100%, $E$13) + CHOOSE(CONTROL!$C$28, 0.0211, 0)</f>
        <v>12.751800000000001</v>
      </c>
      <c r="D78" s="4">
        <f>19.8534 * CHOOSE(CONTROL!$C$9, $C$13, 100%, $E$13) + CHOOSE(CONTROL!$C$28, 0.0021, 0)</f>
        <v>19.855499999999999</v>
      </c>
      <c r="E78" s="4">
        <f>83.9550588497287 * CHOOSE(CONTROL!$C$9, $C$13, 100%, $E$13) + CHOOSE(CONTROL!$C$28, 0.0021, 0)</f>
        <v>83.9571588497287</v>
      </c>
    </row>
    <row r="79" spans="1:5" ht="15">
      <c r="A79" s="13">
        <v>43891</v>
      </c>
      <c r="B79" s="4">
        <f>13.8443 * CHOOSE(CONTROL!$C$9, $C$13, 100%, $E$13) + CHOOSE(CONTROL!$C$28, 0.0211, 0)</f>
        <v>13.865400000000001</v>
      </c>
      <c r="C79" s="4">
        <f>13.4811 * CHOOSE(CONTROL!$C$9, $C$13, 100%, $E$13) + CHOOSE(CONTROL!$C$28, 0.0211, 0)</f>
        <v>13.5022</v>
      </c>
      <c r="D79" s="4">
        <f>20.814 * CHOOSE(CONTROL!$C$9, $C$13, 100%, $E$13) + CHOOSE(CONTROL!$C$28, 0.0021, 0)</f>
        <v>20.816099999999999</v>
      </c>
      <c r="E79" s="4">
        <f>89.0684832493664 * CHOOSE(CONTROL!$C$9, $C$13, 100%, $E$13) + CHOOSE(CONTROL!$C$28, 0.0021, 0)</f>
        <v>89.070583249366393</v>
      </c>
    </row>
    <row r="80" spans="1:5" ht="15">
      <c r="A80" s="13">
        <v>43922</v>
      </c>
      <c r="B80" s="4">
        <f>14.3775 * CHOOSE(CONTROL!$C$9, $C$13, 100%, $E$13) + CHOOSE(CONTROL!$C$28, 0.0211, 0)</f>
        <v>14.3986</v>
      </c>
      <c r="C80" s="4">
        <f>14.0142 * CHOOSE(CONTROL!$C$9, $C$13, 100%, $E$13) + CHOOSE(CONTROL!$C$28, 0.0211, 0)</f>
        <v>14.035300000000001</v>
      </c>
      <c r="D80" s="4">
        <f>21.3674 * CHOOSE(CONTROL!$C$9, $C$13, 100%, $E$13) + CHOOSE(CONTROL!$C$28, 0.0021, 0)</f>
        <v>21.369499999999999</v>
      </c>
      <c r="E80" s="4">
        <f>92.7016394306491 * CHOOSE(CONTROL!$C$9, $C$13, 100%, $E$13) + CHOOSE(CONTROL!$C$28, 0.0021, 0)</f>
        <v>92.703739430649094</v>
      </c>
    </row>
    <row r="81" spans="1:5" ht="15">
      <c r="A81" s="13">
        <v>43952</v>
      </c>
      <c r="B81" s="4">
        <f>14.7033 * CHOOSE(CONTROL!$C$9, $C$13, 100%, $E$13) + CHOOSE(CONTROL!$C$28, 0.0415, 0)</f>
        <v>14.7448</v>
      </c>
      <c r="C81" s="4">
        <f>14.34 * CHOOSE(CONTROL!$C$9, $C$13, 100%, $E$13) + CHOOSE(CONTROL!$C$28, 0.0415, 0)</f>
        <v>14.381499999999999</v>
      </c>
      <c r="D81" s="4">
        <f>21.1487 * CHOOSE(CONTROL!$C$9, $C$13, 100%, $E$13) + CHOOSE(CONTROL!$C$28, 0.0021, 0)</f>
        <v>21.1508</v>
      </c>
      <c r="E81" s="4">
        <f>94.9214107828116 * CHOOSE(CONTROL!$C$9, $C$13, 100%, $E$13) + CHOOSE(CONTROL!$C$28, 0.0021, 0)</f>
        <v>94.923510782811604</v>
      </c>
    </row>
    <row r="82" spans="1:5" ht="15">
      <c r="A82" s="13">
        <v>43983</v>
      </c>
      <c r="B82" s="4">
        <f>14.7473 * CHOOSE(CONTROL!$C$9, $C$13, 100%, $E$13) + CHOOSE(CONTROL!$C$28, 0.0415, 0)</f>
        <v>14.788799999999998</v>
      </c>
      <c r="C82" s="4">
        <f>14.3841 * CHOOSE(CONTROL!$C$9, $C$13, 100%, $E$13) + CHOOSE(CONTROL!$C$28, 0.0415, 0)</f>
        <v>14.425599999999999</v>
      </c>
      <c r="D82" s="4">
        <f>21.3268 * CHOOSE(CONTROL!$C$9, $C$13, 100%, $E$13) + CHOOSE(CONTROL!$C$28, 0.0021, 0)</f>
        <v>21.328899999999997</v>
      </c>
      <c r="E82" s="4">
        <f>95.2217550589996 * CHOOSE(CONTROL!$C$9, $C$13, 100%, $E$13) + CHOOSE(CONTROL!$C$28, 0.0021, 0)</f>
        <v>95.223855058999604</v>
      </c>
    </row>
    <row r="83" spans="1:5" ht="15">
      <c r="A83" s="13">
        <v>44013</v>
      </c>
      <c r="B83" s="4">
        <f>14.7429 * CHOOSE(CONTROL!$C$9, $C$13, 100%, $E$13) + CHOOSE(CONTROL!$C$28, 0.0415, 0)</f>
        <v>14.7844</v>
      </c>
      <c r="C83" s="4">
        <f>14.3796 * CHOOSE(CONTROL!$C$9, $C$13, 100%, $E$13) + CHOOSE(CONTROL!$C$28, 0.0415, 0)</f>
        <v>14.421099999999999</v>
      </c>
      <c r="D83" s="4">
        <f>21.6482 * CHOOSE(CONTROL!$C$9, $C$13, 100%, $E$13) + CHOOSE(CONTROL!$C$28, 0.0021, 0)</f>
        <v>21.650299999999998</v>
      </c>
      <c r="E83" s="4">
        <f>95.1914682412328 * CHOOSE(CONTROL!$C$9, $C$13, 100%, $E$13) + CHOOSE(CONTROL!$C$28, 0.0021, 0)</f>
        <v>95.193568241232796</v>
      </c>
    </row>
    <row r="84" spans="1:5" ht="15">
      <c r="A84" s="13">
        <v>44044</v>
      </c>
      <c r="B84" s="4">
        <f>15.0774 * CHOOSE(CONTROL!$C$9, $C$13, 100%, $E$13) + CHOOSE(CONTROL!$C$28, 0.0415, 0)</f>
        <v>15.1189</v>
      </c>
      <c r="C84" s="4">
        <f>14.7141 * CHOOSE(CONTROL!$C$9, $C$13, 100%, $E$13) + CHOOSE(CONTROL!$C$28, 0.0415, 0)</f>
        <v>14.755599999999999</v>
      </c>
      <c r="D84" s="4">
        <f>21.436 * CHOOSE(CONTROL!$C$9, $C$13, 100%, $E$13) + CHOOSE(CONTROL!$C$28, 0.0021, 0)</f>
        <v>21.438099999999999</v>
      </c>
      <c r="E84" s="4">
        <f>97.4705512781888 * CHOOSE(CONTROL!$C$9, $C$13, 100%, $E$13) + CHOOSE(CONTROL!$C$28, 0.0021, 0)</f>
        <v>97.472651278188792</v>
      </c>
    </row>
    <row r="85" spans="1:5" ht="15">
      <c r="A85" s="13">
        <v>44075</v>
      </c>
      <c r="B85" s="4">
        <f>14.5073 * CHOOSE(CONTROL!$C$9, $C$13, 100%, $E$13) + CHOOSE(CONTROL!$C$28, 0.0415, 0)</f>
        <v>14.5488</v>
      </c>
      <c r="C85" s="4">
        <f>14.144 * CHOOSE(CONTROL!$C$9, $C$13, 100%, $E$13) + CHOOSE(CONTROL!$C$28, 0.0415, 0)</f>
        <v>14.185499999999999</v>
      </c>
      <c r="D85" s="4">
        <f>21.3357 * CHOOSE(CONTROL!$C$9, $C$13, 100%, $E$13) + CHOOSE(CONTROL!$C$28, 0.0021, 0)</f>
        <v>21.337799999999998</v>
      </c>
      <c r="E85" s="4">
        <f>93.5862668995893 * CHOOSE(CONTROL!$C$9, $C$13, 100%, $E$13) + CHOOSE(CONTROL!$C$28, 0.0021, 0)</f>
        <v>93.588366899589303</v>
      </c>
    </row>
    <row r="86" spans="1:5" ht="15">
      <c r="A86" s="13">
        <v>44105</v>
      </c>
      <c r="B86" s="4">
        <f>14.051 * CHOOSE(CONTROL!$C$9, $C$13, 100%, $E$13) + CHOOSE(CONTROL!$C$28, 0.0211, 0)</f>
        <v>14.072100000000001</v>
      </c>
      <c r="C86" s="4">
        <f>13.6877 * CHOOSE(CONTROL!$C$9, $C$13, 100%, $E$13) + CHOOSE(CONTROL!$C$28, 0.0211, 0)</f>
        <v>13.7088</v>
      </c>
      <c r="D86" s="4">
        <f>21.0672 * CHOOSE(CONTROL!$C$9, $C$13, 100%, $E$13) + CHOOSE(CONTROL!$C$28, 0.0021, 0)</f>
        <v>21.069299999999998</v>
      </c>
      <c r="E86" s="4">
        <f>90.4768202755253 * CHOOSE(CONTROL!$C$9, $C$13, 100%, $E$13) + CHOOSE(CONTROL!$C$28, 0.0021, 0)</f>
        <v>90.478920275525297</v>
      </c>
    </row>
    <row r="87" spans="1:5" ht="15">
      <c r="A87" s="13">
        <v>44136</v>
      </c>
      <c r="B87" s="4">
        <f>13.7571 * CHOOSE(CONTROL!$C$9, $C$13, 100%, $E$13) + CHOOSE(CONTROL!$C$28, 0.0211, 0)</f>
        <v>13.7782</v>
      </c>
      <c r="C87" s="4">
        <f>13.3938 * CHOOSE(CONTROL!$C$9, $C$13, 100%, $E$13) + CHOOSE(CONTROL!$C$28, 0.0211, 0)</f>
        <v>13.414900000000001</v>
      </c>
      <c r="D87" s="4">
        <f>20.9749 * CHOOSE(CONTROL!$C$9, $C$13, 100%, $E$13) + CHOOSE(CONTROL!$C$28, 0.0021, 0)</f>
        <v>20.977</v>
      </c>
      <c r="E87" s="4">
        <f>88.4741044506919 * CHOOSE(CONTROL!$C$9, $C$13, 100%, $E$13) + CHOOSE(CONTROL!$C$28, 0.0021, 0)</f>
        <v>88.476204450691895</v>
      </c>
    </row>
    <row r="88" spans="1:5" ht="15">
      <c r="A88" s="13">
        <v>44166</v>
      </c>
      <c r="B88" s="4">
        <f>13.5538 * CHOOSE(CONTROL!$C$9, $C$13, 100%, $E$13) + CHOOSE(CONTROL!$C$28, 0.0211, 0)</f>
        <v>13.574900000000001</v>
      </c>
      <c r="C88" s="4">
        <f>13.1905 * CHOOSE(CONTROL!$C$9, $C$13, 100%, $E$13) + CHOOSE(CONTROL!$C$28, 0.0211, 0)</f>
        <v>13.211600000000001</v>
      </c>
      <c r="D88" s="4">
        <f>20.2954 * CHOOSE(CONTROL!$C$9, $C$13, 100%, $E$13) + CHOOSE(CONTROL!$C$28, 0.0021, 0)</f>
        <v>20.297499999999999</v>
      </c>
      <c r="E88" s="4">
        <f>87.0884825378581 * CHOOSE(CONTROL!$C$9, $C$13, 100%, $E$13) + CHOOSE(CONTROL!$C$28, 0.0021, 0)</f>
        <v>87.090582537858097</v>
      </c>
    </row>
    <row r="89" spans="1:5" ht="15">
      <c r="A89" s="13">
        <v>44197</v>
      </c>
      <c r="B89" s="4">
        <f>13.3859 * CHOOSE(CONTROL!$C$9, $C$13, 100%, $E$13) + CHOOSE(CONTROL!$C$28, 0.0211, 0)</f>
        <v>13.407</v>
      </c>
      <c r="C89" s="4">
        <f>13.0226 * CHOOSE(CONTROL!$C$9, $C$13, 100%, $E$13) + CHOOSE(CONTROL!$C$28, 0.0211, 0)</f>
        <v>13.043700000000001</v>
      </c>
      <c r="D89" s="4">
        <f>20.0158 * CHOOSE(CONTROL!$C$9, $C$13, 100%, $E$13) + CHOOSE(CONTROL!$C$28, 0.0021, 0)</f>
        <v>20.017899999999997</v>
      </c>
      <c r="E89" s="4">
        <f>85.4125030956757 * CHOOSE(CONTROL!$C$9, $C$13, 100%, $E$13) + CHOOSE(CONTROL!$C$28, 0.0021, 0)</f>
        <v>85.414603095675702</v>
      </c>
    </row>
    <row r="90" spans="1:5" ht="15">
      <c r="A90" s="13">
        <v>44228</v>
      </c>
      <c r="B90" s="4">
        <f>13.6854 * CHOOSE(CONTROL!$C$9, $C$13, 100%, $E$13) + CHOOSE(CONTROL!$C$28, 0.0211, 0)</f>
        <v>13.7065</v>
      </c>
      <c r="C90" s="4">
        <f>13.3221 * CHOOSE(CONTROL!$C$9, $C$13, 100%, $E$13) + CHOOSE(CONTROL!$C$28, 0.0211, 0)</f>
        <v>13.343200000000001</v>
      </c>
      <c r="D90" s="4">
        <f>20.6569 * CHOOSE(CONTROL!$C$9, $C$13, 100%, $E$13) + CHOOSE(CONTROL!$C$28, 0.0021, 0)</f>
        <v>20.658999999999999</v>
      </c>
      <c r="E90" s="4">
        <f>87.4405325221069 * CHOOSE(CONTROL!$C$9, $C$13, 100%, $E$13) + CHOOSE(CONTROL!$C$28, 0.0021, 0)</f>
        <v>87.442632522106905</v>
      </c>
    </row>
    <row r="91" spans="1:5" ht="15">
      <c r="A91" s="13">
        <v>44256</v>
      </c>
      <c r="B91" s="4">
        <f>14.4718 * CHOOSE(CONTROL!$C$9, $C$13, 100%, $E$13) + CHOOSE(CONTROL!$C$28, 0.0211, 0)</f>
        <v>14.492900000000001</v>
      </c>
      <c r="C91" s="4">
        <f>14.1085 * CHOOSE(CONTROL!$C$9, $C$13, 100%, $E$13) + CHOOSE(CONTROL!$C$28, 0.0211, 0)</f>
        <v>14.1296</v>
      </c>
      <c r="D91" s="4">
        <f>21.6605 * CHOOSE(CONTROL!$C$9, $C$13, 100%, $E$13) + CHOOSE(CONTROL!$C$28, 0.0021, 0)</f>
        <v>21.662599999999998</v>
      </c>
      <c r="E91" s="4">
        <f>92.7662455719442 * CHOOSE(CONTROL!$C$9, $C$13, 100%, $E$13) + CHOOSE(CONTROL!$C$28, 0.0021, 0)</f>
        <v>92.768345571944195</v>
      </c>
    </row>
    <row r="92" spans="1:5" ht="15">
      <c r="A92" s="13">
        <v>44287</v>
      </c>
      <c r="B92" s="4">
        <f>15.0305 * CHOOSE(CONTROL!$C$9, $C$13, 100%, $E$13) + CHOOSE(CONTROL!$C$28, 0.0211, 0)</f>
        <v>15.051600000000001</v>
      </c>
      <c r="C92" s="4">
        <f>14.6673 * CHOOSE(CONTROL!$C$9, $C$13, 100%, $E$13) + CHOOSE(CONTROL!$C$28, 0.0211, 0)</f>
        <v>14.6884</v>
      </c>
      <c r="D92" s="4">
        <f>22.2385 * CHOOSE(CONTROL!$C$9, $C$13, 100%, $E$13) + CHOOSE(CONTROL!$C$28, 0.0021, 0)</f>
        <v>22.240599999999997</v>
      </c>
      <c r="E92" s="4">
        <f>96.5502356683118 * CHOOSE(CONTROL!$C$9, $C$13, 100%, $E$13) + CHOOSE(CONTROL!$C$28, 0.0021, 0)</f>
        <v>96.552335668311798</v>
      </c>
    </row>
    <row r="93" spans="1:5" ht="15">
      <c r="A93" s="13">
        <v>44317</v>
      </c>
      <c r="B93" s="4">
        <f>15.3719 * CHOOSE(CONTROL!$C$9, $C$13, 100%, $E$13) + CHOOSE(CONTROL!$C$28, 0.0415, 0)</f>
        <v>15.413399999999999</v>
      </c>
      <c r="C93" s="4">
        <f>15.0087 * CHOOSE(CONTROL!$C$9, $C$13, 100%, $E$13) + CHOOSE(CONTROL!$C$28, 0.0415, 0)</f>
        <v>15.050199999999998</v>
      </c>
      <c r="D93" s="4">
        <f>22.0101 * CHOOSE(CONTROL!$C$9, $C$13, 100%, $E$13) + CHOOSE(CONTROL!$C$28, 0.0021, 0)</f>
        <v>22.0122</v>
      </c>
      <c r="E93" s="4">
        <f>98.8621629276069 * CHOOSE(CONTROL!$C$9, $C$13, 100%, $E$13) + CHOOSE(CONTROL!$C$28, 0.0021, 0)</f>
        <v>98.864262927606902</v>
      </c>
    </row>
    <row r="94" spans="1:5" ht="15">
      <c r="A94" s="13">
        <v>44348</v>
      </c>
      <c r="B94" s="4">
        <f>15.4181 * CHOOSE(CONTROL!$C$9, $C$13, 100%, $E$13) + CHOOSE(CONTROL!$C$28, 0.0415, 0)</f>
        <v>15.4596</v>
      </c>
      <c r="C94" s="4">
        <f>15.0549 * CHOOSE(CONTROL!$C$9, $C$13, 100%, $E$13) + CHOOSE(CONTROL!$C$28, 0.0415, 0)</f>
        <v>15.096399999999999</v>
      </c>
      <c r="D94" s="4">
        <f>22.1961 * CHOOSE(CONTROL!$C$9, $C$13, 100%, $E$13) + CHOOSE(CONTROL!$C$28, 0.0021, 0)</f>
        <v>22.1982</v>
      </c>
      <c r="E94" s="4">
        <f>99.1749762804848 * CHOOSE(CONTROL!$C$9, $C$13, 100%, $E$13) + CHOOSE(CONTROL!$C$28, 0.0021, 0)</f>
        <v>99.177076280484798</v>
      </c>
    </row>
    <row r="95" spans="1:5" ht="15">
      <c r="A95" s="13">
        <v>44378</v>
      </c>
      <c r="B95" s="4">
        <f>15.4135 * CHOOSE(CONTROL!$C$9, $C$13, 100%, $E$13) + CHOOSE(CONTROL!$C$28, 0.0415, 0)</f>
        <v>15.455</v>
      </c>
      <c r="C95" s="4">
        <f>15.0502 * CHOOSE(CONTROL!$C$9, $C$13, 100%, $E$13) + CHOOSE(CONTROL!$C$28, 0.0415, 0)</f>
        <v>15.091699999999999</v>
      </c>
      <c r="D95" s="4">
        <f>22.5318 * CHOOSE(CONTROL!$C$9, $C$13, 100%, $E$13) + CHOOSE(CONTROL!$C$28, 0.0021, 0)</f>
        <v>22.533899999999999</v>
      </c>
      <c r="E95" s="4">
        <f>99.1434320768333 * CHOOSE(CONTROL!$C$9, $C$13, 100%, $E$13) + CHOOSE(CONTROL!$C$28, 0.0021, 0)</f>
        <v>99.145532076833305</v>
      </c>
    </row>
    <row r="96" spans="1:5" ht="15">
      <c r="A96" s="13">
        <v>44409</v>
      </c>
      <c r="B96" s="4">
        <f>15.764 * CHOOSE(CONTROL!$C$9, $C$13, 100%, $E$13) + CHOOSE(CONTROL!$C$28, 0.0415, 0)</f>
        <v>15.805499999999999</v>
      </c>
      <c r="C96" s="4">
        <f>15.4007 * CHOOSE(CONTROL!$C$9, $C$13, 100%, $E$13) + CHOOSE(CONTROL!$C$28, 0.0415, 0)</f>
        <v>15.4422</v>
      </c>
      <c r="D96" s="4">
        <f>22.3101 * CHOOSE(CONTROL!$C$9, $C$13, 100%, $E$13) + CHOOSE(CONTROL!$C$28, 0.0021, 0)</f>
        <v>22.312199999999997</v>
      </c>
      <c r="E96" s="4">
        <f>101.517133401613 * CHOOSE(CONTROL!$C$9, $C$13, 100%, $E$13) + CHOOSE(CONTROL!$C$28, 0.0021, 0)</f>
        <v>101.51923340161299</v>
      </c>
    </row>
    <row r="97" spans="1:5" ht="15">
      <c r="A97" s="13">
        <v>44440</v>
      </c>
      <c r="B97" s="4">
        <f>15.1666 * CHOOSE(CONTROL!$C$9, $C$13, 100%, $E$13) + CHOOSE(CONTROL!$C$28, 0.0415, 0)</f>
        <v>15.2081</v>
      </c>
      <c r="C97" s="4">
        <f>14.8033 * CHOOSE(CONTROL!$C$9, $C$13, 100%, $E$13) + CHOOSE(CONTROL!$C$28, 0.0415, 0)</f>
        <v>14.844799999999999</v>
      </c>
      <c r="D97" s="4">
        <f>22.2054 * CHOOSE(CONTROL!$C$9, $C$13, 100%, $E$13) + CHOOSE(CONTROL!$C$28, 0.0021, 0)</f>
        <v>22.2075</v>
      </c>
      <c r="E97" s="4">
        <f>97.471589283301 * CHOOSE(CONTROL!$C$9, $C$13, 100%, $E$13) + CHOOSE(CONTROL!$C$28, 0.0021, 0)</f>
        <v>97.473689283300999</v>
      </c>
    </row>
    <row r="98" spans="1:5" ht="15">
      <c r="A98" s="13">
        <v>44470</v>
      </c>
      <c r="B98" s="4">
        <f>14.6884 * CHOOSE(CONTROL!$C$9, $C$13, 100%, $E$13) + CHOOSE(CONTROL!$C$28, 0.0211, 0)</f>
        <v>14.7095</v>
      </c>
      <c r="C98" s="4">
        <f>14.3251 * CHOOSE(CONTROL!$C$9, $C$13, 100%, $E$13) + CHOOSE(CONTROL!$C$28, 0.0211, 0)</f>
        <v>14.346200000000001</v>
      </c>
      <c r="D98" s="4">
        <f>21.9249 * CHOOSE(CONTROL!$C$9, $C$13, 100%, $E$13) + CHOOSE(CONTROL!$C$28, 0.0021, 0)</f>
        <v>21.927</v>
      </c>
      <c r="E98" s="4">
        <f>94.2330510417414 * CHOOSE(CONTROL!$C$9, $C$13, 100%, $E$13) + CHOOSE(CONTROL!$C$28, 0.0021, 0)</f>
        <v>94.235151041741403</v>
      </c>
    </row>
    <row r="99" spans="1:5" ht="15">
      <c r="A99" s="13">
        <v>44501</v>
      </c>
      <c r="B99" s="4">
        <f>14.3804 * CHOOSE(CONTROL!$C$9, $C$13, 100%, $E$13) + CHOOSE(CONTROL!$C$28, 0.0211, 0)</f>
        <v>14.4015</v>
      </c>
      <c r="C99" s="4">
        <f>14.0171 * CHOOSE(CONTROL!$C$9, $C$13, 100%, $E$13) + CHOOSE(CONTROL!$C$28, 0.0211, 0)</f>
        <v>14.0382</v>
      </c>
      <c r="D99" s="4">
        <f>21.8285 * CHOOSE(CONTROL!$C$9, $C$13, 100%, $E$13) + CHOOSE(CONTROL!$C$28, 0.0021, 0)</f>
        <v>21.830599999999997</v>
      </c>
      <c r="E99" s="4">
        <f>92.1471905752824 * CHOOSE(CONTROL!$C$9, $C$13, 100%, $E$13) + CHOOSE(CONTROL!$C$28, 0.0021, 0)</f>
        <v>92.149290575282393</v>
      </c>
    </row>
    <row r="100" spans="1:5" ht="15">
      <c r="A100" s="13">
        <v>44531</v>
      </c>
      <c r="B100" s="4">
        <f>14.1673 * CHOOSE(CONTROL!$C$9, $C$13, 100%, $E$13) + CHOOSE(CONTROL!$C$28, 0.0211, 0)</f>
        <v>14.1884</v>
      </c>
      <c r="C100" s="4">
        <f>13.804 * CHOOSE(CONTROL!$C$9, $C$13, 100%, $E$13) + CHOOSE(CONTROL!$C$28, 0.0211, 0)</f>
        <v>13.825100000000001</v>
      </c>
      <c r="D100" s="4">
        <f>21.1187 * CHOOSE(CONTROL!$C$9, $C$13, 100%, $E$13) + CHOOSE(CONTROL!$C$28, 0.0021, 0)</f>
        <v>21.120799999999999</v>
      </c>
      <c r="E100" s="4">
        <f>90.7040432582239 * CHOOSE(CONTROL!$C$9, $C$13, 100%, $E$13) + CHOOSE(CONTROL!$C$28, 0.0021, 0)</f>
        <v>90.706143258223904</v>
      </c>
    </row>
    <row r="101" spans="1:5" ht="15">
      <c r="A101" s="13">
        <v>44562</v>
      </c>
      <c r="B101" s="4">
        <f>14.0661 * CHOOSE(CONTROL!$C$9, $C$13, 100%, $E$13) + CHOOSE(CONTROL!$C$28, 0.0211, 0)</f>
        <v>14.087200000000001</v>
      </c>
      <c r="C101" s="4">
        <f>13.7028 * CHOOSE(CONTROL!$C$9, $C$13, 100%, $E$13) + CHOOSE(CONTROL!$C$28, 0.0211, 0)</f>
        <v>13.7239</v>
      </c>
      <c r="D101" s="4">
        <f>20.9947 * CHOOSE(CONTROL!$C$9, $C$13, 100%, $E$13) + CHOOSE(CONTROL!$C$28, 0.0021, 0)</f>
        <v>20.9968</v>
      </c>
      <c r="E101" s="4">
        <f>89.7194686098829 * CHOOSE(CONTROL!$C$9, $C$13, 100%, $E$13) + CHOOSE(CONTROL!$C$28, 0.0021, 0)</f>
        <v>89.721568609882894</v>
      </c>
    </row>
    <row r="102" spans="1:5" ht="15">
      <c r="A102" s="13">
        <v>44593</v>
      </c>
      <c r="B102" s="4">
        <f>14.3817 * CHOOSE(CONTROL!$C$9, $C$13, 100%, $E$13) + CHOOSE(CONTROL!$C$28, 0.0211, 0)</f>
        <v>14.402800000000001</v>
      </c>
      <c r="C102" s="4">
        <f>14.0184 * CHOOSE(CONTROL!$C$9, $C$13, 100%, $E$13) + CHOOSE(CONTROL!$C$28, 0.0211, 0)</f>
        <v>14.0395</v>
      </c>
      <c r="D102" s="4">
        <f>21.6704 * CHOOSE(CONTROL!$C$9, $C$13, 100%, $E$13) + CHOOSE(CONTROL!$C$28, 0.0021, 0)</f>
        <v>21.672499999999999</v>
      </c>
      <c r="E102" s="4">
        <f>91.8497623709824 * CHOOSE(CONTROL!$C$9, $C$13, 100%, $E$13) + CHOOSE(CONTROL!$C$28, 0.0021, 0)</f>
        <v>91.851862370982403</v>
      </c>
    </row>
    <row r="103" spans="1:5" ht="15">
      <c r="A103" s="13">
        <v>44621</v>
      </c>
      <c r="B103" s="4">
        <f>15.2105 * CHOOSE(CONTROL!$C$9, $C$13, 100%, $E$13) + CHOOSE(CONTROL!$C$28, 0.0211, 0)</f>
        <v>15.2316</v>
      </c>
      <c r="C103" s="4">
        <f>14.8473 * CHOOSE(CONTROL!$C$9, $C$13, 100%, $E$13) + CHOOSE(CONTROL!$C$28, 0.0211, 0)</f>
        <v>14.868400000000001</v>
      </c>
      <c r="D103" s="4">
        <f>22.728 * CHOOSE(CONTROL!$C$9, $C$13, 100%, $E$13) + CHOOSE(CONTROL!$C$28, 0.0021, 0)</f>
        <v>22.7301</v>
      </c>
      <c r="E103" s="4">
        <f>97.4440269983156 * CHOOSE(CONTROL!$C$9, $C$13, 100%, $E$13) + CHOOSE(CONTROL!$C$28, 0.0021, 0)</f>
        <v>97.446126998315592</v>
      </c>
    </row>
    <row r="104" spans="1:5" ht="15">
      <c r="A104" s="13">
        <v>44652</v>
      </c>
      <c r="B104" s="4">
        <f>15.7994 * CHOOSE(CONTROL!$C$9, $C$13, 100%, $E$13) + CHOOSE(CONTROL!$C$28, 0.0211, 0)</f>
        <v>15.820500000000001</v>
      </c>
      <c r="C104" s="4">
        <f>15.4362 * CHOOSE(CONTROL!$C$9, $C$13, 100%, $E$13) + CHOOSE(CONTROL!$C$28, 0.0211, 0)</f>
        <v>15.4573</v>
      </c>
      <c r="D104" s="4">
        <f>23.3372 * CHOOSE(CONTROL!$C$9, $C$13, 100%, $E$13) + CHOOSE(CONTROL!$C$28, 0.0021, 0)</f>
        <v>23.339299999999998</v>
      </c>
      <c r="E104" s="4">
        <f>101.418826569414 * CHOOSE(CONTROL!$C$9, $C$13, 100%, $E$13) + CHOOSE(CONTROL!$C$28, 0.0021, 0)</f>
        <v>101.42092656941399</v>
      </c>
    </row>
    <row r="105" spans="1:5" ht="15">
      <c r="A105" s="13">
        <v>44682</v>
      </c>
      <c r="B105" s="4">
        <f>16.1593 * CHOOSE(CONTROL!$C$9, $C$13, 100%, $E$13) + CHOOSE(CONTROL!$C$28, 0.0415, 0)</f>
        <v>16.200800000000001</v>
      </c>
      <c r="C105" s="4">
        <f>15.796 * CHOOSE(CONTROL!$C$9, $C$13, 100%, $E$13) + CHOOSE(CONTROL!$C$28, 0.0415, 0)</f>
        <v>15.837499999999999</v>
      </c>
      <c r="D105" s="4">
        <f>23.0965 * CHOOSE(CONTROL!$C$9, $C$13, 100%, $E$13) + CHOOSE(CONTROL!$C$28, 0.0021, 0)</f>
        <v>23.098599999999998</v>
      </c>
      <c r="E105" s="4">
        <f>103.847333844705 * CHOOSE(CONTROL!$C$9, $C$13, 100%, $E$13) + CHOOSE(CONTROL!$C$28, 0.0021, 0)</f>
        <v>103.849433844705</v>
      </c>
    </row>
    <row r="106" spans="1:5" ht="15">
      <c r="A106" s="13">
        <v>44713</v>
      </c>
      <c r="B106" s="4">
        <f>16.2079 * CHOOSE(CONTROL!$C$9, $C$13, 100%, $E$13) + CHOOSE(CONTROL!$C$28, 0.0415, 0)</f>
        <v>16.249399999999998</v>
      </c>
      <c r="C106" s="4">
        <f>15.8447 * CHOOSE(CONTROL!$C$9, $C$13, 100%, $E$13) + CHOOSE(CONTROL!$C$28, 0.0415, 0)</f>
        <v>15.886199999999999</v>
      </c>
      <c r="D106" s="4">
        <f>23.2926 * CHOOSE(CONTROL!$C$9, $C$13, 100%, $E$13) + CHOOSE(CONTROL!$C$28, 0.0021, 0)</f>
        <v>23.294699999999999</v>
      </c>
      <c r="E106" s="4">
        <f>104.175920957564 * CHOOSE(CONTROL!$C$9, $C$13, 100%, $E$13) + CHOOSE(CONTROL!$C$28, 0.0021, 0)</f>
        <v>104.178020957564</v>
      </c>
    </row>
    <row r="107" spans="1:5" ht="15">
      <c r="A107" s="13">
        <v>44743</v>
      </c>
      <c r="B107" s="4">
        <f>16.203 * CHOOSE(CONTROL!$C$9, $C$13, 100%, $E$13) + CHOOSE(CONTROL!$C$28, 0.0415, 0)</f>
        <v>16.244499999999999</v>
      </c>
      <c r="C107" s="4">
        <f>15.8397 * CHOOSE(CONTROL!$C$9, $C$13, 100%, $E$13) + CHOOSE(CONTROL!$C$28, 0.0415, 0)</f>
        <v>15.8812</v>
      </c>
      <c r="D107" s="4">
        <f>23.6463 * CHOOSE(CONTROL!$C$9, $C$13, 100%, $E$13) + CHOOSE(CONTROL!$C$28, 0.0021, 0)</f>
        <v>23.648399999999999</v>
      </c>
      <c r="E107" s="4">
        <f>104.142786122654 * CHOOSE(CONTROL!$C$9, $C$13, 100%, $E$13) + CHOOSE(CONTROL!$C$28, 0.0021, 0)</f>
        <v>104.144886122654</v>
      </c>
    </row>
    <row r="108" spans="1:5" ht="15">
      <c r="A108" s="13">
        <v>44774</v>
      </c>
      <c r="B108" s="4">
        <f>16.5724 * CHOOSE(CONTROL!$C$9, $C$13, 100%, $E$13) + CHOOSE(CONTROL!$C$28, 0.0415, 0)</f>
        <v>16.613899999999997</v>
      </c>
      <c r="C108" s="4">
        <f>16.2092 * CHOOSE(CONTROL!$C$9, $C$13, 100%, $E$13) + CHOOSE(CONTROL!$C$28, 0.0415, 0)</f>
        <v>16.250699999999998</v>
      </c>
      <c r="D108" s="4">
        <f>23.4127 * CHOOSE(CONTROL!$C$9, $C$13, 100%, $E$13) + CHOOSE(CONTROL!$C$28, 0.0021, 0)</f>
        <v>23.4148</v>
      </c>
      <c r="E108" s="4">
        <f>106.636182449644 * CHOOSE(CONTROL!$C$9, $C$13, 100%, $E$13) + CHOOSE(CONTROL!$C$28, 0.0021, 0)</f>
        <v>106.638282449644</v>
      </c>
    </row>
    <row r="109" spans="1:5" ht="15">
      <c r="A109" s="13">
        <v>44805</v>
      </c>
      <c r="B109" s="4">
        <f>15.9428 * CHOOSE(CONTROL!$C$9, $C$13, 100%, $E$13) + CHOOSE(CONTROL!$C$28, 0.0415, 0)</f>
        <v>15.984299999999999</v>
      </c>
      <c r="C109" s="4">
        <f>15.5796 * CHOOSE(CONTROL!$C$9, $C$13, 100%, $E$13) + CHOOSE(CONTROL!$C$28, 0.0415, 0)</f>
        <v>15.621099999999998</v>
      </c>
      <c r="D109" s="4">
        <f>23.3023 * CHOOSE(CONTROL!$C$9, $C$13, 100%, $E$13) + CHOOSE(CONTROL!$C$28, 0.0021, 0)</f>
        <v>23.304399999999998</v>
      </c>
      <c r="E109" s="4">
        <f>102.386639872415 * CHOOSE(CONTROL!$C$9, $C$13, 100%, $E$13) + CHOOSE(CONTROL!$C$28, 0.0021, 0)</f>
        <v>102.388739872415</v>
      </c>
    </row>
    <row r="110" spans="1:5" ht="15">
      <c r="A110" s="13">
        <v>44835</v>
      </c>
      <c r="B110" s="4">
        <f>15.4388 * CHOOSE(CONTROL!$C$9, $C$13, 100%, $E$13) + CHOOSE(CONTROL!$C$28, 0.0211, 0)</f>
        <v>15.459900000000001</v>
      </c>
      <c r="C110" s="4">
        <f>15.0755 * CHOOSE(CONTROL!$C$9, $C$13, 100%, $E$13) + CHOOSE(CONTROL!$C$28, 0.0211, 0)</f>
        <v>15.0966</v>
      </c>
      <c r="D110" s="4">
        <f>23.0067 * CHOOSE(CONTROL!$C$9, $C$13, 100%, $E$13) + CHOOSE(CONTROL!$C$28, 0.0021, 0)</f>
        <v>23.008799999999997</v>
      </c>
      <c r="E110" s="4">
        <f>98.9847968216383 * CHOOSE(CONTROL!$C$9, $C$13, 100%, $E$13) + CHOOSE(CONTROL!$C$28, 0.0021, 0)</f>
        <v>98.986896821638297</v>
      </c>
    </row>
    <row r="111" spans="1:5" ht="15">
      <c r="A111" s="13">
        <v>44866</v>
      </c>
      <c r="B111" s="4">
        <f>15.1142 * CHOOSE(CONTROL!$C$9, $C$13, 100%, $E$13) + CHOOSE(CONTROL!$C$28, 0.0211, 0)</f>
        <v>15.135300000000001</v>
      </c>
      <c r="C111" s="4">
        <f>14.7509 * CHOOSE(CONTROL!$C$9, $C$13, 100%, $E$13) + CHOOSE(CONTROL!$C$28, 0.0211, 0)</f>
        <v>14.772</v>
      </c>
      <c r="D111" s="4">
        <f>22.9051 * CHOOSE(CONTROL!$C$9, $C$13, 100%, $E$13) + CHOOSE(CONTROL!$C$28, 0.0021, 0)</f>
        <v>22.9072</v>
      </c>
      <c r="E111" s="4">
        <f>96.7937558632035 * CHOOSE(CONTROL!$C$9, $C$13, 100%, $E$13) + CHOOSE(CONTROL!$C$28, 0.0021, 0)</f>
        <v>96.795855863203499</v>
      </c>
    </row>
    <row r="112" spans="1:5" ht="15">
      <c r="A112" s="13">
        <v>44896</v>
      </c>
      <c r="B112" s="4">
        <f>14.8896 * CHOOSE(CONTROL!$C$9, $C$13, 100%, $E$13) + CHOOSE(CONTROL!$C$28, 0.0211, 0)</f>
        <v>14.9107</v>
      </c>
      <c r="C112" s="4">
        <f>14.5263 * CHOOSE(CONTROL!$C$9, $C$13, 100%, $E$13) + CHOOSE(CONTROL!$C$28, 0.0211, 0)</f>
        <v>14.547400000000001</v>
      </c>
      <c r="D112" s="4">
        <f>22.157 * CHOOSE(CONTROL!$C$9, $C$13, 100%, $E$13) + CHOOSE(CONTROL!$C$28, 0.0021, 0)</f>
        <v>22.159099999999999</v>
      </c>
      <c r="E112" s="4">
        <f>95.2778371660634 * CHOOSE(CONTROL!$C$9, $C$13, 100%, $E$13) + CHOOSE(CONTROL!$C$28, 0.0021, 0)</f>
        <v>95.279937166063405</v>
      </c>
    </row>
    <row r="113" spans="1:5" ht="15">
      <c r="A113" s="13">
        <v>44927</v>
      </c>
      <c r="B113" s="4">
        <f>14.7924 * CHOOSE(CONTROL!$C$9, $C$13, 100%, $E$13) + CHOOSE(CONTROL!$C$28, 0.0211, 0)</f>
        <v>14.813500000000001</v>
      </c>
      <c r="C113" s="4">
        <f>14.4291 * CHOOSE(CONTROL!$C$9, $C$13, 100%, $E$13) + CHOOSE(CONTROL!$C$28, 0.0211, 0)</f>
        <v>14.450200000000001</v>
      </c>
      <c r="D113" s="4">
        <f>21.9492 * CHOOSE(CONTROL!$C$9, $C$13, 100%, $E$13) + CHOOSE(CONTROL!$C$28, 0.0021, 0)</f>
        <v>21.9513</v>
      </c>
      <c r="E113" s="4">
        <f>94.0260553347621 * CHOOSE(CONTROL!$C$9, $C$13, 100%, $E$13) + CHOOSE(CONTROL!$C$28, 0.0021, 0)</f>
        <v>94.028155334762104</v>
      </c>
    </row>
    <row r="114" spans="1:5" ht="15">
      <c r="A114" s="13">
        <v>44958</v>
      </c>
      <c r="B114" s="4">
        <f>15.1252 * CHOOSE(CONTROL!$C$9, $C$13, 100%, $E$13) + CHOOSE(CONTROL!$C$28, 0.0211, 0)</f>
        <v>15.1463</v>
      </c>
      <c r="C114" s="4">
        <f>14.762 * CHOOSE(CONTROL!$C$9, $C$13, 100%, $E$13) + CHOOSE(CONTROL!$C$28, 0.0211, 0)</f>
        <v>14.783100000000001</v>
      </c>
      <c r="D114" s="4">
        <f>22.6585 * CHOOSE(CONTROL!$C$9, $C$13, 100%, $E$13) + CHOOSE(CONTROL!$C$28, 0.0021, 0)</f>
        <v>22.660599999999999</v>
      </c>
      <c r="E114" s="4">
        <f>96.2586044365785 * CHOOSE(CONTROL!$C$9, $C$13, 100%, $E$13) + CHOOSE(CONTROL!$C$28, 0.0021, 0)</f>
        <v>96.260704436578493</v>
      </c>
    </row>
    <row r="115" spans="1:5" ht="15">
      <c r="A115" s="13">
        <v>44986</v>
      </c>
      <c r="B115" s="4">
        <f>15.9994 * CHOOSE(CONTROL!$C$9, $C$13, 100%, $E$13) + CHOOSE(CONTROL!$C$28, 0.0211, 0)</f>
        <v>16.020499999999998</v>
      </c>
      <c r="C115" s="4">
        <f>15.6361 * CHOOSE(CONTROL!$C$9, $C$13, 100%, $E$13) + CHOOSE(CONTROL!$C$28, 0.0211, 0)</f>
        <v>15.657200000000001</v>
      </c>
      <c r="D115" s="4">
        <f>23.7688 * CHOOSE(CONTROL!$C$9, $C$13, 100%, $E$13) + CHOOSE(CONTROL!$C$28, 0.0021, 0)</f>
        <v>23.770899999999997</v>
      </c>
      <c r="E115" s="4">
        <f>102.121397022813 * CHOOSE(CONTROL!$C$9, $C$13, 100%, $E$13) + CHOOSE(CONTROL!$C$28, 0.0021, 0)</f>
        <v>102.123497022813</v>
      </c>
    </row>
    <row r="116" spans="1:5" ht="15">
      <c r="A116" s="13">
        <v>45017</v>
      </c>
      <c r="B116" s="4">
        <f>16.6204 * CHOOSE(CONTROL!$C$9, $C$13, 100%, $E$13) + CHOOSE(CONTROL!$C$28, 0.0211, 0)</f>
        <v>16.641500000000001</v>
      </c>
      <c r="C116" s="4">
        <f>16.2571 * CHOOSE(CONTROL!$C$9, $C$13, 100%, $E$13) + CHOOSE(CONTROL!$C$28, 0.0211, 0)</f>
        <v>16.278200000000002</v>
      </c>
      <c r="D116" s="4">
        <f>24.4085 * CHOOSE(CONTROL!$C$9, $C$13, 100%, $E$13) + CHOOSE(CONTROL!$C$28, 0.0021, 0)</f>
        <v>24.410599999999999</v>
      </c>
      <c r="E116" s="4">
        <f>106.286989287317 * CHOOSE(CONTROL!$C$9, $C$13, 100%, $E$13) + CHOOSE(CONTROL!$C$28, 0.0021, 0)</f>
        <v>106.289089287317</v>
      </c>
    </row>
    <row r="117" spans="1:5" ht="15">
      <c r="A117" s="13">
        <v>45047</v>
      </c>
      <c r="B117" s="4">
        <f>16.9999 * CHOOSE(CONTROL!$C$9, $C$13, 100%, $E$13) + CHOOSE(CONTROL!$C$28, 0.0415, 0)</f>
        <v>17.041399999999999</v>
      </c>
      <c r="C117" s="4">
        <f>16.6366 * CHOOSE(CONTROL!$C$9, $C$13, 100%, $E$13) + CHOOSE(CONTROL!$C$28, 0.0415, 0)</f>
        <v>16.678100000000001</v>
      </c>
      <c r="D117" s="4">
        <f>24.1557 * CHOOSE(CONTROL!$C$9, $C$13, 100%, $E$13) + CHOOSE(CONTROL!$C$28, 0.0021, 0)</f>
        <v>24.157799999999998</v>
      </c>
      <c r="E117" s="4">
        <f>108.832066325616 * CHOOSE(CONTROL!$C$9, $C$13, 100%, $E$13) + CHOOSE(CONTROL!$C$28, 0.0021, 0)</f>
        <v>108.834166325616</v>
      </c>
    </row>
    <row r="118" spans="1:5" ht="15">
      <c r="A118" s="13">
        <v>45078</v>
      </c>
      <c r="B118" s="4">
        <f>17.0512 * CHOOSE(CONTROL!$C$9, $C$13, 100%, $E$13) + CHOOSE(CONTROL!$C$28, 0.0415, 0)</f>
        <v>17.092700000000001</v>
      </c>
      <c r="C118" s="4">
        <f>16.688 * CHOOSE(CONTROL!$C$9, $C$13, 100%, $E$13) + CHOOSE(CONTROL!$C$28, 0.0415, 0)</f>
        <v>16.729499999999998</v>
      </c>
      <c r="D118" s="4">
        <f>24.3616 * CHOOSE(CONTROL!$C$9, $C$13, 100%, $E$13) + CHOOSE(CONTROL!$C$28, 0.0021, 0)</f>
        <v>24.363699999999998</v>
      </c>
      <c r="E118" s="4">
        <f>109.176425811184 * CHOOSE(CONTROL!$C$9, $C$13, 100%, $E$13) + CHOOSE(CONTROL!$C$28, 0.0021, 0)</f>
        <v>109.178525811184</v>
      </c>
    </row>
    <row r="119" spans="1:5" ht="15">
      <c r="A119" s="13">
        <v>45108</v>
      </c>
      <c r="B119" s="4">
        <f>17.0461 * CHOOSE(CONTROL!$C$9, $C$13, 100%, $E$13) + CHOOSE(CONTROL!$C$28, 0.0415, 0)</f>
        <v>17.087599999999998</v>
      </c>
      <c r="C119" s="4">
        <f>16.6828 * CHOOSE(CONTROL!$C$9, $C$13, 100%, $E$13) + CHOOSE(CONTROL!$C$28, 0.0415, 0)</f>
        <v>16.724299999999999</v>
      </c>
      <c r="D119" s="4">
        <f>24.733 * CHOOSE(CONTROL!$C$9, $C$13, 100%, $E$13) + CHOOSE(CONTROL!$C$28, 0.0021, 0)</f>
        <v>24.735099999999999</v>
      </c>
      <c r="E119" s="4">
        <f>109.141700484908 * CHOOSE(CONTROL!$C$9, $C$13, 100%, $E$13) + CHOOSE(CONTROL!$C$28, 0.0021, 0)</f>
        <v>109.143800484908</v>
      </c>
    </row>
    <row r="120" spans="1:5" ht="15">
      <c r="A120" s="13">
        <v>45139</v>
      </c>
      <c r="B120" s="4">
        <f>17.4357 * CHOOSE(CONTROL!$C$9, $C$13, 100%, $E$13) + CHOOSE(CONTROL!$C$28, 0.0415, 0)</f>
        <v>17.4772</v>
      </c>
      <c r="C120" s="4">
        <f>17.0724 * CHOOSE(CONTROL!$C$9, $C$13, 100%, $E$13) + CHOOSE(CONTROL!$C$28, 0.0415, 0)</f>
        <v>17.113899999999997</v>
      </c>
      <c r="D120" s="4">
        <f>24.4877 * CHOOSE(CONTROL!$C$9, $C$13, 100%, $E$13) + CHOOSE(CONTROL!$C$28, 0.0021, 0)</f>
        <v>24.489799999999999</v>
      </c>
      <c r="E120" s="4">
        <f>111.754781287164 * CHOOSE(CONTROL!$C$9, $C$13, 100%, $E$13) + CHOOSE(CONTROL!$C$28, 0.0021, 0)</f>
        <v>111.75688128716399</v>
      </c>
    </row>
    <row r="121" spans="1:5" ht="15">
      <c r="A121" s="13">
        <v>45170</v>
      </c>
      <c r="B121" s="4">
        <f>16.7717 * CHOOSE(CONTROL!$C$9, $C$13, 100%, $E$13) + CHOOSE(CONTROL!$C$28, 0.0415, 0)</f>
        <v>16.813199999999998</v>
      </c>
      <c r="C121" s="4">
        <f>16.4084 * CHOOSE(CONTROL!$C$9, $C$13, 100%, $E$13) + CHOOSE(CONTROL!$C$28, 0.0415, 0)</f>
        <v>16.4499</v>
      </c>
      <c r="D121" s="4">
        <f>24.3718 * CHOOSE(CONTROL!$C$9, $C$13, 100%, $E$13) + CHOOSE(CONTROL!$C$28, 0.0021, 0)</f>
        <v>24.373899999999999</v>
      </c>
      <c r="E121" s="4">
        <f>107.30125819229 * CHOOSE(CONTROL!$C$9, $C$13, 100%, $E$13) + CHOOSE(CONTROL!$C$28, 0.0021, 0)</f>
        <v>107.30335819229001</v>
      </c>
    </row>
    <row r="122" spans="1:5" ht="15">
      <c r="A122" s="13">
        <v>45200</v>
      </c>
      <c r="B122" s="4">
        <f>16.2401 * CHOOSE(CONTROL!$C$9, $C$13, 100%, $E$13) + CHOOSE(CONTROL!$C$28, 0.0211, 0)</f>
        <v>16.261200000000002</v>
      </c>
      <c r="C122" s="4">
        <f>15.8768 * CHOOSE(CONTROL!$C$9, $C$13, 100%, $E$13) + CHOOSE(CONTROL!$C$28, 0.0211, 0)</f>
        <v>15.8979</v>
      </c>
      <c r="D122" s="4">
        <f>24.0615 * CHOOSE(CONTROL!$C$9, $C$13, 100%, $E$13) + CHOOSE(CONTROL!$C$28, 0.0021, 0)</f>
        <v>24.063599999999997</v>
      </c>
      <c r="E122" s="4">
        <f>103.736124694639 * CHOOSE(CONTROL!$C$9, $C$13, 100%, $E$13) + CHOOSE(CONTROL!$C$28, 0.0021, 0)</f>
        <v>103.738224694639</v>
      </c>
    </row>
    <row r="123" spans="1:5" ht="15">
      <c r="A123" s="13">
        <v>45231</v>
      </c>
      <c r="B123" s="4">
        <f>15.8977 * CHOOSE(CONTROL!$C$9, $C$13, 100%, $E$13) + CHOOSE(CONTROL!$C$28, 0.0211, 0)</f>
        <v>15.918800000000001</v>
      </c>
      <c r="C123" s="4">
        <f>15.5345 * CHOOSE(CONTROL!$C$9, $C$13, 100%, $E$13) + CHOOSE(CONTROL!$C$28, 0.0211, 0)</f>
        <v>15.5556</v>
      </c>
      <c r="D123" s="4">
        <f>23.9548 * CHOOSE(CONTROL!$C$9, $C$13, 100%, $E$13) + CHOOSE(CONTROL!$C$28, 0.0021, 0)</f>
        <v>23.956899999999997</v>
      </c>
      <c r="E123" s="4">
        <f>101.43991249465 * CHOOSE(CONTROL!$C$9, $C$13, 100%, $E$13) + CHOOSE(CONTROL!$C$28, 0.0021, 0)</f>
        <v>101.44201249465</v>
      </c>
    </row>
    <row r="124" spans="1:5" ht="15">
      <c r="A124" s="13">
        <v>45261</v>
      </c>
      <c r="B124" s="4">
        <f>15.6609 * CHOOSE(CONTROL!$C$9, $C$13, 100%, $E$13) + CHOOSE(CONTROL!$C$28, 0.0211, 0)</f>
        <v>15.682</v>
      </c>
      <c r="C124" s="4">
        <f>15.2976 * CHOOSE(CONTROL!$C$9, $C$13, 100%, $E$13) + CHOOSE(CONTROL!$C$28, 0.0211, 0)</f>
        <v>15.3187</v>
      </c>
      <c r="D124" s="4">
        <f>23.1694 * CHOOSE(CONTROL!$C$9, $C$13, 100%, $E$13) + CHOOSE(CONTROL!$C$28, 0.0021, 0)</f>
        <v>23.171499999999998</v>
      </c>
      <c r="E124" s="4">
        <f>99.8512288175313 * CHOOSE(CONTROL!$C$9, $C$13, 100%, $E$13) + CHOOSE(CONTROL!$C$28, 0.0021, 0)</f>
        <v>99.853328817531292</v>
      </c>
    </row>
    <row r="125" spans="1:5" ht="15">
      <c r="A125" s="13">
        <v>45292</v>
      </c>
      <c r="B125" s="4">
        <f>15.545 * CHOOSE(CONTROL!$C$9, $C$13, 100%, $E$13) + CHOOSE(CONTROL!$C$28, 0.0211, 0)</f>
        <v>15.5661</v>
      </c>
      <c r="C125" s="4">
        <f>15.1817 * CHOOSE(CONTROL!$C$9, $C$13, 100%, $E$13) + CHOOSE(CONTROL!$C$28, 0.0211, 0)</f>
        <v>15.2028</v>
      </c>
      <c r="D125" s="4">
        <f>23.2042 * CHOOSE(CONTROL!$C$9, $C$13, 100%, $E$13) + CHOOSE(CONTROL!$C$28, 0.0021, 0)</f>
        <v>23.206299999999999</v>
      </c>
      <c r="E125" s="4">
        <f>98.3322701573919 * CHOOSE(CONTROL!$C$9, $C$13, 100%, $E$13) + CHOOSE(CONTROL!$C$28, 0.0021, 0)</f>
        <v>98.334370157391902</v>
      </c>
    </row>
    <row r="126" spans="1:5" ht="15">
      <c r="A126" s="13">
        <v>45323</v>
      </c>
      <c r="B126" s="4">
        <f>15.8957 * CHOOSE(CONTROL!$C$9, $C$13, 100%, $E$13) + CHOOSE(CONTROL!$C$28, 0.0211, 0)</f>
        <v>15.9168</v>
      </c>
      <c r="C126" s="4">
        <f>15.5324 * CHOOSE(CONTROL!$C$9, $C$13, 100%, $E$13) + CHOOSE(CONTROL!$C$28, 0.0211, 0)</f>
        <v>15.553500000000001</v>
      </c>
      <c r="D126" s="4">
        <f>23.9579 * CHOOSE(CONTROL!$C$9, $C$13, 100%, $E$13) + CHOOSE(CONTROL!$C$28, 0.0021, 0)</f>
        <v>23.959999999999997</v>
      </c>
      <c r="E126" s="4">
        <f>100.6670657695 * CHOOSE(CONTROL!$C$9, $C$13, 100%, $E$13) + CHOOSE(CONTROL!$C$28, 0.0021, 0)</f>
        <v>100.6691657695</v>
      </c>
    </row>
    <row r="127" spans="1:5" ht="15">
      <c r="A127" s="13">
        <v>45352</v>
      </c>
      <c r="B127" s="4">
        <f>16.8168 * CHOOSE(CONTROL!$C$9, $C$13, 100%, $E$13) + CHOOSE(CONTROL!$C$28, 0.0211, 0)</f>
        <v>16.837900000000001</v>
      </c>
      <c r="C127" s="4">
        <f>16.4535 * CHOOSE(CONTROL!$C$9, $C$13, 100%, $E$13) + CHOOSE(CONTROL!$C$28, 0.0211, 0)</f>
        <v>16.474599999999999</v>
      </c>
      <c r="D127" s="4">
        <f>25.1376 * CHOOSE(CONTROL!$C$9, $C$13, 100%, $E$13) + CHOOSE(CONTROL!$C$28, 0.0021, 0)</f>
        <v>25.139699999999998</v>
      </c>
      <c r="E127" s="4">
        <f>106.798363125471 * CHOOSE(CONTROL!$C$9, $C$13, 100%, $E$13) + CHOOSE(CONTROL!$C$28, 0.0021, 0)</f>
        <v>106.800463125471</v>
      </c>
    </row>
    <row r="128" spans="1:5" ht="15">
      <c r="A128" s="13">
        <v>45383</v>
      </c>
      <c r="B128" s="4">
        <f>17.4712 * CHOOSE(CONTROL!$C$9, $C$13, 100%, $E$13) + CHOOSE(CONTROL!$C$28, 0.0211, 0)</f>
        <v>17.4923</v>
      </c>
      <c r="C128" s="4">
        <f>17.1079 * CHOOSE(CONTROL!$C$9, $C$13, 100%, $E$13) + CHOOSE(CONTROL!$C$28, 0.0211, 0)</f>
        <v>17.129000000000001</v>
      </c>
      <c r="D128" s="4">
        <f>25.8171 * CHOOSE(CONTROL!$C$9, $C$13, 100%, $E$13) + CHOOSE(CONTROL!$C$28, 0.0021, 0)</f>
        <v>25.819199999999999</v>
      </c>
      <c r="E128" s="4">
        <f>111.154731607169 * CHOOSE(CONTROL!$C$9, $C$13, 100%, $E$13) + CHOOSE(CONTROL!$C$28, 0.0021, 0)</f>
        <v>111.156831607169</v>
      </c>
    </row>
    <row r="129" spans="1:5" ht="15">
      <c r="A129" s="13">
        <v>45413</v>
      </c>
      <c r="B129" s="4">
        <f>17.871 * CHOOSE(CONTROL!$C$9, $C$13, 100%, $E$13) + CHOOSE(CONTROL!$C$28, 0.0415, 0)</f>
        <v>17.912499999999998</v>
      </c>
      <c r="C129" s="4">
        <f>17.5077 * CHOOSE(CONTROL!$C$9, $C$13, 100%, $E$13) + CHOOSE(CONTROL!$C$28, 0.0415, 0)</f>
        <v>17.549199999999999</v>
      </c>
      <c r="D129" s="4">
        <f>25.5486 * CHOOSE(CONTROL!$C$9, $C$13, 100%, $E$13) + CHOOSE(CONTROL!$C$28, 0.0021, 0)</f>
        <v>25.550699999999999</v>
      </c>
      <c r="E129" s="4">
        <f>113.816368341905 * CHOOSE(CONTROL!$C$9, $C$13, 100%, $E$13) + CHOOSE(CONTROL!$C$28, 0.0021, 0)</f>
        <v>113.818468341905</v>
      </c>
    </row>
    <row r="130" spans="1:5" ht="15">
      <c r="A130" s="13">
        <v>45444</v>
      </c>
      <c r="B130" s="4">
        <f>17.9251 * CHOOSE(CONTROL!$C$9, $C$13, 100%, $E$13) + CHOOSE(CONTROL!$C$28, 0.0415, 0)</f>
        <v>17.9666</v>
      </c>
      <c r="C130" s="4">
        <f>17.5618 * CHOOSE(CONTROL!$C$9, $C$13, 100%, $E$13) + CHOOSE(CONTROL!$C$28, 0.0415, 0)</f>
        <v>17.603300000000001</v>
      </c>
      <c r="D130" s="4">
        <f>25.7673 * CHOOSE(CONTROL!$C$9, $C$13, 100%, $E$13) + CHOOSE(CONTROL!$C$28, 0.0021, 0)</f>
        <v>25.769399999999997</v>
      </c>
      <c r="E130" s="4">
        <f>114.176498838134 * CHOOSE(CONTROL!$C$9, $C$13, 100%, $E$13) + CHOOSE(CONTROL!$C$28, 0.0021, 0)</f>
        <v>114.17859883813399</v>
      </c>
    </row>
    <row r="131" spans="1:5" ht="15">
      <c r="A131" s="13">
        <v>45474</v>
      </c>
      <c r="B131" s="4">
        <f>17.9197 * CHOOSE(CONTROL!$C$9, $C$13, 100%, $E$13) + CHOOSE(CONTROL!$C$28, 0.0415, 0)</f>
        <v>17.961199999999998</v>
      </c>
      <c r="C131" s="4">
        <f>17.5564 * CHOOSE(CONTROL!$C$9, $C$13, 100%, $E$13) + CHOOSE(CONTROL!$C$28, 0.0415, 0)</f>
        <v>17.597899999999999</v>
      </c>
      <c r="D131" s="4">
        <f>26.1619 * CHOOSE(CONTROL!$C$9, $C$13, 100%, $E$13) + CHOOSE(CONTROL!$C$28, 0.0021, 0)</f>
        <v>26.163999999999998</v>
      </c>
      <c r="E131" s="4">
        <f>114.140183157842 * CHOOSE(CONTROL!$C$9, $C$13, 100%, $E$13) + CHOOSE(CONTROL!$C$28, 0.0021, 0)</f>
        <v>114.142283157842</v>
      </c>
    </row>
    <row r="132" spans="1:5" ht="15">
      <c r="A132" s="13">
        <v>45505</v>
      </c>
      <c r="B132" s="4">
        <f>18.3302 * CHOOSE(CONTROL!$C$9, $C$13, 100%, $E$13) + CHOOSE(CONTROL!$C$28, 0.0415, 0)</f>
        <v>18.371700000000001</v>
      </c>
      <c r="C132" s="4">
        <f>17.9669 * CHOOSE(CONTROL!$C$9, $C$13, 100%, $E$13) + CHOOSE(CONTROL!$C$28, 0.0415, 0)</f>
        <v>18.008399999999998</v>
      </c>
      <c r="D132" s="4">
        <f>25.9013 * CHOOSE(CONTROL!$C$9, $C$13, 100%, $E$13) + CHOOSE(CONTROL!$C$28, 0.0021, 0)</f>
        <v>25.903399999999998</v>
      </c>
      <c r="E132" s="4">
        <f>116.872938099817 * CHOOSE(CONTROL!$C$9, $C$13, 100%, $E$13) + CHOOSE(CONTROL!$C$28, 0.0021, 0)</f>
        <v>116.875038099817</v>
      </c>
    </row>
    <row r="133" spans="1:5" ht="15">
      <c r="A133" s="13">
        <v>45536</v>
      </c>
      <c r="B133" s="4">
        <f>17.6305 * CHOOSE(CONTROL!$C$9, $C$13, 100%, $E$13) + CHOOSE(CONTROL!$C$28, 0.0415, 0)</f>
        <v>17.672000000000001</v>
      </c>
      <c r="C133" s="4">
        <f>17.2672 * CHOOSE(CONTROL!$C$9, $C$13, 100%, $E$13) + CHOOSE(CONTROL!$C$28, 0.0415, 0)</f>
        <v>17.308699999999998</v>
      </c>
      <c r="D133" s="4">
        <f>25.7782 * CHOOSE(CONTROL!$C$9, $C$13, 100%, $E$13) + CHOOSE(CONTROL!$C$28, 0.0021, 0)</f>
        <v>25.780299999999997</v>
      </c>
      <c r="E133" s="4">
        <f>112.215452102365 * CHOOSE(CONTROL!$C$9, $C$13, 100%, $E$13) + CHOOSE(CONTROL!$C$28, 0.0021, 0)</f>
        <v>112.217552102365</v>
      </c>
    </row>
    <row r="134" spans="1:5" ht="15">
      <c r="A134" s="13">
        <v>45566</v>
      </c>
      <c r="B134" s="4">
        <f>17.0704 * CHOOSE(CONTROL!$C$9, $C$13, 100%, $E$13) + CHOOSE(CONTROL!$C$28, 0.0211, 0)</f>
        <v>17.0915</v>
      </c>
      <c r="C134" s="4">
        <f>16.7072 * CHOOSE(CONTROL!$C$9, $C$13, 100%, $E$13) + CHOOSE(CONTROL!$C$28, 0.0211, 0)</f>
        <v>16.728300000000001</v>
      </c>
      <c r="D134" s="4">
        <f>25.4485 * CHOOSE(CONTROL!$C$9, $C$13, 100%, $E$13) + CHOOSE(CONTROL!$C$28, 0.0021, 0)</f>
        <v>25.450599999999998</v>
      </c>
      <c r="E134" s="4">
        <f>108.48704225905 * CHOOSE(CONTROL!$C$9, $C$13, 100%, $E$13) + CHOOSE(CONTROL!$C$28, 0.0021, 0)</f>
        <v>108.48914225905</v>
      </c>
    </row>
    <row r="135" spans="1:5" ht="15">
      <c r="A135" s="13">
        <v>45597</v>
      </c>
      <c r="B135" s="4">
        <f>16.7097 * CHOOSE(CONTROL!$C$9, $C$13, 100%, $E$13) + CHOOSE(CONTROL!$C$28, 0.0211, 0)</f>
        <v>16.730800000000002</v>
      </c>
      <c r="C135" s="4">
        <f>16.3464 * CHOOSE(CONTROL!$C$9, $C$13, 100%, $E$13) + CHOOSE(CONTROL!$C$28, 0.0211, 0)</f>
        <v>16.3675</v>
      </c>
      <c r="D135" s="4">
        <f>25.3352 * CHOOSE(CONTROL!$C$9, $C$13, 100%, $E$13) + CHOOSE(CONTROL!$C$28, 0.0021, 0)</f>
        <v>25.337299999999999</v>
      </c>
      <c r="E135" s="4">
        <f>106.08566789974 * CHOOSE(CONTROL!$C$9, $C$13, 100%, $E$13) + CHOOSE(CONTROL!$C$28, 0.0021, 0)</f>
        <v>106.08776789974</v>
      </c>
    </row>
    <row r="136" spans="1:5" ht="15">
      <c r="A136" s="13">
        <v>45627</v>
      </c>
      <c r="B136" s="4">
        <f>16.4601 * CHOOSE(CONTROL!$C$9, $C$13, 100%, $E$13) + CHOOSE(CONTROL!$C$28, 0.0211, 0)</f>
        <v>16.481200000000001</v>
      </c>
      <c r="C136" s="4">
        <f>16.0968 * CHOOSE(CONTROL!$C$9, $C$13, 100%, $E$13) + CHOOSE(CONTROL!$C$28, 0.0211, 0)</f>
        <v>16.117900000000002</v>
      </c>
      <c r="D136" s="4">
        <f>24.5007 * CHOOSE(CONTROL!$C$9, $C$13, 100%, $E$13) + CHOOSE(CONTROL!$C$28, 0.0021, 0)</f>
        <v>24.502799999999997</v>
      </c>
      <c r="E136" s="4">
        <f>104.42422552638 * CHOOSE(CONTROL!$C$9, $C$13, 100%, $E$13) + CHOOSE(CONTROL!$C$28, 0.0021, 0)</f>
        <v>104.42632552638</v>
      </c>
    </row>
    <row r="137" spans="1:5" ht="15">
      <c r="A137" s="13">
        <v>45658</v>
      </c>
      <c r="B137" s="4">
        <f>16.7739 * CHOOSE(CONTROL!$C$9, $C$13, 100%, $E$13) + CHOOSE(CONTROL!$C$28, 0.0211, 0)</f>
        <v>16.795000000000002</v>
      </c>
      <c r="C137" s="4">
        <f>16.4106 * CHOOSE(CONTROL!$C$9, $C$13, 100%, $E$13) + CHOOSE(CONTROL!$C$28, 0.0211, 0)</f>
        <v>16.431699999999999</v>
      </c>
      <c r="D137" s="4">
        <f>24.4274 * CHOOSE(CONTROL!$C$9, $C$13, 100%, $E$13) + CHOOSE(CONTROL!$C$28, 0.0021, 0)</f>
        <v>24.429499999999997</v>
      </c>
      <c r="E137" s="4">
        <f>103.540809368942 * CHOOSE(CONTROL!$C$9, $C$13, 100%, $E$13) + CHOOSE(CONTROL!$C$28, 0.0021, 0)</f>
        <v>103.54290936894201</v>
      </c>
    </row>
    <row r="138" spans="1:5" ht="15">
      <c r="A138" s="13">
        <v>45689</v>
      </c>
      <c r="B138" s="4">
        <f>17.1538 * CHOOSE(CONTROL!$C$9, $C$13, 100%, $E$13) + CHOOSE(CONTROL!$C$28, 0.0211, 0)</f>
        <v>17.174900000000001</v>
      </c>
      <c r="C138" s="4">
        <f>16.7905 * CHOOSE(CONTROL!$C$9, $C$13, 100%, $E$13) + CHOOSE(CONTROL!$C$28, 0.0211, 0)</f>
        <v>16.811600000000002</v>
      </c>
      <c r="D138" s="4">
        <f>25.2242 * CHOOSE(CONTROL!$C$9, $C$13, 100%, $E$13) + CHOOSE(CONTROL!$C$28, 0.0021, 0)</f>
        <v>25.226299999999998</v>
      </c>
      <c r="E138" s="4">
        <f>105.999276228314 * CHOOSE(CONTROL!$C$9, $C$13, 100%, $E$13) + CHOOSE(CONTROL!$C$28, 0.0021, 0)</f>
        <v>106.001376228314</v>
      </c>
    </row>
    <row r="139" spans="1:5" ht="15">
      <c r="A139" s="13">
        <v>45717</v>
      </c>
      <c r="B139" s="4">
        <f>18.1514 * CHOOSE(CONTROL!$C$9, $C$13, 100%, $E$13) + CHOOSE(CONTROL!$C$28, 0.0211, 0)</f>
        <v>18.172499999999999</v>
      </c>
      <c r="C139" s="4">
        <f>17.7882 * CHOOSE(CONTROL!$C$9, $C$13, 100%, $E$13) + CHOOSE(CONTROL!$C$28, 0.0211, 0)</f>
        <v>17.8093</v>
      </c>
      <c r="D139" s="4">
        <f>26.4715 * CHOOSE(CONTROL!$C$9, $C$13, 100%, $E$13) + CHOOSE(CONTROL!$C$28, 0.0021, 0)</f>
        <v>26.473599999999998</v>
      </c>
      <c r="E139" s="4">
        <f>112.455340851888 * CHOOSE(CONTROL!$C$9, $C$13, 100%, $E$13) + CHOOSE(CONTROL!$C$28, 0.0021, 0)</f>
        <v>112.45744085188799</v>
      </c>
    </row>
    <row r="140" spans="1:5" ht="15">
      <c r="A140" s="13">
        <v>45748</v>
      </c>
      <c r="B140" s="4">
        <f>18.8603 * CHOOSE(CONTROL!$C$9, $C$13, 100%, $E$13) + CHOOSE(CONTROL!$C$28, 0.0211, 0)</f>
        <v>18.881399999999999</v>
      </c>
      <c r="C140" s="4">
        <f>18.497 * CHOOSE(CONTROL!$C$9, $C$13, 100%, $E$13) + CHOOSE(CONTROL!$C$28, 0.0211, 0)</f>
        <v>18.5181</v>
      </c>
      <c r="D140" s="4">
        <f>27.19 * CHOOSE(CONTROL!$C$9, $C$13, 100%, $E$13) + CHOOSE(CONTROL!$C$28, 0.0021, 0)</f>
        <v>27.1921</v>
      </c>
      <c r="E140" s="4">
        <f>117.042460805311 * CHOOSE(CONTROL!$C$9, $C$13, 100%, $E$13) + CHOOSE(CONTROL!$C$28, 0.0021, 0)</f>
        <v>117.04456080531099</v>
      </c>
    </row>
    <row r="141" spans="1:5" ht="15">
      <c r="A141" s="13">
        <v>45778</v>
      </c>
      <c r="B141" s="4">
        <f>19.2934 * CHOOSE(CONTROL!$C$9, $C$13, 100%, $E$13) + CHOOSE(CONTROL!$C$28, 0.0415, 0)</f>
        <v>19.334899999999998</v>
      </c>
      <c r="C141" s="4">
        <f>18.9301 * CHOOSE(CONTROL!$C$9, $C$13, 100%, $E$13) + CHOOSE(CONTROL!$C$28, 0.0415, 0)</f>
        <v>18.971599999999999</v>
      </c>
      <c r="D141" s="4">
        <f>26.9061 * CHOOSE(CONTROL!$C$9, $C$13, 100%, $E$13) + CHOOSE(CONTROL!$C$28, 0.0021, 0)</f>
        <v>26.908199999999997</v>
      </c>
      <c r="E141" s="4">
        <f>119.845081158931 * CHOOSE(CONTROL!$C$9, $C$13, 100%, $E$13) + CHOOSE(CONTROL!$C$28, 0.0021, 0)</f>
        <v>119.84718115893099</v>
      </c>
    </row>
    <row r="142" spans="1:5" ht="15">
      <c r="A142" s="13">
        <v>45809</v>
      </c>
      <c r="B142" s="4">
        <f>19.352 * CHOOSE(CONTROL!$C$9, $C$13, 100%, $E$13) + CHOOSE(CONTROL!$C$28, 0.0415, 0)</f>
        <v>19.3935</v>
      </c>
      <c r="C142" s="4">
        <f>18.9887 * CHOOSE(CONTROL!$C$9, $C$13, 100%, $E$13) + CHOOSE(CONTROL!$C$28, 0.0415, 0)</f>
        <v>19.030200000000001</v>
      </c>
      <c r="D142" s="4">
        <f>27.1373 * CHOOSE(CONTROL!$C$9, $C$13, 100%, $E$13) + CHOOSE(CONTROL!$C$28, 0.0021, 0)</f>
        <v>27.139399999999998</v>
      </c>
      <c r="E142" s="4">
        <f>120.224287323889 * CHOOSE(CONTROL!$C$9, $C$13, 100%, $E$13) + CHOOSE(CONTROL!$C$28, 0.0021, 0)</f>
        <v>120.226387323889</v>
      </c>
    </row>
    <row r="143" spans="1:5" ht="15">
      <c r="A143" s="13">
        <v>45839</v>
      </c>
      <c r="B143" s="4">
        <f>19.3461 * CHOOSE(CONTROL!$C$9, $C$13, 100%, $E$13) + CHOOSE(CONTROL!$C$28, 0.0415, 0)</f>
        <v>19.387599999999999</v>
      </c>
      <c r="C143" s="4">
        <f>18.9828 * CHOOSE(CONTROL!$C$9, $C$13, 100%, $E$13) + CHOOSE(CONTROL!$C$28, 0.0415, 0)</f>
        <v>19.0243</v>
      </c>
      <c r="D143" s="4">
        <f>27.5545 * CHOOSE(CONTROL!$C$9, $C$13, 100%, $E$13) + CHOOSE(CONTROL!$C$28, 0.0021, 0)</f>
        <v>27.5566</v>
      </c>
      <c r="E143" s="4">
        <f>120.18604804675 * CHOOSE(CONTROL!$C$9, $C$13, 100%, $E$13) + CHOOSE(CONTROL!$C$28, 0.0021, 0)</f>
        <v>120.18814804675</v>
      </c>
    </row>
    <row r="144" spans="1:5" ht="15">
      <c r="A144" s="13">
        <v>45870</v>
      </c>
      <c r="B144" s="4">
        <f>19.7907 * CHOOSE(CONTROL!$C$9, $C$13, 100%, $E$13) + CHOOSE(CONTROL!$C$28, 0.0415, 0)</f>
        <v>19.8322</v>
      </c>
      <c r="C144" s="4">
        <f>19.4275 * CHOOSE(CONTROL!$C$9, $C$13, 100%, $E$13) + CHOOSE(CONTROL!$C$28, 0.0415, 0)</f>
        <v>19.468999999999998</v>
      </c>
      <c r="D144" s="4">
        <f>27.279 * CHOOSE(CONTROL!$C$9, $C$13, 100%, $E$13) + CHOOSE(CONTROL!$C$28, 0.0021, 0)</f>
        <v>27.281099999999999</v>
      </c>
      <c r="E144" s="4">
        <f>123.063553651433 * CHOOSE(CONTROL!$C$9, $C$13, 100%, $E$13) + CHOOSE(CONTROL!$C$28, 0.0021, 0)</f>
        <v>123.065653651433</v>
      </c>
    </row>
    <row r="145" spans="1:5" ht="15">
      <c r="A145" s="13">
        <v>45901</v>
      </c>
      <c r="B145" s="4">
        <f>19.0329 * CHOOSE(CONTROL!$C$9, $C$13, 100%, $E$13) + CHOOSE(CONTROL!$C$28, 0.0415, 0)</f>
        <v>19.074400000000001</v>
      </c>
      <c r="C145" s="4">
        <f>18.6696 * CHOOSE(CONTROL!$C$9, $C$13, 100%, $E$13) + CHOOSE(CONTROL!$C$28, 0.0415, 0)</f>
        <v>18.711099999999998</v>
      </c>
      <c r="D145" s="4">
        <f>27.1488 * CHOOSE(CONTROL!$C$9, $C$13, 100%, $E$13) + CHOOSE(CONTROL!$C$28, 0.0021, 0)</f>
        <v>27.1509</v>
      </c>
      <c r="E145" s="4">
        <f>118.159366358402 * CHOOSE(CONTROL!$C$9, $C$13, 100%, $E$13) + CHOOSE(CONTROL!$C$28, 0.0021, 0)</f>
        <v>118.161466358402</v>
      </c>
    </row>
    <row r="146" spans="1:5" ht="15">
      <c r="A146" s="13">
        <v>45931</v>
      </c>
      <c r="B146" s="4">
        <f>18.4262 * CHOOSE(CONTROL!$C$9, $C$13, 100%, $E$13) + CHOOSE(CONTROL!$C$28, 0.0211, 0)</f>
        <v>18.447300000000002</v>
      </c>
      <c r="C146" s="4">
        <f>18.0629 * CHOOSE(CONTROL!$C$9, $C$13, 100%, $E$13) + CHOOSE(CONTROL!$C$28, 0.0211, 0)</f>
        <v>18.084</v>
      </c>
      <c r="D146" s="4">
        <f>26.8002 * CHOOSE(CONTROL!$C$9, $C$13, 100%, $E$13) + CHOOSE(CONTROL!$C$28, 0.0021, 0)</f>
        <v>26.802299999999999</v>
      </c>
      <c r="E146" s="4">
        <f>114.233467238835 * CHOOSE(CONTROL!$C$9, $C$13, 100%, $E$13) + CHOOSE(CONTROL!$C$28, 0.0021, 0)</f>
        <v>114.235567238835</v>
      </c>
    </row>
    <row r="147" spans="1:5" ht="15">
      <c r="A147" s="13">
        <v>45962</v>
      </c>
      <c r="B147" s="4">
        <f>18.0355 * CHOOSE(CONTROL!$C$9, $C$13, 100%, $E$13) + CHOOSE(CONTROL!$C$28, 0.0211, 0)</f>
        <v>18.0566</v>
      </c>
      <c r="C147" s="4">
        <f>17.6722 * CHOOSE(CONTROL!$C$9, $C$13, 100%, $E$13) + CHOOSE(CONTROL!$C$28, 0.0211, 0)</f>
        <v>17.693300000000001</v>
      </c>
      <c r="D147" s="4">
        <f>26.6804 * CHOOSE(CONTROL!$C$9, $C$13, 100%, $E$13) + CHOOSE(CONTROL!$C$28, 0.0021, 0)</f>
        <v>26.682499999999997</v>
      </c>
      <c r="E147" s="4">
        <f>111.704895038042 * CHOOSE(CONTROL!$C$9, $C$13, 100%, $E$13) + CHOOSE(CONTROL!$C$28, 0.0021, 0)</f>
        <v>111.706995038042</v>
      </c>
    </row>
    <row r="148" spans="1:5" ht="15">
      <c r="A148" s="13">
        <v>45992</v>
      </c>
      <c r="B148" s="4">
        <f>17.7651 * CHOOSE(CONTROL!$C$9, $C$13, 100%, $E$13) + CHOOSE(CONTROL!$C$28, 0.0211, 0)</f>
        <v>17.786200000000001</v>
      </c>
      <c r="C148" s="4">
        <f>17.4018 * CHOOSE(CONTROL!$C$9, $C$13, 100%, $E$13) + CHOOSE(CONTROL!$C$28, 0.0211, 0)</f>
        <v>17.422900000000002</v>
      </c>
      <c r="D148" s="4">
        <f>25.7981 * CHOOSE(CONTROL!$C$9, $C$13, 100%, $E$13) + CHOOSE(CONTROL!$C$28, 0.0021, 0)</f>
        <v>25.8002</v>
      </c>
      <c r="E148" s="4">
        <f>109.955448108949 * CHOOSE(CONTROL!$C$9, $C$13, 100%, $E$13) + CHOOSE(CONTROL!$C$28, 0.0021, 0)</f>
        <v>109.957548108949</v>
      </c>
    </row>
    <row r="149" spans="1:5" ht="15">
      <c r="A149" s="13">
        <v>46023</v>
      </c>
      <c r="B149" s="4">
        <f>17.2971 * CHOOSE(CONTROL!$C$9, $C$13, 100%, $E$13) + CHOOSE(CONTROL!$C$28, 0.0211, 0)</f>
        <v>17.318200000000001</v>
      </c>
      <c r="C149" s="4">
        <f>16.9339 * CHOOSE(CONTROL!$C$9, $C$13, 100%, $E$13) + CHOOSE(CONTROL!$C$28, 0.0211, 0)</f>
        <v>16.955000000000002</v>
      </c>
      <c r="D149" s="4">
        <f>25.1138 * CHOOSE(CONTROL!$C$9, $C$13, 100%, $E$13) + CHOOSE(CONTROL!$C$28, 0.0021, 0)</f>
        <v>25.1159</v>
      </c>
      <c r="E149" s="4">
        <f>107.022544453101 * CHOOSE(CONTROL!$C$9, $C$13, 100%, $E$13) + CHOOSE(CONTROL!$C$28, 0.0021, 0)</f>
        <v>107.024644453101</v>
      </c>
    </row>
    <row r="150" spans="1:5" ht="15">
      <c r="A150" s="13">
        <v>46054</v>
      </c>
      <c r="B150" s="4">
        <f>17.6895 * CHOOSE(CONTROL!$C$9, $C$13, 100%, $E$13) + CHOOSE(CONTROL!$C$28, 0.0211, 0)</f>
        <v>17.710599999999999</v>
      </c>
      <c r="C150" s="4">
        <f>17.3262 * CHOOSE(CONTROL!$C$9, $C$13, 100%, $E$13) + CHOOSE(CONTROL!$C$28, 0.0211, 0)</f>
        <v>17.347300000000001</v>
      </c>
      <c r="D150" s="4">
        <f>25.9348 * CHOOSE(CONTROL!$C$9, $C$13, 100%, $E$13) + CHOOSE(CONTROL!$C$28, 0.0021, 0)</f>
        <v>25.936899999999998</v>
      </c>
      <c r="E150" s="4">
        <f>109.563681424574 * CHOOSE(CONTROL!$C$9, $C$13, 100%, $E$13) + CHOOSE(CONTROL!$C$28, 0.0021, 0)</f>
        <v>109.565781424574</v>
      </c>
    </row>
    <row r="151" spans="1:5" ht="15">
      <c r="A151" s="13">
        <v>46082</v>
      </c>
      <c r="B151" s="4">
        <f>18.7198 * CHOOSE(CONTROL!$C$9, $C$13, 100%, $E$13) + CHOOSE(CONTROL!$C$28, 0.0211, 0)</f>
        <v>18.7409</v>
      </c>
      <c r="C151" s="4">
        <f>18.3565 * CHOOSE(CONTROL!$C$9, $C$13, 100%, $E$13) + CHOOSE(CONTROL!$C$28, 0.0211, 0)</f>
        <v>18.377600000000001</v>
      </c>
      <c r="D151" s="4">
        <f>27.22 * CHOOSE(CONTROL!$C$9, $C$13, 100%, $E$13) + CHOOSE(CONTROL!$C$28, 0.0021, 0)</f>
        <v>27.222099999999998</v>
      </c>
      <c r="E151" s="4">
        <f>116.23684215588 * CHOOSE(CONTROL!$C$9, $C$13, 100%, $E$13) + CHOOSE(CONTROL!$C$28, 0.0021, 0)</f>
        <v>116.23894215588</v>
      </c>
    </row>
    <row r="152" spans="1:5" ht="15">
      <c r="A152" s="13">
        <v>46113</v>
      </c>
      <c r="B152" s="4">
        <f>19.4518 * CHOOSE(CONTROL!$C$9, $C$13, 100%, $E$13) + CHOOSE(CONTROL!$C$28, 0.0211, 0)</f>
        <v>19.472899999999999</v>
      </c>
      <c r="C152" s="4">
        <f>19.0885 * CHOOSE(CONTROL!$C$9, $C$13, 100%, $E$13) + CHOOSE(CONTROL!$C$28, 0.0211, 0)</f>
        <v>19.1096</v>
      </c>
      <c r="D152" s="4">
        <f>27.9603 * CHOOSE(CONTROL!$C$9, $C$13, 100%, $E$13) + CHOOSE(CONTROL!$C$28, 0.0021, 0)</f>
        <v>27.962399999999999</v>
      </c>
      <c r="E152" s="4">
        <f>120.978211787034 * CHOOSE(CONTROL!$C$9, $C$13, 100%, $E$13) + CHOOSE(CONTROL!$C$28, 0.0021, 0)</f>
        <v>120.980311787034</v>
      </c>
    </row>
    <row r="153" spans="1:5" ht="15">
      <c r="A153" s="13">
        <v>46143</v>
      </c>
      <c r="B153" s="4">
        <f>19.8991 * CHOOSE(CONTROL!$C$9, $C$13, 100%, $E$13) + CHOOSE(CONTROL!$C$28, 0.0415, 0)</f>
        <v>19.9406</v>
      </c>
      <c r="C153" s="4">
        <f>19.5358 * CHOOSE(CONTROL!$C$9, $C$13, 100%, $E$13) + CHOOSE(CONTROL!$C$28, 0.0415, 0)</f>
        <v>19.577299999999997</v>
      </c>
      <c r="D153" s="4">
        <f>27.6678 * CHOOSE(CONTROL!$C$9, $C$13, 100%, $E$13) + CHOOSE(CONTROL!$C$28, 0.0021, 0)</f>
        <v>27.669899999999998</v>
      </c>
      <c r="E153" s="4">
        <f>123.875074996897 * CHOOSE(CONTROL!$C$9, $C$13, 100%, $E$13) + CHOOSE(CONTROL!$C$28, 0.0021, 0)</f>
        <v>123.877174996897</v>
      </c>
    </row>
    <row r="154" spans="1:5" ht="15">
      <c r="A154" s="13">
        <v>46174</v>
      </c>
      <c r="B154" s="4">
        <f>19.9596 * CHOOSE(CONTROL!$C$9, $C$13, 100%, $E$13) + CHOOSE(CONTROL!$C$28, 0.0415, 0)</f>
        <v>20.001099999999997</v>
      </c>
      <c r="C154" s="4">
        <f>19.5963 * CHOOSE(CONTROL!$C$9, $C$13, 100%, $E$13) + CHOOSE(CONTROL!$C$28, 0.0415, 0)</f>
        <v>19.637799999999999</v>
      </c>
      <c r="D154" s="4">
        <f>27.906 * CHOOSE(CONTROL!$C$9, $C$13, 100%, $E$13) + CHOOSE(CONTROL!$C$28, 0.0021, 0)</f>
        <v>27.908099999999997</v>
      </c>
      <c r="E154" s="4">
        <f>124.267032611421 * CHOOSE(CONTROL!$C$9, $C$13, 100%, $E$13) + CHOOSE(CONTROL!$C$28, 0.0021, 0)</f>
        <v>124.269132611421</v>
      </c>
    </row>
    <row r="155" spans="1:5" ht="15">
      <c r="A155" s="13">
        <v>46204</v>
      </c>
      <c r="B155" s="4">
        <f>19.9535 * CHOOSE(CONTROL!$C$9, $C$13, 100%, $E$13) + CHOOSE(CONTROL!$C$28, 0.0415, 0)</f>
        <v>19.994999999999997</v>
      </c>
      <c r="C155" s="4">
        <f>19.5902 * CHOOSE(CONTROL!$C$9, $C$13, 100%, $E$13) + CHOOSE(CONTROL!$C$28, 0.0415, 0)</f>
        <v>19.631699999999999</v>
      </c>
      <c r="D155" s="4">
        <f>28.3359 * CHOOSE(CONTROL!$C$9, $C$13, 100%, $E$13) + CHOOSE(CONTROL!$C$28, 0.0021, 0)</f>
        <v>28.337999999999997</v>
      </c>
      <c r="E155" s="4">
        <f>124.227507473822 * CHOOSE(CONTROL!$C$9, $C$13, 100%, $E$13) + CHOOSE(CONTROL!$C$28, 0.0021, 0)</f>
        <v>124.229607473822</v>
      </c>
    </row>
    <row r="156" spans="1:5" ht="15">
      <c r="A156" s="13">
        <v>46235</v>
      </c>
      <c r="B156" s="4">
        <f>20.4127 * CHOOSE(CONTROL!$C$9, $C$13, 100%, $E$13) + CHOOSE(CONTROL!$C$28, 0.0415, 0)</f>
        <v>20.4542</v>
      </c>
      <c r="C156" s="4">
        <f>20.0494 * CHOOSE(CONTROL!$C$9, $C$13, 100%, $E$13) + CHOOSE(CONTROL!$C$28, 0.0415, 0)</f>
        <v>20.090899999999998</v>
      </c>
      <c r="D156" s="4">
        <f>28.052 * CHOOSE(CONTROL!$C$9, $C$13, 100%, $E$13) + CHOOSE(CONTROL!$C$28, 0.0021, 0)</f>
        <v>28.054099999999998</v>
      </c>
      <c r="E156" s="4">
        <f>127.201774078151 * CHOOSE(CONTROL!$C$9, $C$13, 100%, $E$13) + CHOOSE(CONTROL!$C$28, 0.0021, 0)</f>
        <v>127.203874078151</v>
      </c>
    </row>
    <row r="157" spans="1:5" ht="15">
      <c r="A157" s="13">
        <v>46266</v>
      </c>
      <c r="B157" s="4">
        <f>19.6301 * CHOOSE(CONTROL!$C$9, $C$13, 100%, $E$13) + CHOOSE(CONTROL!$C$28, 0.0415, 0)</f>
        <v>19.671599999999998</v>
      </c>
      <c r="C157" s="4">
        <f>19.2668 * CHOOSE(CONTROL!$C$9, $C$13, 100%, $E$13) + CHOOSE(CONTROL!$C$28, 0.0415, 0)</f>
        <v>19.308299999999999</v>
      </c>
      <c r="D157" s="4">
        <f>27.9179 * CHOOSE(CONTROL!$C$9, $C$13, 100%, $E$13) + CHOOSE(CONTROL!$C$28, 0.0021, 0)</f>
        <v>27.919999999999998</v>
      </c>
      <c r="E157" s="4">
        <f>122.132675181073 * CHOOSE(CONTROL!$C$9, $C$13, 100%, $E$13) + CHOOSE(CONTROL!$C$28, 0.0021, 0)</f>
        <v>122.134775181073</v>
      </c>
    </row>
    <row r="158" spans="1:5" ht="15">
      <c r="A158" s="13">
        <v>46296</v>
      </c>
      <c r="B158" s="4">
        <f>19.0035 * CHOOSE(CONTROL!$C$9, $C$13, 100%, $E$13) + CHOOSE(CONTROL!$C$28, 0.0211, 0)</f>
        <v>19.0246</v>
      </c>
      <c r="C158" s="4">
        <f>18.6403 * CHOOSE(CONTROL!$C$9, $C$13, 100%, $E$13) + CHOOSE(CONTROL!$C$28, 0.0211, 0)</f>
        <v>18.6614</v>
      </c>
      <c r="D158" s="4">
        <f>27.5587 * CHOOSE(CONTROL!$C$9, $C$13, 100%, $E$13) + CHOOSE(CONTROL!$C$28, 0.0021, 0)</f>
        <v>27.5608</v>
      </c>
      <c r="E158" s="4">
        <f>118.074761054236 * CHOOSE(CONTROL!$C$9, $C$13, 100%, $E$13) + CHOOSE(CONTROL!$C$28, 0.0021, 0)</f>
        <v>118.07686105423601</v>
      </c>
    </row>
    <row r="159" spans="1:5" ht="15">
      <c r="A159" s="13">
        <v>46327</v>
      </c>
      <c r="B159" s="4">
        <f>18.6 * CHOOSE(CONTROL!$C$9, $C$13, 100%, $E$13) + CHOOSE(CONTROL!$C$28, 0.0211, 0)</f>
        <v>18.621100000000002</v>
      </c>
      <c r="C159" s="4">
        <f>18.2367 * CHOOSE(CONTROL!$C$9, $C$13, 100%, $E$13) + CHOOSE(CONTROL!$C$28, 0.0211, 0)</f>
        <v>18.2578</v>
      </c>
      <c r="D159" s="4">
        <f>27.4352 * CHOOSE(CONTROL!$C$9, $C$13, 100%, $E$13) + CHOOSE(CONTROL!$C$28, 0.0021, 0)</f>
        <v>27.437299999999997</v>
      </c>
      <c r="E159" s="4">
        <f>115.461161330499 * CHOOSE(CONTROL!$C$9, $C$13, 100%, $E$13) + CHOOSE(CONTROL!$C$28, 0.0021, 0)</f>
        <v>115.46326133049899</v>
      </c>
    </row>
    <row r="160" spans="1:5" ht="15">
      <c r="A160" s="13">
        <v>46357</v>
      </c>
      <c r="B160" s="4">
        <f>18.3208 * CHOOSE(CONTROL!$C$9, $C$13, 100%, $E$13) + CHOOSE(CONTROL!$C$28, 0.0211, 0)</f>
        <v>18.341899999999999</v>
      </c>
      <c r="C160" s="4">
        <f>17.9575 * CHOOSE(CONTROL!$C$9, $C$13, 100%, $E$13) + CHOOSE(CONTROL!$C$28, 0.0211, 0)</f>
        <v>17.9786</v>
      </c>
      <c r="D160" s="4">
        <f>26.5262 * CHOOSE(CONTROL!$C$9, $C$13, 100%, $E$13) + CHOOSE(CONTROL!$C$28, 0.0021, 0)</f>
        <v>26.528299999999998</v>
      </c>
      <c r="E160" s="4">
        <f>113.652886285342 * CHOOSE(CONTROL!$C$9, $C$13, 100%, $E$13) + CHOOSE(CONTROL!$C$28, 0.0021, 0)</f>
        <v>113.65498628534201</v>
      </c>
    </row>
    <row r="161" spans="1:5" ht="15">
      <c r="A161" s="13">
        <v>46388</v>
      </c>
      <c r="B161" s="4">
        <f>17.8331 * CHOOSE(CONTROL!$C$9, $C$13, 100%, $E$13) + CHOOSE(CONTROL!$C$28, 0.0211, 0)</f>
        <v>17.854200000000002</v>
      </c>
      <c r="C161" s="4">
        <f>17.4698 * CHOOSE(CONTROL!$C$9, $C$13, 100%, $E$13) + CHOOSE(CONTROL!$C$28, 0.0211, 0)</f>
        <v>17.4909</v>
      </c>
      <c r="D161" s="4">
        <f>25.7979 * CHOOSE(CONTROL!$C$9, $C$13, 100%, $E$13) + CHOOSE(CONTROL!$C$28, 0.0021, 0)</f>
        <v>25.799999999999997</v>
      </c>
      <c r="E161" s="4">
        <f>110.503886973775 * CHOOSE(CONTROL!$C$9, $C$13, 100%, $E$13) + CHOOSE(CONTROL!$C$28, 0.0021, 0)</f>
        <v>110.50598697377499</v>
      </c>
    </row>
    <row r="162" spans="1:5" ht="15">
      <c r="A162" s="13">
        <v>46419</v>
      </c>
      <c r="B162" s="4">
        <f>18.2382 * CHOOSE(CONTROL!$C$9, $C$13, 100%, $E$13) + CHOOSE(CONTROL!$C$28, 0.0211, 0)</f>
        <v>18.2593</v>
      </c>
      <c r="C162" s="4">
        <f>17.8749 * CHOOSE(CONTROL!$C$9, $C$13, 100%, $E$13) + CHOOSE(CONTROL!$C$28, 0.0211, 0)</f>
        <v>17.896000000000001</v>
      </c>
      <c r="D162" s="4">
        <f>26.6431 * CHOOSE(CONTROL!$C$9, $C$13, 100%, $E$13) + CHOOSE(CONTROL!$C$28, 0.0021, 0)</f>
        <v>26.645199999999999</v>
      </c>
      <c r="E162" s="4">
        <f>113.127684736344 * CHOOSE(CONTROL!$C$9, $C$13, 100%, $E$13) + CHOOSE(CONTROL!$C$28, 0.0021, 0)</f>
        <v>113.12978473634399</v>
      </c>
    </row>
    <row r="163" spans="1:5" ht="15">
      <c r="A163" s="13">
        <v>46447</v>
      </c>
      <c r="B163" s="4">
        <f>19.3019 * CHOOSE(CONTROL!$C$9, $C$13, 100%, $E$13) + CHOOSE(CONTROL!$C$28, 0.0211, 0)</f>
        <v>19.323</v>
      </c>
      <c r="C163" s="4">
        <f>18.9386 * CHOOSE(CONTROL!$C$9, $C$13, 100%, $E$13) + CHOOSE(CONTROL!$C$28, 0.0211, 0)</f>
        <v>18.959700000000002</v>
      </c>
      <c r="D163" s="4">
        <f>27.9661 * CHOOSE(CONTROL!$C$9, $C$13, 100%, $E$13) + CHOOSE(CONTROL!$C$28, 0.0021, 0)</f>
        <v>27.9682</v>
      </c>
      <c r="E163" s="4">
        <f>120.017917097931 * CHOOSE(CONTROL!$C$9, $C$13, 100%, $E$13) + CHOOSE(CONTROL!$C$28, 0.0021, 0)</f>
        <v>120.020017097931</v>
      </c>
    </row>
    <row r="164" spans="1:5" ht="15">
      <c r="A164" s="13">
        <v>46478</v>
      </c>
      <c r="B164" s="4">
        <f>20.0577 * CHOOSE(CONTROL!$C$9, $C$13, 100%, $E$13) + CHOOSE(CONTROL!$C$28, 0.0211, 0)</f>
        <v>20.078800000000001</v>
      </c>
      <c r="C164" s="4">
        <f>19.6944 * CHOOSE(CONTROL!$C$9, $C$13, 100%, $E$13) + CHOOSE(CONTROL!$C$28, 0.0211, 0)</f>
        <v>19.715500000000002</v>
      </c>
      <c r="D164" s="4">
        <f>28.7282 * CHOOSE(CONTROL!$C$9, $C$13, 100%, $E$13) + CHOOSE(CONTROL!$C$28, 0.0021, 0)</f>
        <v>28.7303</v>
      </c>
      <c r="E164" s="4">
        <f>124.913519015258 * CHOOSE(CONTROL!$C$9, $C$13, 100%, $E$13) + CHOOSE(CONTROL!$C$28, 0.0021, 0)</f>
        <v>124.915619015258</v>
      </c>
    </row>
    <row r="165" spans="1:5" ht="15">
      <c r="A165" s="13">
        <v>46508</v>
      </c>
      <c r="B165" s="4">
        <f>20.5195 * CHOOSE(CONTROL!$C$9, $C$13, 100%, $E$13) + CHOOSE(CONTROL!$C$28, 0.0415, 0)</f>
        <v>20.561</v>
      </c>
      <c r="C165" s="4">
        <f>20.1562 * CHOOSE(CONTROL!$C$9, $C$13, 100%, $E$13) + CHOOSE(CONTROL!$C$28, 0.0415, 0)</f>
        <v>20.197699999999998</v>
      </c>
      <c r="D165" s="4">
        <f>28.427 * CHOOSE(CONTROL!$C$9, $C$13, 100%, $E$13) + CHOOSE(CONTROL!$C$28, 0.0021, 0)</f>
        <v>28.429099999999998</v>
      </c>
      <c r="E165" s="4">
        <f>127.904614455542 * CHOOSE(CONTROL!$C$9, $C$13, 100%, $E$13) + CHOOSE(CONTROL!$C$28, 0.0021, 0)</f>
        <v>127.906714455542</v>
      </c>
    </row>
    <row r="166" spans="1:5" ht="15">
      <c r="A166" s="13">
        <v>46539</v>
      </c>
      <c r="B166" s="4">
        <f>20.5819 * CHOOSE(CONTROL!$C$9, $C$13, 100%, $E$13) + CHOOSE(CONTROL!$C$28, 0.0415, 0)</f>
        <v>20.6234</v>
      </c>
      <c r="C166" s="4">
        <f>20.2187 * CHOOSE(CONTROL!$C$9, $C$13, 100%, $E$13) + CHOOSE(CONTROL!$C$28, 0.0415, 0)</f>
        <v>20.260199999999998</v>
      </c>
      <c r="D166" s="4">
        <f>28.6723 * CHOOSE(CONTROL!$C$9, $C$13, 100%, $E$13) + CHOOSE(CONTROL!$C$28, 0.0021, 0)</f>
        <v>28.674399999999999</v>
      </c>
      <c r="E166" s="4">
        <f>128.309322081914 * CHOOSE(CONTROL!$C$9, $C$13, 100%, $E$13) + CHOOSE(CONTROL!$C$28, 0.0021, 0)</f>
        <v>128.311422081914</v>
      </c>
    </row>
    <row r="167" spans="1:5" ht="15">
      <c r="A167" s="13">
        <v>46569</v>
      </c>
      <c r="B167" s="4">
        <f>20.5756 * CHOOSE(CONTROL!$C$9, $C$13, 100%, $E$13) + CHOOSE(CONTROL!$C$28, 0.0415, 0)</f>
        <v>20.617100000000001</v>
      </c>
      <c r="C167" s="4">
        <f>20.2124 * CHOOSE(CONTROL!$C$9, $C$13, 100%, $E$13) + CHOOSE(CONTROL!$C$28, 0.0415, 0)</f>
        <v>20.253899999999998</v>
      </c>
      <c r="D167" s="4">
        <f>29.1148 * CHOOSE(CONTROL!$C$9, $C$13, 100%, $E$13) + CHOOSE(CONTROL!$C$28, 0.0021, 0)</f>
        <v>29.116899999999998</v>
      </c>
      <c r="E167" s="4">
        <f>128.268511228834 * CHOOSE(CONTROL!$C$9, $C$13, 100%, $E$13) + CHOOSE(CONTROL!$C$28, 0.0021, 0)</f>
        <v>128.27061122883401</v>
      </c>
    </row>
    <row r="168" spans="1:5" ht="15">
      <c r="A168" s="13">
        <v>46600</v>
      </c>
      <c r="B168" s="4">
        <f>21.0497 * CHOOSE(CONTROL!$C$9, $C$13, 100%, $E$13) + CHOOSE(CONTROL!$C$28, 0.0415, 0)</f>
        <v>21.091200000000001</v>
      </c>
      <c r="C168" s="4">
        <f>20.6865 * CHOOSE(CONTROL!$C$9, $C$13, 100%, $E$13) + CHOOSE(CONTROL!$C$28, 0.0415, 0)</f>
        <v>20.727999999999998</v>
      </c>
      <c r="D168" s="4">
        <f>28.8226 * CHOOSE(CONTROL!$C$9, $C$13, 100%, $E$13) + CHOOSE(CONTROL!$C$28, 0.0021, 0)</f>
        <v>28.8247</v>
      </c>
      <c r="E168" s="4">
        <f>131.339527923066 * CHOOSE(CONTROL!$C$9, $C$13, 100%, $E$13) + CHOOSE(CONTROL!$C$28, 0.0021, 0)</f>
        <v>131.341627923066</v>
      </c>
    </row>
    <row r="169" spans="1:5" ht="15">
      <c r="A169" s="13">
        <v>46631</v>
      </c>
      <c r="B169" s="4">
        <f>20.2417 * CHOOSE(CONTROL!$C$9, $C$13, 100%, $E$13) + CHOOSE(CONTROL!$C$28, 0.0415, 0)</f>
        <v>20.283200000000001</v>
      </c>
      <c r="C169" s="4">
        <f>19.8784 * CHOOSE(CONTROL!$C$9, $C$13, 100%, $E$13) + CHOOSE(CONTROL!$C$28, 0.0415, 0)</f>
        <v>19.919899999999998</v>
      </c>
      <c r="D169" s="4">
        <f>28.6845 * CHOOSE(CONTROL!$C$9, $C$13, 100%, $E$13) + CHOOSE(CONTROL!$C$28, 0.0021, 0)</f>
        <v>28.686599999999999</v>
      </c>
      <c r="E169" s="4">
        <f>126.105536015621 * CHOOSE(CONTROL!$C$9, $C$13, 100%, $E$13) + CHOOSE(CONTROL!$C$28, 0.0021, 0)</f>
        <v>126.107636015621</v>
      </c>
    </row>
    <row r="170" spans="1:5" ht="15">
      <c r="A170" s="13">
        <v>46661</v>
      </c>
      <c r="B170" s="4">
        <f>19.5949 * CHOOSE(CONTROL!$C$9, $C$13, 100%, $E$13) + CHOOSE(CONTROL!$C$28, 0.0211, 0)</f>
        <v>19.616</v>
      </c>
      <c r="C170" s="4">
        <f>19.2316 * CHOOSE(CONTROL!$C$9, $C$13, 100%, $E$13) + CHOOSE(CONTROL!$C$28, 0.0211, 0)</f>
        <v>19.252700000000001</v>
      </c>
      <c r="D170" s="4">
        <f>28.3148 * CHOOSE(CONTROL!$C$9, $C$13, 100%, $E$13) + CHOOSE(CONTROL!$C$28, 0.0021, 0)</f>
        <v>28.3169</v>
      </c>
      <c r="E170" s="4">
        <f>121.915621766127 * CHOOSE(CONTROL!$C$9, $C$13, 100%, $E$13) + CHOOSE(CONTROL!$C$28, 0.0021, 0)</f>
        <v>121.917721766127</v>
      </c>
    </row>
    <row r="171" spans="1:5" ht="15">
      <c r="A171" s="13">
        <v>46692</v>
      </c>
      <c r="B171" s="4">
        <f>19.1783 * CHOOSE(CONTROL!$C$9, $C$13, 100%, $E$13) + CHOOSE(CONTROL!$C$28, 0.0211, 0)</f>
        <v>19.199400000000001</v>
      </c>
      <c r="C171" s="4">
        <f>18.815 * CHOOSE(CONTROL!$C$9, $C$13, 100%, $E$13) + CHOOSE(CONTROL!$C$28, 0.0211, 0)</f>
        <v>18.836100000000002</v>
      </c>
      <c r="D171" s="4">
        <f>28.1877 * CHOOSE(CONTROL!$C$9, $C$13, 100%, $E$13) + CHOOSE(CONTROL!$C$28, 0.0021, 0)</f>
        <v>28.189799999999998</v>
      </c>
      <c r="E171" s="4">
        <f>119.217004106246 * CHOOSE(CONTROL!$C$9, $C$13, 100%, $E$13) + CHOOSE(CONTROL!$C$28, 0.0021, 0)</f>
        <v>119.21910410624599</v>
      </c>
    </row>
    <row r="172" spans="1:5" ht="15">
      <c r="A172" s="13">
        <v>46722</v>
      </c>
      <c r="B172" s="4">
        <f>18.89 * CHOOSE(CONTROL!$C$9, $C$13, 100%, $E$13) + CHOOSE(CONTROL!$C$28, 0.0211, 0)</f>
        <v>18.911100000000001</v>
      </c>
      <c r="C172" s="4">
        <f>18.5267 * CHOOSE(CONTROL!$C$9, $C$13, 100%, $E$13) + CHOOSE(CONTROL!$C$28, 0.0211, 0)</f>
        <v>18.547800000000002</v>
      </c>
      <c r="D172" s="4">
        <f>27.2519 * CHOOSE(CONTROL!$C$9, $C$13, 100%, $E$13) + CHOOSE(CONTROL!$C$28, 0.0021, 0)</f>
        <v>27.253999999999998</v>
      </c>
      <c r="E172" s="4">
        <f>117.349907577859 * CHOOSE(CONTROL!$C$9, $C$13, 100%, $E$13) + CHOOSE(CONTROL!$C$28, 0.0021, 0)</f>
        <v>117.352007577859</v>
      </c>
    </row>
    <row r="173" spans="1:5" ht="15">
      <c r="A173" s="13">
        <v>46753</v>
      </c>
      <c r="B173" s="4">
        <f>18.3338 * CHOOSE(CONTROL!$C$9, $C$13, 100%, $E$13) + CHOOSE(CONTROL!$C$28, 0.0211, 0)</f>
        <v>18.354900000000001</v>
      </c>
      <c r="C173" s="4">
        <f>17.9706 * CHOOSE(CONTROL!$C$9, $C$13, 100%, $E$13) + CHOOSE(CONTROL!$C$28, 0.0211, 0)</f>
        <v>17.991700000000002</v>
      </c>
      <c r="D173" s="4">
        <f>26.4281 * CHOOSE(CONTROL!$C$9, $C$13, 100%, $E$13) + CHOOSE(CONTROL!$C$28, 0.0021, 0)</f>
        <v>26.430199999999999</v>
      </c>
      <c r="E173" s="4">
        <f>113.984843818042 * CHOOSE(CONTROL!$C$9, $C$13, 100%, $E$13) + CHOOSE(CONTROL!$C$28, 0.0021, 0)</f>
        <v>113.98694381804199</v>
      </c>
    </row>
    <row r="174" spans="1:5" ht="15">
      <c r="A174" s="13">
        <v>46784</v>
      </c>
      <c r="B174" s="4">
        <f>18.7508 * CHOOSE(CONTROL!$C$9, $C$13, 100%, $E$13) + CHOOSE(CONTROL!$C$28, 0.0211, 0)</f>
        <v>18.771900000000002</v>
      </c>
      <c r="C174" s="4">
        <f>18.3875 * CHOOSE(CONTROL!$C$9, $C$13, 100%, $E$13) + CHOOSE(CONTROL!$C$28, 0.0211, 0)</f>
        <v>18.4086</v>
      </c>
      <c r="D174" s="4">
        <f>27.2955 * CHOOSE(CONTROL!$C$9, $C$13, 100%, $E$13) + CHOOSE(CONTROL!$C$28, 0.0021, 0)</f>
        <v>27.297599999999999</v>
      </c>
      <c r="E174" s="4">
        <f>116.691293214229 * CHOOSE(CONTROL!$C$9, $C$13, 100%, $E$13) + CHOOSE(CONTROL!$C$28, 0.0021, 0)</f>
        <v>116.693393214229</v>
      </c>
    </row>
    <row r="175" spans="1:5" ht="15">
      <c r="A175" s="13">
        <v>46813</v>
      </c>
      <c r="B175" s="4">
        <f>19.8457 * CHOOSE(CONTROL!$C$9, $C$13, 100%, $E$13) + CHOOSE(CONTROL!$C$28, 0.0211, 0)</f>
        <v>19.866800000000001</v>
      </c>
      <c r="C175" s="4">
        <f>19.4824 * CHOOSE(CONTROL!$C$9, $C$13, 100%, $E$13) + CHOOSE(CONTROL!$C$28, 0.0211, 0)</f>
        <v>19.503499999999999</v>
      </c>
      <c r="D175" s="4">
        <f>28.6533 * CHOOSE(CONTROL!$C$9, $C$13, 100%, $E$13) + CHOOSE(CONTROL!$C$28, 0.0021, 0)</f>
        <v>28.6554</v>
      </c>
      <c r="E175" s="4">
        <f>123.798573158073 * CHOOSE(CONTROL!$C$9, $C$13, 100%, $E$13) + CHOOSE(CONTROL!$C$28, 0.0021, 0)</f>
        <v>123.800673158073</v>
      </c>
    </row>
    <row r="176" spans="1:5" ht="15">
      <c r="A176" s="13">
        <v>46844</v>
      </c>
      <c r="B176" s="4">
        <f>20.6237 * CHOOSE(CONTROL!$C$9, $C$13, 100%, $E$13) + CHOOSE(CONTROL!$C$28, 0.0211, 0)</f>
        <v>20.6448</v>
      </c>
      <c r="C176" s="4">
        <f>20.2604 * CHOOSE(CONTROL!$C$9, $C$13, 100%, $E$13) + CHOOSE(CONTROL!$C$28, 0.0211, 0)</f>
        <v>20.281500000000001</v>
      </c>
      <c r="D176" s="4">
        <f>29.4355 * CHOOSE(CONTROL!$C$9, $C$13, 100%, $E$13) + CHOOSE(CONTROL!$C$28, 0.0021, 0)</f>
        <v>29.4376</v>
      </c>
      <c r="E176" s="4">
        <f>128.848390275133 * CHOOSE(CONTROL!$C$9, $C$13, 100%, $E$13) + CHOOSE(CONTROL!$C$28, 0.0021, 0)</f>
        <v>128.85049027513301</v>
      </c>
    </row>
    <row r="177" spans="1:5" ht="15">
      <c r="A177" s="13">
        <v>46874</v>
      </c>
      <c r="B177" s="4">
        <f>21.099 * CHOOSE(CONTROL!$C$9, $C$13, 100%, $E$13) + CHOOSE(CONTROL!$C$28, 0.0415, 0)</f>
        <v>21.140499999999999</v>
      </c>
      <c r="C177" s="4">
        <f>20.7357 * CHOOSE(CONTROL!$C$9, $C$13, 100%, $E$13) + CHOOSE(CONTROL!$C$28, 0.0415, 0)</f>
        <v>20.777200000000001</v>
      </c>
      <c r="D177" s="4">
        <f>29.1264 * CHOOSE(CONTROL!$C$9, $C$13, 100%, $E$13) + CHOOSE(CONTROL!$C$28, 0.0021, 0)</f>
        <v>29.128499999999999</v>
      </c>
      <c r="E177" s="4">
        <f>131.933707506432 * CHOOSE(CONTROL!$C$9, $C$13, 100%, $E$13) + CHOOSE(CONTROL!$C$28, 0.0021, 0)</f>
        <v>131.93580750643201</v>
      </c>
    </row>
    <row r="178" spans="1:5" ht="15">
      <c r="A178" s="13">
        <v>46905</v>
      </c>
      <c r="B178" s="4">
        <f>21.1633 * CHOOSE(CONTROL!$C$9, $C$13, 100%, $E$13) + CHOOSE(CONTROL!$C$28, 0.0415, 0)</f>
        <v>21.204799999999999</v>
      </c>
      <c r="C178" s="4">
        <f>20.8001 * CHOOSE(CONTROL!$C$9, $C$13, 100%, $E$13) + CHOOSE(CONTROL!$C$28, 0.0415, 0)</f>
        <v>20.8416</v>
      </c>
      <c r="D178" s="4">
        <f>29.3781 * CHOOSE(CONTROL!$C$9, $C$13, 100%, $E$13) + CHOOSE(CONTROL!$C$28, 0.0021, 0)</f>
        <v>29.380199999999999</v>
      </c>
      <c r="E178" s="4">
        <f>132.351163732156 * CHOOSE(CONTROL!$C$9, $C$13, 100%, $E$13) + CHOOSE(CONTROL!$C$28, 0.0021, 0)</f>
        <v>132.35326373215602</v>
      </c>
    </row>
    <row r="179" spans="1:5" ht="15">
      <c r="A179" s="13">
        <v>46935</v>
      </c>
      <c r="B179" s="4">
        <f>21.1568 * CHOOSE(CONTROL!$C$9, $C$13, 100%, $E$13) + CHOOSE(CONTROL!$C$28, 0.0415, 0)</f>
        <v>21.1983</v>
      </c>
      <c r="C179" s="4">
        <f>20.7936 * CHOOSE(CONTROL!$C$9, $C$13, 100%, $E$13) + CHOOSE(CONTROL!$C$28, 0.0415, 0)</f>
        <v>20.835100000000001</v>
      </c>
      <c r="D179" s="4">
        <f>29.8323 * CHOOSE(CONTROL!$C$9, $C$13, 100%, $E$13) + CHOOSE(CONTROL!$C$28, 0.0021, 0)</f>
        <v>29.834399999999999</v>
      </c>
      <c r="E179" s="4">
        <f>132.309067306032 * CHOOSE(CONTROL!$C$9, $C$13, 100%, $E$13) + CHOOSE(CONTROL!$C$28, 0.0021, 0)</f>
        <v>132.31116730603202</v>
      </c>
    </row>
    <row r="180" spans="1:5" ht="15">
      <c r="A180" s="13">
        <v>46966</v>
      </c>
      <c r="B180" s="4">
        <f>21.6449 * CHOOSE(CONTROL!$C$9, $C$13, 100%, $E$13) + CHOOSE(CONTROL!$C$28, 0.0415, 0)</f>
        <v>21.686399999999999</v>
      </c>
      <c r="C180" s="4">
        <f>21.2816 * CHOOSE(CONTROL!$C$9, $C$13, 100%, $E$13) + CHOOSE(CONTROL!$C$28, 0.0415, 0)</f>
        <v>21.3231</v>
      </c>
      <c r="D180" s="4">
        <f>29.5324 * CHOOSE(CONTROL!$C$9, $C$13, 100%, $E$13) + CHOOSE(CONTROL!$C$28, 0.0021, 0)</f>
        <v>29.534499999999998</v>
      </c>
      <c r="E180" s="4">
        <f>135.476823371823 * CHOOSE(CONTROL!$C$9, $C$13, 100%, $E$13) + CHOOSE(CONTROL!$C$28, 0.0021, 0)</f>
        <v>135.47892337182302</v>
      </c>
    </row>
    <row r="181" spans="1:5" ht="15">
      <c r="A181" s="13">
        <v>46997</v>
      </c>
      <c r="B181" s="4">
        <f>20.8131 * CHOOSE(CONTROL!$C$9, $C$13, 100%, $E$13) + CHOOSE(CONTROL!$C$28, 0.0415, 0)</f>
        <v>20.854599999999998</v>
      </c>
      <c r="C181" s="4">
        <f>20.4498 * CHOOSE(CONTROL!$C$9, $C$13, 100%, $E$13) + CHOOSE(CONTROL!$C$28, 0.0415, 0)</f>
        <v>20.491299999999999</v>
      </c>
      <c r="D181" s="4">
        <f>29.3906 * CHOOSE(CONTROL!$C$9, $C$13, 100%, $E$13) + CHOOSE(CONTROL!$C$28, 0.0021, 0)</f>
        <v>29.392699999999998</v>
      </c>
      <c r="E181" s="4">
        <f>130.077956721489 * CHOOSE(CONTROL!$C$9, $C$13, 100%, $E$13) + CHOOSE(CONTROL!$C$28, 0.0021, 0)</f>
        <v>130.080056721489</v>
      </c>
    </row>
    <row r="182" spans="1:5" ht="15">
      <c r="A182" s="13">
        <v>47027</v>
      </c>
      <c r="B182" s="4">
        <f>20.1473 * CHOOSE(CONTROL!$C$9, $C$13, 100%, $E$13) + CHOOSE(CONTROL!$C$28, 0.0211, 0)</f>
        <v>20.168400000000002</v>
      </c>
      <c r="C182" s="4">
        <f>19.784 * CHOOSE(CONTROL!$C$9, $C$13, 100%, $E$13) + CHOOSE(CONTROL!$C$28, 0.0211, 0)</f>
        <v>19.805099999999999</v>
      </c>
      <c r="D182" s="4">
        <f>29.0112 * CHOOSE(CONTROL!$C$9, $C$13, 100%, $E$13) + CHOOSE(CONTROL!$C$28, 0.0021, 0)</f>
        <v>29.013299999999997</v>
      </c>
      <c r="E182" s="4">
        <f>125.756056972814 * CHOOSE(CONTROL!$C$9, $C$13, 100%, $E$13) + CHOOSE(CONTROL!$C$28, 0.0021, 0)</f>
        <v>125.75815697281399</v>
      </c>
    </row>
    <row r="183" spans="1:5" ht="15">
      <c r="A183" s="13">
        <v>47058</v>
      </c>
      <c r="B183" s="4">
        <f>19.7185 * CHOOSE(CONTROL!$C$9, $C$13, 100%, $E$13) + CHOOSE(CONTROL!$C$28, 0.0211, 0)</f>
        <v>19.739599999999999</v>
      </c>
      <c r="C183" s="4">
        <f>19.3552 * CHOOSE(CONTROL!$C$9, $C$13, 100%, $E$13) + CHOOSE(CONTROL!$C$28, 0.0211, 0)</f>
        <v>19.376300000000001</v>
      </c>
      <c r="D183" s="4">
        <f>28.8807 * CHOOSE(CONTROL!$C$9, $C$13, 100%, $E$13) + CHOOSE(CONTROL!$C$28, 0.0021, 0)</f>
        <v>28.8828</v>
      </c>
      <c r="E183" s="4">
        <f>122.9724307954 * CHOOSE(CONTROL!$C$9, $C$13, 100%, $E$13) + CHOOSE(CONTROL!$C$28, 0.0021, 0)</f>
        <v>122.9745307954</v>
      </c>
    </row>
    <row r="184" spans="1:5" ht="15">
      <c r="A184" s="13">
        <v>47088</v>
      </c>
      <c r="B184" s="4">
        <f>19.4218 * CHOOSE(CONTROL!$C$9, $C$13, 100%, $E$13) + CHOOSE(CONTROL!$C$28, 0.0211, 0)</f>
        <v>19.442900000000002</v>
      </c>
      <c r="C184" s="4">
        <f>19.0585 * CHOOSE(CONTROL!$C$9, $C$13, 100%, $E$13) + CHOOSE(CONTROL!$C$28, 0.0211, 0)</f>
        <v>19.079599999999999</v>
      </c>
      <c r="D184" s="4">
        <f>27.9203 * CHOOSE(CONTROL!$C$9, $C$13, 100%, $E$13) + CHOOSE(CONTROL!$C$28, 0.0021, 0)</f>
        <v>27.9224</v>
      </c>
      <c r="E184" s="4">
        <f>121.046519300252 * CHOOSE(CONTROL!$C$9, $C$13, 100%, $E$13) + CHOOSE(CONTROL!$C$28, 0.0021, 0)</f>
        <v>121.048619300252</v>
      </c>
    </row>
    <row r="185" spans="1:5" ht="15">
      <c r="A185" s="13">
        <v>47119</v>
      </c>
      <c r="B185" s="4">
        <f>18.8769 * CHOOSE(CONTROL!$C$9, $C$13, 100%, $E$13) + CHOOSE(CONTROL!$C$28, 0.0211, 0)</f>
        <v>18.898</v>
      </c>
      <c r="C185" s="4">
        <f>18.5136 * CHOOSE(CONTROL!$C$9, $C$13, 100%, $E$13) + CHOOSE(CONTROL!$C$28, 0.0211, 0)</f>
        <v>18.534700000000001</v>
      </c>
      <c r="D185" s="4">
        <f>27.0121 * CHOOSE(CONTROL!$C$9, $C$13, 100%, $E$13) + CHOOSE(CONTROL!$C$28, 0.0021, 0)</f>
        <v>27.014199999999999</v>
      </c>
      <c r="E185" s="4">
        <f>117.465394324666 * CHOOSE(CONTROL!$C$9, $C$13, 100%, $E$13) + CHOOSE(CONTROL!$C$28, 0.0021, 0)</f>
        <v>117.46749432466599</v>
      </c>
    </row>
    <row r="186" spans="1:5" ht="15">
      <c r="A186" s="13">
        <v>47150</v>
      </c>
      <c r="B186" s="4">
        <f>19.3067 * CHOOSE(CONTROL!$C$9, $C$13, 100%, $E$13) + CHOOSE(CONTROL!$C$28, 0.0211, 0)</f>
        <v>19.3278</v>
      </c>
      <c r="C186" s="4">
        <f>18.9434 * CHOOSE(CONTROL!$C$9, $C$13, 100%, $E$13) + CHOOSE(CONTROL!$C$28, 0.0211, 0)</f>
        <v>18.964500000000001</v>
      </c>
      <c r="D186" s="4">
        <f>27.9001 * CHOOSE(CONTROL!$C$9, $C$13, 100%, $E$13) + CHOOSE(CONTROL!$C$28, 0.0021, 0)</f>
        <v>27.902199999999997</v>
      </c>
      <c r="E186" s="4">
        <f>120.254485706415 * CHOOSE(CONTROL!$C$9, $C$13, 100%, $E$13) + CHOOSE(CONTROL!$C$28, 0.0021, 0)</f>
        <v>120.256585706415</v>
      </c>
    </row>
    <row r="187" spans="1:5" ht="15">
      <c r="A187" s="13">
        <v>47178</v>
      </c>
      <c r="B187" s="4">
        <f>20.4355 * CHOOSE(CONTROL!$C$9, $C$13, 100%, $E$13) + CHOOSE(CONTROL!$C$28, 0.0211, 0)</f>
        <v>20.456600000000002</v>
      </c>
      <c r="C187" s="4">
        <f>20.0722 * CHOOSE(CONTROL!$C$9, $C$13, 100%, $E$13) + CHOOSE(CONTROL!$C$28, 0.0211, 0)</f>
        <v>20.093299999999999</v>
      </c>
      <c r="D187" s="4">
        <f>29.2902 * CHOOSE(CONTROL!$C$9, $C$13, 100%, $E$13) + CHOOSE(CONTROL!$C$28, 0.0021, 0)</f>
        <v>29.292299999999997</v>
      </c>
      <c r="E187" s="4">
        <f>127.578787896205 * CHOOSE(CONTROL!$C$9, $C$13, 100%, $E$13) + CHOOSE(CONTROL!$C$28, 0.0021, 0)</f>
        <v>127.580887896205</v>
      </c>
    </row>
    <row r="188" spans="1:5" ht="15">
      <c r="A188" s="13">
        <v>47209</v>
      </c>
      <c r="B188" s="4">
        <f>21.2375 * CHOOSE(CONTROL!$C$9, $C$13, 100%, $E$13) + CHOOSE(CONTROL!$C$28, 0.0211, 0)</f>
        <v>21.258600000000001</v>
      </c>
      <c r="C188" s="4">
        <f>20.8743 * CHOOSE(CONTROL!$C$9, $C$13, 100%, $E$13) + CHOOSE(CONTROL!$C$28, 0.0211, 0)</f>
        <v>20.895400000000002</v>
      </c>
      <c r="D188" s="4">
        <f>30.091 * CHOOSE(CONTROL!$C$9, $C$13, 100%, $E$13) + CHOOSE(CONTROL!$C$28, 0.0021, 0)</f>
        <v>30.0931</v>
      </c>
      <c r="E188" s="4">
        <f>132.782802211212 * CHOOSE(CONTROL!$C$9, $C$13, 100%, $E$13) + CHOOSE(CONTROL!$C$28, 0.0021, 0)</f>
        <v>132.784902211212</v>
      </c>
    </row>
    <row r="189" spans="1:5" ht="15">
      <c r="A189" s="13">
        <v>47239</v>
      </c>
      <c r="B189" s="4">
        <f>21.7276 * CHOOSE(CONTROL!$C$9, $C$13, 100%, $E$13) + CHOOSE(CONTROL!$C$28, 0.0415, 0)</f>
        <v>21.769099999999998</v>
      </c>
      <c r="C189" s="4">
        <f>21.3643 * CHOOSE(CONTROL!$C$9, $C$13, 100%, $E$13) + CHOOSE(CONTROL!$C$28, 0.0415, 0)</f>
        <v>21.405799999999999</v>
      </c>
      <c r="D189" s="4">
        <f>29.7746 * CHOOSE(CONTROL!$C$9, $C$13, 100%, $E$13) + CHOOSE(CONTROL!$C$28, 0.0021, 0)</f>
        <v>29.776699999999998</v>
      </c>
      <c r="E189" s="4">
        <f>135.962330234865 * CHOOSE(CONTROL!$C$9, $C$13, 100%, $E$13) + CHOOSE(CONTROL!$C$28, 0.0021, 0)</f>
        <v>135.96443023486501</v>
      </c>
    </row>
    <row r="190" spans="1:5" ht="15">
      <c r="A190" s="13">
        <v>47270</v>
      </c>
      <c r="B190" s="4">
        <f>21.7939 * CHOOSE(CONTROL!$C$9, $C$13, 100%, $E$13) + CHOOSE(CONTROL!$C$28, 0.0415, 0)</f>
        <v>21.8354</v>
      </c>
      <c r="C190" s="4">
        <f>21.4306 * CHOOSE(CONTROL!$C$9, $C$13, 100%, $E$13) + CHOOSE(CONTROL!$C$28, 0.0415, 0)</f>
        <v>21.472099999999998</v>
      </c>
      <c r="D190" s="4">
        <f>30.0323 * CHOOSE(CONTROL!$C$9, $C$13, 100%, $E$13) + CHOOSE(CONTROL!$C$28, 0.0021, 0)</f>
        <v>30.034399999999998</v>
      </c>
      <c r="E190" s="4">
        <f>136.392533571778 * CHOOSE(CONTROL!$C$9, $C$13, 100%, $E$13) + CHOOSE(CONTROL!$C$28, 0.0021, 0)</f>
        <v>136.394633571778</v>
      </c>
    </row>
    <row r="191" spans="1:5" ht="15">
      <c r="A191" s="13">
        <v>47300</v>
      </c>
      <c r="B191" s="4">
        <f>21.7872 * CHOOSE(CONTROL!$C$9, $C$13, 100%, $E$13) + CHOOSE(CONTROL!$C$28, 0.0415, 0)</f>
        <v>21.828699999999998</v>
      </c>
      <c r="C191" s="4">
        <f>21.4239 * CHOOSE(CONTROL!$C$9, $C$13, 100%, $E$13) + CHOOSE(CONTROL!$C$28, 0.0415, 0)</f>
        <v>21.465399999999999</v>
      </c>
      <c r="D191" s="4">
        <f>30.4972 * CHOOSE(CONTROL!$C$9, $C$13, 100%, $E$13) + CHOOSE(CONTROL!$C$28, 0.0021, 0)</f>
        <v>30.499299999999998</v>
      </c>
      <c r="E191" s="4">
        <f>136.349151722677 * CHOOSE(CONTROL!$C$9, $C$13, 100%, $E$13) + CHOOSE(CONTROL!$C$28, 0.0021, 0)</f>
        <v>136.35125172267701</v>
      </c>
    </row>
    <row r="192" spans="1:5" ht="15">
      <c r="A192" s="13">
        <v>47331</v>
      </c>
      <c r="B192" s="4">
        <f>22.2903 * CHOOSE(CONTROL!$C$9, $C$13, 100%, $E$13) + CHOOSE(CONTROL!$C$28, 0.0415, 0)</f>
        <v>22.331799999999998</v>
      </c>
      <c r="C192" s="4">
        <f>21.927 * CHOOSE(CONTROL!$C$9, $C$13, 100%, $E$13) + CHOOSE(CONTROL!$C$28, 0.0415, 0)</f>
        <v>21.968499999999999</v>
      </c>
      <c r="D192" s="4">
        <f>30.1902 * CHOOSE(CONTROL!$C$9, $C$13, 100%, $E$13) + CHOOSE(CONTROL!$C$28, 0.0021, 0)</f>
        <v>30.192299999999999</v>
      </c>
      <c r="E192" s="4">
        <f>139.613635867485 * CHOOSE(CONTROL!$C$9, $C$13, 100%, $E$13) + CHOOSE(CONTROL!$C$28, 0.0021, 0)</f>
        <v>139.615735867485</v>
      </c>
    </row>
    <row r="193" spans="1:5" ht="15">
      <c r="A193" s="13">
        <v>47362</v>
      </c>
      <c r="B193" s="4">
        <f>21.4328 * CHOOSE(CONTROL!$C$9, $C$13, 100%, $E$13) + CHOOSE(CONTROL!$C$28, 0.0415, 0)</f>
        <v>21.474299999999999</v>
      </c>
      <c r="C193" s="4">
        <f>21.0695 * CHOOSE(CONTROL!$C$9, $C$13, 100%, $E$13) + CHOOSE(CONTROL!$C$28, 0.0415, 0)</f>
        <v>21.111000000000001</v>
      </c>
      <c r="D193" s="4">
        <f>30.0451 * CHOOSE(CONTROL!$C$9, $C$13, 100%, $E$13) + CHOOSE(CONTROL!$C$28, 0.0021, 0)</f>
        <v>30.0472</v>
      </c>
      <c r="E193" s="4">
        <f>134.049913720354 * CHOOSE(CONTROL!$C$9, $C$13, 100%, $E$13) + CHOOSE(CONTROL!$C$28, 0.0021, 0)</f>
        <v>134.05201372035401</v>
      </c>
    </row>
    <row r="194" spans="1:5" ht="15">
      <c r="A194" s="13">
        <v>47392</v>
      </c>
      <c r="B194" s="4">
        <f>20.7464 * CHOOSE(CONTROL!$C$9, $C$13, 100%, $E$13) + CHOOSE(CONTROL!$C$28, 0.0211, 0)</f>
        <v>20.767500000000002</v>
      </c>
      <c r="C194" s="4">
        <f>20.3831 * CHOOSE(CONTROL!$C$9, $C$13, 100%, $E$13) + CHOOSE(CONTROL!$C$28, 0.0211, 0)</f>
        <v>20.404199999999999</v>
      </c>
      <c r="D194" s="4">
        <f>29.6566 * CHOOSE(CONTROL!$C$9, $C$13, 100%, $E$13) + CHOOSE(CONTROL!$C$28, 0.0021, 0)</f>
        <v>29.6587</v>
      </c>
      <c r="E194" s="4">
        <f>129.596043879376 * CHOOSE(CONTROL!$C$9, $C$13, 100%, $E$13) + CHOOSE(CONTROL!$C$28, 0.0021, 0)</f>
        <v>129.59814387937601</v>
      </c>
    </row>
    <row r="195" spans="1:5" ht="15">
      <c r="A195" s="13">
        <v>47423</v>
      </c>
      <c r="B195" s="4">
        <f>20.3043 * CHOOSE(CONTROL!$C$9, $C$13, 100%, $E$13) + CHOOSE(CONTROL!$C$28, 0.0211, 0)</f>
        <v>20.325400000000002</v>
      </c>
      <c r="C195" s="4">
        <f>19.941 * CHOOSE(CONTROL!$C$9, $C$13, 100%, $E$13) + CHOOSE(CONTROL!$C$28, 0.0211, 0)</f>
        <v>19.9621</v>
      </c>
      <c r="D195" s="4">
        <f>29.523 * CHOOSE(CONTROL!$C$9, $C$13, 100%, $E$13) + CHOOSE(CONTROL!$C$28, 0.0021, 0)</f>
        <v>29.525099999999998</v>
      </c>
      <c r="E195" s="4">
        <f>126.727419107609 * CHOOSE(CONTROL!$C$9, $C$13, 100%, $E$13) + CHOOSE(CONTROL!$C$28, 0.0021, 0)</f>
        <v>126.72951910760899</v>
      </c>
    </row>
    <row r="196" spans="1:5" ht="15">
      <c r="A196" s="13">
        <v>47453</v>
      </c>
      <c r="B196" s="4">
        <f>19.9984 * CHOOSE(CONTROL!$C$9, $C$13, 100%, $E$13) + CHOOSE(CONTROL!$C$28, 0.0211, 0)</f>
        <v>20.019500000000001</v>
      </c>
      <c r="C196" s="4">
        <f>19.6351 * CHOOSE(CONTROL!$C$9, $C$13, 100%, $E$13) + CHOOSE(CONTROL!$C$28, 0.0211, 0)</f>
        <v>19.656200000000002</v>
      </c>
      <c r="D196" s="4">
        <f>28.5398 * CHOOSE(CONTROL!$C$9, $C$13, 100%, $E$13) + CHOOSE(CONTROL!$C$28, 0.0021, 0)</f>
        <v>28.541899999999998</v>
      </c>
      <c r="E196" s="4">
        <f>124.742699511264 * CHOOSE(CONTROL!$C$9, $C$13, 100%, $E$13) + CHOOSE(CONTROL!$C$28, 0.0021, 0)</f>
        <v>124.74479951126399</v>
      </c>
    </row>
    <row r="197" spans="1:5" ht="15">
      <c r="A197" s="13">
        <v>47484</v>
      </c>
      <c r="B197" s="4">
        <f>19.4199 * CHOOSE(CONTROL!$C$9, $C$13, 100%, $E$13) + CHOOSE(CONTROL!$C$28, 0.0211, 0)</f>
        <v>19.440999999999999</v>
      </c>
      <c r="C197" s="4">
        <f>19.0566 * CHOOSE(CONTROL!$C$9, $C$13, 100%, $E$13) + CHOOSE(CONTROL!$C$28, 0.0211, 0)</f>
        <v>19.0777</v>
      </c>
      <c r="D197" s="4">
        <f>27.6032 * CHOOSE(CONTROL!$C$9, $C$13, 100%, $E$13) + CHOOSE(CONTROL!$C$28, 0.0021, 0)</f>
        <v>27.6053</v>
      </c>
      <c r="E197" s="4">
        <f>120.945559154883 * CHOOSE(CONTROL!$C$9, $C$13, 100%, $E$13) + CHOOSE(CONTROL!$C$28, 0.0021, 0)</f>
        <v>120.947659154883</v>
      </c>
    </row>
    <row r="198" spans="1:5" ht="15">
      <c r="A198" s="13">
        <v>47515</v>
      </c>
      <c r="B198" s="4">
        <f>19.8626 * CHOOSE(CONTROL!$C$9, $C$13, 100%, $E$13) + CHOOSE(CONTROL!$C$28, 0.0211, 0)</f>
        <v>19.883700000000001</v>
      </c>
      <c r="C198" s="4">
        <f>19.4994 * CHOOSE(CONTROL!$C$9, $C$13, 100%, $E$13) + CHOOSE(CONTROL!$C$28, 0.0211, 0)</f>
        <v>19.520500000000002</v>
      </c>
      <c r="D198" s="4">
        <f>28.5121 * CHOOSE(CONTROL!$C$9, $C$13, 100%, $E$13) + CHOOSE(CONTROL!$C$28, 0.0021, 0)</f>
        <v>28.514199999999999</v>
      </c>
      <c r="E198" s="4">
        <f>123.817283364716 * CHOOSE(CONTROL!$C$9, $C$13, 100%, $E$13) + CHOOSE(CONTROL!$C$28, 0.0021, 0)</f>
        <v>123.819383364716</v>
      </c>
    </row>
    <row r="199" spans="1:5" ht="15">
      <c r="A199" s="13">
        <v>47543</v>
      </c>
      <c r="B199" s="4">
        <f>21.0253 * CHOOSE(CONTROL!$C$9, $C$13, 100%, $E$13) + CHOOSE(CONTROL!$C$28, 0.0211, 0)</f>
        <v>21.046400000000002</v>
      </c>
      <c r="C199" s="4">
        <f>20.662 * CHOOSE(CONTROL!$C$9, $C$13, 100%, $E$13) + CHOOSE(CONTROL!$C$28, 0.0211, 0)</f>
        <v>20.6831</v>
      </c>
      <c r="D199" s="4">
        <f>29.9349 * CHOOSE(CONTROL!$C$9, $C$13, 100%, $E$13) + CHOOSE(CONTROL!$C$28, 0.0021, 0)</f>
        <v>29.936999999999998</v>
      </c>
      <c r="E199" s="4">
        <f>131.35858375243 * CHOOSE(CONTROL!$C$9, $C$13, 100%, $E$13) + CHOOSE(CONTROL!$C$28, 0.0021, 0)</f>
        <v>131.36068375243002</v>
      </c>
    </row>
    <row r="200" spans="1:5" ht="15">
      <c r="A200" s="13">
        <v>47574</v>
      </c>
      <c r="B200" s="4">
        <f>21.8514 * CHOOSE(CONTROL!$C$9, $C$13, 100%, $E$13) + CHOOSE(CONTROL!$C$28, 0.0211, 0)</f>
        <v>21.872500000000002</v>
      </c>
      <c r="C200" s="4">
        <f>21.4881 * CHOOSE(CONTROL!$C$9, $C$13, 100%, $E$13) + CHOOSE(CONTROL!$C$28, 0.0211, 0)</f>
        <v>21.5092</v>
      </c>
      <c r="D200" s="4">
        <f>30.7544 * CHOOSE(CONTROL!$C$9, $C$13, 100%, $E$13) + CHOOSE(CONTROL!$C$28, 0.0021, 0)</f>
        <v>30.756499999999999</v>
      </c>
      <c r="E200" s="4">
        <f>136.716778178942 * CHOOSE(CONTROL!$C$9, $C$13, 100%, $E$13) + CHOOSE(CONTROL!$C$28, 0.0021, 0)</f>
        <v>136.71887817894202</v>
      </c>
    </row>
    <row r="201" spans="1:5" ht="15">
      <c r="A201" s="13">
        <v>47604</v>
      </c>
      <c r="B201" s="4">
        <f>22.3561 * CHOOSE(CONTROL!$C$9, $C$13, 100%, $E$13) + CHOOSE(CONTROL!$C$28, 0.0415, 0)</f>
        <v>22.397600000000001</v>
      </c>
      <c r="C201" s="4">
        <f>21.9928 * CHOOSE(CONTROL!$C$9, $C$13, 100%, $E$13) + CHOOSE(CONTROL!$C$28, 0.0415, 0)</f>
        <v>22.034299999999998</v>
      </c>
      <c r="D201" s="4">
        <f>30.4306 * CHOOSE(CONTROL!$C$9, $C$13, 100%, $E$13) + CHOOSE(CONTROL!$C$28, 0.0021, 0)</f>
        <v>30.432699999999997</v>
      </c>
      <c r="E201" s="4">
        <f>139.990506555543 * CHOOSE(CONTROL!$C$9, $C$13, 100%, $E$13) + CHOOSE(CONTROL!$C$28, 0.0021, 0)</f>
        <v>139.99260655554301</v>
      </c>
    </row>
    <row r="202" spans="1:5" ht="15">
      <c r="A202" s="13">
        <v>47635</v>
      </c>
      <c r="B202" s="4">
        <f>22.4244 * CHOOSE(CONTROL!$C$9, $C$13, 100%, $E$13) + CHOOSE(CONTROL!$C$28, 0.0415, 0)</f>
        <v>22.465899999999998</v>
      </c>
      <c r="C202" s="4">
        <f>22.0611 * CHOOSE(CONTROL!$C$9, $C$13, 100%, $E$13) + CHOOSE(CONTROL!$C$28, 0.0415, 0)</f>
        <v>22.102599999999999</v>
      </c>
      <c r="D202" s="4">
        <f>30.6943 * CHOOSE(CONTROL!$C$9, $C$13, 100%, $E$13) + CHOOSE(CONTROL!$C$28, 0.0021, 0)</f>
        <v>30.696399999999997</v>
      </c>
      <c r="E202" s="4">
        <f>140.433455591149 * CHOOSE(CONTROL!$C$9, $C$13, 100%, $E$13) + CHOOSE(CONTROL!$C$28, 0.0021, 0)</f>
        <v>140.43555559114901</v>
      </c>
    </row>
    <row r="203" spans="1:5" ht="15">
      <c r="A203" s="13">
        <v>47665</v>
      </c>
      <c r="B203" s="4">
        <f>22.4175 * CHOOSE(CONTROL!$C$9, $C$13, 100%, $E$13) + CHOOSE(CONTROL!$C$28, 0.0415, 0)</f>
        <v>22.459</v>
      </c>
      <c r="C203" s="4">
        <f>22.0542 * CHOOSE(CONTROL!$C$9, $C$13, 100%, $E$13) + CHOOSE(CONTROL!$C$28, 0.0415, 0)</f>
        <v>22.095700000000001</v>
      </c>
      <c r="D203" s="4">
        <f>31.1702 * CHOOSE(CONTROL!$C$9, $C$13, 100%, $E$13) + CHOOSE(CONTROL!$C$28, 0.0021, 0)</f>
        <v>31.1723</v>
      </c>
      <c r="E203" s="4">
        <f>140.388788461509 * CHOOSE(CONTROL!$C$9, $C$13, 100%, $E$13) + CHOOSE(CONTROL!$C$28, 0.0021, 0)</f>
        <v>140.39088846150901</v>
      </c>
    </row>
    <row r="204" spans="1:5" ht="15">
      <c r="A204" s="13">
        <v>47696</v>
      </c>
      <c r="B204" s="4">
        <f>22.9357 * CHOOSE(CONTROL!$C$9, $C$13, 100%, $E$13) + CHOOSE(CONTROL!$C$28, 0.0415, 0)</f>
        <v>22.9772</v>
      </c>
      <c r="C204" s="4">
        <f>22.5724 * CHOOSE(CONTROL!$C$9, $C$13, 100%, $E$13) + CHOOSE(CONTROL!$C$28, 0.0415, 0)</f>
        <v>22.613899999999997</v>
      </c>
      <c r="D204" s="4">
        <f>30.8559 * CHOOSE(CONTROL!$C$9, $C$13, 100%, $E$13) + CHOOSE(CONTROL!$C$28, 0.0021, 0)</f>
        <v>30.857999999999997</v>
      </c>
      <c r="E204" s="4">
        <f>143.74998996699 * CHOOSE(CONTROL!$C$9, $C$13, 100%, $E$13) + CHOOSE(CONTROL!$C$28, 0.0021, 0)</f>
        <v>143.75208996699001</v>
      </c>
    </row>
    <row r="205" spans="1:5" ht="15">
      <c r="A205" s="13">
        <v>47727</v>
      </c>
      <c r="B205" s="4">
        <f>22.0525 * CHOOSE(CONTROL!$C$9, $C$13, 100%, $E$13) + CHOOSE(CONTROL!$C$28, 0.0415, 0)</f>
        <v>22.093999999999998</v>
      </c>
      <c r="C205" s="4">
        <f>21.6892 * CHOOSE(CONTROL!$C$9, $C$13, 100%, $E$13) + CHOOSE(CONTROL!$C$28, 0.0415, 0)</f>
        <v>21.730699999999999</v>
      </c>
      <c r="D205" s="4">
        <f>30.7074 * CHOOSE(CONTROL!$C$9, $C$13, 100%, $E$13) + CHOOSE(CONTROL!$C$28, 0.0021, 0)</f>
        <v>30.709499999999998</v>
      </c>
      <c r="E205" s="4">
        <f>138.021430590538 * CHOOSE(CONTROL!$C$9, $C$13, 100%, $E$13) + CHOOSE(CONTROL!$C$28, 0.0021, 0)</f>
        <v>138.023530590538</v>
      </c>
    </row>
    <row r="206" spans="1:5" ht="15">
      <c r="A206" s="13">
        <v>47757</v>
      </c>
      <c r="B206" s="4">
        <f>21.3455 * CHOOSE(CONTROL!$C$9, $C$13, 100%, $E$13) + CHOOSE(CONTROL!$C$28, 0.0211, 0)</f>
        <v>21.366600000000002</v>
      </c>
      <c r="C206" s="4">
        <f>20.9822 * CHOOSE(CONTROL!$C$9, $C$13, 100%, $E$13) + CHOOSE(CONTROL!$C$28, 0.0211, 0)</f>
        <v>21.003299999999999</v>
      </c>
      <c r="D206" s="4">
        <f>30.3098 * CHOOSE(CONTROL!$C$9, $C$13, 100%, $E$13) + CHOOSE(CONTROL!$C$28, 0.0021, 0)</f>
        <v>30.311899999999998</v>
      </c>
      <c r="E206" s="4">
        <f>133.435605280734 * CHOOSE(CONTROL!$C$9, $C$13, 100%, $E$13) + CHOOSE(CONTROL!$C$28, 0.0021, 0)</f>
        <v>133.43770528073401</v>
      </c>
    </row>
    <row r="207" spans="1:5" ht="15">
      <c r="A207" s="13">
        <v>47788</v>
      </c>
      <c r="B207" s="4">
        <f>20.8902 * CHOOSE(CONTROL!$C$9, $C$13, 100%, $E$13) + CHOOSE(CONTROL!$C$28, 0.0211, 0)</f>
        <v>20.911300000000001</v>
      </c>
      <c r="C207" s="4">
        <f>20.5269 * CHOOSE(CONTROL!$C$9, $C$13, 100%, $E$13) + CHOOSE(CONTROL!$C$28, 0.0211, 0)</f>
        <v>20.548000000000002</v>
      </c>
      <c r="D207" s="4">
        <f>30.1731 * CHOOSE(CONTROL!$C$9, $C$13, 100%, $E$13) + CHOOSE(CONTROL!$C$28, 0.0021, 0)</f>
        <v>30.1752</v>
      </c>
      <c r="E207" s="4">
        <f>130.481991333226 * CHOOSE(CONTROL!$C$9, $C$13, 100%, $E$13) + CHOOSE(CONTROL!$C$28, 0.0021, 0)</f>
        <v>130.48409133322602</v>
      </c>
    </row>
    <row r="208" spans="1:5" ht="15">
      <c r="A208" s="13">
        <v>47818</v>
      </c>
      <c r="B208" s="4">
        <f>20.5751 * CHOOSE(CONTROL!$C$9, $C$13, 100%, $E$13) + CHOOSE(CONTROL!$C$28, 0.0211, 0)</f>
        <v>20.5962</v>
      </c>
      <c r="C208" s="4">
        <f>20.2118 * CHOOSE(CONTROL!$C$9, $C$13, 100%, $E$13) + CHOOSE(CONTROL!$C$28, 0.0211, 0)</f>
        <v>20.232900000000001</v>
      </c>
      <c r="D208" s="4">
        <f>29.1668 * CHOOSE(CONTROL!$C$9, $C$13, 100%, $E$13) + CHOOSE(CONTROL!$C$28, 0.0021, 0)</f>
        <v>29.168899999999997</v>
      </c>
      <c r="E208" s="4">
        <f>128.438470152152 * CHOOSE(CONTROL!$C$9, $C$13, 100%, $E$13) + CHOOSE(CONTROL!$C$28, 0.0021, 0)</f>
        <v>128.44057015215202</v>
      </c>
    </row>
    <row r="209" spans="1:5" ht="15">
      <c r="A209" s="13">
        <v>47849</v>
      </c>
      <c r="B209" s="4">
        <f>20.0969 * CHOOSE(CONTROL!$C$9, $C$13, 100%, $E$13) + CHOOSE(CONTROL!$C$28, 0.0211, 0)</f>
        <v>20.118000000000002</v>
      </c>
      <c r="C209" s="4">
        <f>19.7336 * CHOOSE(CONTROL!$C$9, $C$13, 100%, $E$13) + CHOOSE(CONTROL!$C$28, 0.0211, 0)</f>
        <v>19.7547</v>
      </c>
      <c r="D209" s="4">
        <f>28.3552 * CHOOSE(CONTROL!$C$9, $C$13, 100%, $E$13) + CHOOSE(CONTROL!$C$28, 0.0021, 0)</f>
        <v>28.357299999999999</v>
      </c>
      <c r="E209" s="4">
        <f>125.328013938627 * CHOOSE(CONTROL!$C$9, $C$13, 100%, $E$13) + CHOOSE(CONTROL!$C$28, 0.0021, 0)</f>
        <v>125.33011393862699</v>
      </c>
    </row>
    <row r="210" spans="1:5" ht="15">
      <c r="A210" s="13">
        <v>47880</v>
      </c>
      <c r="B210" s="4">
        <f>20.5557 * CHOOSE(CONTROL!$C$9, $C$13, 100%, $E$13) + CHOOSE(CONTROL!$C$28, 0.0211, 0)</f>
        <v>20.576800000000002</v>
      </c>
      <c r="C210" s="4">
        <f>20.1925 * CHOOSE(CONTROL!$C$9, $C$13, 100%, $E$13) + CHOOSE(CONTROL!$C$28, 0.0211, 0)</f>
        <v>20.2136</v>
      </c>
      <c r="D210" s="4">
        <f>29.2906 * CHOOSE(CONTROL!$C$9, $C$13, 100%, $E$13) + CHOOSE(CONTROL!$C$28, 0.0021, 0)</f>
        <v>29.2927</v>
      </c>
      <c r="E210" s="4">
        <f>128.303794895884 * CHOOSE(CONTROL!$C$9, $C$13, 100%, $E$13) + CHOOSE(CONTROL!$C$28, 0.0021, 0)</f>
        <v>128.30589489588402</v>
      </c>
    </row>
    <row r="211" spans="1:5" ht="15">
      <c r="A211" s="13">
        <v>47908</v>
      </c>
      <c r="B211" s="4">
        <f>21.7606 * CHOOSE(CONTROL!$C$9, $C$13, 100%, $E$13) + CHOOSE(CONTROL!$C$28, 0.0211, 0)</f>
        <v>21.781700000000001</v>
      </c>
      <c r="C211" s="4">
        <f>21.3973 * CHOOSE(CONTROL!$C$9, $C$13, 100%, $E$13) + CHOOSE(CONTROL!$C$28, 0.0211, 0)</f>
        <v>21.418400000000002</v>
      </c>
      <c r="D211" s="4">
        <f>30.7549 * CHOOSE(CONTROL!$C$9, $C$13, 100%, $E$13) + CHOOSE(CONTROL!$C$28, 0.0021, 0)</f>
        <v>30.756999999999998</v>
      </c>
      <c r="E211" s="4">
        <f>136.118353832243 * CHOOSE(CONTROL!$C$9, $C$13, 100%, $E$13) + CHOOSE(CONTROL!$C$28, 0.0021, 0)</f>
        <v>136.12045383224302</v>
      </c>
    </row>
    <row r="212" spans="1:5" ht="15">
      <c r="A212" s="13">
        <v>47939</v>
      </c>
      <c r="B212" s="4">
        <f>22.6167 * CHOOSE(CONTROL!$C$9, $C$13, 100%, $E$13) + CHOOSE(CONTROL!$C$28, 0.0211, 0)</f>
        <v>22.637800000000002</v>
      </c>
      <c r="C212" s="4">
        <f>22.2534 * CHOOSE(CONTROL!$C$9, $C$13, 100%, $E$13) + CHOOSE(CONTROL!$C$28, 0.0211, 0)</f>
        <v>22.2745</v>
      </c>
      <c r="D212" s="4">
        <f>31.5984 * CHOOSE(CONTROL!$C$9, $C$13, 100%, $E$13) + CHOOSE(CONTROL!$C$28, 0.0021, 0)</f>
        <v>31.6005</v>
      </c>
      <c r="E212" s="4">
        <f>141.670702099217 * CHOOSE(CONTROL!$C$9, $C$13, 100%, $E$13) + CHOOSE(CONTROL!$C$28, 0.0021, 0)</f>
        <v>141.67280209921702</v>
      </c>
    </row>
    <row r="213" spans="1:5" ht="15">
      <c r="A213" s="13">
        <v>47969</v>
      </c>
      <c r="B213" s="4">
        <f>23.1397 * CHOOSE(CONTROL!$C$9, $C$13, 100%, $E$13) + CHOOSE(CONTROL!$C$28, 0.0415, 0)</f>
        <v>23.1812</v>
      </c>
      <c r="C213" s="4">
        <f>22.7765 * CHOOSE(CONTROL!$C$9, $C$13, 100%, $E$13) + CHOOSE(CONTROL!$C$28, 0.0415, 0)</f>
        <v>22.817999999999998</v>
      </c>
      <c r="D213" s="4">
        <f>31.2651 * CHOOSE(CONTROL!$C$9, $C$13, 100%, $E$13) + CHOOSE(CONTROL!$C$28, 0.0021, 0)</f>
        <v>31.267199999999999</v>
      </c>
      <c r="E213" s="4">
        <f>145.063053819123 * CHOOSE(CONTROL!$C$9, $C$13, 100%, $E$13) + CHOOSE(CONTROL!$C$28, 0.0021, 0)</f>
        <v>145.06515381912303</v>
      </c>
    </row>
    <row r="214" spans="1:5" ht="15">
      <c r="A214" s="13">
        <v>48000</v>
      </c>
      <c r="B214" s="4">
        <f>23.2105 * CHOOSE(CONTROL!$C$9, $C$13, 100%, $E$13) + CHOOSE(CONTROL!$C$28, 0.0415, 0)</f>
        <v>23.251999999999999</v>
      </c>
      <c r="C214" s="4">
        <f>22.8472 * CHOOSE(CONTROL!$C$9, $C$13, 100%, $E$13) + CHOOSE(CONTROL!$C$28, 0.0415, 0)</f>
        <v>22.8887</v>
      </c>
      <c r="D214" s="4">
        <f>31.5366 * CHOOSE(CONTROL!$C$9, $C$13, 100%, $E$13) + CHOOSE(CONTROL!$C$28, 0.0021, 0)</f>
        <v>31.538699999999999</v>
      </c>
      <c r="E214" s="4">
        <f>145.522053085375 * CHOOSE(CONTROL!$C$9, $C$13, 100%, $E$13) + CHOOSE(CONTROL!$C$28, 0.0021, 0)</f>
        <v>145.52415308537502</v>
      </c>
    </row>
    <row r="215" spans="1:5" ht="15">
      <c r="A215" s="13">
        <v>48030</v>
      </c>
      <c r="B215" s="4">
        <f>23.2034 * CHOOSE(CONTROL!$C$9, $C$13, 100%, $E$13) + CHOOSE(CONTROL!$C$28, 0.0415, 0)</f>
        <v>23.244899999999998</v>
      </c>
      <c r="C215" s="4">
        <f>22.8401 * CHOOSE(CONTROL!$C$9, $C$13, 100%, $E$13) + CHOOSE(CONTROL!$C$28, 0.0415, 0)</f>
        <v>22.881599999999999</v>
      </c>
      <c r="D215" s="4">
        <f>32.0264 * CHOOSE(CONTROL!$C$9, $C$13, 100%, $E$13) + CHOOSE(CONTROL!$C$28, 0.0021, 0)</f>
        <v>32.028500000000001</v>
      </c>
      <c r="E215" s="4">
        <f>145.47576744508 * CHOOSE(CONTROL!$C$9, $C$13, 100%, $E$13) + CHOOSE(CONTROL!$C$28, 0.0021, 0)</f>
        <v>145.47786744508002</v>
      </c>
    </row>
    <row r="216" spans="1:5" ht="15">
      <c r="A216" s="13">
        <v>48061</v>
      </c>
      <c r="B216" s="4">
        <f>23.7404 * CHOOSE(CONTROL!$C$9, $C$13, 100%, $E$13) + CHOOSE(CONTROL!$C$28, 0.0415, 0)</f>
        <v>23.7819</v>
      </c>
      <c r="C216" s="4">
        <f>23.3771 * CHOOSE(CONTROL!$C$9, $C$13, 100%, $E$13) + CHOOSE(CONTROL!$C$28, 0.0415, 0)</f>
        <v>23.418599999999998</v>
      </c>
      <c r="D216" s="4">
        <f>31.7029 * CHOOSE(CONTROL!$C$9, $C$13, 100%, $E$13) + CHOOSE(CONTROL!$C$28, 0.0021, 0)</f>
        <v>31.704999999999998</v>
      </c>
      <c r="E216" s="4">
        <f>148.958761877229 * CHOOSE(CONTROL!$C$9, $C$13, 100%, $E$13) + CHOOSE(CONTROL!$C$28, 0.0021, 0)</f>
        <v>148.96086187722901</v>
      </c>
    </row>
    <row r="217" spans="1:5" ht="15">
      <c r="A217" s="13">
        <v>48092</v>
      </c>
      <c r="B217" s="4">
        <f>22.8251 * CHOOSE(CONTROL!$C$9, $C$13, 100%, $E$13) + CHOOSE(CONTROL!$C$28, 0.0415, 0)</f>
        <v>22.866599999999998</v>
      </c>
      <c r="C217" s="4">
        <f>22.4619 * CHOOSE(CONTROL!$C$9, $C$13, 100%, $E$13) + CHOOSE(CONTROL!$C$28, 0.0415, 0)</f>
        <v>22.503399999999999</v>
      </c>
      <c r="D217" s="4">
        <f>31.5501 * CHOOSE(CONTROL!$C$9, $C$13, 100%, $E$13) + CHOOSE(CONTROL!$C$28, 0.0021, 0)</f>
        <v>31.552199999999999</v>
      </c>
      <c r="E217" s="4">
        <f>143.022628509481 * CHOOSE(CONTROL!$C$9, $C$13, 100%, $E$13) + CHOOSE(CONTROL!$C$28, 0.0021, 0)</f>
        <v>143.02472850948101</v>
      </c>
    </row>
    <row r="218" spans="1:5" ht="15">
      <c r="A218" s="13">
        <v>48122</v>
      </c>
      <c r="B218" s="4">
        <f>22.0925 * CHOOSE(CONTROL!$C$9, $C$13, 100%, $E$13) + CHOOSE(CONTROL!$C$28, 0.0211, 0)</f>
        <v>22.113600000000002</v>
      </c>
      <c r="C218" s="4">
        <f>21.7292 * CHOOSE(CONTROL!$C$9, $C$13, 100%, $E$13) + CHOOSE(CONTROL!$C$28, 0.0211, 0)</f>
        <v>21.750299999999999</v>
      </c>
      <c r="D218" s="4">
        <f>31.1409 * CHOOSE(CONTROL!$C$9, $C$13, 100%, $E$13) + CHOOSE(CONTROL!$C$28, 0.0021, 0)</f>
        <v>31.142999999999997</v>
      </c>
      <c r="E218" s="4">
        <f>138.27063610593 * CHOOSE(CONTROL!$C$9, $C$13, 100%, $E$13) + CHOOSE(CONTROL!$C$28, 0.0021, 0)</f>
        <v>138.27273610593002</v>
      </c>
    </row>
    <row r="219" spans="1:5" ht="15">
      <c r="A219" s="13">
        <v>48153</v>
      </c>
      <c r="B219" s="4">
        <f>21.6206 * CHOOSE(CONTROL!$C$9, $C$13, 100%, $E$13) + CHOOSE(CONTROL!$C$28, 0.0211, 0)</f>
        <v>21.6417</v>
      </c>
      <c r="C219" s="4">
        <f>21.2573 * CHOOSE(CONTROL!$C$9, $C$13, 100%, $E$13) + CHOOSE(CONTROL!$C$28, 0.0211, 0)</f>
        <v>21.278400000000001</v>
      </c>
      <c r="D219" s="4">
        <f>31.0002 * CHOOSE(CONTROL!$C$9, $C$13, 100%, $E$13) + CHOOSE(CONTROL!$C$28, 0.0021, 0)</f>
        <v>31.002299999999998</v>
      </c>
      <c r="E219" s="4">
        <f>135.209998141467 * CHOOSE(CONTROL!$C$9, $C$13, 100%, $E$13) + CHOOSE(CONTROL!$C$28, 0.0021, 0)</f>
        <v>135.21209814146701</v>
      </c>
    </row>
    <row r="220" spans="1:5" ht="15">
      <c r="A220" s="13">
        <v>48183</v>
      </c>
      <c r="B220" s="4">
        <f>21.2941 * CHOOSE(CONTROL!$C$9, $C$13, 100%, $E$13) + CHOOSE(CONTROL!$C$28, 0.0211, 0)</f>
        <v>21.315200000000001</v>
      </c>
      <c r="C220" s="4">
        <f>20.9308 * CHOOSE(CONTROL!$C$9, $C$13, 100%, $E$13) + CHOOSE(CONTROL!$C$28, 0.0211, 0)</f>
        <v>20.951900000000002</v>
      </c>
      <c r="D220" s="4">
        <f>29.9644 * CHOOSE(CONTROL!$C$9, $C$13, 100%, $E$13) + CHOOSE(CONTROL!$C$28, 0.0021, 0)</f>
        <v>29.9665</v>
      </c>
      <c r="E220" s="4">
        <f>133.092430098001 * CHOOSE(CONTROL!$C$9, $C$13, 100%, $E$13) + CHOOSE(CONTROL!$C$28, 0.0021, 0)</f>
        <v>133.094530098001</v>
      </c>
    </row>
    <row r="221" spans="1:5" ht="15">
      <c r="A221" s="13">
        <v>48214</v>
      </c>
      <c r="B221" s="4">
        <f>20.7881 * CHOOSE(CONTROL!$C$9, $C$13, 100%, $E$13) + CHOOSE(CONTROL!$C$28, 0.0211, 0)</f>
        <v>20.809200000000001</v>
      </c>
      <c r="C221" s="4">
        <f>20.4248 * CHOOSE(CONTROL!$C$9, $C$13, 100%, $E$13) + CHOOSE(CONTROL!$C$28, 0.0211, 0)</f>
        <v>20.445900000000002</v>
      </c>
      <c r="D221" s="4">
        <f>29.1072 * CHOOSE(CONTROL!$C$9, $C$13, 100%, $E$13) + CHOOSE(CONTROL!$C$28, 0.0021, 0)</f>
        <v>29.109299999999998</v>
      </c>
      <c r="E221" s="4">
        <f>129.710069271808 * CHOOSE(CONTROL!$C$9, $C$13, 100%, $E$13) + CHOOSE(CONTROL!$C$28, 0.0021, 0)</f>
        <v>129.71216927180802</v>
      </c>
    </row>
    <row r="222" spans="1:5" ht="15">
      <c r="A222" s="13">
        <v>48245</v>
      </c>
      <c r="B222" s="4">
        <f>21.2633 * CHOOSE(CONTROL!$C$9, $C$13, 100%, $E$13) + CHOOSE(CONTROL!$C$28, 0.0211, 0)</f>
        <v>21.284400000000002</v>
      </c>
      <c r="C222" s="4">
        <f>20.9 * CHOOSE(CONTROL!$C$9, $C$13, 100%, $E$13) + CHOOSE(CONTROL!$C$28, 0.0211, 0)</f>
        <v>20.921099999999999</v>
      </c>
      <c r="D222" s="4">
        <f>30.0692 * CHOOSE(CONTROL!$C$9, $C$13, 100%, $E$13) + CHOOSE(CONTROL!$C$28, 0.0021, 0)</f>
        <v>30.071299999999997</v>
      </c>
      <c r="E222" s="4">
        <f>132.789897491957 * CHOOSE(CONTROL!$C$9, $C$13, 100%, $E$13) + CHOOSE(CONTROL!$C$28, 0.0021, 0)</f>
        <v>132.79199749195701</v>
      </c>
    </row>
    <row r="223" spans="1:5" ht="15">
      <c r="A223" s="13">
        <v>48274</v>
      </c>
      <c r="B223" s="4">
        <f>22.5113 * CHOOSE(CONTROL!$C$9, $C$13, 100%, $E$13) + CHOOSE(CONTROL!$C$28, 0.0211, 0)</f>
        <v>22.532399999999999</v>
      </c>
      <c r="C223" s="4">
        <f>22.148 * CHOOSE(CONTROL!$C$9, $C$13, 100%, $E$13) + CHOOSE(CONTROL!$C$28, 0.0211, 0)</f>
        <v>22.1691</v>
      </c>
      <c r="D223" s="4">
        <f>31.575 * CHOOSE(CONTROL!$C$9, $C$13, 100%, $E$13) + CHOOSE(CONTROL!$C$28, 0.0021, 0)</f>
        <v>31.577099999999998</v>
      </c>
      <c r="E223" s="4">
        <f>140.877690070081 * CHOOSE(CONTROL!$C$9, $C$13, 100%, $E$13) + CHOOSE(CONTROL!$C$28, 0.0021, 0)</f>
        <v>140.87979007008101</v>
      </c>
    </row>
    <row r="224" spans="1:5" ht="15">
      <c r="A224" s="13">
        <v>48305</v>
      </c>
      <c r="B224" s="4">
        <f>23.398 * CHOOSE(CONTROL!$C$9, $C$13, 100%, $E$13) + CHOOSE(CONTROL!$C$28, 0.0211, 0)</f>
        <v>23.4191</v>
      </c>
      <c r="C224" s="4">
        <f>23.0347 * CHOOSE(CONTROL!$C$9, $C$13, 100%, $E$13) + CHOOSE(CONTROL!$C$28, 0.0211, 0)</f>
        <v>23.055800000000001</v>
      </c>
      <c r="D224" s="4">
        <f>32.4425 * CHOOSE(CONTROL!$C$9, $C$13, 100%, $E$13) + CHOOSE(CONTROL!$C$28, 0.0021, 0)</f>
        <v>32.444600000000001</v>
      </c>
      <c r="E224" s="4">
        <f>146.624174480845 * CHOOSE(CONTROL!$C$9, $C$13, 100%, $E$13) + CHOOSE(CONTROL!$C$28, 0.0021, 0)</f>
        <v>146.62627448084501</v>
      </c>
    </row>
    <row r="225" spans="1:5" ht="15">
      <c r="A225" s="13">
        <v>48335</v>
      </c>
      <c r="B225" s="4">
        <f>23.9397 * CHOOSE(CONTROL!$C$9, $C$13, 100%, $E$13) + CHOOSE(CONTROL!$C$28, 0.0415, 0)</f>
        <v>23.981199999999998</v>
      </c>
      <c r="C225" s="4">
        <f>23.5764 * CHOOSE(CONTROL!$C$9, $C$13, 100%, $E$13) + CHOOSE(CONTROL!$C$28, 0.0415, 0)</f>
        <v>23.617899999999999</v>
      </c>
      <c r="D225" s="4">
        <f>32.0997 * CHOOSE(CONTROL!$C$9, $C$13, 100%, $E$13) + CHOOSE(CONTROL!$C$28, 0.0021, 0)</f>
        <v>32.101799999999997</v>
      </c>
      <c r="E225" s="4">
        <f>150.135138731813 * CHOOSE(CONTROL!$C$9, $C$13, 100%, $E$13) + CHOOSE(CONTROL!$C$28, 0.0021, 0)</f>
        <v>150.137238731813</v>
      </c>
    </row>
    <row r="226" spans="1:5" ht="15">
      <c r="A226" s="13">
        <v>48366</v>
      </c>
      <c r="B226" s="4">
        <f>24.013 * CHOOSE(CONTROL!$C$9, $C$13, 100%, $E$13) + CHOOSE(CONTROL!$C$28, 0.0415, 0)</f>
        <v>24.054500000000001</v>
      </c>
      <c r="C226" s="4">
        <f>23.6497 * CHOOSE(CONTROL!$C$9, $C$13, 100%, $E$13) + CHOOSE(CONTROL!$C$28, 0.0415, 0)</f>
        <v>23.691199999999998</v>
      </c>
      <c r="D226" s="4">
        <f>32.3788 * CHOOSE(CONTROL!$C$9, $C$13, 100%, $E$13) + CHOOSE(CONTROL!$C$28, 0.0021, 0)</f>
        <v>32.380899999999997</v>
      </c>
      <c r="E226" s="4">
        <f>150.610186765769 * CHOOSE(CONTROL!$C$9, $C$13, 100%, $E$13) + CHOOSE(CONTROL!$C$28, 0.0021, 0)</f>
        <v>150.612286765769</v>
      </c>
    </row>
    <row r="227" spans="1:5" ht="15">
      <c r="A227" s="13">
        <v>48396</v>
      </c>
      <c r="B227" s="4">
        <f>24.0056 * CHOOSE(CONTROL!$C$9, $C$13, 100%, $E$13) + CHOOSE(CONTROL!$C$28, 0.0415, 0)</f>
        <v>24.0471</v>
      </c>
      <c r="C227" s="4">
        <f>23.6423 * CHOOSE(CONTROL!$C$9, $C$13, 100%, $E$13) + CHOOSE(CONTROL!$C$28, 0.0415, 0)</f>
        <v>23.683799999999998</v>
      </c>
      <c r="D227" s="4">
        <f>32.8825 * CHOOSE(CONTROL!$C$9, $C$13, 100%, $E$13) + CHOOSE(CONTROL!$C$28, 0.0021, 0)</f>
        <v>32.884599999999999</v>
      </c>
      <c r="E227" s="4">
        <f>150.562282762345 * CHOOSE(CONTROL!$C$9, $C$13, 100%, $E$13) + CHOOSE(CONTROL!$C$28, 0.0021, 0)</f>
        <v>150.56438276234502</v>
      </c>
    </row>
    <row r="228" spans="1:5" ht="15">
      <c r="A228" s="13">
        <v>48427</v>
      </c>
      <c r="B228" s="4">
        <f>24.5618 * CHOOSE(CONTROL!$C$9, $C$13, 100%, $E$13) + CHOOSE(CONTROL!$C$28, 0.0415, 0)</f>
        <v>24.603300000000001</v>
      </c>
      <c r="C228" s="4">
        <f>24.1986 * CHOOSE(CONTROL!$C$9, $C$13, 100%, $E$13) + CHOOSE(CONTROL!$C$28, 0.0415, 0)</f>
        <v>24.240099999999998</v>
      </c>
      <c r="D228" s="4">
        <f>32.5499 * CHOOSE(CONTROL!$C$9, $C$13, 100%, $E$13) + CHOOSE(CONTROL!$C$28, 0.0021, 0)</f>
        <v>32.552</v>
      </c>
      <c r="E228" s="4">
        <f>154.167059020018 * CHOOSE(CONTROL!$C$9, $C$13, 100%, $E$13) + CHOOSE(CONTROL!$C$28, 0.0021, 0)</f>
        <v>154.16915902001801</v>
      </c>
    </row>
    <row r="229" spans="1:5" ht="15">
      <c r="A229" s="13">
        <v>48458</v>
      </c>
      <c r="B229" s="4">
        <f>23.6139 * CHOOSE(CONTROL!$C$9, $C$13, 100%, $E$13) + CHOOSE(CONTROL!$C$28, 0.0415, 0)</f>
        <v>23.6554</v>
      </c>
      <c r="C229" s="4">
        <f>23.2506 * CHOOSE(CONTROL!$C$9, $C$13, 100%, $E$13) + CHOOSE(CONTROL!$C$28, 0.0415, 0)</f>
        <v>23.292099999999998</v>
      </c>
      <c r="D229" s="4">
        <f>32.3927 * CHOOSE(CONTROL!$C$9, $C$13, 100%, $E$13) + CHOOSE(CONTROL!$C$28, 0.0021, 0)</f>
        <v>32.394799999999996</v>
      </c>
      <c r="E229" s="4">
        <f>148.023370580861 * CHOOSE(CONTROL!$C$9, $C$13, 100%, $E$13) + CHOOSE(CONTROL!$C$28, 0.0021, 0)</f>
        <v>148.02547058086103</v>
      </c>
    </row>
    <row r="230" spans="1:5" ht="15">
      <c r="A230" s="13">
        <v>48488</v>
      </c>
      <c r="B230" s="4">
        <f>22.855 * CHOOSE(CONTROL!$C$9, $C$13, 100%, $E$13) + CHOOSE(CONTROL!$C$28, 0.0211, 0)</f>
        <v>22.876100000000001</v>
      </c>
      <c r="C230" s="4">
        <f>22.4917 * CHOOSE(CONTROL!$C$9, $C$13, 100%, $E$13) + CHOOSE(CONTROL!$C$28, 0.0211, 0)</f>
        <v>22.512800000000002</v>
      </c>
      <c r="D230" s="4">
        <f>31.9719 * CHOOSE(CONTROL!$C$9, $C$13, 100%, $E$13) + CHOOSE(CONTROL!$C$28, 0.0021, 0)</f>
        <v>31.974</v>
      </c>
      <c r="E230" s="4">
        <f>143.105226229307 * CHOOSE(CONTROL!$C$9, $C$13, 100%, $E$13) + CHOOSE(CONTROL!$C$28, 0.0021, 0)</f>
        <v>143.10732622930701</v>
      </c>
    </row>
    <row r="231" spans="1:5" ht="15">
      <c r="A231" s="13">
        <v>48519</v>
      </c>
      <c r="B231" s="4">
        <f>22.3662 * CHOOSE(CONTROL!$C$9, $C$13, 100%, $E$13) + CHOOSE(CONTROL!$C$28, 0.0211, 0)</f>
        <v>22.3873</v>
      </c>
      <c r="C231" s="4">
        <f>22.0029 * CHOOSE(CONTROL!$C$9, $C$13, 100%, $E$13) + CHOOSE(CONTROL!$C$28, 0.0211, 0)</f>
        <v>22.024000000000001</v>
      </c>
      <c r="D231" s="4">
        <f>31.8272 * CHOOSE(CONTROL!$C$9, $C$13, 100%, $E$13) + CHOOSE(CONTROL!$C$28, 0.0021, 0)</f>
        <v>31.8293</v>
      </c>
      <c r="E231" s="4">
        <f>139.93757400288 * CHOOSE(CONTROL!$C$9, $C$13, 100%, $E$13) + CHOOSE(CONTROL!$C$28, 0.0021, 0)</f>
        <v>139.93967400288003</v>
      </c>
    </row>
    <row r="232" spans="1:5" ht="15">
      <c r="A232" s="13">
        <v>48549</v>
      </c>
      <c r="B232" s="4">
        <f>22.028 * CHOOSE(CONTROL!$C$9, $C$13, 100%, $E$13) + CHOOSE(CONTROL!$C$28, 0.0211, 0)</f>
        <v>22.049099999999999</v>
      </c>
      <c r="C232" s="4">
        <f>21.6647 * CHOOSE(CONTROL!$C$9, $C$13, 100%, $E$13) + CHOOSE(CONTROL!$C$28, 0.0211, 0)</f>
        <v>21.6858</v>
      </c>
      <c r="D232" s="4">
        <f>30.7621 * CHOOSE(CONTROL!$C$9, $C$13, 100%, $E$13) + CHOOSE(CONTROL!$C$28, 0.0021, 0)</f>
        <v>30.764199999999999</v>
      </c>
      <c r="E232" s="4">
        <f>137.745965846222 * CHOOSE(CONTROL!$C$9, $C$13, 100%, $E$13) + CHOOSE(CONTROL!$C$28, 0.0021, 0)</f>
        <v>137.748065846222</v>
      </c>
    </row>
    <row r="233" spans="1:5" ht="15">
      <c r="A233" s="13">
        <v>48580</v>
      </c>
      <c r="B233" s="4">
        <f>21.4792 * CHOOSE(CONTROL!$C$9, $C$13, 100%, $E$13) + CHOOSE(CONTROL!$C$28, 0.0211, 0)</f>
        <v>21.500299999999999</v>
      </c>
      <c r="C233" s="4">
        <f>21.1159 * CHOOSE(CONTROL!$C$9, $C$13, 100%, $E$13) + CHOOSE(CONTROL!$C$28, 0.0211, 0)</f>
        <v>21.137</v>
      </c>
      <c r="D233" s="4">
        <f>29.8592 * CHOOSE(CONTROL!$C$9, $C$13, 100%, $E$13) + CHOOSE(CONTROL!$C$28, 0.0021, 0)</f>
        <v>29.8613</v>
      </c>
      <c r="E233" s="4">
        <f>134.091697606109 * CHOOSE(CONTROL!$C$9, $C$13, 100%, $E$13) + CHOOSE(CONTROL!$C$28, 0.0021, 0)</f>
        <v>134.09379760610901</v>
      </c>
    </row>
    <row r="234" spans="1:5" ht="15">
      <c r="A234" s="13">
        <v>48611</v>
      </c>
      <c r="B234" s="4">
        <f>21.9708 * CHOOSE(CONTROL!$C$9, $C$13, 100%, $E$13) + CHOOSE(CONTROL!$C$28, 0.0211, 0)</f>
        <v>21.991900000000001</v>
      </c>
      <c r="C234" s="4">
        <f>21.6075 * CHOOSE(CONTROL!$C$9, $C$13, 100%, $E$13) + CHOOSE(CONTROL!$C$28, 0.0211, 0)</f>
        <v>21.628600000000002</v>
      </c>
      <c r="D234" s="4">
        <f>30.8477 * CHOOSE(CONTROL!$C$9, $C$13, 100%, $E$13) + CHOOSE(CONTROL!$C$28, 0.0021, 0)</f>
        <v>30.849799999999998</v>
      </c>
      <c r="E234" s="4">
        <f>137.275562950515 * CHOOSE(CONTROL!$C$9, $C$13, 100%, $E$13) + CHOOSE(CONTROL!$C$28, 0.0021, 0)</f>
        <v>137.27766295051501</v>
      </c>
    </row>
    <row r="235" spans="1:5" ht="15">
      <c r="A235" s="13">
        <v>48639</v>
      </c>
      <c r="B235" s="4">
        <f>23.2619 * CHOOSE(CONTROL!$C$9, $C$13, 100%, $E$13) + CHOOSE(CONTROL!$C$28, 0.0211, 0)</f>
        <v>23.283000000000001</v>
      </c>
      <c r="C235" s="4">
        <f>22.8986 * CHOOSE(CONTROL!$C$9, $C$13, 100%, $E$13) + CHOOSE(CONTROL!$C$28, 0.0211, 0)</f>
        <v>22.919699999999999</v>
      </c>
      <c r="D235" s="4">
        <f>32.3951 * CHOOSE(CONTROL!$C$9, $C$13, 100%, $E$13) + CHOOSE(CONTROL!$C$28, 0.0021, 0)</f>
        <v>32.397199999999998</v>
      </c>
      <c r="E235" s="4">
        <f>145.636562545806 * CHOOSE(CONTROL!$C$9, $C$13, 100%, $E$13) + CHOOSE(CONTROL!$C$28, 0.0021, 0)</f>
        <v>145.638662545806</v>
      </c>
    </row>
    <row r="236" spans="1:5" ht="15">
      <c r="A236" s="13">
        <v>48670</v>
      </c>
      <c r="B236" s="4">
        <f>24.1792 * CHOOSE(CONTROL!$C$9, $C$13, 100%, $E$13) + CHOOSE(CONTROL!$C$28, 0.0211, 0)</f>
        <v>24.200300000000002</v>
      </c>
      <c r="C236" s="4">
        <f>23.8159 * CHOOSE(CONTROL!$C$9, $C$13, 100%, $E$13) + CHOOSE(CONTROL!$C$28, 0.0211, 0)</f>
        <v>23.837</v>
      </c>
      <c r="D236" s="4">
        <f>33.2865 * CHOOSE(CONTROL!$C$9, $C$13, 100%, $E$13) + CHOOSE(CONTROL!$C$28, 0.0021, 0)</f>
        <v>33.288599999999995</v>
      </c>
      <c r="E236" s="4">
        <f>151.57716418323 * CHOOSE(CONTROL!$C$9, $C$13, 100%, $E$13) + CHOOSE(CONTROL!$C$28, 0.0021, 0)</f>
        <v>151.57926418323001</v>
      </c>
    </row>
    <row r="237" spans="1:5" ht="15">
      <c r="A237" s="13">
        <v>48700</v>
      </c>
      <c r="B237" s="4">
        <f>24.7397 * CHOOSE(CONTROL!$C$9, $C$13, 100%, $E$13) + CHOOSE(CONTROL!$C$28, 0.0415, 0)</f>
        <v>24.781199999999998</v>
      </c>
      <c r="C237" s="4">
        <f>24.3764 * CHOOSE(CONTROL!$C$9, $C$13, 100%, $E$13) + CHOOSE(CONTROL!$C$28, 0.0415, 0)</f>
        <v>24.417899999999999</v>
      </c>
      <c r="D237" s="4">
        <f>32.9343 * CHOOSE(CONTROL!$C$9, $C$13, 100%, $E$13) + CHOOSE(CONTROL!$C$28, 0.0021, 0)</f>
        <v>32.936399999999999</v>
      </c>
      <c r="E237" s="4">
        <f>155.206729407345 * CHOOSE(CONTROL!$C$9, $C$13, 100%, $E$13) + CHOOSE(CONTROL!$C$28, 0.0021, 0)</f>
        <v>155.20882940734501</v>
      </c>
    </row>
    <row r="238" spans="1:5" ht="15">
      <c r="A238" s="13">
        <v>48731</v>
      </c>
      <c r="B238" s="4">
        <f>24.8155 * CHOOSE(CONTROL!$C$9, $C$13, 100%, $E$13) + CHOOSE(CONTROL!$C$28, 0.0415, 0)</f>
        <v>24.856999999999999</v>
      </c>
      <c r="C238" s="4">
        <f>24.4522 * CHOOSE(CONTROL!$C$9, $C$13, 100%, $E$13) + CHOOSE(CONTROL!$C$28, 0.0415, 0)</f>
        <v>24.4937</v>
      </c>
      <c r="D238" s="4">
        <f>33.2211 * CHOOSE(CONTROL!$C$9, $C$13, 100%, $E$13) + CHOOSE(CONTROL!$C$28, 0.0021, 0)</f>
        <v>33.223199999999999</v>
      </c>
      <c r="E238" s="4">
        <f>155.697824645173 * CHOOSE(CONTROL!$C$9, $C$13, 100%, $E$13) + CHOOSE(CONTROL!$C$28, 0.0021, 0)</f>
        <v>155.69992464517301</v>
      </c>
    </row>
    <row r="239" spans="1:5" ht="15">
      <c r="A239" s="13">
        <v>48761</v>
      </c>
      <c r="B239" s="4">
        <f>24.8079 * CHOOSE(CONTROL!$C$9, $C$13, 100%, $E$13) + CHOOSE(CONTROL!$C$28, 0.0415, 0)</f>
        <v>24.849399999999999</v>
      </c>
      <c r="C239" s="4">
        <f>24.4446 * CHOOSE(CONTROL!$C$9, $C$13, 100%, $E$13) + CHOOSE(CONTROL!$C$28, 0.0415, 0)</f>
        <v>24.4861</v>
      </c>
      <c r="D239" s="4">
        <f>33.7387 * CHOOSE(CONTROL!$C$9, $C$13, 100%, $E$13) + CHOOSE(CONTROL!$C$28, 0.0021, 0)</f>
        <v>33.7408</v>
      </c>
      <c r="E239" s="4">
        <f>155.648302436317 * CHOOSE(CONTROL!$C$9, $C$13, 100%, $E$13) + CHOOSE(CONTROL!$C$28, 0.0021, 0)</f>
        <v>155.65040243631702</v>
      </c>
    </row>
    <row r="240" spans="1:5" ht="15">
      <c r="A240" s="13">
        <v>48792</v>
      </c>
      <c r="B240" s="4">
        <f>25.3833 * CHOOSE(CONTROL!$C$9, $C$13, 100%, $E$13) + CHOOSE(CONTROL!$C$28, 0.0415, 0)</f>
        <v>25.424799999999998</v>
      </c>
      <c r="C240" s="4">
        <f>25.02 * CHOOSE(CONTROL!$C$9, $C$13, 100%, $E$13) + CHOOSE(CONTROL!$C$28, 0.0415, 0)</f>
        <v>25.061499999999999</v>
      </c>
      <c r="D240" s="4">
        <f>33.3969 * CHOOSE(CONTROL!$C$9, $C$13, 100%, $E$13) + CHOOSE(CONTROL!$C$28, 0.0021, 0)</f>
        <v>33.399000000000001</v>
      </c>
      <c r="E240" s="4">
        <f>159.374848652776 * CHOOSE(CONTROL!$C$9, $C$13, 100%, $E$13) + CHOOSE(CONTROL!$C$28, 0.0021, 0)</f>
        <v>159.37694865277601</v>
      </c>
    </row>
    <row r="241" spans="1:5" ht="15">
      <c r="A241" s="13">
        <v>48823</v>
      </c>
      <c r="B241" s="4">
        <f>24.4026 * CHOOSE(CONTROL!$C$9, $C$13, 100%, $E$13) + CHOOSE(CONTROL!$C$28, 0.0415, 0)</f>
        <v>24.444099999999999</v>
      </c>
      <c r="C241" s="4">
        <f>24.0393 * CHOOSE(CONTROL!$C$9, $C$13, 100%, $E$13) + CHOOSE(CONTROL!$C$28, 0.0415, 0)</f>
        <v>24.0808</v>
      </c>
      <c r="D241" s="4">
        <f>33.2354 * CHOOSE(CONTROL!$C$9, $C$13, 100%, $E$13) + CHOOSE(CONTROL!$C$28, 0.0021, 0)</f>
        <v>33.237499999999997</v>
      </c>
      <c r="E241" s="4">
        <f>153.023625366916 * CHOOSE(CONTROL!$C$9, $C$13, 100%, $E$13) + CHOOSE(CONTROL!$C$28, 0.0021, 0)</f>
        <v>153.02572536691602</v>
      </c>
    </row>
    <row r="242" spans="1:5" ht="15">
      <c r="A242" s="13">
        <v>48853</v>
      </c>
      <c r="B242" s="4">
        <f>23.6175 * CHOOSE(CONTROL!$C$9, $C$13, 100%, $E$13) + CHOOSE(CONTROL!$C$28, 0.0211, 0)</f>
        <v>23.6386</v>
      </c>
      <c r="C242" s="4">
        <f>23.2542 * CHOOSE(CONTROL!$C$9, $C$13, 100%, $E$13) + CHOOSE(CONTROL!$C$28, 0.0211, 0)</f>
        <v>23.275300000000001</v>
      </c>
      <c r="D242" s="4">
        <f>32.8029 * CHOOSE(CONTROL!$C$9, $C$13, 100%, $E$13) + CHOOSE(CONTROL!$C$28, 0.0021, 0)</f>
        <v>32.805</v>
      </c>
      <c r="E242" s="4">
        <f>147.939345257638 * CHOOSE(CONTROL!$C$9, $C$13, 100%, $E$13) + CHOOSE(CONTROL!$C$28, 0.0021, 0)</f>
        <v>147.94144525763801</v>
      </c>
    </row>
    <row r="243" spans="1:5" ht="15">
      <c r="A243" s="13">
        <v>48884</v>
      </c>
      <c r="B243" s="4">
        <f>23.1118 * CHOOSE(CONTROL!$C$9, $C$13, 100%, $E$13) + CHOOSE(CONTROL!$C$28, 0.0211, 0)</f>
        <v>23.132899999999999</v>
      </c>
      <c r="C243" s="4">
        <f>22.7485 * CHOOSE(CONTROL!$C$9, $C$13, 100%, $E$13) + CHOOSE(CONTROL!$C$28, 0.0211, 0)</f>
        <v>22.769600000000001</v>
      </c>
      <c r="D243" s="4">
        <f>32.6543 * CHOOSE(CONTROL!$C$9, $C$13, 100%, $E$13) + CHOOSE(CONTROL!$C$28, 0.0021, 0)</f>
        <v>32.656399999999998</v>
      </c>
      <c r="E243" s="4">
        <f>144.664689196995 * CHOOSE(CONTROL!$C$9, $C$13, 100%, $E$13) + CHOOSE(CONTROL!$C$28, 0.0021, 0)</f>
        <v>144.66678919699501</v>
      </c>
    </row>
    <row r="244" spans="1:5" ht="15">
      <c r="A244" s="13">
        <v>48914</v>
      </c>
      <c r="B244" s="4">
        <f>22.762 * CHOOSE(CONTROL!$C$9, $C$13, 100%, $E$13) + CHOOSE(CONTROL!$C$28, 0.0211, 0)</f>
        <v>22.783100000000001</v>
      </c>
      <c r="C244" s="4">
        <f>22.3987 * CHOOSE(CONTROL!$C$9, $C$13, 100%, $E$13) + CHOOSE(CONTROL!$C$28, 0.0211, 0)</f>
        <v>22.419800000000002</v>
      </c>
      <c r="D244" s="4">
        <f>31.5598 * CHOOSE(CONTROL!$C$9, $C$13, 100%, $E$13) + CHOOSE(CONTROL!$C$28, 0.0021, 0)</f>
        <v>31.561899999999998</v>
      </c>
      <c r="E244" s="4">
        <f>142.399048141805 * CHOOSE(CONTROL!$C$9, $C$13, 100%, $E$13) + CHOOSE(CONTROL!$C$28, 0.0021, 0)</f>
        <v>142.40114814180501</v>
      </c>
    </row>
    <row r="245" spans="1:5" ht="15">
      <c r="A245" s="13">
        <v>48945</v>
      </c>
      <c r="B245" s="4">
        <f>22.1703 * CHOOSE(CONTROL!$C$9, $C$13, 100%, $E$13) + CHOOSE(CONTROL!$C$28, 0.0211, 0)</f>
        <v>22.191400000000002</v>
      </c>
      <c r="C245" s="4">
        <f>21.807 * CHOOSE(CONTROL!$C$9, $C$13, 100%, $E$13) + CHOOSE(CONTROL!$C$28, 0.0211, 0)</f>
        <v>21.828099999999999</v>
      </c>
      <c r="D245" s="4">
        <f>30.6112 * CHOOSE(CONTROL!$C$9, $C$13, 100%, $E$13) + CHOOSE(CONTROL!$C$28, 0.0021, 0)</f>
        <v>30.613299999999999</v>
      </c>
      <c r="E245" s="4">
        <f>138.472926489847 * CHOOSE(CONTROL!$C$9, $C$13, 100%, $E$13) + CHOOSE(CONTROL!$C$28, 0.0021, 0)</f>
        <v>138.47502648984701</v>
      </c>
    </row>
    <row r="246" spans="1:5" ht="15">
      <c r="A246" s="13">
        <v>48976</v>
      </c>
      <c r="B246" s="4">
        <f>22.6784 * CHOOSE(CONTROL!$C$9, $C$13, 100%, $E$13) + CHOOSE(CONTROL!$C$28, 0.0211, 0)</f>
        <v>22.6995</v>
      </c>
      <c r="C246" s="4">
        <f>22.3151 * CHOOSE(CONTROL!$C$9, $C$13, 100%, $E$13) + CHOOSE(CONTROL!$C$28, 0.0211, 0)</f>
        <v>22.336200000000002</v>
      </c>
      <c r="D246" s="4">
        <f>31.6263 * CHOOSE(CONTROL!$C$9, $C$13, 100%, $E$13) + CHOOSE(CONTROL!$C$28, 0.0021, 0)</f>
        <v>31.628399999999999</v>
      </c>
      <c r="E246" s="4">
        <f>141.760819473979 * CHOOSE(CONTROL!$C$9, $C$13, 100%, $E$13) + CHOOSE(CONTROL!$C$28, 0.0021, 0)</f>
        <v>141.76291947397903</v>
      </c>
    </row>
    <row r="247" spans="1:5" ht="15">
      <c r="A247" s="13">
        <v>49004</v>
      </c>
      <c r="B247" s="4">
        <f>24.0125 * CHOOSE(CONTROL!$C$9, $C$13, 100%, $E$13) + CHOOSE(CONTROL!$C$28, 0.0211, 0)</f>
        <v>24.0336</v>
      </c>
      <c r="C247" s="4">
        <f>23.6492 * CHOOSE(CONTROL!$C$9, $C$13, 100%, $E$13) + CHOOSE(CONTROL!$C$28, 0.0211, 0)</f>
        <v>23.670300000000001</v>
      </c>
      <c r="D247" s="4">
        <f>33.2152 * CHOOSE(CONTROL!$C$9, $C$13, 100%, $E$13) + CHOOSE(CONTROL!$C$28, 0.0021, 0)</f>
        <v>33.217300000000002</v>
      </c>
      <c r="E247" s="4">
        <f>150.395001179555 * CHOOSE(CONTROL!$C$9, $C$13, 100%, $E$13) + CHOOSE(CONTROL!$C$28, 0.0021, 0)</f>
        <v>150.39710117955502</v>
      </c>
    </row>
    <row r="248" spans="1:5" ht="15">
      <c r="A248" s="13">
        <v>49035</v>
      </c>
      <c r="B248" s="4">
        <f>24.9605 * CHOOSE(CONTROL!$C$9, $C$13, 100%, $E$13) + CHOOSE(CONTROL!$C$28, 0.0211, 0)</f>
        <v>24.9816</v>
      </c>
      <c r="C248" s="4">
        <f>24.5972 * CHOOSE(CONTROL!$C$9, $C$13, 100%, $E$13) + CHOOSE(CONTROL!$C$28, 0.0211, 0)</f>
        <v>24.618300000000001</v>
      </c>
      <c r="D248" s="4">
        <f>34.1305 * CHOOSE(CONTROL!$C$9, $C$13, 100%, $E$13) + CHOOSE(CONTROL!$C$28, 0.0021, 0)</f>
        <v>34.132599999999996</v>
      </c>
      <c r="E248" s="4">
        <f>156.529702346967 * CHOOSE(CONTROL!$C$9, $C$13, 100%, $E$13) + CHOOSE(CONTROL!$C$28, 0.0021, 0)</f>
        <v>156.53180234696703</v>
      </c>
    </row>
    <row r="249" spans="1:5" ht="15">
      <c r="A249" s="13">
        <v>49065</v>
      </c>
      <c r="B249" s="4">
        <f>25.5396 * CHOOSE(CONTROL!$C$9, $C$13, 100%, $E$13) + CHOOSE(CONTROL!$C$28, 0.0415, 0)</f>
        <v>25.581099999999999</v>
      </c>
      <c r="C249" s="4">
        <f>25.1763 * CHOOSE(CONTROL!$C$9, $C$13, 100%, $E$13) + CHOOSE(CONTROL!$C$28, 0.0415, 0)</f>
        <v>25.2178</v>
      </c>
      <c r="D249" s="4">
        <f>33.7688 * CHOOSE(CONTROL!$C$9, $C$13, 100%, $E$13) + CHOOSE(CONTROL!$C$28, 0.0021, 0)</f>
        <v>33.770899999999997</v>
      </c>
      <c r="E249" s="4">
        <f>160.277857731989 * CHOOSE(CONTROL!$C$9, $C$13, 100%, $E$13) + CHOOSE(CONTROL!$C$28, 0.0021, 0)</f>
        <v>160.27995773198901</v>
      </c>
    </row>
    <row r="250" spans="1:5" ht="15">
      <c r="A250" s="13">
        <v>49096</v>
      </c>
      <c r="B250" s="4">
        <f>25.618 * CHOOSE(CONTROL!$C$9, $C$13, 100%, $E$13) + CHOOSE(CONTROL!$C$28, 0.0415, 0)</f>
        <v>25.659499999999998</v>
      </c>
      <c r="C250" s="4">
        <f>25.2547 * CHOOSE(CONTROL!$C$9, $C$13, 100%, $E$13) + CHOOSE(CONTROL!$C$28, 0.0415, 0)</f>
        <v>25.296199999999999</v>
      </c>
      <c r="D250" s="4">
        <f>34.0634 * CHOOSE(CONTROL!$C$9, $C$13, 100%, $E$13) + CHOOSE(CONTROL!$C$28, 0.0021, 0)</f>
        <v>34.0655</v>
      </c>
      <c r="E250" s="4">
        <f>160.784998710746 * CHOOSE(CONTROL!$C$9, $C$13, 100%, $E$13) + CHOOSE(CONTROL!$C$28, 0.0021, 0)</f>
        <v>160.78709871074602</v>
      </c>
    </row>
    <row r="251" spans="1:5" ht="15">
      <c r="A251" s="13">
        <v>49126</v>
      </c>
      <c r="B251" s="4">
        <f>25.6101 * CHOOSE(CONTROL!$C$9, $C$13, 100%, $E$13) + CHOOSE(CONTROL!$C$28, 0.0415, 0)</f>
        <v>25.651599999999998</v>
      </c>
      <c r="C251" s="4">
        <f>25.2468 * CHOOSE(CONTROL!$C$9, $C$13, 100%, $E$13) + CHOOSE(CONTROL!$C$28, 0.0415, 0)</f>
        <v>25.2883</v>
      </c>
      <c r="D251" s="4">
        <f>34.5949 * CHOOSE(CONTROL!$C$9, $C$13, 100%, $E$13) + CHOOSE(CONTROL!$C$28, 0.0021, 0)</f>
        <v>34.597000000000001</v>
      </c>
      <c r="E251" s="4">
        <f>160.733858443981 * CHOOSE(CONTROL!$C$9, $C$13, 100%, $E$13) + CHOOSE(CONTROL!$C$28, 0.0021, 0)</f>
        <v>160.73595844398102</v>
      </c>
    </row>
    <row r="252" spans="1:5" ht="15">
      <c r="A252" s="13">
        <v>49157</v>
      </c>
      <c r="B252" s="4">
        <f>26.2047 * CHOOSE(CONTROL!$C$9, $C$13, 100%, $E$13) + CHOOSE(CONTROL!$C$28, 0.0415, 0)</f>
        <v>26.246199999999998</v>
      </c>
      <c r="C252" s="4">
        <f>25.8415 * CHOOSE(CONTROL!$C$9, $C$13, 100%, $E$13) + CHOOSE(CONTROL!$C$28, 0.0415, 0)</f>
        <v>25.882999999999999</v>
      </c>
      <c r="D252" s="4">
        <f>34.2439 * CHOOSE(CONTROL!$C$9, $C$13, 100%, $E$13) + CHOOSE(CONTROL!$C$28, 0.0021, 0)</f>
        <v>34.245999999999995</v>
      </c>
      <c r="E252" s="4">
        <f>164.582163518085 * CHOOSE(CONTROL!$C$9, $C$13, 100%, $E$13) + CHOOSE(CONTROL!$C$28, 0.0021, 0)</f>
        <v>164.58426351808501</v>
      </c>
    </row>
    <row r="253" spans="1:5" ht="15">
      <c r="A253" s="13">
        <v>49188</v>
      </c>
      <c r="B253" s="4">
        <f>25.1913 * CHOOSE(CONTROL!$C$9, $C$13, 100%, $E$13) + CHOOSE(CONTROL!$C$28, 0.0415, 0)</f>
        <v>25.232799999999997</v>
      </c>
      <c r="C253" s="4">
        <f>24.828 * CHOOSE(CONTROL!$C$9, $C$13, 100%, $E$13) + CHOOSE(CONTROL!$C$28, 0.0415, 0)</f>
        <v>24.869499999999999</v>
      </c>
      <c r="D253" s="4">
        <f>34.078 * CHOOSE(CONTROL!$C$9, $C$13, 100%, $E$13) + CHOOSE(CONTROL!$C$28, 0.0021, 0)</f>
        <v>34.080100000000002</v>
      </c>
      <c r="E253" s="4">
        <f>158.023424305409 * CHOOSE(CONTROL!$C$9, $C$13, 100%, $E$13) + CHOOSE(CONTROL!$C$28, 0.0021, 0)</f>
        <v>158.02552430540902</v>
      </c>
    </row>
    <row r="254" spans="1:5" ht="15">
      <c r="A254" s="13">
        <v>49218</v>
      </c>
      <c r="B254" s="4">
        <f>24.38 * CHOOSE(CONTROL!$C$9, $C$13, 100%, $E$13) + CHOOSE(CONTROL!$C$28, 0.0211, 0)</f>
        <v>24.4011</v>
      </c>
      <c r="C254" s="4">
        <f>24.0167 * CHOOSE(CONTROL!$C$9, $C$13, 100%, $E$13) + CHOOSE(CONTROL!$C$28, 0.0211, 0)</f>
        <v>24.037800000000001</v>
      </c>
      <c r="D254" s="4">
        <f>33.634 * CHOOSE(CONTROL!$C$9, $C$13, 100%, $E$13) + CHOOSE(CONTROL!$C$28, 0.0021, 0)</f>
        <v>33.636099999999999</v>
      </c>
      <c r="E254" s="4">
        <f>152.773023584151 * CHOOSE(CONTROL!$C$9, $C$13, 100%, $E$13) + CHOOSE(CONTROL!$C$28, 0.0021, 0)</f>
        <v>152.775123584151</v>
      </c>
    </row>
    <row r="255" spans="1:5" ht="15">
      <c r="A255" s="13">
        <v>49249</v>
      </c>
      <c r="B255" s="4">
        <f>23.8574 * CHOOSE(CONTROL!$C$9, $C$13, 100%, $E$13) + CHOOSE(CONTROL!$C$28, 0.0211, 0)</f>
        <v>23.878499999999999</v>
      </c>
      <c r="C255" s="4">
        <f>23.4942 * CHOOSE(CONTROL!$C$9, $C$13, 100%, $E$13) + CHOOSE(CONTROL!$C$28, 0.0211, 0)</f>
        <v>23.5153</v>
      </c>
      <c r="D255" s="4">
        <f>33.4813 * CHOOSE(CONTROL!$C$9, $C$13, 100%, $E$13) + CHOOSE(CONTROL!$C$28, 0.0021, 0)</f>
        <v>33.483399999999996</v>
      </c>
      <c r="E255" s="4">
        <f>149.391373444282 * CHOOSE(CONTROL!$C$9, $C$13, 100%, $E$13) + CHOOSE(CONTROL!$C$28, 0.0021, 0)</f>
        <v>149.39347344428202</v>
      </c>
    </row>
    <row r="256" spans="1:5" ht="15">
      <c r="A256" s="13">
        <v>49279</v>
      </c>
      <c r="B256" s="4">
        <f>23.4959 * CHOOSE(CONTROL!$C$9, $C$13, 100%, $E$13) + CHOOSE(CONTROL!$C$28, 0.0211, 0)</f>
        <v>23.516999999999999</v>
      </c>
      <c r="C256" s="4">
        <f>23.1326 * CHOOSE(CONTROL!$C$9, $C$13, 100%, $E$13) + CHOOSE(CONTROL!$C$28, 0.0211, 0)</f>
        <v>23.153700000000001</v>
      </c>
      <c r="D256" s="4">
        <f>32.3574 * CHOOSE(CONTROL!$C$9, $C$13, 100%, $E$13) + CHOOSE(CONTROL!$C$28, 0.0021, 0)</f>
        <v>32.359499999999997</v>
      </c>
      <c r="E256" s="4">
        <f>147.05170623976 * CHOOSE(CONTROL!$C$9, $C$13, 100%, $E$13) + CHOOSE(CONTROL!$C$28, 0.0021, 0)</f>
        <v>147.05380623976001</v>
      </c>
    </row>
    <row r="257" spans="1:5" ht="15">
      <c r="A257" s="13">
        <v>49310</v>
      </c>
      <c r="B257" s="4">
        <f>22.8615 * CHOOSE(CONTROL!$C$9, $C$13, 100%, $E$13) + CHOOSE(CONTROL!$C$28, 0.0211, 0)</f>
        <v>22.8826</v>
      </c>
      <c r="C257" s="4">
        <f>22.4982 * CHOOSE(CONTROL!$C$9, $C$13, 100%, $E$13) + CHOOSE(CONTROL!$C$28, 0.0211, 0)</f>
        <v>22.519300000000001</v>
      </c>
      <c r="D257" s="4">
        <f>31.3883 * CHOOSE(CONTROL!$C$9, $C$13, 100%, $E$13) + CHOOSE(CONTROL!$C$28, 0.0021, 0)</f>
        <v>31.3904</v>
      </c>
      <c r="E257" s="4">
        <f>142.853728374705 * CHOOSE(CONTROL!$C$9, $C$13, 100%, $E$13) + CHOOSE(CONTROL!$C$28, 0.0021, 0)</f>
        <v>142.85582837470503</v>
      </c>
    </row>
    <row r="258" spans="1:5" ht="15">
      <c r="A258" s="13">
        <v>49341</v>
      </c>
      <c r="B258" s="4">
        <f>23.3859 * CHOOSE(CONTROL!$C$9, $C$13, 100%, $E$13) + CHOOSE(CONTROL!$C$28, 0.0211, 0)</f>
        <v>23.407</v>
      </c>
      <c r="C258" s="4">
        <f>23.0226 * CHOOSE(CONTROL!$C$9, $C$13, 100%, $E$13) + CHOOSE(CONTROL!$C$28, 0.0211, 0)</f>
        <v>23.043700000000001</v>
      </c>
      <c r="D258" s="4">
        <f>32.4308 * CHOOSE(CONTROL!$C$9, $C$13, 100%, $E$13) + CHOOSE(CONTROL!$C$28, 0.0021, 0)</f>
        <v>32.432899999999997</v>
      </c>
      <c r="E258" s="4">
        <f>146.245638859927 * CHOOSE(CONTROL!$C$9, $C$13, 100%, $E$13) + CHOOSE(CONTROL!$C$28, 0.0021, 0)</f>
        <v>146.24773885992701</v>
      </c>
    </row>
    <row r="259" spans="1:5" ht="15">
      <c r="A259" s="13">
        <v>49369</v>
      </c>
      <c r="B259" s="4">
        <f>24.7632 * CHOOSE(CONTROL!$C$9, $C$13, 100%, $E$13) + CHOOSE(CONTROL!$C$28, 0.0211, 0)</f>
        <v>24.784300000000002</v>
      </c>
      <c r="C259" s="4">
        <f>24.3999 * CHOOSE(CONTROL!$C$9, $C$13, 100%, $E$13) + CHOOSE(CONTROL!$C$28, 0.0211, 0)</f>
        <v>24.420999999999999</v>
      </c>
      <c r="D259" s="4">
        <f>34.0627 * CHOOSE(CONTROL!$C$9, $C$13, 100%, $E$13) + CHOOSE(CONTROL!$C$28, 0.0021, 0)</f>
        <v>34.064799999999998</v>
      </c>
      <c r="E259" s="4">
        <f>155.152976051192 * CHOOSE(CONTROL!$C$9, $C$13, 100%, $E$13) + CHOOSE(CONTROL!$C$28, 0.0021, 0)</f>
        <v>155.15507605119203</v>
      </c>
    </row>
    <row r="260" spans="1:5" ht="15">
      <c r="A260" s="13">
        <v>49400</v>
      </c>
      <c r="B260" s="4">
        <f>25.7417 * CHOOSE(CONTROL!$C$9, $C$13, 100%, $E$13) + CHOOSE(CONTROL!$C$28, 0.0211, 0)</f>
        <v>25.762800000000002</v>
      </c>
      <c r="C260" s="4">
        <f>25.3784 * CHOOSE(CONTROL!$C$9, $C$13, 100%, $E$13) + CHOOSE(CONTROL!$C$28, 0.0211, 0)</f>
        <v>25.3995</v>
      </c>
      <c r="D260" s="4">
        <f>35.0027 * CHOOSE(CONTROL!$C$9, $C$13, 100%, $E$13) + CHOOSE(CONTROL!$C$28, 0.0021, 0)</f>
        <v>35.004799999999996</v>
      </c>
      <c r="E260" s="4">
        <f>161.48175783146 * CHOOSE(CONTROL!$C$9, $C$13, 100%, $E$13) + CHOOSE(CONTROL!$C$28, 0.0021, 0)</f>
        <v>161.48385783146</v>
      </c>
    </row>
    <row r="261" spans="1:5" ht="15">
      <c r="A261" s="13">
        <v>49430</v>
      </c>
      <c r="B261" s="4">
        <f>26.3396 * CHOOSE(CONTROL!$C$9, $C$13, 100%, $E$13) + CHOOSE(CONTROL!$C$28, 0.0415, 0)</f>
        <v>26.3811</v>
      </c>
      <c r="C261" s="4">
        <f>25.9763 * CHOOSE(CONTROL!$C$9, $C$13, 100%, $E$13) + CHOOSE(CONTROL!$C$28, 0.0415, 0)</f>
        <v>26.017799999999998</v>
      </c>
      <c r="D261" s="4">
        <f>34.6312 * CHOOSE(CONTROL!$C$9, $C$13, 100%, $E$13) + CHOOSE(CONTROL!$C$28, 0.0021, 0)</f>
        <v>34.633299999999998</v>
      </c>
      <c r="E261" s="4">
        <f>165.348491819475 * CHOOSE(CONTROL!$C$9, $C$13, 100%, $E$13) + CHOOSE(CONTROL!$C$28, 0.0021, 0)</f>
        <v>165.350591819475</v>
      </c>
    </row>
    <row r="262" spans="1:5" ht="15">
      <c r="A262" s="14">
        <v>49461</v>
      </c>
      <c r="B262" s="4">
        <f>26.4205 * CHOOSE(CONTROL!$C$9, $C$13, 100%, $E$13) + CHOOSE(CONTROL!$C$28, 0.0415, 0)</f>
        <v>26.462</v>
      </c>
      <c r="C262" s="4">
        <f>26.0572 * CHOOSE(CONTROL!$C$9, $C$13, 100%, $E$13) + CHOOSE(CONTROL!$C$28, 0.0415, 0)</f>
        <v>26.098700000000001</v>
      </c>
      <c r="D262" s="4">
        <f>34.9337 * CHOOSE(CONTROL!$C$9, $C$13, 100%, $E$13) + CHOOSE(CONTROL!$C$28, 0.0021, 0)</f>
        <v>34.9358</v>
      </c>
      <c r="E262" s="4">
        <f>165.871676975329 * CHOOSE(CONTROL!$C$9, $C$13, 100%, $E$13) + CHOOSE(CONTROL!$C$28, 0.0021, 0)</f>
        <v>165.87377697532901</v>
      </c>
    </row>
    <row r="263" spans="1:5" ht="15">
      <c r="A263" s="14">
        <v>49491</v>
      </c>
      <c r="B263" s="4">
        <f>26.4123 * CHOOSE(CONTROL!$C$9, $C$13, 100%, $E$13) + CHOOSE(CONTROL!$C$28, 0.0415, 0)</f>
        <v>26.453799999999998</v>
      </c>
      <c r="C263" s="4">
        <f>26.049 * CHOOSE(CONTROL!$C$9, $C$13, 100%, $E$13) + CHOOSE(CONTROL!$C$28, 0.0415, 0)</f>
        <v>26.090499999999999</v>
      </c>
      <c r="D263" s="4">
        <f>35.4796 * CHOOSE(CONTROL!$C$9, $C$13, 100%, $E$13) + CHOOSE(CONTROL!$C$28, 0.0021, 0)</f>
        <v>35.481699999999996</v>
      </c>
      <c r="E263" s="4">
        <f>165.818918808352 * CHOOSE(CONTROL!$C$9, $C$13, 100%, $E$13) + CHOOSE(CONTROL!$C$28, 0.0021, 0)</f>
        <v>165.82101880835202</v>
      </c>
    </row>
    <row r="264" spans="1:5" ht="15">
      <c r="A264" s="14">
        <v>49522</v>
      </c>
      <c r="B264" s="4">
        <f>27.0262 * CHOOSE(CONTROL!$C$9, $C$13, 100%, $E$13) + CHOOSE(CONTROL!$C$28, 0.0415, 0)</f>
        <v>27.067699999999999</v>
      </c>
      <c r="C264" s="4">
        <f>26.6629 * CHOOSE(CONTROL!$C$9, $C$13, 100%, $E$13) + CHOOSE(CONTROL!$C$28, 0.0415, 0)</f>
        <v>26.7044</v>
      </c>
      <c r="D264" s="4">
        <f>35.1191 * CHOOSE(CONTROL!$C$9, $C$13, 100%, $E$13) + CHOOSE(CONTROL!$C$28, 0.0021, 0)</f>
        <v>35.121200000000002</v>
      </c>
      <c r="E264" s="4">
        <f>169.788970873363 * CHOOSE(CONTROL!$C$9, $C$13, 100%, $E$13) + CHOOSE(CONTROL!$C$28, 0.0021, 0)</f>
        <v>169.79107087336303</v>
      </c>
    </row>
    <row r="265" spans="1:5" ht="15">
      <c r="A265" s="14">
        <v>49553</v>
      </c>
      <c r="B265" s="4">
        <f>25.98 * CHOOSE(CONTROL!$C$9, $C$13, 100%, $E$13) + CHOOSE(CONTROL!$C$28, 0.0415, 0)</f>
        <v>26.0215</v>
      </c>
      <c r="C265" s="4">
        <f>25.6167 * CHOOSE(CONTROL!$C$9, $C$13, 100%, $E$13) + CHOOSE(CONTROL!$C$28, 0.0415, 0)</f>
        <v>25.658200000000001</v>
      </c>
      <c r="D265" s="4">
        <f>34.9488 * CHOOSE(CONTROL!$C$9, $C$13, 100%, $E$13) + CHOOSE(CONTROL!$C$28, 0.0021, 0)</f>
        <v>34.950899999999997</v>
      </c>
      <c r="E265" s="4">
        <f>163.022735958577 * CHOOSE(CONTROL!$C$9, $C$13, 100%, $E$13) + CHOOSE(CONTROL!$C$28, 0.0021, 0)</f>
        <v>163.024835958577</v>
      </c>
    </row>
    <row r="266" spans="1:5" ht="15">
      <c r="A266" s="14">
        <v>49583</v>
      </c>
      <c r="B266" s="4">
        <f>25.1425 * CHOOSE(CONTROL!$C$9, $C$13, 100%, $E$13) + CHOOSE(CONTROL!$C$28, 0.0211, 0)</f>
        <v>25.163599999999999</v>
      </c>
      <c r="C266" s="4">
        <f>24.7792 * CHOOSE(CONTROL!$C$9, $C$13, 100%, $E$13) + CHOOSE(CONTROL!$C$28, 0.0211, 0)</f>
        <v>24.8003</v>
      </c>
      <c r="D266" s="4">
        <f>34.4928 * CHOOSE(CONTROL!$C$9, $C$13, 100%, $E$13) + CHOOSE(CONTROL!$C$28, 0.0021, 0)</f>
        <v>34.494900000000001</v>
      </c>
      <c r="E266" s="4">
        <f>157.606230815617 * CHOOSE(CONTROL!$C$9, $C$13, 100%, $E$13) + CHOOSE(CONTROL!$C$28, 0.0021, 0)</f>
        <v>157.60833081561702</v>
      </c>
    </row>
    <row r="267" spans="1:5" ht="15">
      <c r="A267" s="14">
        <v>49614</v>
      </c>
      <c r="B267" s="4">
        <f>24.6031 * CHOOSE(CONTROL!$C$9, $C$13, 100%, $E$13) + CHOOSE(CONTROL!$C$28, 0.0211, 0)</f>
        <v>24.624200000000002</v>
      </c>
      <c r="C267" s="4">
        <f>24.2398 * CHOOSE(CONTROL!$C$9, $C$13, 100%, $E$13) + CHOOSE(CONTROL!$C$28, 0.0211, 0)</f>
        <v>24.260899999999999</v>
      </c>
      <c r="D267" s="4">
        <f>34.336 * CHOOSE(CONTROL!$C$9, $C$13, 100%, $E$13) + CHOOSE(CONTROL!$C$28, 0.0021, 0)</f>
        <v>34.338099999999997</v>
      </c>
      <c r="E267" s="4">
        <f>154.11759702427 * CHOOSE(CONTROL!$C$9, $C$13, 100%, $E$13) + CHOOSE(CONTROL!$C$28, 0.0021, 0)</f>
        <v>154.11969702427001</v>
      </c>
    </row>
    <row r="268" spans="1:5" ht="15">
      <c r="A268" s="14">
        <v>49644</v>
      </c>
      <c r="B268" s="4">
        <f>24.2299 * CHOOSE(CONTROL!$C$9, $C$13, 100%, $E$13) + CHOOSE(CONTROL!$C$28, 0.0211, 0)</f>
        <v>24.251000000000001</v>
      </c>
      <c r="C268" s="4">
        <f>23.8666 * CHOOSE(CONTROL!$C$9, $C$13, 100%, $E$13) + CHOOSE(CONTROL!$C$28, 0.0211, 0)</f>
        <v>23.887699999999999</v>
      </c>
      <c r="D268" s="4">
        <f>33.1817 * CHOOSE(CONTROL!$C$9, $C$13, 100%, $E$13) + CHOOSE(CONTROL!$C$28, 0.0021, 0)</f>
        <v>33.183799999999998</v>
      </c>
      <c r="E268" s="4">
        <f>151.703910885078 * CHOOSE(CONTROL!$C$9, $C$13, 100%, $E$13) + CHOOSE(CONTROL!$C$28, 0.0021, 0)</f>
        <v>151.706010885078</v>
      </c>
    </row>
    <row r="269" spans="1:5" ht="15">
      <c r="A269" s="14">
        <v>49675</v>
      </c>
      <c r="B269" s="4">
        <f>23.2088 * CHOOSE(CONTROL!$C$9, $C$13, 100%, $E$13) + CHOOSE(CONTROL!$C$28, 0.0211, 0)</f>
        <v>23.229900000000001</v>
      </c>
      <c r="C269" s="4">
        <f>22.8455 * CHOOSE(CONTROL!$C$9, $C$13, 100%, $E$13) + CHOOSE(CONTROL!$C$28, 0.0211, 0)</f>
        <v>22.866600000000002</v>
      </c>
      <c r="D269" s="4">
        <f>31.9102 * CHOOSE(CONTROL!$C$9, $C$13, 100%, $E$13) + CHOOSE(CONTROL!$C$28, 0.0021, 0)</f>
        <v>31.912299999999998</v>
      </c>
      <c r="E269" s="4">
        <f>145.384826561507 * CHOOSE(CONTROL!$C$9, $C$13, 100%, $E$13) + CHOOSE(CONTROL!$C$28, 0.0021, 0)</f>
        <v>145.38692656150701</v>
      </c>
    </row>
    <row r="270" spans="1:5" ht="15">
      <c r="A270" s="14">
        <v>49706</v>
      </c>
      <c r="B270" s="4">
        <f>23.7415 * CHOOSE(CONTROL!$C$9, $C$13, 100%, $E$13) + CHOOSE(CONTROL!$C$28, 0.0211, 0)</f>
        <v>23.762599999999999</v>
      </c>
      <c r="C270" s="4">
        <f>23.3782 * CHOOSE(CONTROL!$C$9, $C$13, 100%, $E$13) + CHOOSE(CONTROL!$C$28, 0.0211, 0)</f>
        <v>23.3993</v>
      </c>
      <c r="D270" s="4">
        <f>32.971 * CHOOSE(CONTROL!$C$9, $C$13, 100%, $E$13) + CHOOSE(CONTROL!$C$28, 0.0021, 0)</f>
        <v>32.973099999999995</v>
      </c>
      <c r="E270" s="4">
        <f>148.836835292513 * CHOOSE(CONTROL!$C$9, $C$13, 100%, $E$13) + CHOOSE(CONTROL!$C$28, 0.0021, 0)</f>
        <v>148.83893529251301</v>
      </c>
    </row>
    <row r="271" spans="1:5" ht="15">
      <c r="A271" s="14">
        <v>49735</v>
      </c>
      <c r="B271" s="4">
        <f>25.1404 * CHOOSE(CONTROL!$C$9, $C$13, 100%, $E$13) + CHOOSE(CONTROL!$C$28, 0.0211, 0)</f>
        <v>25.1615</v>
      </c>
      <c r="C271" s="4">
        <f>24.7771 * CHOOSE(CONTROL!$C$9, $C$13, 100%, $E$13) + CHOOSE(CONTROL!$C$28, 0.0211, 0)</f>
        <v>24.798200000000001</v>
      </c>
      <c r="D271" s="4">
        <f>34.6318 * CHOOSE(CONTROL!$C$9, $C$13, 100%, $E$13) + CHOOSE(CONTROL!$C$28, 0.0021, 0)</f>
        <v>34.633899999999997</v>
      </c>
      <c r="E271" s="4">
        <f>157.901993671019 * CHOOSE(CONTROL!$C$9, $C$13, 100%, $E$13) + CHOOSE(CONTROL!$C$28, 0.0021, 0)</f>
        <v>157.90409367101901</v>
      </c>
    </row>
    <row r="272" spans="1:5" ht="15">
      <c r="A272" s="14">
        <v>49766</v>
      </c>
      <c r="B272" s="4">
        <f>26.1343 * CHOOSE(CONTROL!$C$9, $C$13, 100%, $E$13) + CHOOSE(CONTROL!$C$28, 0.0211, 0)</f>
        <v>26.1554</v>
      </c>
      <c r="C272" s="4">
        <f>25.7711 * CHOOSE(CONTROL!$C$9, $C$13, 100%, $E$13) + CHOOSE(CONTROL!$C$28, 0.0211, 0)</f>
        <v>25.792200000000001</v>
      </c>
      <c r="D272" s="4">
        <f>35.5884 * CHOOSE(CONTROL!$C$9, $C$13, 100%, $E$13) + CHOOSE(CONTROL!$C$28, 0.0021, 0)</f>
        <v>35.590499999999999</v>
      </c>
      <c r="E272" s="4">
        <f>164.342909508067 * CHOOSE(CONTROL!$C$9, $C$13, 100%, $E$13) + CHOOSE(CONTROL!$C$28, 0.0021, 0)</f>
        <v>164.34500950806702</v>
      </c>
    </row>
    <row r="273" spans="1:5" ht="15">
      <c r="A273" s="14">
        <v>49796</v>
      </c>
      <c r="B273" s="4">
        <f>26.7416 * CHOOSE(CONTROL!$C$9, $C$13, 100%, $E$13) + CHOOSE(CONTROL!$C$28, 0.0415, 0)</f>
        <v>26.783099999999997</v>
      </c>
      <c r="C273" s="4">
        <f>26.3783 * CHOOSE(CONTROL!$C$9, $C$13, 100%, $E$13) + CHOOSE(CONTROL!$C$28, 0.0415, 0)</f>
        <v>26.419799999999999</v>
      </c>
      <c r="D273" s="4">
        <f>35.2104 * CHOOSE(CONTROL!$C$9, $C$13, 100%, $E$13) + CHOOSE(CONTROL!$C$28, 0.0021, 0)</f>
        <v>35.212499999999999</v>
      </c>
      <c r="E273" s="4">
        <f>168.278154717296 * CHOOSE(CONTROL!$C$9, $C$13, 100%, $E$13) + CHOOSE(CONTROL!$C$28, 0.0021, 0)</f>
        <v>168.280254717296</v>
      </c>
    </row>
    <row r="274" spans="1:5" ht="15">
      <c r="A274" s="14">
        <v>49827</v>
      </c>
      <c r="B274" s="4">
        <f>26.8238 * CHOOSE(CONTROL!$C$9, $C$13, 100%, $E$13) + CHOOSE(CONTROL!$C$28, 0.0415, 0)</f>
        <v>26.865299999999998</v>
      </c>
      <c r="C274" s="4">
        <f>26.4605 * CHOOSE(CONTROL!$C$9, $C$13, 100%, $E$13) + CHOOSE(CONTROL!$C$28, 0.0415, 0)</f>
        <v>26.501999999999999</v>
      </c>
      <c r="D274" s="4">
        <f>35.5182 * CHOOSE(CONTROL!$C$9, $C$13, 100%, $E$13) + CHOOSE(CONTROL!$C$28, 0.0021, 0)</f>
        <v>35.520299999999999</v>
      </c>
      <c r="E274" s="4">
        <f>168.810609725707 * CHOOSE(CONTROL!$C$9, $C$13, 100%, $E$13) + CHOOSE(CONTROL!$C$28, 0.0021, 0)</f>
        <v>168.81270972570701</v>
      </c>
    </row>
    <row r="275" spans="1:5" ht="15">
      <c r="A275" s="14">
        <v>49857</v>
      </c>
      <c r="B275" s="4">
        <f>26.8155 * CHOOSE(CONTROL!$C$9, $C$13, 100%, $E$13) + CHOOSE(CONTROL!$C$28, 0.0415, 0)</f>
        <v>26.856999999999999</v>
      </c>
      <c r="C275" s="4">
        <f>26.4522 * CHOOSE(CONTROL!$C$9, $C$13, 100%, $E$13) + CHOOSE(CONTROL!$C$28, 0.0415, 0)</f>
        <v>26.4937</v>
      </c>
      <c r="D275" s="4">
        <f>36.0737 * CHOOSE(CONTROL!$C$9, $C$13, 100%, $E$13) + CHOOSE(CONTROL!$C$28, 0.0021, 0)</f>
        <v>36.075800000000001</v>
      </c>
      <c r="E275" s="4">
        <f>168.756916783683 * CHOOSE(CONTROL!$C$9, $C$13, 100%, $E$13) + CHOOSE(CONTROL!$C$28, 0.0021, 0)</f>
        <v>168.75901678368302</v>
      </c>
    </row>
    <row r="276" spans="1:5" ht="15">
      <c r="A276" s="14">
        <v>49888</v>
      </c>
      <c r="B276" s="4">
        <f>27.439 * CHOOSE(CONTROL!$C$9, $C$13, 100%, $E$13) + CHOOSE(CONTROL!$C$28, 0.0415, 0)</f>
        <v>27.480499999999999</v>
      </c>
      <c r="C276" s="4">
        <f>27.0757 * CHOOSE(CONTROL!$C$9, $C$13, 100%, $E$13) + CHOOSE(CONTROL!$C$28, 0.0415, 0)</f>
        <v>27.1172</v>
      </c>
      <c r="D276" s="4">
        <f>35.7069 * CHOOSE(CONTROL!$C$9, $C$13, 100%, $E$13) + CHOOSE(CONTROL!$C$28, 0.0021, 0)</f>
        <v>35.708999999999996</v>
      </c>
      <c r="E276" s="4">
        <f>172.797310671043 * CHOOSE(CONTROL!$C$9, $C$13, 100%, $E$13) + CHOOSE(CONTROL!$C$28, 0.0021, 0)</f>
        <v>172.79941067104301</v>
      </c>
    </row>
    <row r="277" spans="1:5" ht="15">
      <c r="A277" s="14">
        <v>49919</v>
      </c>
      <c r="B277" s="4">
        <f>26.3764 * CHOOSE(CONTROL!$C$9, $C$13, 100%, $E$13) + CHOOSE(CONTROL!$C$28, 0.0415, 0)</f>
        <v>26.417899999999999</v>
      </c>
      <c r="C277" s="4">
        <f>26.0131 * CHOOSE(CONTROL!$C$9, $C$13, 100%, $E$13) + CHOOSE(CONTROL!$C$28, 0.0415, 0)</f>
        <v>26.054600000000001</v>
      </c>
      <c r="D277" s="4">
        <f>35.5336 * CHOOSE(CONTROL!$C$9, $C$13, 100%, $E$13) + CHOOSE(CONTROL!$C$28, 0.0021, 0)</f>
        <v>35.535699999999999</v>
      </c>
      <c r="E277" s="4">
        <f>165.911190856373 * CHOOSE(CONTROL!$C$9, $C$13, 100%, $E$13) + CHOOSE(CONTROL!$C$28, 0.0021, 0)</f>
        <v>165.91329085637301</v>
      </c>
    </row>
    <row r="278" spans="1:5" ht="15">
      <c r="A278" s="14">
        <v>49949</v>
      </c>
      <c r="B278" s="4">
        <f>25.5257 * CHOOSE(CONTROL!$C$9, $C$13, 100%, $E$13) + CHOOSE(CONTROL!$C$28, 0.0211, 0)</f>
        <v>25.546800000000001</v>
      </c>
      <c r="C278" s="4">
        <f>25.1624 * CHOOSE(CONTROL!$C$9, $C$13, 100%, $E$13) + CHOOSE(CONTROL!$C$28, 0.0211, 0)</f>
        <v>25.183500000000002</v>
      </c>
      <c r="D278" s="4">
        <f>35.0695 * CHOOSE(CONTROL!$C$9, $C$13, 100%, $E$13) + CHOOSE(CONTROL!$C$28, 0.0021, 0)</f>
        <v>35.071599999999997</v>
      </c>
      <c r="E278" s="4">
        <f>160.398715475169 * CHOOSE(CONTROL!$C$9, $C$13, 100%, $E$13) + CHOOSE(CONTROL!$C$28, 0.0021, 0)</f>
        <v>160.40081547516903</v>
      </c>
    </row>
    <row r="279" spans="1:5" ht="15">
      <c r="A279" s="14">
        <v>49980</v>
      </c>
      <c r="B279" s="4">
        <f>24.9778 * CHOOSE(CONTROL!$C$9, $C$13, 100%, $E$13) + CHOOSE(CONTROL!$C$28, 0.0211, 0)</f>
        <v>24.998899999999999</v>
      </c>
      <c r="C279" s="4">
        <f>24.6145 * CHOOSE(CONTROL!$C$9, $C$13, 100%, $E$13) + CHOOSE(CONTROL!$C$28, 0.0211, 0)</f>
        <v>24.6356</v>
      </c>
      <c r="D279" s="4">
        <f>34.9099 * CHOOSE(CONTROL!$C$9, $C$13, 100%, $E$13) + CHOOSE(CONTROL!$C$28, 0.0021, 0)</f>
        <v>34.911999999999999</v>
      </c>
      <c r="E279" s="4">
        <f>156.848269683784 * CHOOSE(CONTROL!$C$9, $C$13, 100%, $E$13) + CHOOSE(CONTROL!$C$28, 0.0021, 0)</f>
        <v>156.85036968378401</v>
      </c>
    </row>
    <row r="280" spans="1:5" ht="15">
      <c r="A280" s="14">
        <v>50010</v>
      </c>
      <c r="B280" s="4">
        <f>24.5987 * CHOOSE(CONTROL!$C$9, $C$13, 100%, $E$13) + CHOOSE(CONTROL!$C$28, 0.0211, 0)</f>
        <v>24.619800000000001</v>
      </c>
      <c r="C280" s="4">
        <f>24.2354 * CHOOSE(CONTROL!$C$9, $C$13, 100%, $E$13) + CHOOSE(CONTROL!$C$28, 0.0211, 0)</f>
        <v>24.256499999999999</v>
      </c>
      <c r="D280" s="4">
        <f>33.7352 * CHOOSE(CONTROL!$C$9, $C$13, 100%, $E$13) + CHOOSE(CONTROL!$C$28, 0.0021, 0)</f>
        <v>33.737299999999998</v>
      </c>
      <c r="E280" s="4">
        <f>154.391817586153 * CHOOSE(CONTROL!$C$9, $C$13, 100%, $E$13) + CHOOSE(CONTROL!$C$28, 0.0021, 0)</f>
        <v>154.39391758615301</v>
      </c>
    </row>
    <row r="281" spans="1:5" ht="15">
      <c r="A281" s="14">
        <v>50041</v>
      </c>
      <c r="B281" s="4">
        <f>23.5616 * CHOOSE(CONTROL!$C$9, $C$13, 100%, $E$13) + CHOOSE(CONTROL!$C$28, 0.0211, 0)</f>
        <v>23.582699999999999</v>
      </c>
      <c r="C281" s="4">
        <f>23.1983 * CHOOSE(CONTROL!$C$9, $C$13, 100%, $E$13) + CHOOSE(CONTROL!$C$28, 0.0211, 0)</f>
        <v>23.2194</v>
      </c>
      <c r="D281" s="4">
        <f>32.4412 * CHOOSE(CONTROL!$C$9, $C$13, 100%, $E$13) + CHOOSE(CONTROL!$C$28, 0.0021, 0)</f>
        <v>32.443300000000001</v>
      </c>
      <c r="E281" s="4">
        <f>147.960771026416 * CHOOSE(CONTROL!$C$9, $C$13, 100%, $E$13) + CHOOSE(CONTROL!$C$28, 0.0021, 0)</f>
        <v>147.96287102641602</v>
      </c>
    </row>
    <row r="282" spans="1:5" ht="15">
      <c r="A282" s="14">
        <v>50072</v>
      </c>
      <c r="B282" s="4">
        <f>24.1027 * CHOOSE(CONTROL!$C$9, $C$13, 100%, $E$13) + CHOOSE(CONTROL!$C$28, 0.0211, 0)</f>
        <v>24.123799999999999</v>
      </c>
      <c r="C282" s="4">
        <f>23.7394 * CHOOSE(CONTROL!$C$9, $C$13, 100%, $E$13) + CHOOSE(CONTROL!$C$28, 0.0211, 0)</f>
        <v>23.7605</v>
      </c>
      <c r="D282" s="4">
        <f>33.5209 * CHOOSE(CONTROL!$C$9, $C$13, 100%, $E$13) + CHOOSE(CONTROL!$C$28, 0.0021, 0)</f>
        <v>33.522999999999996</v>
      </c>
      <c r="E282" s="4">
        <f>151.473942830583 * CHOOSE(CONTROL!$C$9, $C$13, 100%, $E$13) + CHOOSE(CONTROL!$C$28, 0.0021, 0)</f>
        <v>151.47604283058303</v>
      </c>
    </row>
    <row r="283" spans="1:5" ht="15">
      <c r="A283" s="14">
        <v>50100</v>
      </c>
      <c r="B283" s="4">
        <f>25.5236 * CHOOSE(CONTROL!$C$9, $C$13, 100%, $E$13) + CHOOSE(CONTROL!$C$28, 0.0211, 0)</f>
        <v>25.544699999999999</v>
      </c>
      <c r="C283" s="4">
        <f>25.1603 * CHOOSE(CONTROL!$C$9, $C$13, 100%, $E$13) + CHOOSE(CONTROL!$C$28, 0.0211, 0)</f>
        <v>25.1814</v>
      </c>
      <c r="D283" s="4">
        <f>35.2109 * CHOOSE(CONTROL!$C$9, $C$13, 100%, $E$13) + CHOOSE(CONTROL!$C$28, 0.0021, 0)</f>
        <v>35.213000000000001</v>
      </c>
      <c r="E283" s="4">
        <f>160.699718689612 * CHOOSE(CONTROL!$C$9, $C$13, 100%, $E$13) + CHOOSE(CONTROL!$C$28, 0.0021, 0)</f>
        <v>160.70181868961203</v>
      </c>
    </row>
    <row r="284" spans="1:5" ht="15">
      <c r="A284" s="14">
        <v>50131</v>
      </c>
      <c r="B284" s="4">
        <f>26.5331 * CHOOSE(CONTROL!$C$9, $C$13, 100%, $E$13) + CHOOSE(CONTROL!$C$28, 0.0211, 0)</f>
        <v>26.554200000000002</v>
      </c>
      <c r="C284" s="4">
        <f>26.1699 * CHOOSE(CONTROL!$C$9, $C$13, 100%, $E$13) + CHOOSE(CONTROL!$C$28, 0.0211, 0)</f>
        <v>26.190999999999999</v>
      </c>
      <c r="D284" s="4">
        <f>36.1845 * CHOOSE(CONTROL!$C$9, $C$13, 100%, $E$13) + CHOOSE(CONTROL!$C$28, 0.0021, 0)</f>
        <v>36.186599999999999</v>
      </c>
      <c r="E284" s="4">
        <f>167.254755387082 * CHOOSE(CONTROL!$C$9, $C$13, 100%, $E$13) + CHOOSE(CONTROL!$C$28, 0.0021, 0)</f>
        <v>167.25685538708203</v>
      </c>
    </row>
    <row r="285" spans="1:5" ht="15">
      <c r="A285" s="14">
        <v>50161</v>
      </c>
      <c r="B285" s="4">
        <f>27.15 * CHOOSE(CONTROL!$C$9, $C$13, 100%, $E$13) + CHOOSE(CONTROL!$C$28, 0.0415, 0)</f>
        <v>27.191499999999998</v>
      </c>
      <c r="C285" s="4">
        <f>26.7867 * CHOOSE(CONTROL!$C$9, $C$13, 100%, $E$13) + CHOOSE(CONTROL!$C$28, 0.0415, 0)</f>
        <v>26.828199999999999</v>
      </c>
      <c r="D285" s="4">
        <f>35.7998 * CHOOSE(CONTROL!$C$9, $C$13, 100%, $E$13) + CHOOSE(CONTROL!$C$28, 0.0021, 0)</f>
        <v>35.801899999999996</v>
      </c>
      <c r="E285" s="4">
        <f>171.259725706932 * CHOOSE(CONTROL!$C$9, $C$13, 100%, $E$13) + CHOOSE(CONTROL!$C$28, 0.0021, 0)</f>
        <v>171.261825706932</v>
      </c>
    </row>
    <row r="286" spans="1:5" ht="15">
      <c r="A286" s="14">
        <v>50192</v>
      </c>
      <c r="B286" s="4">
        <f>27.2334 * CHOOSE(CONTROL!$C$9, $C$13, 100%, $E$13) + CHOOSE(CONTROL!$C$28, 0.0415, 0)</f>
        <v>27.274899999999999</v>
      </c>
      <c r="C286" s="4">
        <f>26.8701 * CHOOSE(CONTROL!$C$9, $C$13, 100%, $E$13) + CHOOSE(CONTROL!$C$28, 0.0415, 0)</f>
        <v>26.9116</v>
      </c>
      <c r="D286" s="4">
        <f>36.1131 * CHOOSE(CONTROL!$C$9, $C$13, 100%, $E$13) + CHOOSE(CONTROL!$C$28, 0.0021, 0)</f>
        <v>36.115200000000002</v>
      </c>
      <c r="E286" s="4">
        <f>171.801614812176 * CHOOSE(CONTROL!$C$9, $C$13, 100%, $E$13) + CHOOSE(CONTROL!$C$28, 0.0021, 0)</f>
        <v>171.80371481217603</v>
      </c>
    </row>
    <row r="287" spans="1:5" ht="15">
      <c r="A287" s="14">
        <v>50222</v>
      </c>
      <c r="B287" s="4">
        <f>27.225 * CHOOSE(CONTROL!$C$9, $C$13, 100%, $E$13) + CHOOSE(CONTROL!$C$28, 0.0415, 0)</f>
        <v>27.266500000000001</v>
      </c>
      <c r="C287" s="4">
        <f>26.8617 * CHOOSE(CONTROL!$C$9, $C$13, 100%, $E$13) + CHOOSE(CONTROL!$C$28, 0.0415, 0)</f>
        <v>26.903199999999998</v>
      </c>
      <c r="D287" s="4">
        <f>36.6784 * CHOOSE(CONTROL!$C$9, $C$13, 100%, $E$13) + CHOOSE(CONTROL!$C$28, 0.0021, 0)</f>
        <v>36.680500000000002</v>
      </c>
      <c r="E287" s="4">
        <f>171.746970532655 * CHOOSE(CONTROL!$C$9, $C$13, 100%, $E$13) + CHOOSE(CONTROL!$C$28, 0.0021, 0)</f>
        <v>171.74907053265503</v>
      </c>
    </row>
    <row r="288" spans="1:5" ht="15">
      <c r="A288" s="14">
        <v>50253</v>
      </c>
      <c r="B288" s="4">
        <f>27.8583 * CHOOSE(CONTROL!$C$9, $C$13, 100%, $E$13) + CHOOSE(CONTROL!$C$28, 0.0415, 0)</f>
        <v>27.899799999999999</v>
      </c>
      <c r="C288" s="4">
        <f>27.495 * CHOOSE(CONTROL!$C$9, $C$13, 100%, $E$13) + CHOOSE(CONTROL!$C$28, 0.0415, 0)</f>
        <v>27.5365</v>
      </c>
      <c r="D288" s="4">
        <f>36.305 * CHOOSE(CONTROL!$C$9, $C$13, 100%, $E$13) + CHOOSE(CONTROL!$C$28, 0.0021, 0)</f>
        <v>36.307099999999998</v>
      </c>
      <c r="E288" s="4">
        <f>175.858952566566 * CHOOSE(CONTROL!$C$9, $C$13, 100%, $E$13) + CHOOSE(CONTROL!$C$28, 0.0021, 0)</f>
        <v>175.861052566566</v>
      </c>
    </row>
    <row r="289" spans="1:5" ht="15">
      <c r="A289" s="14">
        <v>50284</v>
      </c>
      <c r="B289" s="4">
        <f>26.779 * CHOOSE(CONTROL!$C$9, $C$13, 100%, $E$13) + CHOOSE(CONTROL!$C$28, 0.0415, 0)</f>
        <v>26.820499999999999</v>
      </c>
      <c r="C289" s="4">
        <f>26.4157 * CHOOSE(CONTROL!$C$9, $C$13, 100%, $E$13) + CHOOSE(CONTROL!$C$28, 0.0415, 0)</f>
        <v>26.4572</v>
      </c>
      <c r="D289" s="4">
        <f>36.1287 * CHOOSE(CONTROL!$C$9, $C$13, 100%, $E$13) + CHOOSE(CONTROL!$C$28, 0.0021, 0)</f>
        <v>36.130800000000001</v>
      </c>
      <c r="E289" s="4">
        <f>168.850823718074 * CHOOSE(CONTROL!$C$9, $C$13, 100%, $E$13) + CHOOSE(CONTROL!$C$28, 0.0021, 0)</f>
        <v>168.85292371807401</v>
      </c>
    </row>
    <row r="290" spans="1:5" ht="15">
      <c r="A290" s="14">
        <v>50314</v>
      </c>
      <c r="B290" s="4">
        <f>25.9149 * CHOOSE(CONTROL!$C$9, $C$13, 100%, $E$13) + CHOOSE(CONTROL!$C$28, 0.0211, 0)</f>
        <v>25.936</v>
      </c>
      <c r="C290" s="4">
        <f>25.5516 * CHOOSE(CONTROL!$C$9, $C$13, 100%, $E$13) + CHOOSE(CONTROL!$C$28, 0.0211, 0)</f>
        <v>25.572700000000001</v>
      </c>
      <c r="D290" s="4">
        <f>35.6564 * CHOOSE(CONTROL!$C$9, $C$13, 100%, $E$13) + CHOOSE(CONTROL!$C$28, 0.0021, 0)</f>
        <v>35.658499999999997</v>
      </c>
      <c r="E290" s="4">
        <f>163.240677687311 * CHOOSE(CONTROL!$C$9, $C$13, 100%, $E$13) + CHOOSE(CONTROL!$C$28, 0.0021, 0)</f>
        <v>163.24277768731102</v>
      </c>
    </row>
    <row r="291" spans="1:5" ht="15">
      <c r="A291" s="14">
        <v>50345</v>
      </c>
      <c r="B291" s="4">
        <f>25.3584 * CHOOSE(CONTROL!$C$9, $C$13, 100%, $E$13) + CHOOSE(CONTROL!$C$28, 0.0211, 0)</f>
        <v>25.3795</v>
      </c>
      <c r="C291" s="4">
        <f>24.9951 * CHOOSE(CONTROL!$C$9, $C$13, 100%, $E$13) + CHOOSE(CONTROL!$C$28, 0.0211, 0)</f>
        <v>25.016200000000001</v>
      </c>
      <c r="D291" s="4">
        <f>35.494 * CHOOSE(CONTROL!$C$9, $C$13, 100%, $E$13) + CHOOSE(CONTROL!$C$28, 0.0021, 0)</f>
        <v>35.496099999999998</v>
      </c>
      <c r="E291" s="4">
        <f>159.627324704024 * CHOOSE(CONTROL!$C$9, $C$13, 100%, $E$13) + CHOOSE(CONTROL!$C$28, 0.0021, 0)</f>
        <v>159.62942470402402</v>
      </c>
    </row>
    <row r="292" spans="1:5" ht="15">
      <c r="A292" s="14">
        <v>50375</v>
      </c>
      <c r="B292" s="4">
        <f>24.9734 * CHOOSE(CONTROL!$C$9, $C$13, 100%, $E$13) + CHOOSE(CONTROL!$C$28, 0.0211, 0)</f>
        <v>24.994500000000002</v>
      </c>
      <c r="C292" s="4">
        <f>24.6101 * CHOOSE(CONTROL!$C$9, $C$13, 100%, $E$13) + CHOOSE(CONTROL!$C$28, 0.0211, 0)</f>
        <v>24.6312</v>
      </c>
      <c r="D292" s="4">
        <f>34.2986 * CHOOSE(CONTROL!$C$9, $C$13, 100%, $E$13) + CHOOSE(CONTROL!$C$28, 0.0021, 0)</f>
        <v>34.300699999999999</v>
      </c>
      <c r="E292" s="4">
        <f>157.127348915965 * CHOOSE(CONTROL!$C$9, $C$13, 100%, $E$13) + CHOOSE(CONTROL!$C$28, 0.0021, 0)</f>
        <v>157.12944891596501</v>
      </c>
    </row>
    <row r="293" spans="1:5" ht="15">
      <c r="A293" s="13">
        <v>50436</v>
      </c>
      <c r="B293" s="4">
        <f>23.9199 * CHOOSE(CONTROL!$C$9, $C$13, 100%, $E$13) + CHOOSE(CONTROL!$C$28, 0.0211, 0)</f>
        <v>23.940999999999999</v>
      </c>
      <c r="C293" s="4">
        <f>23.5566 * CHOOSE(CONTROL!$C$9, $C$13, 100%, $E$13) + CHOOSE(CONTROL!$C$28, 0.0211, 0)</f>
        <v>23.5777</v>
      </c>
      <c r="D293" s="4">
        <f>32.9817 * CHOOSE(CONTROL!$C$9, $C$13, 100%, $E$13) + CHOOSE(CONTROL!$C$28, 0.0021, 0)</f>
        <v>32.983799999999995</v>
      </c>
      <c r="E293" s="4">
        <f>150.582356360755 * CHOOSE(CONTROL!$C$9, $C$13, 100%, $E$13) + CHOOSE(CONTROL!$C$28, 0.0021, 0)</f>
        <v>150.58445636075501</v>
      </c>
    </row>
    <row r="294" spans="1:5" ht="15">
      <c r="A294" s="13">
        <v>50464</v>
      </c>
      <c r="B294" s="4">
        <f>24.4695 * CHOOSE(CONTROL!$C$9, $C$13, 100%, $E$13) + CHOOSE(CONTROL!$C$28, 0.0211, 0)</f>
        <v>24.490600000000001</v>
      </c>
      <c r="C294" s="4">
        <f>24.1062 * CHOOSE(CONTROL!$C$9, $C$13, 100%, $E$13) + CHOOSE(CONTROL!$C$28, 0.0211, 0)</f>
        <v>24.127300000000002</v>
      </c>
      <c r="D294" s="4">
        <f>34.0804 * CHOOSE(CONTROL!$C$9, $C$13, 100%, $E$13) + CHOOSE(CONTROL!$C$28, 0.0021, 0)</f>
        <v>34.082499999999996</v>
      </c>
      <c r="E294" s="4">
        <f>154.15777493219 * CHOOSE(CONTROL!$C$9, $C$13, 100%, $E$13) + CHOOSE(CONTROL!$C$28, 0.0021, 0)</f>
        <v>154.15987493219001</v>
      </c>
    </row>
    <row r="295" spans="1:5" ht="15">
      <c r="A295" s="13">
        <v>50495</v>
      </c>
      <c r="B295" s="4">
        <f>25.9128 * CHOOSE(CONTROL!$C$9, $C$13, 100%, $E$13) + CHOOSE(CONTROL!$C$28, 0.0211, 0)</f>
        <v>25.933900000000001</v>
      </c>
      <c r="C295" s="4">
        <f>25.5495 * CHOOSE(CONTROL!$C$9, $C$13, 100%, $E$13) + CHOOSE(CONTROL!$C$28, 0.0211, 0)</f>
        <v>25.570599999999999</v>
      </c>
      <c r="D295" s="4">
        <f>35.8003 * CHOOSE(CONTROL!$C$9, $C$13, 100%, $E$13) + CHOOSE(CONTROL!$C$28, 0.0021, 0)</f>
        <v>35.802399999999999</v>
      </c>
      <c r="E295" s="4">
        <f>163.547014110058 * CHOOSE(CONTROL!$C$9, $C$13, 100%, $E$13) + CHOOSE(CONTROL!$C$28, 0.0021, 0)</f>
        <v>163.54911411005801</v>
      </c>
    </row>
    <row r="296" spans="1:5" ht="15">
      <c r="A296" s="13">
        <v>50525</v>
      </c>
      <c r="B296" s="4">
        <f>26.9382 * CHOOSE(CONTROL!$C$9, $C$13, 100%, $E$13) + CHOOSE(CONTROL!$C$28, 0.0211, 0)</f>
        <v>26.959299999999999</v>
      </c>
      <c r="C296" s="4">
        <f>26.5749 * CHOOSE(CONTROL!$C$9, $C$13, 100%, $E$13) + CHOOSE(CONTROL!$C$28, 0.0211, 0)</f>
        <v>26.596</v>
      </c>
      <c r="D296" s="4">
        <f>36.7911 * CHOOSE(CONTROL!$C$9, $C$13, 100%, $E$13) + CHOOSE(CONTROL!$C$28, 0.0021, 0)</f>
        <v>36.793199999999999</v>
      </c>
      <c r="E296" s="4">
        <f>170.218193673998 * CHOOSE(CONTROL!$C$9, $C$13, 100%, $E$13) + CHOOSE(CONTROL!$C$28, 0.0021, 0)</f>
        <v>170.22029367399801</v>
      </c>
    </row>
    <row r="297" spans="1:5" ht="15">
      <c r="A297" s="13">
        <v>50556</v>
      </c>
      <c r="B297" s="4">
        <f>27.5647 * CHOOSE(CONTROL!$C$9, $C$13, 100%, $E$13) + CHOOSE(CONTROL!$C$28, 0.0415, 0)</f>
        <v>27.606199999999998</v>
      </c>
      <c r="C297" s="4">
        <f>27.2015 * CHOOSE(CONTROL!$C$9, $C$13, 100%, $E$13) + CHOOSE(CONTROL!$C$28, 0.0415, 0)</f>
        <v>27.242999999999999</v>
      </c>
      <c r="D297" s="4">
        <f>36.3996 * CHOOSE(CONTROL!$C$9, $C$13, 100%, $E$13) + CHOOSE(CONTROL!$C$28, 0.0021, 0)</f>
        <v>36.401699999999998</v>
      </c>
      <c r="E297" s="4">
        <f>174.294124501705 * CHOOSE(CONTROL!$C$9, $C$13, 100%, $E$13) + CHOOSE(CONTROL!$C$28, 0.0021, 0)</f>
        <v>174.29622450170501</v>
      </c>
    </row>
    <row r="298" spans="1:5" ht="15">
      <c r="A298" s="13">
        <v>50586</v>
      </c>
      <c r="B298" s="4">
        <f>27.6495 * CHOOSE(CONTROL!$C$9, $C$13, 100%, $E$13) + CHOOSE(CONTROL!$C$28, 0.0415, 0)</f>
        <v>27.690999999999999</v>
      </c>
      <c r="C298" s="4">
        <f>27.2862 * CHOOSE(CONTROL!$C$9, $C$13, 100%, $E$13) + CHOOSE(CONTROL!$C$28, 0.0415, 0)</f>
        <v>27.3277</v>
      </c>
      <c r="D298" s="4">
        <f>36.7184 * CHOOSE(CONTROL!$C$9, $C$13, 100%, $E$13) + CHOOSE(CONTROL!$C$28, 0.0021, 0)</f>
        <v>36.720500000000001</v>
      </c>
      <c r="E298" s="4">
        <f>174.845614858154 * CHOOSE(CONTROL!$C$9, $C$13, 100%, $E$13) + CHOOSE(CONTROL!$C$28, 0.0021, 0)</f>
        <v>174.84771485815401</v>
      </c>
    </row>
    <row r="299" spans="1:5" ht="15">
      <c r="A299" s="13">
        <v>50617</v>
      </c>
      <c r="B299" s="4">
        <f>27.641 * CHOOSE(CONTROL!$C$9, $C$13, 100%, $E$13) + CHOOSE(CONTROL!$C$28, 0.0415, 0)</f>
        <v>27.682499999999997</v>
      </c>
      <c r="C299" s="4">
        <f>27.2777 * CHOOSE(CONTROL!$C$9, $C$13, 100%, $E$13) + CHOOSE(CONTROL!$C$28, 0.0415, 0)</f>
        <v>27.319199999999999</v>
      </c>
      <c r="D299" s="4">
        <f>37.2937 * CHOOSE(CONTROL!$C$9, $C$13, 100%, $E$13) + CHOOSE(CONTROL!$C$28, 0.0021, 0)</f>
        <v>37.2958</v>
      </c>
      <c r="E299" s="4">
        <f>174.790002385235 * CHOOSE(CONTROL!$C$9, $C$13, 100%, $E$13) + CHOOSE(CONTROL!$C$28, 0.0021, 0)</f>
        <v>174.79210238523501</v>
      </c>
    </row>
    <row r="300" spans="1:5" ht="15">
      <c r="A300" s="13">
        <v>50648</v>
      </c>
      <c r="B300" s="4">
        <f>28.2842 * CHOOSE(CONTROL!$C$9, $C$13, 100%, $E$13) + CHOOSE(CONTROL!$C$28, 0.0415, 0)</f>
        <v>28.325699999999998</v>
      </c>
      <c r="C300" s="4">
        <f>27.9209 * CHOOSE(CONTROL!$C$9, $C$13, 100%, $E$13) + CHOOSE(CONTROL!$C$28, 0.0415, 0)</f>
        <v>27.962399999999999</v>
      </c>
      <c r="D300" s="4">
        <f>36.9138 * CHOOSE(CONTROL!$C$9, $C$13, 100%, $E$13) + CHOOSE(CONTROL!$C$28, 0.0021, 0)</f>
        <v>36.915900000000001</v>
      </c>
      <c r="E300" s="4">
        <f>178.974840972409 * CHOOSE(CONTROL!$C$9, $C$13, 100%, $E$13) + CHOOSE(CONTROL!$C$28, 0.0021, 0)</f>
        <v>178.97694097240901</v>
      </c>
    </row>
    <row r="301" spans="1:5" ht="15">
      <c r="A301" s="13">
        <v>50678</v>
      </c>
      <c r="B301" s="4">
        <f>27.1879 * CHOOSE(CONTROL!$C$9, $C$13, 100%, $E$13) + CHOOSE(CONTROL!$C$28, 0.0415, 0)</f>
        <v>27.229399999999998</v>
      </c>
      <c r="C301" s="4">
        <f>26.8246 * CHOOSE(CONTROL!$C$9, $C$13, 100%, $E$13) + CHOOSE(CONTROL!$C$28, 0.0415, 0)</f>
        <v>26.866099999999999</v>
      </c>
      <c r="D301" s="4">
        <f>36.7343 * CHOOSE(CONTROL!$C$9, $C$13, 100%, $E$13) + CHOOSE(CONTROL!$C$28, 0.0021, 0)</f>
        <v>36.736399999999996</v>
      </c>
      <c r="E301" s="4">
        <f>171.842541320514 * CHOOSE(CONTROL!$C$9, $C$13, 100%, $E$13) + CHOOSE(CONTROL!$C$28, 0.0021, 0)</f>
        <v>171.844641320514</v>
      </c>
    </row>
    <row r="302" spans="1:5" ht="15">
      <c r="A302" s="13">
        <v>50709</v>
      </c>
      <c r="B302" s="4">
        <f>26.3103 * CHOOSE(CONTROL!$C$9, $C$13, 100%, $E$13) + CHOOSE(CONTROL!$C$28, 0.0211, 0)</f>
        <v>26.331400000000002</v>
      </c>
      <c r="C302" s="4">
        <f>25.947 * CHOOSE(CONTROL!$C$9, $C$13, 100%, $E$13) + CHOOSE(CONTROL!$C$28, 0.0211, 0)</f>
        <v>25.9681</v>
      </c>
      <c r="D302" s="4">
        <f>36.2536 * CHOOSE(CONTROL!$C$9, $C$13, 100%, $E$13) + CHOOSE(CONTROL!$C$28, 0.0021, 0)</f>
        <v>36.255699999999997</v>
      </c>
      <c r="E302" s="4">
        <f>166.132994100804 * CHOOSE(CONTROL!$C$9, $C$13, 100%, $E$13) + CHOOSE(CONTROL!$C$28, 0.0021, 0)</f>
        <v>166.13509410080403</v>
      </c>
    </row>
    <row r="303" spans="1:5" ht="15">
      <c r="A303" s="13">
        <v>50739</v>
      </c>
      <c r="B303" s="4">
        <f>25.745 * CHOOSE(CONTROL!$C$9, $C$13, 100%, $E$13) + CHOOSE(CONTROL!$C$28, 0.0211, 0)</f>
        <v>25.766100000000002</v>
      </c>
      <c r="C303" s="4">
        <f>25.3817 * CHOOSE(CONTROL!$C$9, $C$13, 100%, $E$13) + CHOOSE(CONTROL!$C$28, 0.0211, 0)</f>
        <v>25.402799999999999</v>
      </c>
      <c r="D303" s="4">
        <f>36.0884 * CHOOSE(CONTROL!$C$9, $C$13, 100%, $E$13) + CHOOSE(CONTROL!$C$28, 0.0021, 0)</f>
        <v>36.090499999999999</v>
      </c>
      <c r="E303" s="4">
        <f>162.455619329017 * CHOOSE(CONTROL!$C$9, $C$13, 100%, $E$13) + CHOOSE(CONTROL!$C$28, 0.0021, 0)</f>
        <v>162.45771932901701</v>
      </c>
    </row>
    <row r="304" spans="1:5" ht="15">
      <c r="A304" s="13">
        <v>50770</v>
      </c>
      <c r="B304" s="4">
        <f>25.3539 * CHOOSE(CONTROL!$C$9, $C$13, 100%, $E$13) + CHOOSE(CONTROL!$C$28, 0.0211, 0)</f>
        <v>25.375</v>
      </c>
      <c r="C304" s="4">
        <f>24.9906 * CHOOSE(CONTROL!$C$9, $C$13, 100%, $E$13) + CHOOSE(CONTROL!$C$28, 0.0211, 0)</f>
        <v>25.011700000000001</v>
      </c>
      <c r="D304" s="4">
        <f>34.8718 * CHOOSE(CONTROL!$C$9, $C$13, 100%, $E$13) + CHOOSE(CONTROL!$C$28, 0.0021, 0)</f>
        <v>34.873899999999999</v>
      </c>
      <c r="E304" s="4">
        <f>159.911348692961 * CHOOSE(CONTROL!$C$9, $C$13, 100%, $E$13) + CHOOSE(CONTROL!$C$28, 0.0021, 0)</f>
        <v>159.91344869296103</v>
      </c>
    </row>
    <row r="305" spans="1:5" ht="15">
      <c r="A305" s="13">
        <v>50801</v>
      </c>
      <c r="B305" s="4">
        <f>24.2839 * CHOOSE(CONTROL!$C$9, $C$13, 100%, $E$13) + CHOOSE(CONTROL!$C$28, 0.0211, 0)</f>
        <v>24.305</v>
      </c>
      <c r="C305" s="4">
        <f>23.9206 * CHOOSE(CONTROL!$C$9, $C$13, 100%, $E$13) + CHOOSE(CONTROL!$C$28, 0.0211, 0)</f>
        <v>23.941700000000001</v>
      </c>
      <c r="D305" s="4">
        <f>33.5317 * CHOOSE(CONTROL!$C$9, $C$13, 100%, $E$13) + CHOOSE(CONTROL!$C$28, 0.0021, 0)</f>
        <v>33.533799999999999</v>
      </c>
      <c r="E305" s="4">
        <f>153.250391234507 * CHOOSE(CONTROL!$C$9, $C$13, 100%, $E$13) + CHOOSE(CONTROL!$C$28, 0.0021, 0)</f>
        <v>153.252491234507</v>
      </c>
    </row>
    <row r="306" spans="1:5" ht="15">
      <c r="A306" s="13">
        <v>50829</v>
      </c>
      <c r="B306" s="4">
        <f>24.8421 * CHOOSE(CONTROL!$C$9, $C$13, 100%, $E$13) + CHOOSE(CONTROL!$C$28, 0.0211, 0)</f>
        <v>24.863199999999999</v>
      </c>
      <c r="C306" s="4">
        <f>24.4789 * CHOOSE(CONTROL!$C$9, $C$13, 100%, $E$13) + CHOOSE(CONTROL!$C$28, 0.0211, 0)</f>
        <v>24.5</v>
      </c>
      <c r="D306" s="4">
        <f>34.6498 * CHOOSE(CONTROL!$C$9, $C$13, 100%, $E$13) + CHOOSE(CONTROL!$C$28, 0.0021, 0)</f>
        <v>34.651899999999998</v>
      </c>
      <c r="E306" s="4">
        <f>156.889159468328 * CHOOSE(CONTROL!$C$9, $C$13, 100%, $E$13) + CHOOSE(CONTROL!$C$28, 0.0021, 0)</f>
        <v>156.891259468328</v>
      </c>
    </row>
    <row r="307" spans="1:5" ht="15">
      <c r="A307" s="13">
        <v>50860</v>
      </c>
      <c r="B307" s="4">
        <f>26.3081 * CHOOSE(CONTROL!$C$9, $C$13, 100%, $E$13) + CHOOSE(CONTROL!$C$28, 0.0211, 0)</f>
        <v>26.3292</v>
      </c>
      <c r="C307" s="4">
        <f>25.9448 * CHOOSE(CONTROL!$C$9, $C$13, 100%, $E$13) + CHOOSE(CONTROL!$C$28, 0.0211, 0)</f>
        <v>25.965900000000001</v>
      </c>
      <c r="D307" s="4">
        <f>36.4001 * CHOOSE(CONTROL!$C$9, $C$13, 100%, $E$13) + CHOOSE(CONTROL!$C$28, 0.0021, 0)</f>
        <v>36.402200000000001</v>
      </c>
      <c r="E307" s="4">
        <f>166.444758226229 * CHOOSE(CONTROL!$C$9, $C$13, 100%, $E$13) + CHOOSE(CONTROL!$C$28, 0.0021, 0)</f>
        <v>166.44685822622901</v>
      </c>
    </row>
    <row r="308" spans="1:5" ht="15">
      <c r="A308" s="13">
        <v>50890</v>
      </c>
      <c r="B308" s="4">
        <f>27.3497 * CHOOSE(CONTROL!$C$9, $C$13, 100%, $E$13) + CHOOSE(CONTROL!$C$28, 0.0211, 0)</f>
        <v>27.370799999999999</v>
      </c>
      <c r="C308" s="4">
        <f>26.9864 * CHOOSE(CONTROL!$C$9, $C$13, 100%, $E$13) + CHOOSE(CONTROL!$C$28, 0.0211, 0)</f>
        <v>27.0075</v>
      </c>
      <c r="D308" s="4">
        <f>37.4084 * CHOOSE(CONTROL!$C$9, $C$13, 100%, $E$13) + CHOOSE(CONTROL!$C$28, 0.0021, 0)</f>
        <v>37.410499999999999</v>
      </c>
      <c r="E308" s="4">
        <f>173.234138488815 * CHOOSE(CONTROL!$C$9, $C$13, 100%, $E$13) + CHOOSE(CONTROL!$C$28, 0.0021, 0)</f>
        <v>173.23623848881502</v>
      </c>
    </row>
    <row r="309" spans="1:5" ht="15">
      <c r="A309" s="13">
        <v>50921</v>
      </c>
      <c r="B309" s="4">
        <f>27.986 * CHOOSE(CONTROL!$C$9, $C$13, 100%, $E$13) + CHOOSE(CONTROL!$C$28, 0.0415, 0)</f>
        <v>28.0275</v>
      </c>
      <c r="C309" s="4">
        <f>27.6227 * CHOOSE(CONTROL!$C$9, $C$13, 100%, $E$13) + CHOOSE(CONTROL!$C$28, 0.0415, 0)</f>
        <v>27.664199999999997</v>
      </c>
      <c r="D309" s="4">
        <f>37.01 * CHOOSE(CONTROL!$C$9, $C$13, 100%, $E$13) + CHOOSE(CONTROL!$C$28, 0.0021, 0)</f>
        <v>37.012099999999997</v>
      </c>
      <c r="E309" s="4">
        <f>177.38228711052 * CHOOSE(CONTROL!$C$9, $C$13, 100%, $E$13) + CHOOSE(CONTROL!$C$28, 0.0021, 0)</f>
        <v>177.38438711052001</v>
      </c>
    </row>
    <row r="310" spans="1:5" ht="15">
      <c r="A310" s="13">
        <v>50951</v>
      </c>
      <c r="B310" s="4">
        <f>28.0721 * CHOOSE(CONTROL!$C$9, $C$13, 100%, $E$13) + CHOOSE(CONTROL!$C$28, 0.0415, 0)</f>
        <v>28.113599999999998</v>
      </c>
      <c r="C310" s="4">
        <f>27.7088 * CHOOSE(CONTROL!$C$9, $C$13, 100%, $E$13) + CHOOSE(CONTROL!$C$28, 0.0415, 0)</f>
        <v>27.750299999999999</v>
      </c>
      <c r="D310" s="4">
        <f>37.3344 * CHOOSE(CONTROL!$C$9, $C$13, 100%, $E$13) + CHOOSE(CONTROL!$C$28, 0.0021, 0)</f>
        <v>37.336500000000001</v>
      </c>
      <c r="E310" s="4">
        <f>177.943548834207 * CHOOSE(CONTROL!$C$9, $C$13, 100%, $E$13) + CHOOSE(CONTROL!$C$28, 0.0021, 0)</f>
        <v>177.94564883420702</v>
      </c>
    </row>
    <row r="311" spans="1:5" ht="15">
      <c r="A311" s="13">
        <v>50982</v>
      </c>
      <c r="B311" s="4">
        <f>28.0634 * CHOOSE(CONTROL!$C$9, $C$13, 100%, $E$13) + CHOOSE(CONTROL!$C$28, 0.0415, 0)</f>
        <v>28.104900000000001</v>
      </c>
      <c r="C311" s="4">
        <f>27.7002 * CHOOSE(CONTROL!$C$9, $C$13, 100%, $E$13) + CHOOSE(CONTROL!$C$28, 0.0415, 0)</f>
        <v>27.741699999999998</v>
      </c>
      <c r="D311" s="4">
        <f>37.9199 * CHOOSE(CONTROL!$C$9, $C$13, 100%, $E$13) + CHOOSE(CONTROL!$C$28, 0.0021, 0)</f>
        <v>37.921999999999997</v>
      </c>
      <c r="E311" s="4">
        <f>177.886951013331 * CHOOSE(CONTROL!$C$9, $C$13, 100%, $E$13) + CHOOSE(CONTROL!$C$28, 0.0021, 0)</f>
        <v>177.889051013331</v>
      </c>
    </row>
    <row r="312" spans="1:5" ht="15">
      <c r="A312" s="13">
        <v>51013</v>
      </c>
      <c r="B312" s="4">
        <f>28.7168 * CHOOSE(CONTROL!$C$9, $C$13, 100%, $E$13) + CHOOSE(CONTROL!$C$28, 0.0415, 0)</f>
        <v>28.758299999999998</v>
      </c>
      <c r="C312" s="4">
        <f>28.3535 * CHOOSE(CONTROL!$C$9, $C$13, 100%, $E$13) + CHOOSE(CONTROL!$C$28, 0.0415, 0)</f>
        <v>28.395</v>
      </c>
      <c r="D312" s="4">
        <f>37.5333 * CHOOSE(CONTROL!$C$9, $C$13, 100%, $E$13) + CHOOSE(CONTROL!$C$28, 0.0021, 0)</f>
        <v>37.535399999999996</v>
      </c>
      <c r="E312" s="4">
        <f>182.145937034252 * CHOOSE(CONTROL!$C$9, $C$13, 100%, $E$13) + CHOOSE(CONTROL!$C$28, 0.0021, 0)</f>
        <v>182.14803703425201</v>
      </c>
    </row>
    <row r="313" spans="1:5" ht="15">
      <c r="A313" s="13">
        <v>51043</v>
      </c>
      <c r="B313" s="4">
        <f>27.6033 * CHOOSE(CONTROL!$C$9, $C$13, 100%, $E$13) + CHOOSE(CONTROL!$C$28, 0.0415, 0)</f>
        <v>27.6448</v>
      </c>
      <c r="C313" s="4">
        <f>27.24 * CHOOSE(CONTROL!$C$9, $C$13, 100%, $E$13) + CHOOSE(CONTROL!$C$28, 0.0415, 0)</f>
        <v>27.281499999999998</v>
      </c>
      <c r="D313" s="4">
        <f>37.3506 * CHOOSE(CONTROL!$C$9, $C$13, 100%, $E$13) + CHOOSE(CONTROL!$C$28, 0.0021, 0)</f>
        <v>37.352699999999999</v>
      </c>
      <c r="E313" s="4">
        <f>174.887266506902 * CHOOSE(CONTROL!$C$9, $C$13, 100%, $E$13) + CHOOSE(CONTROL!$C$28, 0.0021, 0)</f>
        <v>174.88936650690201</v>
      </c>
    </row>
    <row r="314" spans="1:5" ht="15">
      <c r="A314" s="13">
        <v>51074</v>
      </c>
      <c r="B314" s="4">
        <f>26.7118 * CHOOSE(CONTROL!$C$9, $C$13, 100%, $E$13) + CHOOSE(CONTROL!$C$28, 0.0211, 0)</f>
        <v>26.732900000000001</v>
      </c>
      <c r="C314" s="4">
        <f>26.3485 * CHOOSE(CONTROL!$C$9, $C$13, 100%, $E$13) + CHOOSE(CONTROL!$C$28, 0.0211, 0)</f>
        <v>26.369600000000002</v>
      </c>
      <c r="D314" s="4">
        <f>36.8615 * CHOOSE(CONTROL!$C$9, $C$13, 100%, $E$13) + CHOOSE(CONTROL!$C$28, 0.0021, 0)</f>
        <v>36.863599999999998</v>
      </c>
      <c r="E314" s="4">
        <f>169.076556896964 * CHOOSE(CONTROL!$C$9, $C$13, 100%, $E$13) + CHOOSE(CONTROL!$C$28, 0.0021, 0)</f>
        <v>169.07865689696402</v>
      </c>
    </row>
    <row r="315" spans="1:5" ht="15">
      <c r="A315" s="13">
        <v>51104</v>
      </c>
      <c r="B315" s="4">
        <f>26.1377 * CHOOSE(CONTROL!$C$9, $C$13, 100%, $E$13) + CHOOSE(CONTROL!$C$28, 0.0211, 0)</f>
        <v>26.158799999999999</v>
      </c>
      <c r="C315" s="4">
        <f>25.7744 * CHOOSE(CONTROL!$C$9, $C$13, 100%, $E$13) + CHOOSE(CONTROL!$C$28, 0.0211, 0)</f>
        <v>25.795500000000001</v>
      </c>
      <c r="D315" s="4">
        <f>36.6933 * CHOOSE(CONTROL!$C$9, $C$13, 100%, $E$13) + CHOOSE(CONTROL!$C$28, 0.0021, 0)</f>
        <v>36.695399999999999</v>
      </c>
      <c r="E315" s="4">
        <f>165.334025991537 * CHOOSE(CONTROL!$C$9, $C$13, 100%, $E$13) + CHOOSE(CONTROL!$C$28, 0.0021, 0)</f>
        <v>165.33612599153702</v>
      </c>
    </row>
    <row r="316" spans="1:5" ht="15">
      <c r="A316" s="13">
        <v>51135</v>
      </c>
      <c r="B316" s="4">
        <f>25.7404 * CHOOSE(CONTROL!$C$9, $C$13, 100%, $E$13) + CHOOSE(CONTROL!$C$28, 0.0211, 0)</f>
        <v>25.761500000000002</v>
      </c>
      <c r="C316" s="4">
        <f>25.3772 * CHOOSE(CONTROL!$C$9, $C$13, 100%, $E$13) + CHOOSE(CONTROL!$C$28, 0.0211, 0)</f>
        <v>25.398299999999999</v>
      </c>
      <c r="D316" s="4">
        <f>35.4552 * CHOOSE(CONTROL!$C$9, $C$13, 100%, $E$13) + CHOOSE(CONTROL!$C$28, 0.0021, 0)</f>
        <v>35.457299999999996</v>
      </c>
      <c r="E316" s="4">
        <f>162.744675686459 * CHOOSE(CONTROL!$C$9, $C$13, 100%, $E$13) + CHOOSE(CONTROL!$C$28, 0.0021, 0)</f>
        <v>162.74677568645902</v>
      </c>
    </row>
    <row r="317" spans="1:5" ht="15">
      <c r="A317" s="13">
        <v>51166</v>
      </c>
      <c r="B317" s="4">
        <f>24.6536 * CHOOSE(CONTROL!$C$9, $C$13, 100%, $E$13) + CHOOSE(CONTROL!$C$28, 0.0211, 0)</f>
        <v>24.674700000000001</v>
      </c>
      <c r="C317" s="4">
        <f>24.2903 * CHOOSE(CONTROL!$C$9, $C$13, 100%, $E$13) + CHOOSE(CONTROL!$C$28, 0.0211, 0)</f>
        <v>24.311399999999999</v>
      </c>
      <c r="D317" s="4">
        <f>34.0914 * CHOOSE(CONTROL!$C$9, $C$13, 100%, $E$13) + CHOOSE(CONTROL!$C$28, 0.0021, 0)</f>
        <v>34.093499999999999</v>
      </c>
      <c r="E317" s="4">
        <f>155.965698645756 * CHOOSE(CONTROL!$C$9, $C$13, 100%, $E$13) + CHOOSE(CONTROL!$C$28, 0.0021, 0)</f>
        <v>155.96779864575601</v>
      </c>
    </row>
    <row r="318" spans="1:5" ht="15">
      <c r="A318" s="13">
        <v>51194</v>
      </c>
      <c r="B318" s="4">
        <f>25.2206 * CHOOSE(CONTROL!$C$9, $C$13, 100%, $E$13) + CHOOSE(CONTROL!$C$28, 0.0211, 0)</f>
        <v>25.241700000000002</v>
      </c>
      <c r="C318" s="4">
        <f>24.8573 * CHOOSE(CONTROL!$C$9, $C$13, 100%, $E$13) + CHOOSE(CONTROL!$C$28, 0.0211, 0)</f>
        <v>24.878399999999999</v>
      </c>
      <c r="D318" s="4">
        <f>35.2293 * CHOOSE(CONTROL!$C$9, $C$13, 100%, $E$13) + CHOOSE(CONTROL!$C$28, 0.0021, 0)</f>
        <v>35.231400000000001</v>
      </c>
      <c r="E318" s="4">
        <f>159.6689389783 * CHOOSE(CONTROL!$C$9, $C$13, 100%, $E$13) + CHOOSE(CONTROL!$C$28, 0.0021, 0)</f>
        <v>159.6710389783</v>
      </c>
    </row>
    <row r="319" spans="1:5" ht="15">
      <c r="A319" s="13">
        <v>51226</v>
      </c>
      <c r="B319" s="4">
        <f>26.7096 * CHOOSE(CONTROL!$C$9, $C$13, 100%, $E$13) + CHOOSE(CONTROL!$C$28, 0.0211, 0)</f>
        <v>26.730699999999999</v>
      </c>
      <c r="C319" s="4">
        <f>26.3463 * CHOOSE(CONTROL!$C$9, $C$13, 100%, $E$13) + CHOOSE(CONTROL!$C$28, 0.0211, 0)</f>
        <v>26.3674</v>
      </c>
      <c r="D319" s="4">
        <f>37.0106 * CHOOSE(CONTROL!$C$9, $C$13, 100%, $E$13) + CHOOSE(CONTROL!$C$28, 0.0021, 0)</f>
        <v>37.012699999999995</v>
      </c>
      <c r="E319" s="4">
        <f>169.393844893705 * CHOOSE(CONTROL!$C$9, $C$13, 100%, $E$13) + CHOOSE(CONTROL!$C$28, 0.0021, 0)</f>
        <v>169.39594489370501</v>
      </c>
    </row>
    <row r="320" spans="1:5" ht="15">
      <c r="A320" s="13">
        <v>51256</v>
      </c>
      <c r="B320" s="4">
        <f>27.7676 * CHOOSE(CONTROL!$C$9, $C$13, 100%, $E$13) + CHOOSE(CONTROL!$C$28, 0.0211, 0)</f>
        <v>27.788700000000002</v>
      </c>
      <c r="C320" s="4">
        <f>27.4043 * CHOOSE(CONTROL!$C$9, $C$13, 100%, $E$13) + CHOOSE(CONTROL!$C$28, 0.0211, 0)</f>
        <v>27.4254</v>
      </c>
      <c r="D320" s="4">
        <f>38.0366 * CHOOSE(CONTROL!$C$9, $C$13, 100%, $E$13) + CHOOSE(CONTROL!$C$28, 0.0021, 0)</f>
        <v>38.038699999999999</v>
      </c>
      <c r="E320" s="4">
        <f>176.303520148012 * CHOOSE(CONTROL!$C$9, $C$13, 100%, $E$13) + CHOOSE(CONTROL!$C$28, 0.0021, 0)</f>
        <v>176.30562014801203</v>
      </c>
    </row>
    <row r="321" spans="1:5" ht="15">
      <c r="A321" s="13">
        <v>51287</v>
      </c>
      <c r="B321" s="4">
        <f>28.4139 * CHOOSE(CONTROL!$C$9, $C$13, 100%, $E$13) + CHOOSE(CONTROL!$C$28, 0.0415, 0)</f>
        <v>28.455400000000001</v>
      </c>
      <c r="C321" s="4">
        <f>28.0507 * CHOOSE(CONTROL!$C$9, $C$13, 100%, $E$13) + CHOOSE(CONTROL!$C$28, 0.0415, 0)</f>
        <v>28.092199999999998</v>
      </c>
      <c r="D321" s="4">
        <f>37.6312 * CHOOSE(CONTROL!$C$9, $C$13, 100%, $E$13) + CHOOSE(CONTROL!$C$28, 0.0021, 0)</f>
        <v>37.633299999999998</v>
      </c>
      <c r="E321" s="4">
        <f>180.52516612659 * CHOOSE(CONTROL!$C$9, $C$13, 100%, $E$13) + CHOOSE(CONTROL!$C$28, 0.0021, 0)</f>
        <v>180.52726612659001</v>
      </c>
    </row>
    <row r="322" spans="1:5" ht="15">
      <c r="A322" s="13">
        <v>51317</v>
      </c>
      <c r="B322" s="4">
        <f>28.5014 * CHOOSE(CONTROL!$C$9, $C$13, 100%, $E$13) + CHOOSE(CONTROL!$C$28, 0.0415, 0)</f>
        <v>28.542899999999999</v>
      </c>
      <c r="C322" s="4">
        <f>28.1381 * CHOOSE(CONTROL!$C$9, $C$13, 100%, $E$13) + CHOOSE(CONTROL!$C$28, 0.0415, 0)</f>
        <v>28.179600000000001</v>
      </c>
      <c r="D322" s="4">
        <f>37.9614 * CHOOSE(CONTROL!$C$9, $C$13, 100%, $E$13) + CHOOSE(CONTROL!$C$28, 0.0021, 0)</f>
        <v>37.963499999999996</v>
      </c>
      <c r="E322" s="4">
        <f>181.096372347683 * CHOOSE(CONTROL!$C$9, $C$13, 100%, $E$13) + CHOOSE(CONTROL!$C$28, 0.0021, 0)</f>
        <v>181.09847234768301</v>
      </c>
    </row>
    <row r="323" spans="1:5" ht="15">
      <c r="A323" s="13">
        <v>51348</v>
      </c>
      <c r="B323" s="4">
        <f>28.4926 * CHOOSE(CONTROL!$C$9, $C$13, 100%, $E$13) + CHOOSE(CONTROL!$C$28, 0.0415, 0)</f>
        <v>28.534099999999999</v>
      </c>
      <c r="C323" s="4">
        <f>28.1293 * CHOOSE(CONTROL!$C$9, $C$13, 100%, $E$13) + CHOOSE(CONTROL!$C$28, 0.0415, 0)</f>
        <v>28.1708</v>
      </c>
      <c r="D323" s="4">
        <f>38.5572 * CHOOSE(CONTROL!$C$9, $C$13, 100%, $E$13) + CHOOSE(CONTROL!$C$28, 0.0021, 0)</f>
        <v>38.5593</v>
      </c>
      <c r="E323" s="4">
        <f>181.038771720346 * CHOOSE(CONTROL!$C$9, $C$13, 100%, $E$13) + CHOOSE(CONTROL!$C$28, 0.0021, 0)</f>
        <v>181.04087172034602</v>
      </c>
    </row>
    <row r="324" spans="1:5" ht="15">
      <c r="A324" s="13">
        <v>51379</v>
      </c>
      <c r="B324" s="4">
        <f>29.1562 * CHOOSE(CONTROL!$C$9, $C$13, 100%, $E$13) + CHOOSE(CONTROL!$C$28, 0.0415, 0)</f>
        <v>29.197699999999998</v>
      </c>
      <c r="C324" s="4">
        <f>28.793 * CHOOSE(CONTROL!$C$9, $C$13, 100%, $E$13) + CHOOSE(CONTROL!$C$28, 0.0415, 0)</f>
        <v>28.834499999999998</v>
      </c>
      <c r="D324" s="4">
        <f>38.1637 * CHOOSE(CONTROL!$C$9, $C$13, 100%, $E$13) + CHOOSE(CONTROL!$C$28, 0.0021, 0)</f>
        <v>38.165799999999997</v>
      </c>
      <c r="E324" s="4">
        <f>185.373218927459 * CHOOSE(CONTROL!$C$9, $C$13, 100%, $E$13) + CHOOSE(CONTROL!$C$28, 0.0021, 0)</f>
        <v>185.37531892745901</v>
      </c>
    </row>
    <row r="325" spans="1:5" ht="15">
      <c r="A325" s="13">
        <v>51409</v>
      </c>
      <c r="B325" s="4">
        <f>28.0252 * CHOOSE(CONTROL!$C$9, $C$13, 100%, $E$13) + CHOOSE(CONTROL!$C$28, 0.0415, 0)</f>
        <v>28.066700000000001</v>
      </c>
      <c r="C325" s="4">
        <f>27.6619 * CHOOSE(CONTROL!$C$9, $C$13, 100%, $E$13) + CHOOSE(CONTROL!$C$28, 0.0415, 0)</f>
        <v>27.703399999999998</v>
      </c>
      <c r="D325" s="4">
        <f>37.9778 * CHOOSE(CONTROL!$C$9, $C$13, 100%, $E$13) + CHOOSE(CONTROL!$C$28, 0.0021, 0)</f>
        <v>37.979900000000001</v>
      </c>
      <c r="E325" s="4">
        <f>177.985938471482 * CHOOSE(CONTROL!$C$9, $C$13, 100%, $E$13) + CHOOSE(CONTROL!$C$28, 0.0021, 0)</f>
        <v>177.98803847148201</v>
      </c>
    </row>
    <row r="326" spans="1:5" ht="15">
      <c r="A326" s="13">
        <v>51440</v>
      </c>
      <c r="B326" s="4">
        <f>27.1197 * CHOOSE(CONTROL!$C$9, $C$13, 100%, $E$13) + CHOOSE(CONTROL!$C$28, 0.0211, 0)</f>
        <v>27.140800000000002</v>
      </c>
      <c r="C326" s="4">
        <f>26.7564 * CHOOSE(CONTROL!$C$9, $C$13, 100%, $E$13) + CHOOSE(CONTROL!$C$28, 0.0211, 0)</f>
        <v>26.7775</v>
      </c>
      <c r="D326" s="4">
        <f>37.48 * CHOOSE(CONTROL!$C$9, $C$13, 100%, $E$13) + CHOOSE(CONTROL!$C$28, 0.0021, 0)</f>
        <v>37.482099999999996</v>
      </c>
      <c r="E326" s="4">
        <f>172.072274064878 * CHOOSE(CONTROL!$C$9, $C$13, 100%, $E$13) + CHOOSE(CONTROL!$C$28, 0.0021, 0)</f>
        <v>172.07437406487801</v>
      </c>
    </row>
    <row r="327" spans="1:5" ht="15">
      <c r="A327" s="13">
        <v>51470</v>
      </c>
      <c r="B327" s="4">
        <f>26.5365 * CHOOSE(CONTROL!$C$9, $C$13, 100%, $E$13) + CHOOSE(CONTROL!$C$28, 0.0211, 0)</f>
        <v>26.557600000000001</v>
      </c>
      <c r="C327" s="4">
        <f>26.1732 * CHOOSE(CONTROL!$C$9, $C$13, 100%, $E$13) + CHOOSE(CONTROL!$C$28, 0.0211, 0)</f>
        <v>26.194300000000002</v>
      </c>
      <c r="D327" s="4">
        <f>37.3089 * CHOOSE(CONTROL!$C$9, $C$13, 100%, $E$13) + CHOOSE(CONTROL!$C$28, 0.0021, 0)</f>
        <v>37.311</v>
      </c>
      <c r="E327" s="4">
        <f>168.263432582216 * CHOOSE(CONTROL!$C$9, $C$13, 100%, $E$13) + CHOOSE(CONTROL!$C$28, 0.0021, 0)</f>
        <v>168.26553258221603</v>
      </c>
    </row>
    <row r="328" spans="1:5" ht="15">
      <c r="A328" s="13">
        <v>51501</v>
      </c>
      <c r="B328" s="4">
        <f>26.133 * CHOOSE(CONTROL!$C$9, $C$13, 100%, $E$13) + CHOOSE(CONTROL!$C$28, 0.0211, 0)</f>
        <v>26.1541</v>
      </c>
      <c r="C328" s="4">
        <f>25.7698 * CHOOSE(CONTROL!$C$9, $C$13, 100%, $E$13) + CHOOSE(CONTROL!$C$28, 0.0211, 0)</f>
        <v>25.790900000000001</v>
      </c>
      <c r="D328" s="4">
        <f>36.049 * CHOOSE(CONTROL!$C$9, $C$13, 100%, $E$13) + CHOOSE(CONTROL!$C$28, 0.0021, 0)</f>
        <v>36.051099999999998</v>
      </c>
      <c r="E328" s="4">
        <f>165.628203881546 * CHOOSE(CONTROL!$C$9, $C$13, 100%, $E$13) + CHOOSE(CONTROL!$C$28, 0.0021, 0)</f>
        <v>165.63030388154601</v>
      </c>
    </row>
    <row r="329" spans="1:5" ht="15">
      <c r="A329" s="13">
        <v>51532</v>
      </c>
      <c r="B329" s="4">
        <f>25.0291 * CHOOSE(CONTROL!$C$9, $C$13, 100%, $E$13) + CHOOSE(CONTROL!$C$28, 0.0211, 0)</f>
        <v>25.0502</v>
      </c>
      <c r="C329" s="4">
        <f>24.6658 * CHOOSE(CONTROL!$C$9, $C$13, 100%, $E$13) + CHOOSE(CONTROL!$C$28, 0.0211, 0)</f>
        <v>24.686900000000001</v>
      </c>
      <c r="D329" s="4">
        <f>34.6611 * CHOOSE(CONTROL!$C$9, $C$13, 100%, $E$13) + CHOOSE(CONTROL!$C$28, 0.0021, 0)</f>
        <v>34.663199999999996</v>
      </c>
      <c r="E329" s="4">
        <f>158.72911617456 * CHOOSE(CONTROL!$C$9, $C$13, 100%, $E$13) + CHOOSE(CONTROL!$C$28, 0.0021, 0)</f>
        <v>158.73121617456002</v>
      </c>
    </row>
    <row r="330" spans="1:5" ht="15">
      <c r="A330" s="13">
        <v>51560</v>
      </c>
      <c r="B330" s="4">
        <f>25.605 * CHOOSE(CONTROL!$C$9, $C$13, 100%, $E$13) + CHOOSE(CONTROL!$C$28, 0.0211, 0)</f>
        <v>25.626100000000001</v>
      </c>
      <c r="C330" s="4">
        <f>25.2418 * CHOOSE(CONTROL!$C$9, $C$13, 100%, $E$13) + CHOOSE(CONTROL!$C$28, 0.0211, 0)</f>
        <v>25.262900000000002</v>
      </c>
      <c r="D330" s="4">
        <f>35.819 * CHOOSE(CONTROL!$C$9, $C$13, 100%, $E$13) + CHOOSE(CONTROL!$C$28, 0.0021, 0)</f>
        <v>35.821100000000001</v>
      </c>
      <c r="E330" s="4">
        <f>162.497970929616 * CHOOSE(CONTROL!$C$9, $C$13, 100%, $E$13) + CHOOSE(CONTROL!$C$28, 0.0021, 0)</f>
        <v>162.50007092961602</v>
      </c>
    </row>
    <row r="331" spans="1:5" ht="15">
      <c r="A331" s="13">
        <v>51591</v>
      </c>
      <c r="B331" s="4">
        <f>27.1175 * CHOOSE(CONTROL!$C$9, $C$13, 100%, $E$13) + CHOOSE(CONTROL!$C$28, 0.0211, 0)</f>
        <v>27.1386</v>
      </c>
      <c r="C331" s="4">
        <f>26.7542 * CHOOSE(CONTROL!$C$9, $C$13, 100%, $E$13) + CHOOSE(CONTROL!$C$28, 0.0211, 0)</f>
        <v>26.775300000000001</v>
      </c>
      <c r="D331" s="4">
        <f>37.6317 * CHOOSE(CONTROL!$C$9, $C$13, 100%, $E$13) + CHOOSE(CONTROL!$C$28, 0.0021, 0)</f>
        <v>37.633800000000001</v>
      </c>
      <c r="E331" s="4">
        <f>172.3951838055 * CHOOSE(CONTROL!$C$9, $C$13, 100%, $E$13) + CHOOSE(CONTROL!$C$28, 0.0021, 0)</f>
        <v>172.39728380550002</v>
      </c>
    </row>
    <row r="332" spans="1:5" ht="15">
      <c r="A332" s="13">
        <v>51621</v>
      </c>
      <c r="B332" s="4">
        <f>28.192 * CHOOSE(CONTROL!$C$9, $C$13, 100%, $E$13) + CHOOSE(CONTROL!$C$28, 0.0211, 0)</f>
        <v>28.213100000000001</v>
      </c>
      <c r="C332" s="4">
        <f>27.8288 * CHOOSE(CONTROL!$C$9, $C$13, 100%, $E$13) + CHOOSE(CONTROL!$C$28, 0.0211, 0)</f>
        <v>27.849900000000002</v>
      </c>
      <c r="D332" s="4">
        <f>38.6759 * CHOOSE(CONTROL!$C$9, $C$13, 100%, $E$13) + CHOOSE(CONTROL!$C$28, 0.0021, 0)</f>
        <v>38.677999999999997</v>
      </c>
      <c r="E332" s="4">
        <f>179.427285451519 * CHOOSE(CONTROL!$C$9, $C$13, 100%, $E$13) + CHOOSE(CONTROL!$C$28, 0.0021, 0)</f>
        <v>179.42938545151901</v>
      </c>
    </row>
    <row r="333" spans="1:5" ht="15">
      <c r="A333" s="13">
        <v>51652</v>
      </c>
      <c r="B333" s="4">
        <f>28.8486 * CHOOSE(CONTROL!$C$9, $C$13, 100%, $E$13) + CHOOSE(CONTROL!$C$28, 0.0415, 0)</f>
        <v>28.8901</v>
      </c>
      <c r="C333" s="4">
        <f>28.4853 * CHOOSE(CONTROL!$C$9, $C$13, 100%, $E$13) + CHOOSE(CONTROL!$C$28, 0.0415, 0)</f>
        <v>28.526799999999998</v>
      </c>
      <c r="D333" s="4">
        <f>38.2633 * CHOOSE(CONTROL!$C$9, $C$13, 100%, $E$13) + CHOOSE(CONTROL!$C$28, 0.0021, 0)</f>
        <v>38.2654</v>
      </c>
      <c r="E333" s="4">
        <f>183.723731021282 * CHOOSE(CONTROL!$C$9, $C$13, 100%, $E$13) + CHOOSE(CONTROL!$C$28, 0.0021, 0)</f>
        <v>183.725831021282</v>
      </c>
    </row>
    <row r="334" spans="1:5" ht="15">
      <c r="A334" s="13">
        <v>51682</v>
      </c>
      <c r="B334" s="4">
        <f>28.9374 * CHOOSE(CONTROL!$C$9, $C$13, 100%, $E$13) + CHOOSE(CONTROL!$C$28, 0.0415, 0)</f>
        <v>28.978899999999999</v>
      </c>
      <c r="C334" s="4">
        <f>28.5741 * CHOOSE(CONTROL!$C$9, $C$13, 100%, $E$13) + CHOOSE(CONTROL!$C$28, 0.0415, 0)</f>
        <v>28.615600000000001</v>
      </c>
      <c r="D334" s="4">
        <f>38.5994 * CHOOSE(CONTROL!$C$9, $C$13, 100%, $E$13) + CHOOSE(CONTROL!$C$28, 0.0021, 0)</f>
        <v>38.601500000000001</v>
      </c>
      <c r="E334" s="4">
        <f>184.305057937487 * CHOOSE(CONTROL!$C$9, $C$13, 100%, $E$13) + CHOOSE(CONTROL!$C$28, 0.0021, 0)</f>
        <v>184.30715793748701</v>
      </c>
    </row>
    <row r="335" spans="1:5" ht="15">
      <c r="A335" s="13">
        <v>51713</v>
      </c>
      <c r="B335" s="4">
        <f>28.9285 * CHOOSE(CONTROL!$C$9, $C$13, 100%, $E$13) + CHOOSE(CONTROL!$C$28, 0.0415, 0)</f>
        <v>28.97</v>
      </c>
      <c r="C335" s="4">
        <f>28.5652 * CHOOSE(CONTROL!$C$9, $C$13, 100%, $E$13) + CHOOSE(CONTROL!$C$28, 0.0415, 0)</f>
        <v>28.6067</v>
      </c>
      <c r="D335" s="4">
        <f>39.2057 * CHOOSE(CONTROL!$C$9, $C$13, 100%, $E$13) + CHOOSE(CONTROL!$C$28, 0.0021, 0)</f>
        <v>39.207799999999999</v>
      </c>
      <c r="E335" s="4">
        <f>184.246436735853 * CHOOSE(CONTROL!$C$9, $C$13, 100%, $E$13) + CHOOSE(CONTROL!$C$28, 0.0021, 0)</f>
        <v>184.24853673585301</v>
      </c>
    </row>
    <row r="336" spans="1:5" ht="15">
      <c r="A336" s="13">
        <v>51744</v>
      </c>
      <c r="B336" s="4">
        <f>29.6026 * CHOOSE(CONTROL!$C$9, $C$13, 100%, $E$13) + CHOOSE(CONTROL!$C$28, 0.0415, 0)</f>
        <v>29.644099999999998</v>
      </c>
      <c r="C336" s="4">
        <f>29.2393 * CHOOSE(CONTROL!$C$9, $C$13, 100%, $E$13) + CHOOSE(CONTROL!$C$28, 0.0415, 0)</f>
        <v>29.280799999999999</v>
      </c>
      <c r="D336" s="4">
        <f>38.8053 * CHOOSE(CONTROL!$C$9, $C$13, 100%, $E$13) + CHOOSE(CONTROL!$C$28, 0.0021, 0)</f>
        <v>38.807400000000001</v>
      </c>
      <c r="E336" s="4">
        <f>188.657682158816 * CHOOSE(CONTROL!$C$9, $C$13, 100%, $E$13) + CHOOSE(CONTROL!$C$28, 0.0021, 0)</f>
        <v>188.659782158816</v>
      </c>
    </row>
    <row r="337" spans="1:5" ht="15">
      <c r="A337" s="13">
        <v>51774</v>
      </c>
      <c r="B337" s="4">
        <f>28.4537 * CHOOSE(CONTROL!$C$9, $C$13, 100%, $E$13) + CHOOSE(CONTROL!$C$28, 0.0415, 0)</f>
        <v>28.495200000000001</v>
      </c>
      <c r="C337" s="4">
        <f>28.0904 * CHOOSE(CONTROL!$C$9, $C$13, 100%, $E$13) + CHOOSE(CONTROL!$C$28, 0.0415, 0)</f>
        <v>28.131899999999998</v>
      </c>
      <c r="D337" s="4">
        <f>38.6161 * CHOOSE(CONTROL!$C$9, $C$13, 100%, $E$13) + CHOOSE(CONTROL!$C$28, 0.0021, 0)</f>
        <v>38.618200000000002</v>
      </c>
      <c r="E337" s="4">
        <f>181.139513049247 * CHOOSE(CONTROL!$C$9, $C$13, 100%, $E$13) + CHOOSE(CONTROL!$C$28, 0.0021, 0)</f>
        <v>181.14161304924701</v>
      </c>
    </row>
    <row r="338" spans="1:5" ht="15">
      <c r="A338" s="13">
        <v>51805</v>
      </c>
      <c r="B338" s="4">
        <f>27.534 * CHOOSE(CONTROL!$C$9, $C$13, 100%, $E$13) + CHOOSE(CONTROL!$C$28, 0.0211, 0)</f>
        <v>27.555099999999999</v>
      </c>
      <c r="C338" s="4">
        <f>27.1707 * CHOOSE(CONTROL!$C$9, $C$13, 100%, $E$13) + CHOOSE(CONTROL!$C$28, 0.0211, 0)</f>
        <v>27.191800000000001</v>
      </c>
      <c r="D338" s="4">
        <f>38.1095 * CHOOSE(CONTROL!$C$9, $C$13, 100%, $E$13) + CHOOSE(CONTROL!$C$28, 0.0021, 0)</f>
        <v>38.111599999999996</v>
      </c>
      <c r="E338" s="4">
        <f>175.121069681484 * CHOOSE(CONTROL!$C$9, $C$13, 100%, $E$13) + CHOOSE(CONTROL!$C$28, 0.0021, 0)</f>
        <v>175.123169681484</v>
      </c>
    </row>
    <row r="339" spans="1:5" ht="15">
      <c r="A339" s="13">
        <v>51835</v>
      </c>
      <c r="B339" s="4">
        <f>26.9417 * CHOOSE(CONTROL!$C$9, $C$13, 100%, $E$13) + CHOOSE(CONTROL!$C$28, 0.0211, 0)</f>
        <v>26.962800000000001</v>
      </c>
      <c r="C339" s="4">
        <f>26.5784 * CHOOSE(CONTROL!$C$9, $C$13, 100%, $E$13) + CHOOSE(CONTROL!$C$28, 0.0211, 0)</f>
        <v>26.599499999999999</v>
      </c>
      <c r="D339" s="4">
        <f>37.9353 * CHOOSE(CONTROL!$C$9, $C$13, 100%, $E$13) + CHOOSE(CONTROL!$C$28, 0.0021, 0)</f>
        <v>37.937399999999997</v>
      </c>
      <c r="E339" s="4">
        <f>171.244742723432 * CHOOSE(CONTROL!$C$9, $C$13, 100%, $E$13) + CHOOSE(CONTROL!$C$28, 0.0021, 0)</f>
        <v>171.24684272343202</v>
      </c>
    </row>
    <row r="340" spans="1:5" ht="15">
      <c r="A340" s="13">
        <v>51866</v>
      </c>
      <c r="B340" s="4">
        <f>26.5318 * CHOOSE(CONTROL!$C$9, $C$13, 100%, $E$13) + CHOOSE(CONTROL!$C$28, 0.0211, 0)</f>
        <v>26.552900000000001</v>
      </c>
      <c r="C340" s="4">
        <f>26.1685 * CHOOSE(CONTROL!$C$9, $C$13, 100%, $E$13) + CHOOSE(CONTROL!$C$28, 0.0211, 0)</f>
        <v>26.189600000000002</v>
      </c>
      <c r="D340" s="4">
        <f>36.6532 * CHOOSE(CONTROL!$C$9, $C$13, 100%, $E$13) + CHOOSE(CONTROL!$C$28, 0.0021, 0)</f>
        <v>36.655299999999997</v>
      </c>
      <c r="E340" s="4">
        <f>168.562822748673 * CHOOSE(CONTROL!$C$9, $C$13, 100%, $E$13) + CHOOSE(CONTROL!$C$28, 0.0021, 0)</f>
        <v>168.56492274867301</v>
      </c>
    </row>
    <row r="341" spans="1:5" ht="15">
      <c r="A341" s="13">
        <v>51897</v>
      </c>
      <c r="B341" s="4">
        <f>25.4105 * CHOOSE(CONTROL!$C$9, $C$13, 100%, $E$13) + CHOOSE(CONTROL!$C$28, 0.0211, 0)</f>
        <v>25.4316</v>
      </c>
      <c r="C341" s="4">
        <f>25.0473 * CHOOSE(CONTROL!$C$9, $C$13, 100%, $E$13) + CHOOSE(CONTROL!$C$28, 0.0211, 0)</f>
        <v>25.0684</v>
      </c>
      <c r="D341" s="4">
        <f>35.2408 * CHOOSE(CONTROL!$C$9, $C$13, 100%, $E$13) + CHOOSE(CONTROL!$C$28, 0.0021, 0)</f>
        <v>35.242899999999999</v>
      </c>
      <c r="E341" s="4">
        <f>161.541496241311 * CHOOSE(CONTROL!$C$9, $C$13, 100%, $E$13) + CHOOSE(CONTROL!$C$28, 0.0021, 0)</f>
        <v>161.54359624131101</v>
      </c>
    </row>
    <row r="342" spans="1:5" ht="15">
      <c r="A342" s="13">
        <v>51925</v>
      </c>
      <c r="B342" s="4">
        <f>25.9955 * CHOOSE(CONTROL!$C$9, $C$13, 100%, $E$13) + CHOOSE(CONTROL!$C$28, 0.0211, 0)</f>
        <v>26.0166</v>
      </c>
      <c r="C342" s="4">
        <f>25.6322 * CHOOSE(CONTROL!$C$9, $C$13, 100%, $E$13) + CHOOSE(CONTROL!$C$28, 0.0211, 0)</f>
        <v>25.653300000000002</v>
      </c>
      <c r="D342" s="4">
        <f>36.4192 * CHOOSE(CONTROL!$C$9, $C$13, 100%, $E$13) + CHOOSE(CONTROL!$C$28, 0.0021, 0)</f>
        <v>36.421299999999995</v>
      </c>
      <c r="E342" s="4">
        <f>165.377127982487 * CHOOSE(CONTROL!$C$9, $C$13, 100%, $E$13) + CHOOSE(CONTROL!$C$28, 0.0021, 0)</f>
        <v>165.37922798248701</v>
      </c>
    </row>
    <row r="343" spans="1:5" ht="15">
      <c r="A343" s="13">
        <v>51956</v>
      </c>
      <c r="B343" s="4">
        <f>27.5317 * CHOOSE(CONTROL!$C$9, $C$13, 100%, $E$13) + CHOOSE(CONTROL!$C$28, 0.0211, 0)</f>
        <v>27.552800000000001</v>
      </c>
      <c r="C343" s="4">
        <f>27.1684 * CHOOSE(CONTROL!$C$9, $C$13, 100%, $E$13) + CHOOSE(CONTROL!$C$28, 0.0211, 0)</f>
        <v>27.189499999999999</v>
      </c>
      <c r="D343" s="4">
        <f>38.2639 * CHOOSE(CONTROL!$C$9, $C$13, 100%, $E$13) + CHOOSE(CONTROL!$C$28, 0.0021, 0)</f>
        <v>38.265999999999998</v>
      </c>
      <c r="E343" s="4">
        <f>175.449700772667 * CHOOSE(CONTROL!$C$9, $C$13, 100%, $E$13) + CHOOSE(CONTROL!$C$28, 0.0021, 0)</f>
        <v>175.45180077266701</v>
      </c>
    </row>
    <row r="344" spans="1:5" ht="15">
      <c r="A344" s="13">
        <v>51986</v>
      </c>
      <c r="B344" s="4">
        <f>28.6232 * CHOOSE(CONTROL!$C$9, $C$13, 100%, $E$13) + CHOOSE(CONTROL!$C$28, 0.0211, 0)</f>
        <v>28.644300000000001</v>
      </c>
      <c r="C344" s="4">
        <f>28.2599 * CHOOSE(CONTROL!$C$9, $C$13, 100%, $E$13) + CHOOSE(CONTROL!$C$28, 0.0211, 0)</f>
        <v>28.280999999999999</v>
      </c>
      <c r="D344" s="4">
        <f>39.3265 * CHOOSE(CONTROL!$C$9, $C$13, 100%, $E$13) + CHOOSE(CONTROL!$C$28, 0.0021, 0)</f>
        <v>39.328600000000002</v>
      </c>
      <c r="E344" s="4">
        <f>182.606397974771 * CHOOSE(CONTROL!$C$9, $C$13, 100%, $E$13) + CHOOSE(CONTROL!$C$28, 0.0021, 0)</f>
        <v>182.60849797477101</v>
      </c>
    </row>
    <row r="345" spans="1:5" ht="15">
      <c r="A345" s="13">
        <v>52017</v>
      </c>
      <c r="B345" s="4">
        <f>29.2901 * CHOOSE(CONTROL!$C$9, $C$13, 100%, $E$13) + CHOOSE(CONTROL!$C$28, 0.0415, 0)</f>
        <v>29.331599999999998</v>
      </c>
      <c r="C345" s="4">
        <f>28.9268 * CHOOSE(CONTROL!$C$9, $C$13, 100%, $E$13) + CHOOSE(CONTROL!$C$28, 0.0415, 0)</f>
        <v>28.968299999999999</v>
      </c>
      <c r="D345" s="4">
        <f>38.9066 * CHOOSE(CONTROL!$C$9, $C$13, 100%, $E$13) + CHOOSE(CONTROL!$C$28, 0.0021, 0)</f>
        <v>38.908699999999996</v>
      </c>
      <c r="E345" s="4">
        <f>186.978968443163 * CHOOSE(CONTROL!$C$9, $C$13, 100%, $E$13) + CHOOSE(CONTROL!$C$28, 0.0021, 0)</f>
        <v>186.98106844316302</v>
      </c>
    </row>
    <row r="346" spans="1:5" ht="15">
      <c r="A346" s="13">
        <v>52047</v>
      </c>
      <c r="B346" s="4">
        <f>29.3803 * CHOOSE(CONTROL!$C$9, $C$13, 100%, $E$13) + CHOOSE(CONTROL!$C$28, 0.0415, 0)</f>
        <v>29.421799999999998</v>
      </c>
      <c r="C346" s="4">
        <f>29.017 * CHOOSE(CONTROL!$C$9, $C$13, 100%, $E$13) + CHOOSE(CONTROL!$C$28, 0.0415, 0)</f>
        <v>29.058499999999999</v>
      </c>
      <c r="D346" s="4">
        <f>39.2486 * CHOOSE(CONTROL!$C$9, $C$13, 100%, $E$13) + CHOOSE(CONTROL!$C$28, 0.0021, 0)</f>
        <v>39.250700000000002</v>
      </c>
      <c r="E346" s="4">
        <f>187.570595374077 * CHOOSE(CONTROL!$C$9, $C$13, 100%, $E$13) + CHOOSE(CONTROL!$C$28, 0.0021, 0)</f>
        <v>187.572695374077</v>
      </c>
    </row>
    <row r="347" spans="1:5" ht="15">
      <c r="A347" s="13">
        <v>52078</v>
      </c>
      <c r="B347" s="4">
        <f>29.3712 * CHOOSE(CONTROL!$C$9, $C$13, 100%, $E$13) + CHOOSE(CONTROL!$C$28, 0.0415, 0)</f>
        <v>29.412700000000001</v>
      </c>
      <c r="C347" s="4">
        <f>29.0079 * CHOOSE(CONTROL!$C$9, $C$13, 100%, $E$13) + CHOOSE(CONTROL!$C$28, 0.0415, 0)</f>
        <v>29.049399999999999</v>
      </c>
      <c r="D347" s="4">
        <f>39.8657 * CHOOSE(CONTROL!$C$9, $C$13, 100%, $E$13) + CHOOSE(CONTROL!$C$28, 0.0021, 0)</f>
        <v>39.867799999999995</v>
      </c>
      <c r="E347" s="4">
        <f>187.510935515497 * CHOOSE(CONTROL!$C$9, $C$13, 100%, $E$13) + CHOOSE(CONTROL!$C$28, 0.0021, 0)</f>
        <v>187.51303551549702</v>
      </c>
    </row>
    <row r="348" spans="1:5" ht="15">
      <c r="A348" s="13">
        <v>52109</v>
      </c>
      <c r="B348" s="4">
        <f>30.0559 * CHOOSE(CONTROL!$C$9, $C$13, 100%, $E$13) + CHOOSE(CONTROL!$C$28, 0.0415, 0)</f>
        <v>30.0974</v>
      </c>
      <c r="C348" s="4">
        <f>29.6926 * CHOOSE(CONTROL!$C$9, $C$13, 100%, $E$13) + CHOOSE(CONTROL!$C$28, 0.0415, 0)</f>
        <v>29.734099999999998</v>
      </c>
      <c r="D348" s="4">
        <f>39.4582 * CHOOSE(CONTROL!$C$9, $C$13, 100%, $E$13) + CHOOSE(CONTROL!$C$28, 0.0021, 0)</f>
        <v>39.460299999999997</v>
      </c>
      <c r="E348" s="4">
        <f>192.000339873608 * CHOOSE(CONTROL!$C$9, $C$13, 100%, $E$13) + CHOOSE(CONTROL!$C$28, 0.0021, 0)</f>
        <v>192.00243987360801</v>
      </c>
    </row>
    <row r="349" spans="1:5" ht="15">
      <c r="A349" s="13">
        <v>52139</v>
      </c>
      <c r="B349" s="4">
        <f>28.889 * CHOOSE(CONTROL!$C$9, $C$13, 100%, $E$13) + CHOOSE(CONTROL!$C$28, 0.0415, 0)</f>
        <v>28.930499999999999</v>
      </c>
      <c r="C349" s="4">
        <f>28.5257 * CHOOSE(CONTROL!$C$9, $C$13, 100%, $E$13) + CHOOSE(CONTROL!$C$28, 0.0415, 0)</f>
        <v>28.5672</v>
      </c>
      <c r="D349" s="4">
        <f>39.2656 * CHOOSE(CONTROL!$C$9, $C$13, 100%, $E$13) + CHOOSE(CONTROL!$C$28, 0.0021, 0)</f>
        <v>39.267699999999998</v>
      </c>
      <c r="E349" s="4">
        <f>184.348963010781 * CHOOSE(CONTROL!$C$9, $C$13, 100%, $E$13) + CHOOSE(CONTROL!$C$28, 0.0021, 0)</f>
        <v>184.35106301078102</v>
      </c>
    </row>
    <row r="350" spans="1:5" ht="15">
      <c r="A350" s="13">
        <v>52170</v>
      </c>
      <c r="B350" s="4">
        <f>27.9548 * CHOOSE(CONTROL!$C$9, $C$13, 100%, $E$13) + CHOOSE(CONTROL!$C$28, 0.0211, 0)</f>
        <v>27.975899999999999</v>
      </c>
      <c r="C350" s="4">
        <f>27.5915 * CHOOSE(CONTROL!$C$9, $C$13, 100%, $E$13) + CHOOSE(CONTROL!$C$28, 0.0211, 0)</f>
        <v>27.6126</v>
      </c>
      <c r="D350" s="4">
        <f>38.7501 * CHOOSE(CONTROL!$C$9, $C$13, 100%, $E$13) + CHOOSE(CONTROL!$C$28, 0.0021, 0)</f>
        <v>38.752200000000002</v>
      </c>
      <c r="E350" s="4">
        <f>178.223884196615 * CHOOSE(CONTROL!$C$9, $C$13, 100%, $E$13) + CHOOSE(CONTROL!$C$28, 0.0021, 0)</f>
        <v>178.225984196615</v>
      </c>
    </row>
    <row r="351" spans="1:5" ht="15">
      <c r="A351" s="13">
        <v>52200</v>
      </c>
      <c r="B351" s="4">
        <f>27.3531 * CHOOSE(CONTROL!$C$9, $C$13, 100%, $E$13) + CHOOSE(CONTROL!$C$28, 0.0211, 0)</f>
        <v>27.374200000000002</v>
      </c>
      <c r="C351" s="4">
        <f>26.9899 * CHOOSE(CONTROL!$C$9, $C$13, 100%, $E$13) + CHOOSE(CONTROL!$C$28, 0.0211, 0)</f>
        <v>27.010999999999999</v>
      </c>
      <c r="D351" s="4">
        <f>38.5729 * CHOOSE(CONTROL!$C$9, $C$13, 100%, $E$13) + CHOOSE(CONTROL!$C$28, 0.0021, 0)</f>
        <v>38.574999999999996</v>
      </c>
      <c r="E351" s="4">
        <f>174.278876048043 * CHOOSE(CONTROL!$C$9, $C$13, 100%, $E$13) + CHOOSE(CONTROL!$C$28, 0.0021, 0)</f>
        <v>174.28097604804302</v>
      </c>
    </row>
    <row r="352" spans="1:5" ht="15">
      <c r="A352" s="13">
        <v>52231</v>
      </c>
      <c r="B352" s="4">
        <f>26.9369 * CHOOSE(CONTROL!$C$9, $C$13, 100%, $E$13) + CHOOSE(CONTROL!$C$28, 0.0211, 0)</f>
        <v>26.958000000000002</v>
      </c>
      <c r="C352" s="4">
        <f>26.5736 * CHOOSE(CONTROL!$C$9, $C$13, 100%, $E$13) + CHOOSE(CONTROL!$C$28, 0.0211, 0)</f>
        <v>26.5947</v>
      </c>
      <c r="D352" s="4">
        <f>37.268 * CHOOSE(CONTROL!$C$9, $C$13, 100%, $E$13) + CHOOSE(CONTROL!$C$28, 0.0021, 0)</f>
        <v>37.270099999999999</v>
      </c>
      <c r="E352" s="4">
        <f>171.549437518029 * CHOOSE(CONTROL!$C$9, $C$13, 100%, $E$13) + CHOOSE(CONTROL!$C$28, 0.0021, 0)</f>
        <v>171.55153751802902</v>
      </c>
    </row>
    <row r="353" spans="1:5" ht="15">
      <c r="A353" s="13">
        <v>52262</v>
      </c>
      <c r="B353" s="4">
        <f>25.798 * CHOOSE(CONTROL!$C$9, $C$13, 100%, $E$13) + CHOOSE(CONTROL!$C$28, 0.0211, 0)</f>
        <v>25.819099999999999</v>
      </c>
      <c r="C353" s="4">
        <f>25.4347 * CHOOSE(CONTROL!$C$9, $C$13, 100%, $E$13) + CHOOSE(CONTROL!$C$28, 0.0211, 0)</f>
        <v>25.4558</v>
      </c>
      <c r="D353" s="4">
        <f>35.8307 * CHOOSE(CONTROL!$C$9, $C$13, 100%, $E$13) + CHOOSE(CONTROL!$C$28, 0.0021, 0)</f>
        <v>35.832799999999999</v>
      </c>
      <c r="E353" s="4">
        <f>164.403706369683 * CHOOSE(CONTROL!$C$9, $C$13, 100%, $E$13) + CHOOSE(CONTROL!$C$28, 0.0021, 0)</f>
        <v>164.40580636968301</v>
      </c>
    </row>
    <row r="354" spans="1:5" ht="15">
      <c r="A354" s="13">
        <v>52290</v>
      </c>
      <c r="B354" s="4">
        <f>26.3921 * CHOOSE(CONTROL!$C$9, $C$13, 100%, $E$13) + CHOOSE(CONTROL!$C$28, 0.0211, 0)</f>
        <v>26.4132</v>
      </c>
      <c r="C354" s="4">
        <f>26.0289 * CHOOSE(CONTROL!$C$9, $C$13, 100%, $E$13) + CHOOSE(CONTROL!$C$28, 0.0211, 0)</f>
        <v>26.05</v>
      </c>
      <c r="D354" s="4">
        <f>37.0299 * CHOOSE(CONTROL!$C$9, $C$13, 100%, $E$13) + CHOOSE(CONTROL!$C$28, 0.0021, 0)</f>
        <v>37.031999999999996</v>
      </c>
      <c r="E354" s="4">
        <f>168.307298259017 * CHOOSE(CONTROL!$C$9, $C$13, 100%, $E$13) + CHOOSE(CONTROL!$C$28, 0.0021, 0)</f>
        <v>168.309398259017</v>
      </c>
    </row>
    <row r="355" spans="1:5" ht="15">
      <c r="A355" s="13">
        <v>52321</v>
      </c>
      <c r="B355" s="4">
        <f>27.9525 * CHOOSE(CONTROL!$C$9, $C$13, 100%, $E$13) + CHOOSE(CONTROL!$C$28, 0.0211, 0)</f>
        <v>27.973600000000001</v>
      </c>
      <c r="C355" s="4">
        <f>27.5892 * CHOOSE(CONTROL!$C$9, $C$13, 100%, $E$13) + CHOOSE(CONTROL!$C$28, 0.0211, 0)</f>
        <v>27.610300000000002</v>
      </c>
      <c r="D355" s="4">
        <f>38.9073 * CHOOSE(CONTROL!$C$9, $C$13, 100%, $E$13) + CHOOSE(CONTROL!$C$28, 0.0021, 0)</f>
        <v>38.909399999999998</v>
      </c>
      <c r="E355" s="4">
        <f>178.558338009882 * CHOOSE(CONTROL!$C$9, $C$13, 100%, $E$13) + CHOOSE(CONTROL!$C$28, 0.0021, 0)</f>
        <v>178.56043800988201</v>
      </c>
    </row>
    <row r="356" spans="1:5" ht="15">
      <c r="A356" s="13">
        <v>52351</v>
      </c>
      <c r="B356" s="4">
        <f>29.0611 * CHOOSE(CONTROL!$C$9, $C$13, 100%, $E$13) + CHOOSE(CONTROL!$C$28, 0.0211, 0)</f>
        <v>29.0822</v>
      </c>
      <c r="C356" s="4">
        <f>28.6978 * CHOOSE(CONTROL!$C$9, $C$13, 100%, $E$13) + CHOOSE(CONTROL!$C$28, 0.0211, 0)</f>
        <v>28.718900000000001</v>
      </c>
      <c r="D356" s="4">
        <f>39.9887 * CHOOSE(CONTROL!$C$9, $C$13, 100%, $E$13) + CHOOSE(CONTROL!$C$28, 0.0021, 0)</f>
        <v>39.9908</v>
      </c>
      <c r="E356" s="4">
        <f>185.841838365939 * CHOOSE(CONTROL!$C$9, $C$13, 100%, $E$13) + CHOOSE(CONTROL!$C$28, 0.0021, 0)</f>
        <v>185.84393836593901</v>
      </c>
    </row>
    <row r="357" spans="1:5" ht="15">
      <c r="A357" s="13">
        <v>52382</v>
      </c>
      <c r="B357" s="4">
        <f>29.7385 * CHOOSE(CONTROL!$C$9, $C$13, 100%, $E$13) + CHOOSE(CONTROL!$C$28, 0.0415, 0)</f>
        <v>29.779999999999998</v>
      </c>
      <c r="C357" s="4">
        <f>29.3752 * CHOOSE(CONTROL!$C$9, $C$13, 100%, $E$13) + CHOOSE(CONTROL!$C$28, 0.0415, 0)</f>
        <v>29.416699999999999</v>
      </c>
      <c r="D357" s="4">
        <f>39.5613 * CHOOSE(CONTROL!$C$9, $C$13, 100%, $E$13) + CHOOSE(CONTROL!$C$28, 0.0021, 0)</f>
        <v>39.563400000000001</v>
      </c>
      <c r="E357" s="4">
        <f>190.291882522348 * CHOOSE(CONTROL!$C$9, $C$13, 100%, $E$13) + CHOOSE(CONTROL!$C$28, 0.0021, 0)</f>
        <v>190.29398252234802</v>
      </c>
    </row>
    <row r="358" spans="1:5" ht="15">
      <c r="A358" s="13">
        <v>52412</v>
      </c>
      <c r="B358" s="4">
        <f>29.8301 * CHOOSE(CONTROL!$C$9, $C$13, 100%, $E$13) + CHOOSE(CONTROL!$C$28, 0.0415, 0)</f>
        <v>29.871600000000001</v>
      </c>
      <c r="C358" s="4">
        <f>29.4669 * CHOOSE(CONTROL!$C$9, $C$13, 100%, $E$13) + CHOOSE(CONTROL!$C$28, 0.0415, 0)</f>
        <v>29.508399999999998</v>
      </c>
      <c r="D358" s="4">
        <f>39.9094 * CHOOSE(CONTROL!$C$9, $C$13, 100%, $E$13) + CHOOSE(CONTROL!$C$28, 0.0021, 0)</f>
        <v>39.911499999999997</v>
      </c>
      <c r="E358" s="4">
        <f>190.893991964773 * CHOOSE(CONTROL!$C$9, $C$13, 100%, $E$13) + CHOOSE(CONTROL!$C$28, 0.0021, 0)</f>
        <v>190.89609196477301</v>
      </c>
    </row>
    <row r="359" spans="1:5" ht="15">
      <c r="A359" s="13">
        <v>52443</v>
      </c>
      <c r="B359" s="4">
        <f>29.8209 * CHOOSE(CONTROL!$C$9, $C$13, 100%, $E$13) + CHOOSE(CONTROL!$C$28, 0.0415, 0)</f>
        <v>29.862400000000001</v>
      </c>
      <c r="C359" s="4">
        <f>29.4576 * CHOOSE(CONTROL!$C$9, $C$13, 100%, $E$13) + CHOOSE(CONTROL!$C$28, 0.0415, 0)</f>
        <v>29.499099999999999</v>
      </c>
      <c r="D359" s="4">
        <f>40.5373 * CHOOSE(CONTROL!$C$9, $C$13, 100%, $E$13) + CHOOSE(CONTROL!$C$28, 0.0021, 0)</f>
        <v>40.539400000000001</v>
      </c>
      <c r="E359" s="4">
        <f>190.833275046209 * CHOOSE(CONTROL!$C$9, $C$13, 100%, $E$13) + CHOOSE(CONTROL!$C$28, 0.0021, 0)</f>
        <v>190.83537504620901</v>
      </c>
    </row>
    <row r="360" spans="1:5" ht="15">
      <c r="A360" s="13">
        <v>52474</v>
      </c>
      <c r="B360" s="4">
        <f>30.5164 * CHOOSE(CONTROL!$C$9, $C$13, 100%, $E$13) + CHOOSE(CONTROL!$C$28, 0.0415, 0)</f>
        <v>30.5579</v>
      </c>
      <c r="C360" s="4">
        <f>30.1531 * CHOOSE(CONTROL!$C$9, $C$13, 100%, $E$13) + CHOOSE(CONTROL!$C$28, 0.0415, 0)</f>
        <v>30.194599999999998</v>
      </c>
      <c r="D360" s="4">
        <f>40.1226 * CHOOSE(CONTROL!$C$9, $C$13, 100%, $E$13) + CHOOSE(CONTROL!$C$28, 0.0021, 0)</f>
        <v>40.124699999999997</v>
      </c>
      <c r="E360" s="4">
        <f>195.402223168139 * CHOOSE(CONTROL!$C$9, $C$13, 100%, $E$13) + CHOOSE(CONTROL!$C$28, 0.0021, 0)</f>
        <v>195.404323168139</v>
      </c>
    </row>
    <row r="361" spans="1:5" ht="15">
      <c r="A361" s="13">
        <v>52504</v>
      </c>
      <c r="B361" s="4">
        <f>29.3311 * CHOOSE(CONTROL!$C$9, $C$13, 100%, $E$13) + CHOOSE(CONTROL!$C$28, 0.0415, 0)</f>
        <v>29.372599999999998</v>
      </c>
      <c r="C361" s="4">
        <f>28.9678 * CHOOSE(CONTROL!$C$9, $C$13, 100%, $E$13) + CHOOSE(CONTROL!$C$28, 0.0415, 0)</f>
        <v>29.0093</v>
      </c>
      <c r="D361" s="4">
        <f>39.9267 * CHOOSE(CONTROL!$C$9, $C$13, 100%, $E$13) + CHOOSE(CONTROL!$C$28, 0.0021, 0)</f>
        <v>39.928799999999995</v>
      </c>
      <c r="E361" s="4">
        <f>187.615278362325 * CHOOSE(CONTROL!$C$9, $C$13, 100%, $E$13) + CHOOSE(CONTROL!$C$28, 0.0021, 0)</f>
        <v>187.61737836232501</v>
      </c>
    </row>
    <row r="362" spans="1:5" ht="15">
      <c r="A362" s="13">
        <v>52535</v>
      </c>
      <c r="B362" s="4">
        <f>28.3822 * CHOOSE(CONTROL!$C$9, $C$13, 100%, $E$13) + CHOOSE(CONTROL!$C$28, 0.0211, 0)</f>
        <v>28.403300000000002</v>
      </c>
      <c r="C362" s="4">
        <f>28.019 * CHOOSE(CONTROL!$C$9, $C$13, 100%, $E$13) + CHOOSE(CONTROL!$C$28, 0.0211, 0)</f>
        <v>28.040099999999999</v>
      </c>
      <c r="D362" s="4">
        <f>39.402 * CHOOSE(CONTROL!$C$9, $C$13, 100%, $E$13) + CHOOSE(CONTROL!$C$28, 0.0021, 0)</f>
        <v>39.4041</v>
      </c>
      <c r="E362" s="4">
        <f>181.381674723102 * CHOOSE(CONTROL!$C$9, $C$13, 100%, $E$13) + CHOOSE(CONTROL!$C$28, 0.0021, 0)</f>
        <v>181.38377472310202</v>
      </c>
    </row>
    <row r="363" spans="1:5" ht="15">
      <c r="A363" s="13">
        <v>52565</v>
      </c>
      <c r="B363" s="4">
        <f>27.7711 * CHOOSE(CONTROL!$C$9, $C$13, 100%, $E$13) + CHOOSE(CONTROL!$C$28, 0.0211, 0)</f>
        <v>27.792200000000001</v>
      </c>
      <c r="C363" s="4">
        <f>27.4078 * CHOOSE(CONTROL!$C$9, $C$13, 100%, $E$13) + CHOOSE(CONTROL!$C$28, 0.0211, 0)</f>
        <v>27.428900000000002</v>
      </c>
      <c r="D363" s="4">
        <f>39.2217 * CHOOSE(CONTROL!$C$9, $C$13, 100%, $E$13) + CHOOSE(CONTROL!$C$28, 0.0021, 0)</f>
        <v>39.223799999999997</v>
      </c>
      <c r="E363" s="4">
        <f>177.366768483066 * CHOOSE(CONTROL!$C$9, $C$13, 100%, $E$13) + CHOOSE(CONTROL!$C$28, 0.0021, 0)</f>
        <v>177.36886848306602</v>
      </c>
    </row>
    <row r="364" spans="1:5" ht="15">
      <c r="A364" s="13">
        <v>52596</v>
      </c>
      <c r="B364" s="4">
        <f>27.3483 * CHOOSE(CONTROL!$C$9, $C$13, 100%, $E$13) + CHOOSE(CONTROL!$C$28, 0.0211, 0)</f>
        <v>27.369399999999999</v>
      </c>
      <c r="C364" s="4">
        <f>26.985 * CHOOSE(CONTROL!$C$9, $C$13, 100%, $E$13) + CHOOSE(CONTROL!$C$28, 0.0211, 0)</f>
        <v>27.0061</v>
      </c>
      <c r="D364" s="4">
        <f>37.8938 * CHOOSE(CONTROL!$C$9, $C$13, 100%, $E$13) + CHOOSE(CONTROL!$C$28, 0.0021, 0)</f>
        <v>37.895899999999997</v>
      </c>
      <c r="E364" s="4">
        <f>174.58896945877 * CHOOSE(CONTROL!$C$9, $C$13, 100%, $E$13) + CHOOSE(CONTROL!$C$28, 0.0021, 0)</f>
        <v>174.59106945877002</v>
      </c>
    </row>
    <row r="365" spans="1:5" ht="15">
      <c r="A365" s="13">
        <v>52627</v>
      </c>
      <c r="B365" s="4">
        <f>26.1915 * CHOOSE(CONTROL!$C$9, $C$13, 100%, $E$13) + CHOOSE(CONTROL!$C$28, 0.0211, 0)</f>
        <v>26.212600000000002</v>
      </c>
      <c r="C365" s="4">
        <f>25.8282 * CHOOSE(CONTROL!$C$9, $C$13, 100%, $E$13) + CHOOSE(CONTROL!$C$28, 0.0211, 0)</f>
        <v>25.849299999999999</v>
      </c>
      <c r="D365" s="4">
        <f>36.431 * CHOOSE(CONTROL!$C$9, $C$13, 100%, $E$13) + CHOOSE(CONTROL!$C$28, 0.0021, 0)</f>
        <v>36.433099999999996</v>
      </c>
      <c r="E365" s="4">
        <f>167.316629454227 * CHOOSE(CONTROL!$C$9, $C$13, 100%, $E$13) + CHOOSE(CONTROL!$C$28, 0.0021, 0)</f>
        <v>167.31872945422703</v>
      </c>
    </row>
    <row r="366" spans="1:5" ht="15">
      <c r="A366" s="13">
        <v>52655</v>
      </c>
      <c r="B366" s="4">
        <f>26.795 * CHOOSE(CONTROL!$C$9, $C$13, 100%, $E$13) + CHOOSE(CONTROL!$C$28, 0.0211, 0)</f>
        <v>26.816100000000002</v>
      </c>
      <c r="C366" s="4">
        <f>26.4317 * CHOOSE(CONTROL!$C$9, $C$13, 100%, $E$13) + CHOOSE(CONTROL!$C$28, 0.0211, 0)</f>
        <v>26.4528</v>
      </c>
      <c r="D366" s="4">
        <f>37.6515 * CHOOSE(CONTROL!$C$9, $C$13, 100%, $E$13) + CHOOSE(CONTROL!$C$28, 0.0021, 0)</f>
        <v>37.653599999999997</v>
      </c>
      <c r="E366" s="4">
        <f>171.289385617155 * CHOOSE(CONTROL!$C$9, $C$13, 100%, $E$13) + CHOOSE(CONTROL!$C$28, 0.0021, 0)</f>
        <v>171.29148561715502</v>
      </c>
    </row>
    <row r="367" spans="1:5" ht="15">
      <c r="A367" s="13">
        <v>52687</v>
      </c>
      <c r="B367" s="4">
        <f>28.3799 * CHOOSE(CONTROL!$C$9, $C$13, 100%, $E$13) + CHOOSE(CONTROL!$C$28, 0.0211, 0)</f>
        <v>28.401</v>
      </c>
      <c r="C367" s="4">
        <f>28.0166 * CHOOSE(CONTROL!$C$9, $C$13, 100%, $E$13) + CHOOSE(CONTROL!$C$28, 0.0211, 0)</f>
        <v>28.037700000000001</v>
      </c>
      <c r="D367" s="4">
        <f>39.562 * CHOOSE(CONTROL!$C$9, $C$13, 100%, $E$13) + CHOOSE(CONTROL!$C$28, 0.0021, 0)</f>
        <v>39.564099999999996</v>
      </c>
      <c r="E367" s="4">
        <f>181.722054426088 * CHOOSE(CONTROL!$C$9, $C$13, 100%, $E$13) + CHOOSE(CONTROL!$C$28, 0.0021, 0)</f>
        <v>181.72415442608801</v>
      </c>
    </row>
    <row r="368" spans="1:5" ht="15">
      <c r="A368" s="13">
        <v>52717</v>
      </c>
      <c r="B368" s="4">
        <f>29.506 * CHOOSE(CONTROL!$C$9, $C$13, 100%, $E$13) + CHOOSE(CONTROL!$C$28, 0.0211, 0)</f>
        <v>29.527100000000001</v>
      </c>
      <c r="C368" s="4">
        <f>29.1427 * CHOOSE(CONTROL!$C$9, $C$13, 100%, $E$13) + CHOOSE(CONTROL!$C$28, 0.0211, 0)</f>
        <v>29.163800000000002</v>
      </c>
      <c r="D368" s="4">
        <f>40.6625 * CHOOSE(CONTROL!$C$9, $C$13, 100%, $E$13) + CHOOSE(CONTROL!$C$28, 0.0021, 0)</f>
        <v>40.6646</v>
      </c>
      <c r="E368" s="4">
        <f>189.134604648427 * CHOOSE(CONTROL!$C$9, $C$13, 100%, $E$13) + CHOOSE(CONTROL!$C$28, 0.0021, 0)</f>
        <v>189.13670464842701</v>
      </c>
    </row>
    <row r="369" spans="1:5" ht="15">
      <c r="A369" s="13">
        <v>52748</v>
      </c>
      <c r="B369" s="4">
        <f>30.194 * CHOOSE(CONTROL!$C$9, $C$13, 100%, $E$13) + CHOOSE(CONTROL!$C$28, 0.0415, 0)</f>
        <v>30.235499999999998</v>
      </c>
      <c r="C369" s="4">
        <f>29.8307 * CHOOSE(CONTROL!$C$9, $C$13, 100%, $E$13) + CHOOSE(CONTROL!$C$28, 0.0415, 0)</f>
        <v>29.872199999999999</v>
      </c>
      <c r="D369" s="4">
        <f>40.2276 * CHOOSE(CONTROL!$C$9, $C$13, 100%, $E$13) + CHOOSE(CONTROL!$C$28, 0.0021, 0)</f>
        <v>40.229700000000001</v>
      </c>
      <c r="E369" s="4">
        <f>193.663495180242 * CHOOSE(CONTROL!$C$9, $C$13, 100%, $E$13) + CHOOSE(CONTROL!$C$28, 0.0021, 0)</f>
        <v>193.66559518024201</v>
      </c>
    </row>
    <row r="370" spans="1:5" ht="15">
      <c r="A370" s="13">
        <v>52778</v>
      </c>
      <c r="B370" s="4">
        <f>30.2871 * CHOOSE(CONTROL!$C$9, $C$13, 100%, $E$13) + CHOOSE(CONTROL!$C$28, 0.0415, 0)</f>
        <v>30.328599999999998</v>
      </c>
      <c r="C370" s="4">
        <f>29.9238 * CHOOSE(CONTROL!$C$9, $C$13, 100%, $E$13) + CHOOSE(CONTROL!$C$28, 0.0415, 0)</f>
        <v>29.965299999999999</v>
      </c>
      <c r="D370" s="4">
        <f>40.5818 * CHOOSE(CONTROL!$C$9, $C$13, 100%, $E$13) + CHOOSE(CONTROL!$C$28, 0.0021, 0)</f>
        <v>40.5839</v>
      </c>
      <c r="E370" s="4">
        <f>194.276272864478 * CHOOSE(CONTROL!$C$9, $C$13, 100%, $E$13) + CHOOSE(CONTROL!$C$28, 0.0021, 0)</f>
        <v>194.278372864478</v>
      </c>
    </row>
    <row r="371" spans="1:5" ht="15">
      <c r="A371" s="13">
        <v>52809</v>
      </c>
      <c r="B371" s="4">
        <f>30.2777 * CHOOSE(CONTROL!$C$9, $C$13, 100%, $E$13) + CHOOSE(CONTROL!$C$28, 0.0415, 0)</f>
        <v>30.319199999999999</v>
      </c>
      <c r="C371" s="4">
        <f>29.9144 * CHOOSE(CONTROL!$C$9, $C$13, 100%, $E$13) + CHOOSE(CONTROL!$C$28, 0.0415, 0)</f>
        <v>29.9559</v>
      </c>
      <c r="D371" s="4">
        <f>41.2208 * CHOOSE(CONTROL!$C$9, $C$13, 100%, $E$13) + CHOOSE(CONTROL!$C$28, 0.0021, 0)</f>
        <v>41.222899999999996</v>
      </c>
      <c r="E371" s="4">
        <f>194.214480156824 * CHOOSE(CONTROL!$C$9, $C$13, 100%, $E$13) + CHOOSE(CONTROL!$C$28, 0.0021, 0)</f>
        <v>194.21658015682402</v>
      </c>
    </row>
    <row r="372" spans="1:5" ht="15">
      <c r="A372" s="13">
        <v>52840</v>
      </c>
      <c r="B372" s="4">
        <f>30.9841 * CHOOSE(CONTROL!$C$9, $C$13, 100%, $E$13) + CHOOSE(CONTROL!$C$28, 0.0415, 0)</f>
        <v>31.025600000000001</v>
      </c>
      <c r="C372" s="4">
        <f>30.6208 * CHOOSE(CONTROL!$C$9, $C$13, 100%, $E$13) + CHOOSE(CONTROL!$C$28, 0.0415, 0)</f>
        <v>30.662299999999998</v>
      </c>
      <c r="D372" s="4">
        <f>40.7988 * CHOOSE(CONTROL!$C$9, $C$13, 100%, $E$13) + CHOOSE(CONTROL!$C$28, 0.0021, 0)</f>
        <v>40.800899999999999</v>
      </c>
      <c r="E372" s="4">
        <f>198.864381407795 * CHOOSE(CONTROL!$C$9, $C$13, 100%, $E$13) + CHOOSE(CONTROL!$C$28, 0.0021, 0)</f>
        <v>198.86648140779502</v>
      </c>
    </row>
    <row r="373" spans="1:5" ht="15">
      <c r="A373" s="13">
        <v>52870</v>
      </c>
      <c r="B373" s="4">
        <f>29.7801 * CHOOSE(CONTROL!$C$9, $C$13, 100%, $E$13) + CHOOSE(CONTROL!$C$28, 0.0415, 0)</f>
        <v>29.8216</v>
      </c>
      <c r="C373" s="4">
        <f>29.4169 * CHOOSE(CONTROL!$C$9, $C$13, 100%, $E$13) + CHOOSE(CONTROL!$C$28, 0.0415, 0)</f>
        <v>29.458399999999997</v>
      </c>
      <c r="D373" s="4">
        <f>40.5994 * CHOOSE(CONTROL!$C$9, $C$13, 100%, $E$13) + CHOOSE(CONTROL!$C$28, 0.0021, 0)</f>
        <v>40.601500000000001</v>
      </c>
      <c r="E373" s="4">
        <f>190.939466651157 * CHOOSE(CONTROL!$C$9, $C$13, 100%, $E$13) + CHOOSE(CONTROL!$C$28, 0.0021, 0)</f>
        <v>190.94156665115702</v>
      </c>
    </row>
    <row r="374" spans="1:5" ht="15">
      <c r="A374" s="13">
        <v>52901</v>
      </c>
      <c r="B374" s="4">
        <f>28.8164 * CHOOSE(CONTROL!$C$9, $C$13, 100%, $E$13) + CHOOSE(CONTROL!$C$28, 0.0211, 0)</f>
        <v>28.837500000000002</v>
      </c>
      <c r="C374" s="4">
        <f>28.4531 * CHOOSE(CONTROL!$C$9, $C$13, 100%, $E$13) + CHOOSE(CONTROL!$C$28, 0.0211, 0)</f>
        <v>28.4742</v>
      </c>
      <c r="D374" s="4">
        <f>40.0655 * CHOOSE(CONTROL!$C$9, $C$13, 100%, $E$13) + CHOOSE(CONTROL!$C$28, 0.0021, 0)</f>
        <v>40.067599999999999</v>
      </c>
      <c r="E374" s="4">
        <f>184.595415332003 * CHOOSE(CONTROL!$C$9, $C$13, 100%, $E$13) + CHOOSE(CONTROL!$C$28, 0.0021, 0)</f>
        <v>184.59751533200301</v>
      </c>
    </row>
    <row r="375" spans="1:5" ht="15">
      <c r="A375" s="13">
        <v>52931</v>
      </c>
      <c r="B375" s="4">
        <f>28.1956 * CHOOSE(CONTROL!$C$9, $C$13, 100%, $E$13) + CHOOSE(CONTROL!$C$28, 0.0211, 0)</f>
        <v>28.216699999999999</v>
      </c>
      <c r="C375" s="4">
        <f>27.8324 * CHOOSE(CONTROL!$C$9, $C$13, 100%, $E$13) + CHOOSE(CONTROL!$C$28, 0.0211, 0)</f>
        <v>27.8535</v>
      </c>
      <c r="D375" s="4">
        <f>39.8819 * CHOOSE(CONTROL!$C$9, $C$13, 100%, $E$13) + CHOOSE(CONTROL!$C$28, 0.0021, 0)</f>
        <v>39.884</v>
      </c>
      <c r="E375" s="4">
        <f>180.509372538376 * CHOOSE(CONTROL!$C$9, $C$13, 100%, $E$13) + CHOOSE(CONTROL!$C$28, 0.0021, 0)</f>
        <v>180.51147253837601</v>
      </c>
    </row>
    <row r="376" spans="1:5" ht="15">
      <c r="A376" s="13">
        <v>52962</v>
      </c>
      <c r="B376" s="4">
        <f>27.7662 * CHOOSE(CONTROL!$C$9, $C$13, 100%, $E$13) + CHOOSE(CONTROL!$C$28, 0.0211, 0)</f>
        <v>27.787300000000002</v>
      </c>
      <c r="C376" s="4">
        <f>27.4029 * CHOOSE(CONTROL!$C$9, $C$13, 100%, $E$13) + CHOOSE(CONTROL!$C$28, 0.0211, 0)</f>
        <v>27.423999999999999</v>
      </c>
      <c r="D376" s="4">
        <f>38.5306 * CHOOSE(CONTROL!$C$9, $C$13, 100%, $E$13) + CHOOSE(CONTROL!$C$28, 0.0021, 0)</f>
        <v>38.532699999999998</v>
      </c>
      <c r="E376" s="4">
        <f>177.682356163201 * CHOOSE(CONTROL!$C$9, $C$13, 100%, $E$13) + CHOOSE(CONTROL!$C$28, 0.0021, 0)</f>
        <v>177.68445616320102</v>
      </c>
    </row>
    <row r="377" spans="1:5" ht="15">
      <c r="A377" s="13">
        <v>52993</v>
      </c>
      <c r="B377" s="4">
        <f>26.5912 * CHOOSE(CONTROL!$C$9, $C$13, 100%, $E$13) + CHOOSE(CONTROL!$C$28, 0.0211, 0)</f>
        <v>26.612300000000001</v>
      </c>
      <c r="C377" s="4">
        <f>26.2279 * CHOOSE(CONTROL!$C$9, $C$13, 100%, $E$13) + CHOOSE(CONTROL!$C$28, 0.0211, 0)</f>
        <v>26.249000000000002</v>
      </c>
      <c r="D377" s="4">
        <f>37.042 * CHOOSE(CONTROL!$C$9, $C$13, 100%, $E$13) + CHOOSE(CONTROL!$C$28, 0.0021, 0)</f>
        <v>37.0441</v>
      </c>
      <c r="E377" s="4">
        <f>170.28116403272 * CHOOSE(CONTROL!$C$9, $C$13, 100%, $E$13) + CHOOSE(CONTROL!$C$28, 0.0021, 0)</f>
        <v>170.28326403272001</v>
      </c>
    </row>
    <row r="378" spans="1:5" ht="15">
      <c r="A378" s="13">
        <v>53021</v>
      </c>
      <c r="B378" s="4">
        <f>27.2042 * CHOOSE(CONTROL!$C$9, $C$13, 100%, $E$13) + CHOOSE(CONTROL!$C$28, 0.0211, 0)</f>
        <v>27.225300000000001</v>
      </c>
      <c r="C378" s="4">
        <f>26.8409 * CHOOSE(CONTROL!$C$9, $C$13, 100%, $E$13) + CHOOSE(CONTROL!$C$28, 0.0211, 0)</f>
        <v>26.862000000000002</v>
      </c>
      <c r="D378" s="4">
        <f>38.284 * CHOOSE(CONTROL!$C$9, $C$13, 100%, $E$13) + CHOOSE(CONTROL!$C$28, 0.0021, 0)</f>
        <v>38.286099999999998</v>
      </c>
      <c r="E378" s="4">
        <f>174.324309929503 * CHOOSE(CONTROL!$C$9, $C$13, 100%, $E$13) + CHOOSE(CONTROL!$C$28, 0.0021, 0)</f>
        <v>174.326409929503</v>
      </c>
    </row>
    <row r="379" spans="1:5" ht="15">
      <c r="A379" s="13">
        <v>53052</v>
      </c>
      <c r="B379" s="4">
        <f>28.814 * CHOOSE(CONTROL!$C$9, $C$13, 100%, $E$13) + CHOOSE(CONTROL!$C$28, 0.0211, 0)</f>
        <v>28.835100000000001</v>
      </c>
      <c r="C379" s="4">
        <f>28.4507 * CHOOSE(CONTROL!$C$9, $C$13, 100%, $E$13) + CHOOSE(CONTROL!$C$28, 0.0211, 0)</f>
        <v>28.471800000000002</v>
      </c>
      <c r="D379" s="4">
        <f>40.2282 * CHOOSE(CONTROL!$C$9, $C$13, 100%, $E$13) + CHOOSE(CONTROL!$C$28, 0.0021, 0)</f>
        <v>40.2303</v>
      </c>
      <c r="E379" s="4">
        <f>184.941825920279 * CHOOSE(CONTROL!$C$9, $C$13, 100%, $E$13) + CHOOSE(CONTROL!$C$28, 0.0021, 0)</f>
        <v>184.94392592027901</v>
      </c>
    </row>
    <row r="380" spans="1:5" ht="15">
      <c r="A380" s="13">
        <v>53082</v>
      </c>
      <c r="B380" s="4">
        <f>29.9578 * CHOOSE(CONTROL!$C$9, $C$13, 100%, $E$13) + CHOOSE(CONTROL!$C$28, 0.0211, 0)</f>
        <v>29.978899999999999</v>
      </c>
      <c r="C380" s="4">
        <f>29.5945 * CHOOSE(CONTROL!$C$9, $C$13, 100%, $E$13) + CHOOSE(CONTROL!$C$28, 0.0211, 0)</f>
        <v>29.615600000000001</v>
      </c>
      <c r="D380" s="4">
        <f>41.3482 * CHOOSE(CONTROL!$C$9, $C$13, 100%, $E$13) + CHOOSE(CONTROL!$C$28, 0.0021, 0)</f>
        <v>41.350299999999997</v>
      </c>
      <c r="E380" s="4">
        <f>192.485712528731 * CHOOSE(CONTROL!$C$9, $C$13, 100%, $E$13) + CHOOSE(CONTROL!$C$28, 0.0021, 0)</f>
        <v>192.48781252873101</v>
      </c>
    </row>
    <row r="381" spans="1:5" ht="15">
      <c r="A381" s="13">
        <v>53113</v>
      </c>
      <c r="B381" s="4">
        <f>30.6566 * CHOOSE(CONTROL!$C$9, $C$13, 100%, $E$13) + CHOOSE(CONTROL!$C$28, 0.0415, 0)</f>
        <v>30.6981</v>
      </c>
      <c r="C381" s="4">
        <f>30.2933 * CHOOSE(CONTROL!$C$9, $C$13, 100%, $E$13) + CHOOSE(CONTROL!$C$28, 0.0415, 0)</f>
        <v>30.334799999999998</v>
      </c>
      <c r="D381" s="4">
        <f>40.9056 * CHOOSE(CONTROL!$C$9, $C$13, 100%, $E$13) + CHOOSE(CONTROL!$C$28, 0.0021, 0)</f>
        <v>40.907699999999998</v>
      </c>
      <c r="E381" s="4">
        <f>197.094846444766 * CHOOSE(CONTROL!$C$9, $C$13, 100%, $E$13) + CHOOSE(CONTROL!$C$28, 0.0021, 0)</f>
        <v>197.09694644476602</v>
      </c>
    </row>
    <row r="382" spans="1:5" ht="15">
      <c r="A382" s="13">
        <v>53143</v>
      </c>
      <c r="B382" s="4">
        <f>30.7512 * CHOOSE(CONTROL!$C$9, $C$13, 100%, $E$13) + CHOOSE(CONTROL!$C$28, 0.0415, 0)</f>
        <v>30.7927</v>
      </c>
      <c r="C382" s="4">
        <f>30.3879 * CHOOSE(CONTROL!$C$9, $C$13, 100%, $E$13) + CHOOSE(CONTROL!$C$28, 0.0415, 0)</f>
        <v>30.429399999999998</v>
      </c>
      <c r="D382" s="4">
        <f>41.2661 * CHOOSE(CONTROL!$C$9, $C$13, 100%, $E$13) + CHOOSE(CONTROL!$C$28, 0.0021, 0)</f>
        <v>41.2682</v>
      </c>
      <c r="E382" s="4">
        <f>197.718481391904 * CHOOSE(CONTROL!$C$9, $C$13, 100%, $E$13) + CHOOSE(CONTROL!$C$28, 0.0021, 0)</f>
        <v>197.72058139190401</v>
      </c>
    </row>
    <row r="383" spans="1:5" ht="15">
      <c r="A383" s="13">
        <v>53174</v>
      </c>
      <c r="B383" s="4">
        <f>30.7416 * CHOOSE(CONTROL!$C$9, $C$13, 100%, $E$13) + CHOOSE(CONTROL!$C$28, 0.0415, 0)</f>
        <v>30.783099999999997</v>
      </c>
      <c r="C383" s="4">
        <f>30.3783 * CHOOSE(CONTROL!$C$9, $C$13, 100%, $E$13) + CHOOSE(CONTROL!$C$28, 0.0415, 0)</f>
        <v>30.419799999999999</v>
      </c>
      <c r="D383" s="4">
        <f>41.9164 * CHOOSE(CONTROL!$C$9, $C$13, 100%, $E$13) + CHOOSE(CONTROL!$C$28, 0.0021, 0)</f>
        <v>41.918500000000002</v>
      </c>
      <c r="E383" s="4">
        <f>197.65559383421 * CHOOSE(CONTROL!$C$9, $C$13, 100%, $E$13) + CHOOSE(CONTROL!$C$28, 0.0021, 0)</f>
        <v>197.65769383421002</v>
      </c>
    </row>
    <row r="384" spans="1:5" ht="15">
      <c r="A384" s="13">
        <v>53205</v>
      </c>
      <c r="B384" s="4">
        <f>31.4591 * CHOOSE(CONTROL!$C$9, $C$13, 100%, $E$13) + CHOOSE(CONTROL!$C$28, 0.0415, 0)</f>
        <v>31.500599999999999</v>
      </c>
      <c r="C384" s="4">
        <f>31.0958 * CHOOSE(CONTROL!$C$9, $C$13, 100%, $E$13) + CHOOSE(CONTROL!$C$28, 0.0415, 0)</f>
        <v>31.1373</v>
      </c>
      <c r="D384" s="4">
        <f>41.4869 * CHOOSE(CONTROL!$C$9, $C$13, 100%, $E$13) + CHOOSE(CONTROL!$C$28, 0.0021, 0)</f>
        <v>41.488999999999997</v>
      </c>
      <c r="E384" s="4">
        <f>202.38788255073 * CHOOSE(CONTROL!$C$9, $C$13, 100%, $E$13) + CHOOSE(CONTROL!$C$28, 0.0021, 0)</f>
        <v>202.38998255073002</v>
      </c>
    </row>
    <row r="385" spans="1:5" ht="15">
      <c r="A385" s="13">
        <v>53235</v>
      </c>
      <c r="B385" s="4">
        <f>30.2363 * CHOOSE(CONTROL!$C$9, $C$13, 100%, $E$13) + CHOOSE(CONTROL!$C$28, 0.0415, 0)</f>
        <v>30.277799999999999</v>
      </c>
      <c r="C385" s="4">
        <f>29.873 * CHOOSE(CONTROL!$C$9, $C$13, 100%, $E$13) + CHOOSE(CONTROL!$C$28, 0.0415, 0)</f>
        <v>29.9145</v>
      </c>
      <c r="D385" s="4">
        <f>41.284 * CHOOSE(CONTROL!$C$9, $C$13, 100%, $E$13) + CHOOSE(CONTROL!$C$28, 0.0021, 0)</f>
        <v>41.286099999999998</v>
      </c>
      <c r="E385" s="4">
        <f>194.322553276395 * CHOOSE(CONTROL!$C$9, $C$13, 100%, $E$13) + CHOOSE(CONTROL!$C$28, 0.0021, 0)</f>
        <v>194.32465327639503</v>
      </c>
    </row>
    <row r="386" spans="1:5" ht="15">
      <c r="A386" s="13">
        <v>53266</v>
      </c>
      <c r="B386" s="4">
        <f>29.2574 * CHOOSE(CONTROL!$C$9, $C$13, 100%, $E$13) + CHOOSE(CONTROL!$C$28, 0.0211, 0)</f>
        <v>29.278500000000001</v>
      </c>
      <c r="C386" s="4">
        <f>28.8941 * CHOOSE(CONTROL!$C$9, $C$13, 100%, $E$13) + CHOOSE(CONTROL!$C$28, 0.0211, 0)</f>
        <v>28.915200000000002</v>
      </c>
      <c r="D386" s="4">
        <f>40.7407 * CHOOSE(CONTROL!$C$9, $C$13, 100%, $E$13) + CHOOSE(CONTROL!$C$28, 0.0021, 0)</f>
        <v>40.742799999999995</v>
      </c>
      <c r="E386" s="4">
        <f>187.86609735308 * CHOOSE(CONTROL!$C$9, $C$13, 100%, $E$13) + CHOOSE(CONTROL!$C$28, 0.0021, 0)</f>
        <v>187.86819735308001</v>
      </c>
    </row>
    <row r="387" spans="1:5" ht="15">
      <c r="A387" s="13">
        <v>53296</v>
      </c>
      <c r="B387" s="4">
        <f>28.6269 * CHOOSE(CONTROL!$C$9, $C$13, 100%, $E$13) + CHOOSE(CONTROL!$C$28, 0.0211, 0)</f>
        <v>28.648</v>
      </c>
      <c r="C387" s="4">
        <f>28.2636 * CHOOSE(CONTROL!$C$9, $C$13, 100%, $E$13) + CHOOSE(CONTROL!$C$28, 0.0211, 0)</f>
        <v>28.284700000000001</v>
      </c>
      <c r="D387" s="4">
        <f>40.5539 * CHOOSE(CONTROL!$C$9, $C$13, 100%, $E$13) + CHOOSE(CONTROL!$C$28, 0.0021, 0)</f>
        <v>40.555999999999997</v>
      </c>
      <c r="E387" s="4">
        <f>183.707657600522 * CHOOSE(CONTROL!$C$9, $C$13, 100%, $E$13) + CHOOSE(CONTROL!$C$28, 0.0021, 0)</f>
        <v>183.70975760052201</v>
      </c>
    </row>
    <row r="388" spans="1:5" ht="15">
      <c r="A388" s="13">
        <v>53327</v>
      </c>
      <c r="B388" s="4">
        <f>28.1906 * CHOOSE(CONTROL!$C$9, $C$13, 100%, $E$13) + CHOOSE(CONTROL!$C$28, 0.0211, 0)</f>
        <v>28.2117</v>
      </c>
      <c r="C388" s="4">
        <f>27.8274 * CHOOSE(CONTROL!$C$9, $C$13, 100%, $E$13) + CHOOSE(CONTROL!$C$28, 0.0211, 0)</f>
        <v>27.848500000000001</v>
      </c>
      <c r="D388" s="4">
        <f>39.1786 * CHOOSE(CONTROL!$C$9, $C$13, 100%, $E$13) + CHOOSE(CONTROL!$C$28, 0.0021, 0)</f>
        <v>39.180700000000002</v>
      </c>
      <c r="E388" s="4">
        <f>180.830551835993 * CHOOSE(CONTROL!$C$9, $C$13, 100%, $E$13) + CHOOSE(CONTROL!$C$28, 0.0021, 0)</f>
        <v>180.832651835993</v>
      </c>
    </row>
    <row r="389" spans="1:5" ht="15">
      <c r="A389" s="13">
        <v>53358</v>
      </c>
      <c r="B389" s="4">
        <f>26.9971 * CHOOSE(CONTROL!$C$9, $C$13, 100%, $E$13) + CHOOSE(CONTROL!$C$28, 0.0211, 0)</f>
        <v>27.0182</v>
      </c>
      <c r="C389" s="4">
        <f>26.6339 * CHOOSE(CONTROL!$C$9, $C$13, 100%, $E$13) + CHOOSE(CONTROL!$C$28, 0.0211, 0)</f>
        <v>26.655000000000001</v>
      </c>
      <c r="D389" s="4">
        <f>37.6637 * CHOOSE(CONTROL!$C$9, $C$13, 100%, $E$13) + CHOOSE(CONTROL!$C$28, 0.0021, 0)</f>
        <v>37.665799999999997</v>
      </c>
      <c r="E389" s="4">
        <f>173.29822456333 * CHOOSE(CONTROL!$C$9, $C$13, 100%, $E$13) + CHOOSE(CONTROL!$C$28, 0.0021, 0)</f>
        <v>173.30032456333001</v>
      </c>
    </row>
    <row r="390" spans="1:5" ht="15">
      <c r="A390" s="13">
        <v>53386</v>
      </c>
      <c r="B390" s="4">
        <f>27.6198 * CHOOSE(CONTROL!$C$9, $C$13, 100%, $E$13) + CHOOSE(CONTROL!$C$28, 0.0211, 0)</f>
        <v>27.640900000000002</v>
      </c>
      <c r="C390" s="4">
        <f>27.2565 * CHOOSE(CONTROL!$C$9, $C$13, 100%, $E$13) + CHOOSE(CONTROL!$C$28, 0.0211, 0)</f>
        <v>27.2776</v>
      </c>
      <c r="D390" s="4">
        <f>38.9277 * CHOOSE(CONTROL!$C$9, $C$13, 100%, $E$13) + CHOOSE(CONTROL!$C$28, 0.0021, 0)</f>
        <v>38.9298</v>
      </c>
      <c r="E390" s="4">
        <f>177.413007367072 * CHOOSE(CONTROL!$C$9, $C$13, 100%, $E$13) + CHOOSE(CONTROL!$C$28, 0.0021, 0)</f>
        <v>177.41510736707201</v>
      </c>
    </row>
    <row r="391" spans="1:5" ht="15">
      <c r="A391" s="13">
        <v>53417</v>
      </c>
      <c r="B391" s="4">
        <f>29.2549 * CHOOSE(CONTROL!$C$9, $C$13, 100%, $E$13) + CHOOSE(CONTROL!$C$28, 0.0211, 0)</f>
        <v>29.276</v>
      </c>
      <c r="C391" s="4">
        <f>28.8916 * CHOOSE(CONTROL!$C$9, $C$13, 100%, $E$13) + CHOOSE(CONTROL!$C$28, 0.0211, 0)</f>
        <v>28.912700000000001</v>
      </c>
      <c r="D391" s="4">
        <f>40.9063 * CHOOSE(CONTROL!$C$9, $C$13, 100%, $E$13) + CHOOSE(CONTROL!$C$28, 0.0021, 0)</f>
        <v>40.9084</v>
      </c>
      <c r="E391" s="4">
        <f>188.218645682539 * CHOOSE(CONTROL!$C$9, $C$13, 100%, $E$13) + CHOOSE(CONTROL!$C$28, 0.0021, 0)</f>
        <v>188.22074568253902</v>
      </c>
    </row>
    <row r="392" spans="1:5" ht="15">
      <c r="A392" s="13">
        <v>53447</v>
      </c>
      <c r="B392" s="4">
        <f>30.4167 * CHOOSE(CONTROL!$C$9, $C$13, 100%, $E$13) + CHOOSE(CONTROL!$C$28, 0.0211, 0)</f>
        <v>30.437799999999999</v>
      </c>
      <c r="C392" s="4">
        <f>30.0534 * CHOOSE(CONTROL!$C$9, $C$13, 100%, $E$13) + CHOOSE(CONTROL!$C$28, 0.0211, 0)</f>
        <v>30.0745</v>
      </c>
      <c r="D392" s="4">
        <f>42.046 * CHOOSE(CONTROL!$C$9, $C$13, 100%, $E$13) + CHOOSE(CONTROL!$C$28, 0.0021, 0)</f>
        <v>42.048099999999998</v>
      </c>
      <c r="E392" s="4">
        <f>195.896195709743 * CHOOSE(CONTROL!$C$9, $C$13, 100%, $E$13) + CHOOSE(CONTROL!$C$28, 0.0021, 0)</f>
        <v>195.89829570974302</v>
      </c>
    </row>
    <row r="393" spans="1:5" ht="15">
      <c r="A393" s="13">
        <v>53478</v>
      </c>
      <c r="B393" s="4">
        <f>31.1265 * CHOOSE(CONTROL!$C$9, $C$13, 100%, $E$13) + CHOOSE(CONTROL!$C$28, 0.0415, 0)</f>
        <v>31.167999999999999</v>
      </c>
      <c r="C393" s="4">
        <f>30.7632 * CHOOSE(CONTROL!$C$9, $C$13, 100%, $E$13) + CHOOSE(CONTROL!$C$28, 0.0415, 0)</f>
        <v>30.8047</v>
      </c>
      <c r="D393" s="4">
        <f>41.5957 * CHOOSE(CONTROL!$C$9, $C$13, 100%, $E$13) + CHOOSE(CONTROL!$C$28, 0.0021, 0)</f>
        <v>41.597799999999999</v>
      </c>
      <c r="E393" s="4">
        <f>200.586994771171 * CHOOSE(CONTROL!$C$9, $C$13, 100%, $E$13) + CHOOSE(CONTROL!$C$28, 0.0021, 0)</f>
        <v>200.58909477117101</v>
      </c>
    </row>
    <row r="394" spans="1:5" ht="15">
      <c r="A394" s="13">
        <v>53508</v>
      </c>
      <c r="B394" s="4">
        <f>31.2225 * CHOOSE(CONTROL!$C$9, $C$13, 100%, $E$13) + CHOOSE(CONTROL!$C$28, 0.0415, 0)</f>
        <v>31.263999999999999</v>
      </c>
      <c r="C394" s="4">
        <f>30.8593 * CHOOSE(CONTROL!$C$9, $C$13, 100%, $E$13) + CHOOSE(CONTROL!$C$28, 0.0415, 0)</f>
        <v>30.9008</v>
      </c>
      <c r="D394" s="4">
        <f>41.9624 * CHOOSE(CONTROL!$C$9, $C$13, 100%, $E$13) + CHOOSE(CONTROL!$C$28, 0.0021, 0)</f>
        <v>41.964500000000001</v>
      </c>
      <c r="E394" s="4">
        <f>201.221679351398 * CHOOSE(CONTROL!$C$9, $C$13, 100%, $E$13) + CHOOSE(CONTROL!$C$28, 0.0021, 0)</f>
        <v>201.22377935139801</v>
      </c>
    </row>
    <row r="395" spans="1:5" ht="15">
      <c r="A395" s="13">
        <v>53539</v>
      </c>
      <c r="B395" s="4">
        <f>31.2129 * CHOOSE(CONTROL!$C$9, $C$13, 100%, $E$13) + CHOOSE(CONTROL!$C$28, 0.0415, 0)</f>
        <v>31.2544</v>
      </c>
      <c r="C395" s="4">
        <f>30.8496 * CHOOSE(CONTROL!$C$9, $C$13, 100%, $E$13) + CHOOSE(CONTROL!$C$28, 0.0415, 0)</f>
        <v>30.891099999999998</v>
      </c>
      <c r="D395" s="4">
        <f>42.6243 * CHOOSE(CONTROL!$C$9, $C$13, 100%, $E$13) + CHOOSE(CONTROL!$C$28, 0.0021, 0)</f>
        <v>42.626399999999997</v>
      </c>
      <c r="E395" s="4">
        <f>201.157677544989 * CHOOSE(CONTROL!$C$9, $C$13, 100%, $E$13) + CHOOSE(CONTROL!$C$28, 0.0021, 0)</f>
        <v>201.15977754498903</v>
      </c>
    </row>
    <row r="396" spans="1:5" ht="15">
      <c r="A396" s="13">
        <v>53570</v>
      </c>
      <c r="B396" s="4">
        <f>31.9416 * CHOOSE(CONTROL!$C$9, $C$13, 100%, $E$13) + CHOOSE(CONTROL!$C$28, 0.0415, 0)</f>
        <v>31.9831</v>
      </c>
      <c r="C396" s="4">
        <f>31.5784 * CHOOSE(CONTROL!$C$9, $C$13, 100%, $E$13) + CHOOSE(CONTROL!$C$28, 0.0415, 0)</f>
        <v>31.619899999999998</v>
      </c>
      <c r="D396" s="4">
        <f>42.1872 * CHOOSE(CONTROL!$C$9, $C$13, 100%, $E$13) + CHOOSE(CONTROL!$C$28, 0.0021, 0)</f>
        <v>42.189299999999996</v>
      </c>
      <c r="E396" s="4">
        <f>205.973813477302 * CHOOSE(CONTROL!$C$9, $C$13, 100%, $E$13) + CHOOSE(CONTROL!$C$28, 0.0021, 0)</f>
        <v>205.97591347730202</v>
      </c>
    </row>
    <row r="397" spans="1:5" ht="15">
      <c r="A397" s="13">
        <v>53600</v>
      </c>
      <c r="B397" s="4">
        <f>30.6996 * CHOOSE(CONTROL!$C$9, $C$13, 100%, $E$13) + CHOOSE(CONTROL!$C$28, 0.0415, 0)</f>
        <v>30.741099999999999</v>
      </c>
      <c r="C397" s="4">
        <f>30.3363 * CHOOSE(CONTROL!$C$9, $C$13, 100%, $E$13) + CHOOSE(CONTROL!$C$28, 0.0415, 0)</f>
        <v>30.377800000000001</v>
      </c>
      <c r="D397" s="4">
        <f>41.9807 * CHOOSE(CONTROL!$C$9, $C$13, 100%, $E$13) + CHOOSE(CONTROL!$C$28, 0.0021, 0)</f>
        <v>41.982799999999997</v>
      </c>
      <c r="E397" s="4">
        <f>197.765581805286 * CHOOSE(CONTROL!$C$9, $C$13, 100%, $E$13) + CHOOSE(CONTROL!$C$28, 0.0021, 0)</f>
        <v>197.767681805286</v>
      </c>
    </row>
    <row r="398" spans="1:5" ht="15">
      <c r="A398" s="13">
        <v>53631</v>
      </c>
      <c r="B398" s="4">
        <f>29.7053 * CHOOSE(CONTROL!$C$9, $C$13, 100%, $E$13) + CHOOSE(CONTROL!$C$28, 0.0211, 0)</f>
        <v>29.726400000000002</v>
      </c>
      <c r="C398" s="4">
        <f>29.342 * CHOOSE(CONTROL!$C$9, $C$13, 100%, $E$13) + CHOOSE(CONTROL!$C$28, 0.0211, 0)</f>
        <v>29.363099999999999</v>
      </c>
      <c r="D398" s="4">
        <f>41.4278 * CHOOSE(CONTROL!$C$9, $C$13, 100%, $E$13) + CHOOSE(CONTROL!$C$28, 0.0021, 0)</f>
        <v>41.429899999999996</v>
      </c>
      <c r="E398" s="4">
        <f>191.19472968058 * CHOOSE(CONTROL!$C$9, $C$13, 100%, $E$13) + CHOOSE(CONTROL!$C$28, 0.0021, 0)</f>
        <v>191.19682968058001</v>
      </c>
    </row>
    <row r="399" spans="1:5" ht="15">
      <c r="A399" s="13">
        <v>53661</v>
      </c>
      <c r="B399" s="4">
        <f>29.0648 * CHOOSE(CONTROL!$C$9, $C$13, 100%, $E$13) + CHOOSE(CONTROL!$C$28, 0.0211, 0)</f>
        <v>29.085900000000002</v>
      </c>
      <c r="C399" s="4">
        <f>28.7016 * CHOOSE(CONTROL!$C$9, $C$13, 100%, $E$13) + CHOOSE(CONTROL!$C$28, 0.0211, 0)</f>
        <v>28.7227</v>
      </c>
      <c r="D399" s="4">
        <f>41.2377 * CHOOSE(CONTROL!$C$9, $C$13, 100%, $E$13) + CHOOSE(CONTROL!$C$28, 0.0021, 0)</f>
        <v>41.239799999999995</v>
      </c>
      <c r="E399" s="4">
        <f>186.962610231753 * CHOOSE(CONTROL!$C$9, $C$13, 100%, $E$13) + CHOOSE(CONTROL!$C$28, 0.0021, 0)</f>
        <v>186.964710231753</v>
      </c>
    </row>
    <row r="400" spans="1:5" ht="15">
      <c r="A400" s="13">
        <v>53692</v>
      </c>
      <c r="B400" s="4">
        <f>28.6218 * CHOOSE(CONTROL!$C$9, $C$13, 100%, $E$13) + CHOOSE(CONTROL!$C$28, 0.0211, 0)</f>
        <v>28.642900000000001</v>
      </c>
      <c r="C400" s="4">
        <f>28.2585 * CHOOSE(CONTROL!$C$9, $C$13, 100%, $E$13) + CHOOSE(CONTROL!$C$28, 0.0211, 0)</f>
        <v>28.279600000000002</v>
      </c>
      <c r="D400" s="4">
        <f>39.8381 * CHOOSE(CONTROL!$C$9, $C$13, 100%, $E$13) + CHOOSE(CONTROL!$C$28, 0.0021, 0)</f>
        <v>39.840199999999996</v>
      </c>
      <c r="E400" s="4">
        <f>184.03452758852 * CHOOSE(CONTROL!$C$9, $C$13, 100%, $E$13) + CHOOSE(CONTROL!$C$28, 0.0021, 0)</f>
        <v>184.03662758852002</v>
      </c>
    </row>
    <row r="401" spans="1:5" ht="15">
      <c r="A401" s="13">
        <v>53723</v>
      </c>
      <c r="B401" s="4">
        <f>27.4095 * CHOOSE(CONTROL!$C$9, $C$13, 100%, $E$13) + CHOOSE(CONTROL!$C$28, 0.0211, 0)</f>
        <v>27.430600000000002</v>
      </c>
      <c r="C401" s="4">
        <f>27.0462 * CHOOSE(CONTROL!$C$9, $C$13, 100%, $E$13) + CHOOSE(CONTROL!$C$28, 0.0211, 0)</f>
        <v>27.067299999999999</v>
      </c>
      <c r="D401" s="4">
        <f>38.2965 * CHOOSE(CONTROL!$C$9, $C$13, 100%, $E$13) + CHOOSE(CONTROL!$C$28, 0.0021, 0)</f>
        <v>38.2986</v>
      </c>
      <c r="E401" s="4">
        <f>176.368741706696 * CHOOSE(CONTROL!$C$9, $C$13, 100%, $E$13) + CHOOSE(CONTROL!$C$28, 0.0021, 0)</f>
        <v>176.37084170669601</v>
      </c>
    </row>
    <row r="402" spans="1:5" ht="15">
      <c r="A402" s="13">
        <v>53751</v>
      </c>
      <c r="B402" s="4">
        <f>28.0419 * CHOOSE(CONTROL!$C$9, $C$13, 100%, $E$13) + CHOOSE(CONTROL!$C$28, 0.0211, 0)</f>
        <v>28.062999999999999</v>
      </c>
      <c r="C402" s="4">
        <f>27.6787 * CHOOSE(CONTROL!$C$9, $C$13, 100%, $E$13) + CHOOSE(CONTROL!$C$28, 0.0211, 0)</f>
        <v>27.6998</v>
      </c>
      <c r="D402" s="4">
        <f>39.5827 * CHOOSE(CONTROL!$C$9, $C$13, 100%, $E$13) + CHOOSE(CONTROL!$C$28, 0.0021, 0)</f>
        <v>39.584800000000001</v>
      </c>
      <c r="E402" s="4">
        <f>180.556430688052 * CHOOSE(CONTROL!$C$9, $C$13, 100%, $E$13) + CHOOSE(CONTROL!$C$28, 0.0021, 0)</f>
        <v>180.558530688052</v>
      </c>
    </row>
    <row r="403" spans="1:5" ht="15">
      <c r="A403" s="13">
        <v>53782</v>
      </c>
      <c r="B403" s="4">
        <f>29.7028 * CHOOSE(CONTROL!$C$9, $C$13, 100%, $E$13) + CHOOSE(CONTROL!$C$28, 0.0211, 0)</f>
        <v>29.7239</v>
      </c>
      <c r="C403" s="4">
        <f>29.3395 * CHOOSE(CONTROL!$C$9, $C$13, 100%, $E$13) + CHOOSE(CONTROL!$C$28, 0.0211, 0)</f>
        <v>29.360600000000002</v>
      </c>
      <c r="D403" s="4">
        <f>41.5963 * CHOOSE(CONTROL!$C$9, $C$13, 100%, $E$13) + CHOOSE(CONTROL!$C$28, 0.0021, 0)</f>
        <v>41.598399999999998</v>
      </c>
      <c r="E403" s="4">
        <f>191.553524500402 * CHOOSE(CONTROL!$C$9, $C$13, 100%, $E$13) + CHOOSE(CONTROL!$C$28, 0.0021, 0)</f>
        <v>191.55562450040202</v>
      </c>
    </row>
    <row r="404" spans="1:5" ht="15">
      <c r="A404" s="13">
        <v>53812</v>
      </c>
      <c r="B404" s="4">
        <f>30.8828 * CHOOSE(CONTROL!$C$9, $C$13, 100%, $E$13) + CHOOSE(CONTROL!$C$28, 0.0211, 0)</f>
        <v>30.9039</v>
      </c>
      <c r="C404" s="4">
        <f>30.5195 * CHOOSE(CONTROL!$C$9, $C$13, 100%, $E$13) + CHOOSE(CONTROL!$C$28, 0.0211, 0)</f>
        <v>30.540600000000001</v>
      </c>
      <c r="D404" s="4">
        <f>42.7562 * CHOOSE(CONTROL!$C$9, $C$13, 100%, $E$13) + CHOOSE(CONTROL!$C$28, 0.0021, 0)</f>
        <v>42.758299999999998</v>
      </c>
      <c r="E404" s="4">
        <f>199.36710620962 * CHOOSE(CONTROL!$C$9, $C$13, 100%, $E$13) + CHOOSE(CONTROL!$C$28, 0.0021, 0)</f>
        <v>199.36920620962002</v>
      </c>
    </row>
    <row r="405" spans="1:5" ht="15">
      <c r="A405" s="13">
        <v>53843</v>
      </c>
      <c r="B405" s="4">
        <f>31.6038 * CHOOSE(CONTROL!$C$9, $C$13, 100%, $E$13) + CHOOSE(CONTROL!$C$28, 0.0415, 0)</f>
        <v>31.645299999999999</v>
      </c>
      <c r="C405" s="4">
        <f>31.2405 * CHOOSE(CONTROL!$C$9, $C$13, 100%, $E$13) + CHOOSE(CONTROL!$C$28, 0.0415, 0)</f>
        <v>31.282</v>
      </c>
      <c r="D405" s="4">
        <f>42.2979 * CHOOSE(CONTROL!$C$9, $C$13, 100%, $E$13) + CHOOSE(CONTROL!$C$28, 0.0021, 0)</f>
        <v>42.3</v>
      </c>
      <c r="E405" s="4">
        <f>204.141017368535 * CHOOSE(CONTROL!$C$9, $C$13, 100%, $E$13) + CHOOSE(CONTROL!$C$28, 0.0021, 0)</f>
        <v>204.143117368535</v>
      </c>
    </row>
    <row r="406" spans="1:5" ht="15">
      <c r="A406" s="13">
        <v>53873</v>
      </c>
      <c r="B406" s="4">
        <f>31.7014 * CHOOSE(CONTROL!$C$9, $C$13, 100%, $E$13) + CHOOSE(CONTROL!$C$28, 0.0415, 0)</f>
        <v>31.742899999999999</v>
      </c>
      <c r="C406" s="4">
        <f>31.3381 * CHOOSE(CONTROL!$C$9, $C$13, 100%, $E$13) + CHOOSE(CONTROL!$C$28, 0.0415, 0)</f>
        <v>31.3796</v>
      </c>
      <c r="D406" s="4">
        <f>42.6711 * CHOOSE(CONTROL!$C$9, $C$13, 100%, $E$13) + CHOOSE(CONTROL!$C$28, 0.0021, 0)</f>
        <v>42.673200000000001</v>
      </c>
      <c r="E406" s="4">
        <f>204.786947360475 * CHOOSE(CONTROL!$C$9, $C$13, 100%, $E$13) + CHOOSE(CONTROL!$C$28, 0.0021, 0)</f>
        <v>204.78904736047502</v>
      </c>
    </row>
    <row r="407" spans="1:5" ht="15">
      <c r="A407" s="13">
        <v>53904</v>
      </c>
      <c r="B407" s="4">
        <f>31.6915 * CHOOSE(CONTROL!$C$9, $C$13, 100%, $E$13) + CHOOSE(CONTROL!$C$28, 0.0415, 0)</f>
        <v>31.733000000000001</v>
      </c>
      <c r="C407" s="4">
        <f>31.3282 * CHOOSE(CONTROL!$C$9, $C$13, 100%, $E$13) + CHOOSE(CONTROL!$C$28, 0.0415, 0)</f>
        <v>31.369699999999998</v>
      </c>
      <c r="D407" s="4">
        <f>43.3447 * CHOOSE(CONTROL!$C$9, $C$13, 100%, $E$13) + CHOOSE(CONTROL!$C$28, 0.0021, 0)</f>
        <v>43.346800000000002</v>
      </c>
      <c r="E407" s="4">
        <f>204.721811562968 * CHOOSE(CONTROL!$C$9, $C$13, 100%, $E$13) + CHOOSE(CONTROL!$C$28, 0.0021, 0)</f>
        <v>204.72391156296803</v>
      </c>
    </row>
    <row r="408" spans="1:5" ht="15">
      <c r="A408" s="13">
        <v>53935</v>
      </c>
      <c r="B408" s="4">
        <f>32.4318 * CHOOSE(CONTROL!$C$9, $C$13, 100%, $E$13) + CHOOSE(CONTROL!$C$28, 0.0415, 0)</f>
        <v>32.473300000000002</v>
      </c>
      <c r="C408" s="4">
        <f>32.0685 * CHOOSE(CONTROL!$C$9, $C$13, 100%, $E$13) + CHOOSE(CONTROL!$C$28, 0.0415, 0)</f>
        <v>32.11</v>
      </c>
      <c r="D408" s="4">
        <f>42.8999 * CHOOSE(CONTROL!$C$9, $C$13, 100%, $E$13) + CHOOSE(CONTROL!$C$28, 0.0021, 0)</f>
        <v>42.902000000000001</v>
      </c>
      <c r="E408" s="4">
        <f>209.623280325333 * CHOOSE(CONTROL!$C$9, $C$13, 100%, $E$13) + CHOOSE(CONTROL!$C$28, 0.0021, 0)</f>
        <v>209.62538032533303</v>
      </c>
    </row>
    <row r="409" spans="1:5" ht="15">
      <c r="A409" s="13">
        <v>53965</v>
      </c>
      <c r="B409" s="4">
        <f>31.1702 * CHOOSE(CONTROL!$C$9, $C$13, 100%, $E$13) + CHOOSE(CONTROL!$C$28, 0.0415, 0)</f>
        <v>31.2117</v>
      </c>
      <c r="C409" s="4">
        <f>30.8069 * CHOOSE(CONTROL!$C$9, $C$13, 100%, $E$13) + CHOOSE(CONTROL!$C$28, 0.0415, 0)</f>
        <v>30.848399999999998</v>
      </c>
      <c r="D409" s="4">
        <f>42.6897 * CHOOSE(CONTROL!$C$9, $C$13, 100%, $E$13) + CHOOSE(CONTROL!$C$28, 0.0021, 0)</f>
        <v>42.691800000000001</v>
      </c>
      <c r="E409" s="4">
        <f>201.269614295123 * CHOOSE(CONTROL!$C$9, $C$13, 100%, $E$13) + CHOOSE(CONTROL!$C$28, 0.0021, 0)</f>
        <v>201.27171429512302</v>
      </c>
    </row>
    <row r="410" spans="1:5" ht="15">
      <c r="A410" s="13">
        <v>53996</v>
      </c>
      <c r="B410" s="4">
        <f>30.1602 * CHOOSE(CONTROL!$C$9, $C$13, 100%, $E$13) + CHOOSE(CONTROL!$C$28, 0.0211, 0)</f>
        <v>30.1813</v>
      </c>
      <c r="C410" s="4">
        <f>29.7969 * CHOOSE(CONTROL!$C$9, $C$13, 100%, $E$13) + CHOOSE(CONTROL!$C$28, 0.0211, 0)</f>
        <v>29.818000000000001</v>
      </c>
      <c r="D410" s="4">
        <f>42.127 * CHOOSE(CONTROL!$C$9, $C$13, 100%, $E$13) + CHOOSE(CONTROL!$C$28, 0.0021, 0)</f>
        <v>42.129100000000001</v>
      </c>
      <c r="E410" s="4">
        <f>194.582339084454 * CHOOSE(CONTROL!$C$9, $C$13, 100%, $E$13) + CHOOSE(CONTROL!$C$28, 0.0021, 0)</f>
        <v>194.584439084454</v>
      </c>
    </row>
    <row r="411" spans="1:5" ht="15">
      <c r="A411" s="13">
        <v>54026</v>
      </c>
      <c r="B411" s="4">
        <f>29.5097 * CHOOSE(CONTROL!$C$9, $C$13, 100%, $E$13) + CHOOSE(CONTROL!$C$28, 0.0211, 0)</f>
        <v>29.530799999999999</v>
      </c>
      <c r="C411" s="4">
        <f>29.1464 * CHOOSE(CONTROL!$C$9, $C$13, 100%, $E$13) + CHOOSE(CONTROL!$C$28, 0.0211, 0)</f>
        <v>29.1675</v>
      </c>
      <c r="D411" s="4">
        <f>41.9335 * CHOOSE(CONTROL!$C$9, $C$13, 100%, $E$13) + CHOOSE(CONTROL!$C$28, 0.0021, 0)</f>
        <v>41.935600000000001</v>
      </c>
      <c r="E411" s="4">
        <f>190.275234474336 * CHOOSE(CONTROL!$C$9, $C$13, 100%, $E$13) + CHOOSE(CONTROL!$C$28, 0.0021, 0)</f>
        <v>190.27733447433602</v>
      </c>
    </row>
    <row r="412" spans="1:5" ht="15">
      <c r="A412" s="13">
        <v>54057</v>
      </c>
      <c r="B412" s="4">
        <f>29.0597 * CHOOSE(CONTROL!$C$9, $C$13, 100%, $E$13) + CHOOSE(CONTROL!$C$28, 0.0211, 0)</f>
        <v>29.0808</v>
      </c>
      <c r="C412" s="4">
        <f>28.6964 * CHOOSE(CONTROL!$C$9, $C$13, 100%, $E$13) + CHOOSE(CONTROL!$C$28, 0.0211, 0)</f>
        <v>28.717500000000001</v>
      </c>
      <c r="D412" s="4">
        <f>40.5093 * CHOOSE(CONTROL!$C$9, $C$13, 100%, $E$13) + CHOOSE(CONTROL!$C$28, 0.0021, 0)</f>
        <v>40.511400000000002</v>
      </c>
      <c r="E412" s="4">
        <f>187.295271738413 * CHOOSE(CONTROL!$C$9, $C$13, 100%, $E$13) + CHOOSE(CONTROL!$C$28, 0.0021, 0)</f>
        <v>187.29737173841301</v>
      </c>
    </row>
    <row r="413" spans="1:5" ht="15">
      <c r="A413" s="13">
        <v>54088</v>
      </c>
      <c r="B413" s="4">
        <f>27.8284 * CHOOSE(CONTROL!$C$9, $C$13, 100%, $E$13) + CHOOSE(CONTROL!$C$28, 0.0211, 0)</f>
        <v>27.849499999999999</v>
      </c>
      <c r="C413" s="4">
        <f>27.4651 * CHOOSE(CONTROL!$C$9, $C$13, 100%, $E$13) + CHOOSE(CONTROL!$C$28, 0.0211, 0)</f>
        <v>27.4862</v>
      </c>
      <c r="D413" s="4">
        <f>38.9404 * CHOOSE(CONTROL!$C$9, $C$13, 100%, $E$13) + CHOOSE(CONTROL!$C$28, 0.0021, 0)</f>
        <v>38.942499999999995</v>
      </c>
      <c r="E413" s="4">
        <f>179.493662613006 * CHOOSE(CONTROL!$C$9, $C$13, 100%, $E$13) + CHOOSE(CONTROL!$C$28, 0.0021, 0)</f>
        <v>179.49576261300601</v>
      </c>
    </row>
    <row r="414" spans="1:5" ht="15">
      <c r="A414" s="13">
        <v>54116</v>
      </c>
      <c r="B414" s="4">
        <f>28.4707 * CHOOSE(CONTROL!$C$9, $C$13, 100%, $E$13) + CHOOSE(CONTROL!$C$28, 0.0211, 0)</f>
        <v>28.491800000000001</v>
      </c>
      <c r="C414" s="4">
        <f>28.1075 * CHOOSE(CONTROL!$C$9, $C$13, 100%, $E$13) + CHOOSE(CONTROL!$C$28, 0.0211, 0)</f>
        <v>28.128600000000002</v>
      </c>
      <c r="D414" s="4">
        <f>40.2494 * CHOOSE(CONTROL!$C$9, $C$13, 100%, $E$13) + CHOOSE(CONTROL!$C$28, 0.0021, 0)</f>
        <v>40.2515</v>
      </c>
      <c r="E414" s="4">
        <f>183.755549531708 * CHOOSE(CONTROL!$C$9, $C$13, 100%, $E$13) + CHOOSE(CONTROL!$C$28, 0.0021, 0)</f>
        <v>183.75764953170801</v>
      </c>
    </row>
    <row r="415" spans="1:5" ht="15">
      <c r="A415" s="13">
        <v>54148</v>
      </c>
      <c r="B415" s="4">
        <f>30.1577 * CHOOSE(CONTROL!$C$9, $C$13, 100%, $E$13) + CHOOSE(CONTROL!$C$28, 0.0211, 0)</f>
        <v>30.178799999999999</v>
      </c>
      <c r="C415" s="4">
        <f>29.7944 * CHOOSE(CONTROL!$C$9, $C$13, 100%, $E$13) + CHOOSE(CONTROL!$C$28, 0.0211, 0)</f>
        <v>29.8155</v>
      </c>
      <c r="D415" s="4">
        <f>42.2985 * CHOOSE(CONTROL!$C$9, $C$13, 100%, $E$13) + CHOOSE(CONTROL!$C$28, 0.0021, 0)</f>
        <v>42.300599999999996</v>
      </c>
      <c r="E415" s="4">
        <f>194.947491070646 * CHOOSE(CONTROL!$C$9, $C$13, 100%, $E$13) + CHOOSE(CONTROL!$C$28, 0.0021, 0)</f>
        <v>194.94959107064602</v>
      </c>
    </row>
    <row r="416" spans="1:5" ht="15">
      <c r="A416" s="13">
        <v>54178</v>
      </c>
      <c r="B416" s="4">
        <f>31.3563 * CHOOSE(CONTROL!$C$9, $C$13, 100%, $E$13) + CHOOSE(CONTROL!$C$28, 0.0211, 0)</f>
        <v>31.377400000000002</v>
      </c>
      <c r="C416" s="4">
        <f>30.993 * CHOOSE(CONTROL!$C$9, $C$13, 100%, $E$13) + CHOOSE(CONTROL!$C$28, 0.0211, 0)</f>
        <v>31.014099999999999</v>
      </c>
      <c r="D416" s="4">
        <f>43.4789 * CHOOSE(CONTROL!$C$9, $C$13, 100%, $E$13) + CHOOSE(CONTROL!$C$28, 0.0021, 0)</f>
        <v>43.481000000000002</v>
      </c>
      <c r="E416" s="4">
        <f>202.899514686294 * CHOOSE(CONTROL!$C$9, $C$13, 100%, $E$13) + CHOOSE(CONTROL!$C$28, 0.0021, 0)</f>
        <v>202.90161468629401</v>
      </c>
    </row>
    <row r="417" spans="1:5" ht="15">
      <c r="A417" s="13">
        <v>54209</v>
      </c>
      <c r="B417" s="4">
        <f>32.0886 * CHOOSE(CONTROL!$C$9, $C$13, 100%, $E$13) + CHOOSE(CONTROL!$C$28, 0.0415, 0)</f>
        <v>32.130099999999999</v>
      </c>
      <c r="C417" s="4">
        <f>31.7253 * CHOOSE(CONTROL!$C$9, $C$13, 100%, $E$13) + CHOOSE(CONTROL!$C$28, 0.0415, 0)</f>
        <v>31.7668</v>
      </c>
      <c r="D417" s="4">
        <f>43.0125 * CHOOSE(CONTROL!$C$9, $C$13, 100%, $E$13) + CHOOSE(CONTROL!$C$28, 0.0021, 0)</f>
        <v>43.014600000000002</v>
      </c>
      <c r="E417" s="4">
        <f>207.758010532047 * CHOOSE(CONTROL!$C$9, $C$13, 100%, $E$13) + CHOOSE(CONTROL!$C$28, 0.0021, 0)</f>
        <v>207.76011053204701</v>
      </c>
    </row>
    <row r="418" spans="1:5" ht="15">
      <c r="A418" s="13">
        <v>54239</v>
      </c>
      <c r="B418" s="4">
        <f>32.1877 * CHOOSE(CONTROL!$C$9, $C$13, 100%, $E$13) + CHOOSE(CONTROL!$C$28, 0.0415, 0)</f>
        <v>32.229199999999999</v>
      </c>
      <c r="C418" s="4">
        <f>31.8244 * CHOOSE(CONTROL!$C$9, $C$13, 100%, $E$13) + CHOOSE(CONTROL!$C$28, 0.0415, 0)</f>
        <v>31.8659</v>
      </c>
      <c r="D418" s="4">
        <f>43.3923 * CHOOSE(CONTROL!$C$9, $C$13, 100%, $E$13) + CHOOSE(CONTROL!$C$28, 0.0021, 0)</f>
        <v>43.394399999999997</v>
      </c>
      <c r="E418" s="4">
        <f>208.415385183149 * CHOOSE(CONTROL!$C$9, $C$13, 100%, $E$13) + CHOOSE(CONTROL!$C$28, 0.0021, 0)</f>
        <v>208.41748518314901</v>
      </c>
    </row>
    <row r="419" spans="1:5" ht="15">
      <c r="A419" s="13">
        <v>54270</v>
      </c>
      <c r="B419" s="4">
        <f>32.1777 * CHOOSE(CONTROL!$C$9, $C$13, 100%, $E$13) + CHOOSE(CONTROL!$C$28, 0.0415, 0)</f>
        <v>32.219200000000001</v>
      </c>
      <c r="C419" s="4">
        <f>31.8144 * CHOOSE(CONTROL!$C$9, $C$13, 100%, $E$13) + CHOOSE(CONTROL!$C$28, 0.0415, 0)</f>
        <v>31.855899999999998</v>
      </c>
      <c r="D419" s="4">
        <f>44.0778 * CHOOSE(CONTROL!$C$9, $C$13, 100%, $E$13) + CHOOSE(CONTROL!$C$28, 0.0021, 0)</f>
        <v>44.079900000000002</v>
      </c>
      <c r="E419" s="4">
        <f>208.349095302366 * CHOOSE(CONTROL!$C$9, $C$13, 100%, $E$13) + CHOOSE(CONTROL!$C$28, 0.0021, 0)</f>
        <v>208.35119530236602</v>
      </c>
    </row>
    <row r="420" spans="1:5" ht="15">
      <c r="A420" s="13">
        <v>54301</v>
      </c>
      <c r="B420" s="4">
        <f>32.9296 * CHOOSE(CONTROL!$C$9, $C$13, 100%, $E$13) + CHOOSE(CONTROL!$C$28, 0.0415, 0)</f>
        <v>32.9711</v>
      </c>
      <c r="C420" s="4">
        <f>32.5663 * CHOOSE(CONTROL!$C$9, $C$13, 100%, $E$13) + CHOOSE(CONTROL!$C$28, 0.0415, 0)</f>
        <v>32.607799999999997</v>
      </c>
      <c r="D420" s="4">
        <f>43.6251 * CHOOSE(CONTROL!$C$9, $C$13, 100%, $E$13) + CHOOSE(CONTROL!$C$28, 0.0021, 0)</f>
        <v>43.627200000000002</v>
      </c>
      <c r="E420" s="4">
        <f>213.33740883132 * CHOOSE(CONTROL!$C$9, $C$13, 100%, $E$13) + CHOOSE(CONTROL!$C$28, 0.0021, 0)</f>
        <v>213.33950883132002</v>
      </c>
    </row>
    <row r="421" spans="1:5" ht="15">
      <c r="A421" s="13">
        <v>54331</v>
      </c>
      <c r="B421" s="4">
        <f>31.6481 * CHOOSE(CONTROL!$C$9, $C$13, 100%, $E$13) + CHOOSE(CONTROL!$C$28, 0.0415, 0)</f>
        <v>31.689599999999999</v>
      </c>
      <c r="C421" s="4">
        <f>31.2849 * CHOOSE(CONTROL!$C$9, $C$13, 100%, $E$13) + CHOOSE(CONTROL!$C$28, 0.0415, 0)</f>
        <v>31.3264</v>
      </c>
      <c r="D421" s="4">
        <f>43.4112 * CHOOSE(CONTROL!$C$9, $C$13, 100%, $E$13) + CHOOSE(CONTROL!$C$28, 0.0021, 0)</f>
        <v>43.4133</v>
      </c>
      <c r="E421" s="4">
        <f>204.835731620843 * CHOOSE(CONTROL!$C$9, $C$13, 100%, $E$13) + CHOOSE(CONTROL!$C$28, 0.0021, 0)</f>
        <v>204.83783162084302</v>
      </c>
    </row>
    <row r="422" spans="1:5" ht="15">
      <c r="A422" s="13">
        <v>54362</v>
      </c>
      <c r="B422" s="4">
        <f>30.6223 * CHOOSE(CONTROL!$C$9, $C$13, 100%, $E$13) + CHOOSE(CONTROL!$C$28, 0.0211, 0)</f>
        <v>30.6434</v>
      </c>
      <c r="C422" s="4">
        <f>30.259 * CHOOSE(CONTROL!$C$9, $C$13, 100%, $E$13) + CHOOSE(CONTROL!$C$28, 0.0211, 0)</f>
        <v>30.280100000000001</v>
      </c>
      <c r="D422" s="4">
        <f>42.8386 * CHOOSE(CONTROL!$C$9, $C$13, 100%, $E$13) + CHOOSE(CONTROL!$C$28, 0.0021, 0)</f>
        <v>42.840699999999998</v>
      </c>
      <c r="E422" s="4">
        <f>198.029970527076 * CHOOSE(CONTROL!$C$9, $C$13, 100%, $E$13) + CHOOSE(CONTROL!$C$28, 0.0021, 0)</f>
        <v>198.032070527076</v>
      </c>
    </row>
    <row r="423" spans="1:5" ht="15">
      <c r="A423" s="13">
        <v>54392</v>
      </c>
      <c r="B423" s="4">
        <f>29.9616 * CHOOSE(CONTROL!$C$9, $C$13, 100%, $E$13) + CHOOSE(CONTROL!$C$28, 0.0211, 0)</f>
        <v>29.982700000000001</v>
      </c>
      <c r="C423" s="4">
        <f>29.5983 * CHOOSE(CONTROL!$C$9, $C$13, 100%, $E$13) + CHOOSE(CONTROL!$C$28, 0.0211, 0)</f>
        <v>29.619399999999999</v>
      </c>
      <c r="D423" s="4">
        <f>42.6417 * CHOOSE(CONTROL!$C$9, $C$13, 100%, $E$13) + CHOOSE(CONTROL!$C$28, 0.0021, 0)</f>
        <v>42.643799999999999</v>
      </c>
      <c r="E423" s="4">
        <f>193.646552160271 * CHOOSE(CONTROL!$C$9, $C$13, 100%, $E$13) + CHOOSE(CONTROL!$C$28, 0.0021, 0)</f>
        <v>193.64865216027101</v>
      </c>
    </row>
    <row r="424" spans="1:5" ht="15">
      <c r="A424" s="13">
        <v>54423</v>
      </c>
      <c r="B424" s="4">
        <f>29.5045 * CHOOSE(CONTROL!$C$9, $C$13, 100%, $E$13) + CHOOSE(CONTROL!$C$28, 0.0211, 0)</f>
        <v>29.525600000000001</v>
      </c>
      <c r="C424" s="4">
        <f>29.1412 * CHOOSE(CONTROL!$C$9, $C$13, 100%, $E$13) + CHOOSE(CONTROL!$C$28, 0.0211, 0)</f>
        <v>29.162300000000002</v>
      </c>
      <c r="D424" s="4">
        <f>41.1923 * CHOOSE(CONTROL!$C$9, $C$13, 100%, $E$13) + CHOOSE(CONTROL!$C$28, 0.0021, 0)</f>
        <v>41.194400000000002</v>
      </c>
      <c r="E424" s="4">
        <f>190.613790114428 * CHOOSE(CONTROL!$C$9, $C$13, 100%, $E$13) + CHOOSE(CONTROL!$C$28, 0.0021, 0)</f>
        <v>190.61589011442803</v>
      </c>
    </row>
    <row r="425" spans="1:5" ht="15">
      <c r="A425" s="13">
        <v>54454</v>
      </c>
      <c r="B425" s="4">
        <f>28.2538 * CHOOSE(CONTROL!$C$9, $C$13, 100%, $E$13) + CHOOSE(CONTROL!$C$28, 0.0211, 0)</f>
        <v>28.274899999999999</v>
      </c>
      <c r="C425" s="4">
        <f>27.8905 * CHOOSE(CONTROL!$C$9, $C$13, 100%, $E$13) + CHOOSE(CONTROL!$C$28, 0.0211, 0)</f>
        <v>27.9116</v>
      </c>
      <c r="D425" s="4">
        <f>39.5957 * CHOOSE(CONTROL!$C$9, $C$13, 100%, $E$13) + CHOOSE(CONTROL!$C$28, 0.0021, 0)</f>
        <v>39.597799999999999</v>
      </c>
      <c r="E425" s="4">
        <f>182.673951214159 * CHOOSE(CONTROL!$C$9, $C$13, 100%, $E$13) + CHOOSE(CONTROL!$C$28, 0.0021, 0)</f>
        <v>182.676051214159</v>
      </c>
    </row>
    <row r="426" spans="1:5" ht="15">
      <c r="A426" s="13">
        <v>54482</v>
      </c>
      <c r="B426" s="4">
        <f>28.9063 * CHOOSE(CONTROL!$C$9, $C$13, 100%, $E$13) + CHOOSE(CONTROL!$C$28, 0.0211, 0)</f>
        <v>28.927400000000002</v>
      </c>
      <c r="C426" s="4">
        <f>28.543 * CHOOSE(CONTROL!$C$9, $C$13, 100%, $E$13) + CHOOSE(CONTROL!$C$28, 0.0211, 0)</f>
        <v>28.5641</v>
      </c>
      <c r="D426" s="4">
        <f>40.9278 * CHOOSE(CONTROL!$C$9, $C$13, 100%, $E$13) + CHOOSE(CONTROL!$C$28, 0.0021, 0)</f>
        <v>40.929899999999996</v>
      </c>
      <c r="E426" s="4">
        <f>187.011350717482 * CHOOSE(CONTROL!$C$9, $C$13, 100%, $E$13) + CHOOSE(CONTROL!$C$28, 0.0021, 0)</f>
        <v>187.01345071748202</v>
      </c>
    </row>
    <row r="427" spans="1:5" ht="15">
      <c r="A427" s="13">
        <v>54513</v>
      </c>
      <c r="B427" s="4">
        <f>30.6198 * CHOOSE(CONTROL!$C$9, $C$13, 100%, $E$13) + CHOOSE(CONTROL!$C$28, 0.0211, 0)</f>
        <v>30.640900000000002</v>
      </c>
      <c r="C427" s="4">
        <f>30.2565 * CHOOSE(CONTROL!$C$9, $C$13, 100%, $E$13) + CHOOSE(CONTROL!$C$28, 0.0211, 0)</f>
        <v>30.2776</v>
      </c>
      <c r="D427" s="4">
        <f>43.0132 * CHOOSE(CONTROL!$C$9, $C$13, 100%, $E$13) + CHOOSE(CONTROL!$C$28, 0.0021, 0)</f>
        <v>43.015299999999996</v>
      </c>
      <c r="E427" s="4">
        <f>198.401592316616 * CHOOSE(CONTROL!$C$9, $C$13, 100%, $E$13) + CHOOSE(CONTROL!$C$28, 0.0021, 0)</f>
        <v>198.403692316616</v>
      </c>
    </row>
    <row r="428" spans="1:5" ht="15">
      <c r="A428" s="13">
        <v>54543</v>
      </c>
      <c r="B428" s="4">
        <f>31.8372 * CHOOSE(CONTROL!$C$9, $C$13, 100%, $E$13) + CHOOSE(CONTROL!$C$28, 0.0211, 0)</f>
        <v>31.8583</v>
      </c>
      <c r="C428" s="4">
        <f>31.4739 * CHOOSE(CONTROL!$C$9, $C$13, 100%, $E$13) + CHOOSE(CONTROL!$C$28, 0.0211, 0)</f>
        <v>31.495000000000001</v>
      </c>
      <c r="D428" s="4">
        <f>44.2144 * CHOOSE(CONTROL!$C$9, $C$13, 100%, $E$13) + CHOOSE(CONTROL!$C$28, 0.0021, 0)</f>
        <v>44.216499999999996</v>
      </c>
      <c r="E428" s="4">
        <f>206.494510767729 * CHOOSE(CONTROL!$C$9, $C$13, 100%, $E$13) + CHOOSE(CONTROL!$C$28, 0.0021, 0)</f>
        <v>206.49661076772901</v>
      </c>
    </row>
    <row r="429" spans="1:5" ht="15">
      <c r="A429" s="13">
        <v>54574</v>
      </c>
      <c r="B429" s="4">
        <f>32.581 * CHOOSE(CONTROL!$C$9, $C$13, 100%, $E$13) + CHOOSE(CONTROL!$C$28, 0.0415, 0)</f>
        <v>32.622500000000002</v>
      </c>
      <c r="C429" s="4">
        <f>32.2178 * CHOOSE(CONTROL!$C$9, $C$13, 100%, $E$13) + CHOOSE(CONTROL!$C$28, 0.0415, 0)</f>
        <v>32.259299999999996</v>
      </c>
      <c r="D429" s="4">
        <f>43.7397 * CHOOSE(CONTROL!$C$9, $C$13, 100%, $E$13) + CHOOSE(CONTROL!$C$28, 0.0021, 0)</f>
        <v>43.741799999999998</v>
      </c>
      <c r="E429" s="4">
        <f>211.439089981174 * CHOOSE(CONTROL!$C$9, $C$13, 100%, $E$13) + CHOOSE(CONTROL!$C$28, 0.0021, 0)</f>
        <v>211.44118998117401</v>
      </c>
    </row>
    <row r="430" spans="1:5" ht="15">
      <c r="A430" s="13">
        <v>54604</v>
      </c>
      <c r="B430" s="4">
        <f>32.6817 * CHOOSE(CONTROL!$C$9, $C$13, 100%, $E$13) + CHOOSE(CONTROL!$C$28, 0.0415, 0)</f>
        <v>32.723199999999999</v>
      </c>
      <c r="C430" s="4">
        <f>32.3184 * CHOOSE(CONTROL!$C$9, $C$13, 100%, $E$13) + CHOOSE(CONTROL!$C$28, 0.0415, 0)</f>
        <v>32.359899999999996</v>
      </c>
      <c r="D430" s="4">
        <f>44.1263 * CHOOSE(CONTROL!$C$9, $C$13, 100%, $E$13) + CHOOSE(CONTROL!$C$28, 0.0021, 0)</f>
        <v>44.128399999999999</v>
      </c>
      <c r="E430" s="4">
        <f>212.108112069178 * CHOOSE(CONTROL!$C$9, $C$13, 100%, $E$13) + CHOOSE(CONTROL!$C$28, 0.0021, 0)</f>
        <v>212.110212069178</v>
      </c>
    </row>
    <row r="431" spans="1:5" ht="15">
      <c r="A431" s="13">
        <v>54635</v>
      </c>
      <c r="B431" s="4">
        <f>32.6715 * CHOOSE(CONTROL!$C$9, $C$13, 100%, $E$13) + CHOOSE(CONTROL!$C$28, 0.0415, 0)</f>
        <v>32.713000000000001</v>
      </c>
      <c r="C431" s="4">
        <f>32.3083 * CHOOSE(CONTROL!$C$9, $C$13, 100%, $E$13) + CHOOSE(CONTROL!$C$28, 0.0415, 0)</f>
        <v>32.349800000000002</v>
      </c>
      <c r="D431" s="4">
        <f>44.8238 * CHOOSE(CONTROL!$C$9, $C$13, 100%, $E$13) + CHOOSE(CONTROL!$C$28, 0.0021, 0)</f>
        <v>44.825899999999997</v>
      </c>
      <c r="E431" s="4">
        <f>212.040647656943 * CHOOSE(CONTROL!$C$9, $C$13, 100%, $E$13) + CHOOSE(CONTROL!$C$28, 0.0021, 0)</f>
        <v>212.04274765694302</v>
      </c>
    </row>
    <row r="432" spans="1:5" ht="15">
      <c r="A432" s="13">
        <v>54666</v>
      </c>
      <c r="B432" s="4">
        <f>33.4352 * CHOOSE(CONTROL!$C$9, $C$13, 100%, $E$13) + CHOOSE(CONTROL!$C$28, 0.0415, 0)</f>
        <v>33.476700000000001</v>
      </c>
      <c r="C432" s="4">
        <f>33.072 * CHOOSE(CONTROL!$C$9, $C$13, 100%, $E$13) + CHOOSE(CONTROL!$C$28, 0.0415, 0)</f>
        <v>33.113500000000002</v>
      </c>
      <c r="D432" s="4">
        <f>44.3632 * CHOOSE(CONTROL!$C$9, $C$13, 100%, $E$13) + CHOOSE(CONTROL!$C$28, 0.0021, 0)</f>
        <v>44.365299999999998</v>
      </c>
      <c r="E432" s="4">
        <f>217.117344677682 * CHOOSE(CONTROL!$C$9, $C$13, 100%, $E$13) + CHOOSE(CONTROL!$C$28, 0.0021, 0)</f>
        <v>217.11944467768203</v>
      </c>
    </row>
    <row r="433" spans="1:5" ht="15">
      <c r="A433" s="13">
        <v>54696</v>
      </c>
      <c r="B433" s="4">
        <f>32.1336 * CHOOSE(CONTROL!$C$9, $C$13, 100%, $E$13) + CHOOSE(CONTROL!$C$28, 0.0415, 0)</f>
        <v>32.1751</v>
      </c>
      <c r="C433" s="4">
        <f>31.7704 * CHOOSE(CONTROL!$C$9, $C$13, 100%, $E$13) + CHOOSE(CONTROL!$C$28, 0.0415, 0)</f>
        <v>31.811899999999998</v>
      </c>
      <c r="D433" s="4">
        <f>44.1455 * CHOOSE(CONTROL!$C$9, $C$13, 100%, $E$13) + CHOOSE(CONTROL!$C$28, 0.0021, 0)</f>
        <v>44.147599999999997</v>
      </c>
      <c r="E433" s="4">
        <f>208.465033808448 * CHOOSE(CONTROL!$C$9, $C$13, 100%, $E$13) + CHOOSE(CONTROL!$C$28, 0.0021, 0)</f>
        <v>208.46713380844801</v>
      </c>
    </row>
    <row r="434" spans="1:5" ht="15">
      <c r="A434" s="13">
        <v>54727</v>
      </c>
      <c r="B434" s="4">
        <f>31.0917 * CHOOSE(CONTROL!$C$9, $C$13, 100%, $E$13) + CHOOSE(CONTROL!$C$28, 0.0211, 0)</f>
        <v>31.1128</v>
      </c>
      <c r="C434" s="4">
        <f>30.7284 * CHOOSE(CONTROL!$C$9, $C$13, 100%, $E$13) + CHOOSE(CONTROL!$C$28, 0.0211, 0)</f>
        <v>30.749500000000001</v>
      </c>
      <c r="D434" s="4">
        <f>43.5628 * CHOOSE(CONTROL!$C$9, $C$13, 100%, $E$13) + CHOOSE(CONTROL!$C$28, 0.0021, 0)</f>
        <v>43.564900000000002</v>
      </c>
      <c r="E434" s="4">
        <f>201.538687485578 * CHOOSE(CONTROL!$C$9, $C$13, 100%, $E$13) + CHOOSE(CONTROL!$C$28, 0.0021, 0)</f>
        <v>201.54078748557802</v>
      </c>
    </row>
    <row r="435" spans="1:5" ht="15">
      <c r="A435" s="13">
        <v>54757</v>
      </c>
      <c r="B435" s="4">
        <f>30.4206 * CHOOSE(CONTROL!$C$9, $C$13, 100%, $E$13) + CHOOSE(CONTROL!$C$28, 0.0211, 0)</f>
        <v>30.441700000000001</v>
      </c>
      <c r="C435" s="4">
        <f>30.0573 * CHOOSE(CONTROL!$C$9, $C$13, 100%, $E$13) + CHOOSE(CONTROL!$C$28, 0.0211, 0)</f>
        <v>30.078400000000002</v>
      </c>
      <c r="D435" s="4">
        <f>43.3624 * CHOOSE(CONTROL!$C$9, $C$13, 100%, $E$13) + CHOOSE(CONTROL!$C$28, 0.0021, 0)</f>
        <v>43.3645</v>
      </c>
      <c r="E435" s="4">
        <f>197.07760322649 * CHOOSE(CONTROL!$C$9, $C$13, 100%, $E$13) + CHOOSE(CONTROL!$C$28, 0.0021, 0)</f>
        <v>197.07970322649001</v>
      </c>
    </row>
    <row r="436" spans="1:5" ht="15">
      <c r="A436" s="13">
        <v>54788</v>
      </c>
      <c r="B436" s="4">
        <f>29.9563 * CHOOSE(CONTROL!$C$9, $C$13, 100%, $E$13) + CHOOSE(CONTROL!$C$28, 0.0211, 0)</f>
        <v>29.977399999999999</v>
      </c>
      <c r="C436" s="4">
        <f>29.593 * CHOOSE(CONTROL!$C$9, $C$13, 100%, $E$13) + CHOOSE(CONTROL!$C$28, 0.0211, 0)</f>
        <v>29.614100000000001</v>
      </c>
      <c r="D436" s="4">
        <f>41.8874 * CHOOSE(CONTROL!$C$9, $C$13, 100%, $E$13) + CHOOSE(CONTROL!$C$28, 0.0021, 0)</f>
        <v>41.889499999999998</v>
      </c>
      <c r="E436" s="4">
        <f>193.991106366705 * CHOOSE(CONTROL!$C$9, $C$13, 100%, $E$13) + CHOOSE(CONTROL!$C$28, 0.0021, 0)</f>
        <v>193.99320636670501</v>
      </c>
    </row>
    <row r="437" spans="1:5" ht="15">
      <c r="A437" s="13">
        <v>54819</v>
      </c>
      <c r="B437" s="4">
        <f>28.6859 * CHOOSE(CONTROL!$C$9, $C$13, 100%, $E$13) + CHOOSE(CONTROL!$C$28, 0.0211, 0)</f>
        <v>28.707000000000001</v>
      </c>
      <c r="C437" s="4">
        <f>28.3226 * CHOOSE(CONTROL!$C$9, $C$13, 100%, $E$13) + CHOOSE(CONTROL!$C$28, 0.0211, 0)</f>
        <v>28.343700000000002</v>
      </c>
      <c r="D437" s="4">
        <f>40.2625 * CHOOSE(CONTROL!$C$9, $C$13, 100%, $E$13) + CHOOSE(CONTROL!$C$28, 0.0021, 0)</f>
        <v>40.264600000000002</v>
      </c>
      <c r="E437" s="4">
        <f>185.910588521106 * CHOOSE(CONTROL!$C$9, $C$13, 100%, $E$13) + CHOOSE(CONTROL!$C$28, 0.0021, 0)</f>
        <v>185.91268852110602</v>
      </c>
    </row>
    <row r="438" spans="1:5" ht="15">
      <c r="A438" s="13">
        <v>54847</v>
      </c>
      <c r="B438" s="4">
        <f>29.3487 * CHOOSE(CONTROL!$C$9, $C$13, 100%, $E$13) + CHOOSE(CONTROL!$C$28, 0.0211, 0)</f>
        <v>29.369800000000001</v>
      </c>
      <c r="C438" s="4">
        <f>28.9854 * CHOOSE(CONTROL!$C$9, $C$13, 100%, $E$13) + CHOOSE(CONTROL!$C$28, 0.0211, 0)</f>
        <v>29.006499999999999</v>
      </c>
      <c r="D438" s="4">
        <f>41.6182 * CHOOSE(CONTROL!$C$9, $C$13, 100%, $E$13) + CHOOSE(CONTROL!$C$28, 0.0021, 0)</f>
        <v>41.6203</v>
      </c>
      <c r="E438" s="4">
        <f>190.324838549391 * CHOOSE(CONTROL!$C$9, $C$13, 100%, $E$13) + CHOOSE(CONTROL!$C$28, 0.0021, 0)</f>
        <v>190.326938549391</v>
      </c>
    </row>
    <row r="439" spans="1:5" ht="15">
      <c r="A439" s="13">
        <v>54878</v>
      </c>
      <c r="B439" s="4">
        <f>31.0891 * CHOOSE(CONTROL!$C$9, $C$13, 100%, $E$13) + CHOOSE(CONTROL!$C$28, 0.0211, 0)</f>
        <v>31.110199999999999</v>
      </c>
      <c r="C439" s="4">
        <f>30.7258 * CHOOSE(CONTROL!$C$9, $C$13, 100%, $E$13) + CHOOSE(CONTROL!$C$28, 0.0211, 0)</f>
        <v>30.7469</v>
      </c>
      <c r="D439" s="4">
        <f>43.7404 * CHOOSE(CONTROL!$C$9, $C$13, 100%, $E$13) + CHOOSE(CONTROL!$C$28, 0.0021, 0)</f>
        <v>43.7425</v>
      </c>
      <c r="E439" s="4">
        <f>201.916893711159 * CHOOSE(CONTROL!$C$9, $C$13, 100%, $E$13) + CHOOSE(CONTROL!$C$28, 0.0021, 0)</f>
        <v>201.918993711159</v>
      </c>
    </row>
    <row r="440" spans="1:5" ht="15">
      <c r="A440" s="13">
        <v>54908</v>
      </c>
      <c r="B440" s="4">
        <f>32.3257 * CHOOSE(CONTROL!$C$9, $C$13, 100%, $E$13) + CHOOSE(CONTROL!$C$28, 0.0211, 0)</f>
        <v>32.346799999999995</v>
      </c>
      <c r="C440" s="4">
        <f>31.9624 * CHOOSE(CONTROL!$C$9, $C$13, 100%, $E$13) + CHOOSE(CONTROL!$C$28, 0.0211, 0)</f>
        <v>31.983499999999999</v>
      </c>
      <c r="D440" s="4">
        <f>44.9629 * CHOOSE(CONTROL!$C$9, $C$13, 100%, $E$13) + CHOOSE(CONTROL!$C$28, 0.0021, 0)</f>
        <v>44.964999999999996</v>
      </c>
      <c r="E440" s="4">
        <f>210.153203388043 * CHOOSE(CONTROL!$C$9, $C$13, 100%, $E$13) + CHOOSE(CONTROL!$C$28, 0.0021, 0)</f>
        <v>210.15530338804302</v>
      </c>
    </row>
    <row r="441" spans="1:5" ht="15">
      <c r="A441" s="13">
        <v>54939</v>
      </c>
      <c r="B441" s="4">
        <f>33.0812 * CHOOSE(CONTROL!$C$9, $C$13, 100%, $E$13) + CHOOSE(CONTROL!$C$28, 0.0415, 0)</f>
        <v>33.122700000000002</v>
      </c>
      <c r="C441" s="4">
        <f>32.7179 * CHOOSE(CONTROL!$C$9, $C$13, 100%, $E$13) + CHOOSE(CONTROL!$C$28, 0.0415, 0)</f>
        <v>32.759399999999999</v>
      </c>
      <c r="D441" s="4">
        <f>44.4798 * CHOOSE(CONTROL!$C$9, $C$13, 100%, $E$13) + CHOOSE(CONTROL!$C$28, 0.0021, 0)</f>
        <v>44.481899999999996</v>
      </c>
      <c r="E441" s="4">
        <f>215.185391203825 * CHOOSE(CONTROL!$C$9, $C$13, 100%, $E$13) + CHOOSE(CONTROL!$C$28, 0.0021, 0)</f>
        <v>215.187491203825</v>
      </c>
    </row>
    <row r="442" spans="1:5" ht="15">
      <c r="A442" s="13">
        <v>54969</v>
      </c>
      <c r="B442" s="4">
        <f>33.1834 * CHOOSE(CONTROL!$C$9, $C$13, 100%, $E$13) + CHOOSE(CONTROL!$C$28, 0.0415, 0)</f>
        <v>33.224899999999998</v>
      </c>
      <c r="C442" s="4">
        <f>32.8202 * CHOOSE(CONTROL!$C$9, $C$13, 100%, $E$13) + CHOOSE(CONTROL!$C$28, 0.0415, 0)</f>
        <v>32.861699999999999</v>
      </c>
      <c r="D442" s="4">
        <f>44.8732 * CHOOSE(CONTROL!$C$9, $C$13, 100%, $E$13) + CHOOSE(CONTROL!$C$28, 0.0021, 0)</f>
        <v>44.875299999999996</v>
      </c>
      <c r="E442" s="4">
        <f>215.866267099309 * CHOOSE(CONTROL!$C$9, $C$13, 100%, $E$13) + CHOOSE(CONTROL!$C$28, 0.0021, 0)</f>
        <v>215.86836709930901</v>
      </c>
    </row>
    <row r="443" spans="1:5" ht="15">
      <c r="A443" s="13">
        <v>55000</v>
      </c>
      <c r="B443" s="4">
        <f>33.1731 * CHOOSE(CONTROL!$C$9, $C$13, 100%, $E$13) + CHOOSE(CONTROL!$C$28, 0.0415, 0)</f>
        <v>33.214599999999997</v>
      </c>
      <c r="C443" s="4">
        <f>32.8099 * CHOOSE(CONTROL!$C$9, $C$13, 100%, $E$13) + CHOOSE(CONTROL!$C$28, 0.0415, 0)</f>
        <v>32.851399999999998</v>
      </c>
      <c r="D443" s="4">
        <f>45.5831 * CHOOSE(CONTROL!$C$9, $C$13, 100%, $E$13) + CHOOSE(CONTROL!$C$28, 0.0021, 0)</f>
        <v>45.5852</v>
      </c>
      <c r="E443" s="4">
        <f>215.797607345143 * CHOOSE(CONTROL!$C$9, $C$13, 100%, $E$13) + CHOOSE(CONTROL!$C$28, 0.0021, 0)</f>
        <v>215.79970734514302</v>
      </c>
    </row>
    <row r="444" spans="1:5" ht="15">
      <c r="A444" s="13">
        <v>55031</v>
      </c>
      <c r="B444" s="4">
        <f>33.9488 * CHOOSE(CONTROL!$C$9, $C$13, 100%, $E$13) + CHOOSE(CONTROL!$C$28, 0.0415, 0)</f>
        <v>33.990299999999998</v>
      </c>
      <c r="C444" s="4">
        <f>33.5856 * CHOOSE(CONTROL!$C$9, $C$13, 100%, $E$13) + CHOOSE(CONTROL!$C$28, 0.0415, 0)</f>
        <v>33.627099999999999</v>
      </c>
      <c r="D444" s="4">
        <f>45.1143 * CHOOSE(CONTROL!$C$9, $C$13, 100%, $E$13) + CHOOSE(CONTROL!$C$28, 0.0021, 0)</f>
        <v>45.116399999999999</v>
      </c>
      <c r="E444" s="4">
        <f>220.964253846168 * CHOOSE(CONTROL!$C$9, $C$13, 100%, $E$13) + CHOOSE(CONTROL!$C$28, 0.0021, 0)</f>
        <v>220.966353846168</v>
      </c>
    </row>
    <row r="445" spans="1:5" ht="15">
      <c r="A445" s="13">
        <v>55061</v>
      </c>
      <c r="B445" s="4">
        <f>32.6268 * CHOOSE(CONTROL!$C$9, $C$13, 100%, $E$13) + CHOOSE(CONTROL!$C$28, 0.0415, 0)</f>
        <v>32.668300000000002</v>
      </c>
      <c r="C445" s="4">
        <f>32.2635 * CHOOSE(CONTROL!$C$9, $C$13, 100%, $E$13) + CHOOSE(CONTROL!$C$28, 0.0415, 0)</f>
        <v>32.305</v>
      </c>
      <c r="D445" s="4">
        <f>44.8928 * CHOOSE(CONTROL!$C$9, $C$13, 100%, $E$13) + CHOOSE(CONTROL!$C$28, 0.0021, 0)</f>
        <v>44.8949</v>
      </c>
      <c r="E445" s="4">
        <f>212.158640374321 * CHOOSE(CONTROL!$C$9, $C$13, 100%, $E$13) + CHOOSE(CONTROL!$C$28, 0.0021, 0)</f>
        <v>212.16074037432102</v>
      </c>
    </row>
    <row r="446" spans="1:5" ht="15">
      <c r="A446" s="13">
        <v>55092</v>
      </c>
      <c r="B446" s="4">
        <f>31.5684 * CHOOSE(CONTROL!$C$9, $C$13, 100%, $E$13) + CHOOSE(CONTROL!$C$28, 0.0211, 0)</f>
        <v>31.589500000000001</v>
      </c>
      <c r="C446" s="4">
        <f>31.2052 * CHOOSE(CONTROL!$C$9, $C$13, 100%, $E$13) + CHOOSE(CONTROL!$C$28, 0.0211, 0)</f>
        <v>31.226300000000002</v>
      </c>
      <c r="D446" s="4">
        <f>44.2997 * CHOOSE(CONTROL!$C$9, $C$13, 100%, $E$13) + CHOOSE(CONTROL!$C$28, 0.0021, 0)</f>
        <v>44.3018</v>
      </c>
      <c r="E446" s="4">
        <f>205.109572279899 * CHOOSE(CONTROL!$C$9, $C$13, 100%, $E$13) + CHOOSE(CONTROL!$C$28, 0.0021, 0)</f>
        <v>205.11167227989901</v>
      </c>
    </row>
    <row r="447" spans="1:5" ht="15">
      <c r="A447" s="13">
        <v>55122</v>
      </c>
      <c r="B447" s="4">
        <f>30.8868 * CHOOSE(CONTROL!$C$9, $C$13, 100%, $E$13) + CHOOSE(CONTROL!$C$28, 0.0211, 0)</f>
        <v>30.907900000000001</v>
      </c>
      <c r="C447" s="4">
        <f>30.5235 * CHOOSE(CONTROL!$C$9, $C$13, 100%, $E$13) + CHOOSE(CONTROL!$C$28, 0.0211, 0)</f>
        <v>30.544599999999999</v>
      </c>
      <c r="D447" s="4">
        <f>44.0958 * CHOOSE(CONTROL!$C$9, $C$13, 100%, $E$13) + CHOOSE(CONTROL!$C$28, 0.0021, 0)</f>
        <v>44.097899999999996</v>
      </c>
      <c r="E447" s="4">
        <f>200.569446035643 * CHOOSE(CONTROL!$C$9, $C$13, 100%, $E$13) + CHOOSE(CONTROL!$C$28, 0.0021, 0)</f>
        <v>200.57154603564302</v>
      </c>
    </row>
    <row r="448" spans="1:5" ht="15">
      <c r="A448" s="13">
        <v>55153</v>
      </c>
      <c r="B448" s="4">
        <f>30.4152 * CHOOSE(CONTROL!$C$9, $C$13, 100%, $E$13) + CHOOSE(CONTROL!$C$28, 0.0211, 0)</f>
        <v>30.436299999999999</v>
      </c>
      <c r="C448" s="4">
        <f>30.0519 * CHOOSE(CONTROL!$C$9, $C$13, 100%, $E$13) + CHOOSE(CONTROL!$C$28, 0.0211, 0)</f>
        <v>30.073</v>
      </c>
      <c r="D448" s="4">
        <f>42.5948 * CHOOSE(CONTROL!$C$9, $C$13, 100%, $E$13) + CHOOSE(CONTROL!$C$28, 0.0021, 0)</f>
        <v>42.596899999999998</v>
      </c>
      <c r="E448" s="4">
        <f>197.428262282528 * CHOOSE(CONTROL!$C$9, $C$13, 100%, $E$13) + CHOOSE(CONTROL!$C$28, 0.0021, 0)</f>
        <v>197.43036228252802</v>
      </c>
    </row>
    <row r="449" spans="1:5" ht="15">
      <c r="A449" s="13">
        <v>55184</v>
      </c>
      <c r="B449" s="4">
        <f>29.1248 * CHOOSE(CONTROL!$C$9, $C$13, 100%, $E$13) + CHOOSE(CONTROL!$C$28, 0.0211, 0)</f>
        <v>29.145900000000001</v>
      </c>
      <c r="C449" s="4">
        <f>28.7616 * CHOOSE(CONTROL!$C$9, $C$13, 100%, $E$13) + CHOOSE(CONTROL!$C$28, 0.0211, 0)</f>
        <v>28.782700000000002</v>
      </c>
      <c r="D449" s="4">
        <f>40.9412 * CHOOSE(CONTROL!$C$9, $C$13, 100%, $E$13) + CHOOSE(CONTROL!$C$28, 0.0021, 0)</f>
        <v>40.943300000000001</v>
      </c>
      <c r="E449" s="4">
        <f>189.204572926462 * CHOOSE(CONTROL!$C$9, $C$13, 100%, $E$13) + CHOOSE(CONTROL!$C$28, 0.0021, 0)</f>
        <v>189.20667292646201</v>
      </c>
    </row>
    <row r="450" spans="1:5" ht="15">
      <c r="A450" s="13">
        <v>55212</v>
      </c>
      <c r="B450" s="4">
        <f>29.798 * CHOOSE(CONTROL!$C$9, $C$13, 100%, $E$13) + CHOOSE(CONTROL!$C$28, 0.0211, 0)</f>
        <v>29.819099999999999</v>
      </c>
      <c r="C450" s="4">
        <f>29.4347 * CHOOSE(CONTROL!$C$9, $C$13, 100%, $E$13) + CHOOSE(CONTROL!$C$28, 0.0211, 0)</f>
        <v>29.4558</v>
      </c>
      <c r="D450" s="4">
        <f>42.3208 * CHOOSE(CONTROL!$C$9, $C$13, 100%, $E$13) + CHOOSE(CONTROL!$C$28, 0.0021, 0)</f>
        <v>42.322899999999997</v>
      </c>
      <c r="E450" s="4">
        <f>193.697035125824 * CHOOSE(CONTROL!$C$9, $C$13, 100%, $E$13) + CHOOSE(CONTROL!$C$28, 0.0021, 0)</f>
        <v>193.699135125824</v>
      </c>
    </row>
    <row r="451" spans="1:5" ht="15">
      <c r="A451" s="13">
        <v>55243</v>
      </c>
      <c r="B451" s="4">
        <f>31.5658 * CHOOSE(CONTROL!$C$9, $C$13, 100%, $E$13) + CHOOSE(CONTROL!$C$28, 0.0211, 0)</f>
        <v>31.5869</v>
      </c>
      <c r="C451" s="4">
        <f>31.2025 * CHOOSE(CONTROL!$C$9, $C$13, 100%, $E$13) + CHOOSE(CONTROL!$C$28, 0.0211, 0)</f>
        <v>31.223600000000001</v>
      </c>
      <c r="D451" s="4">
        <f>44.4805 * CHOOSE(CONTROL!$C$9, $C$13, 100%, $E$13) + CHOOSE(CONTROL!$C$28, 0.0021, 0)</f>
        <v>44.482599999999998</v>
      </c>
      <c r="E451" s="4">
        <f>205.494479605288 * CHOOSE(CONTROL!$C$9, $C$13, 100%, $E$13) + CHOOSE(CONTROL!$C$28, 0.0021, 0)</f>
        <v>205.49657960528802</v>
      </c>
    </row>
    <row r="452" spans="1:5" ht="15">
      <c r="A452" s="13">
        <v>55273</v>
      </c>
      <c r="B452" s="4">
        <f>32.8218 * CHOOSE(CONTROL!$C$9, $C$13, 100%, $E$13) + CHOOSE(CONTROL!$C$28, 0.0211, 0)</f>
        <v>32.8429</v>
      </c>
      <c r="C452" s="4">
        <f>32.4586 * CHOOSE(CONTROL!$C$9, $C$13, 100%, $E$13) + CHOOSE(CONTROL!$C$28, 0.0211, 0)</f>
        <v>32.479699999999994</v>
      </c>
      <c r="D452" s="4">
        <f>45.7246 * CHOOSE(CONTROL!$C$9, $C$13, 100%, $E$13) + CHOOSE(CONTROL!$C$28, 0.0021, 0)</f>
        <v>45.726700000000001</v>
      </c>
      <c r="E452" s="4">
        <f>213.876721129568 * CHOOSE(CONTROL!$C$9, $C$13, 100%, $E$13) + CHOOSE(CONTROL!$C$28, 0.0021, 0)</f>
        <v>213.87882112956802</v>
      </c>
    </row>
    <row r="453" spans="1:5" ht="15">
      <c r="A453" s="13">
        <v>55304</v>
      </c>
      <c r="B453" s="4">
        <f>33.5893 * CHOOSE(CONTROL!$C$9, $C$13, 100%, $E$13) + CHOOSE(CONTROL!$C$28, 0.0415, 0)</f>
        <v>33.630800000000001</v>
      </c>
      <c r="C453" s="4">
        <f>33.226 * CHOOSE(CONTROL!$C$9, $C$13, 100%, $E$13) + CHOOSE(CONTROL!$C$28, 0.0415, 0)</f>
        <v>33.267499999999998</v>
      </c>
      <c r="D453" s="4">
        <f>45.233 * CHOOSE(CONTROL!$C$9, $C$13, 100%, $E$13) + CHOOSE(CONTROL!$C$28, 0.0021, 0)</f>
        <v>45.235099999999996</v>
      </c>
      <c r="E453" s="4">
        <f>218.998069806611 * CHOOSE(CONTROL!$C$9, $C$13, 100%, $E$13) + CHOOSE(CONTROL!$C$28, 0.0021, 0)</f>
        <v>219.00016980661101</v>
      </c>
    </row>
    <row r="454" spans="1:5" ht="15">
      <c r="A454" s="13">
        <v>55334</v>
      </c>
      <c r="B454" s="4">
        <f>33.6931 * CHOOSE(CONTROL!$C$9, $C$13, 100%, $E$13) + CHOOSE(CONTROL!$C$28, 0.0415, 0)</f>
        <v>33.7346</v>
      </c>
      <c r="C454" s="4">
        <f>33.3298 * CHOOSE(CONTROL!$C$9, $C$13, 100%, $E$13) + CHOOSE(CONTROL!$C$28, 0.0415, 0)</f>
        <v>33.371299999999998</v>
      </c>
      <c r="D454" s="4">
        <f>45.6333 * CHOOSE(CONTROL!$C$9, $C$13, 100%, $E$13) + CHOOSE(CONTROL!$C$28, 0.0021, 0)</f>
        <v>45.635399999999997</v>
      </c>
      <c r="E454" s="4">
        <f>219.691009536648 * CHOOSE(CONTROL!$C$9, $C$13, 100%, $E$13) + CHOOSE(CONTROL!$C$28, 0.0021, 0)</f>
        <v>219.69310953664802</v>
      </c>
    </row>
    <row r="455" spans="1:5" ht="15">
      <c r="A455" s="13">
        <v>55365</v>
      </c>
      <c r="B455" s="4">
        <f>33.6826 * CHOOSE(CONTROL!$C$9, $C$13, 100%, $E$13) + CHOOSE(CONTROL!$C$28, 0.0415, 0)</f>
        <v>33.7241</v>
      </c>
      <c r="C455" s="4">
        <f>33.3193 * CHOOSE(CONTROL!$C$9, $C$13, 100%, $E$13) + CHOOSE(CONTROL!$C$28, 0.0415, 0)</f>
        <v>33.360799999999998</v>
      </c>
      <c r="D455" s="4">
        <f>46.3557 * CHOOSE(CONTROL!$C$9, $C$13, 100%, $E$13) + CHOOSE(CONTROL!$C$28, 0.0021, 0)</f>
        <v>46.357799999999997</v>
      </c>
      <c r="E455" s="4">
        <f>219.62113326135 * CHOOSE(CONTROL!$C$9, $C$13, 100%, $E$13) + CHOOSE(CONTROL!$C$28, 0.0021, 0)</f>
        <v>219.62323326135001</v>
      </c>
    </row>
    <row r="456" spans="1:5" ht="15">
      <c r="A456" s="13">
        <v>55396</v>
      </c>
      <c r="B456" s="4">
        <f>34.4705 * CHOOSE(CONTROL!$C$9, $C$13, 100%, $E$13) + CHOOSE(CONTROL!$C$28, 0.0415, 0)</f>
        <v>34.512</v>
      </c>
      <c r="C456" s="4">
        <f>34.1072 * CHOOSE(CONTROL!$C$9, $C$13, 100%, $E$13) + CHOOSE(CONTROL!$C$28, 0.0415, 0)</f>
        <v>34.148699999999998</v>
      </c>
      <c r="D456" s="4">
        <f>45.8786 * CHOOSE(CONTROL!$C$9, $C$13, 100%, $E$13) + CHOOSE(CONTROL!$C$28, 0.0021, 0)</f>
        <v>45.880699999999997</v>
      </c>
      <c r="E456" s="4">
        <f>224.879322977519 * CHOOSE(CONTROL!$C$9, $C$13, 100%, $E$13) + CHOOSE(CONTROL!$C$28, 0.0021, 0)</f>
        <v>224.88142297751901</v>
      </c>
    </row>
    <row r="457" spans="1:5" ht="15">
      <c r="A457" s="13">
        <v>55426</v>
      </c>
      <c r="B457" s="4">
        <f>33.1277 * CHOOSE(CONTROL!$C$9, $C$13, 100%, $E$13) + CHOOSE(CONTROL!$C$28, 0.0415, 0)</f>
        <v>33.169199999999996</v>
      </c>
      <c r="C457" s="4">
        <f>32.7644 * CHOOSE(CONTROL!$C$9, $C$13, 100%, $E$13) + CHOOSE(CONTROL!$C$28, 0.0415, 0)</f>
        <v>32.805900000000001</v>
      </c>
      <c r="D457" s="4">
        <f>45.6532 * CHOOSE(CONTROL!$C$9, $C$13, 100%, $E$13) + CHOOSE(CONTROL!$C$28, 0.0021, 0)</f>
        <v>45.655299999999997</v>
      </c>
      <c r="E457" s="4">
        <f>215.917690670561 * CHOOSE(CONTROL!$C$9, $C$13, 100%, $E$13) + CHOOSE(CONTROL!$C$28, 0.0021, 0)</f>
        <v>215.91979067056101</v>
      </c>
    </row>
    <row r="458" spans="1:5" ht="15">
      <c r="A458" s="13">
        <v>55457</v>
      </c>
      <c r="B458" s="4">
        <f>32.0527 * CHOOSE(CONTROL!$C$9, $C$13, 100%, $E$13) + CHOOSE(CONTROL!$C$28, 0.0211, 0)</f>
        <v>32.073799999999999</v>
      </c>
      <c r="C458" s="4">
        <f>31.6894 * CHOOSE(CONTROL!$C$9, $C$13, 100%, $E$13) + CHOOSE(CONTROL!$C$28, 0.0211, 0)</f>
        <v>31.7105</v>
      </c>
      <c r="D458" s="4">
        <f>45.0497 * CHOOSE(CONTROL!$C$9, $C$13, 100%, $E$13) + CHOOSE(CONTROL!$C$28, 0.0021, 0)</f>
        <v>45.0518</v>
      </c>
      <c r="E458" s="4">
        <f>208.743726406641 * CHOOSE(CONTROL!$C$9, $C$13, 100%, $E$13) + CHOOSE(CONTROL!$C$28, 0.0021, 0)</f>
        <v>208.74582640664102</v>
      </c>
    </row>
    <row r="459" spans="1:5" ht="15">
      <c r="A459" s="13">
        <v>55487</v>
      </c>
      <c r="B459" s="4">
        <f>31.3603 * CHOOSE(CONTROL!$C$9, $C$13, 100%, $E$13) + CHOOSE(CONTROL!$C$28, 0.0211, 0)</f>
        <v>31.381399999999999</v>
      </c>
      <c r="C459" s="4">
        <f>30.997 * CHOOSE(CONTROL!$C$9, $C$13, 100%, $E$13) + CHOOSE(CONTROL!$C$28, 0.0211, 0)</f>
        <v>31.0181</v>
      </c>
      <c r="D459" s="4">
        <f>44.8422 * CHOOSE(CONTROL!$C$9, $C$13, 100%, $E$13) + CHOOSE(CONTROL!$C$28, 0.0021, 0)</f>
        <v>44.844299999999997</v>
      </c>
      <c r="E459" s="4">
        <f>204.123157702567 * CHOOSE(CONTROL!$C$9, $C$13, 100%, $E$13) + CHOOSE(CONTROL!$C$28, 0.0021, 0)</f>
        <v>204.12525770256701</v>
      </c>
    </row>
    <row r="460" spans="1:5" ht="15">
      <c r="A460" s="13">
        <v>55518</v>
      </c>
      <c r="B460" s="4">
        <f>30.8813 * CHOOSE(CONTROL!$C$9, $C$13, 100%, $E$13) + CHOOSE(CONTROL!$C$28, 0.0211, 0)</f>
        <v>30.9024</v>
      </c>
      <c r="C460" s="4">
        <f>30.518 * CHOOSE(CONTROL!$C$9, $C$13, 100%, $E$13) + CHOOSE(CONTROL!$C$28, 0.0211, 0)</f>
        <v>30.539100000000001</v>
      </c>
      <c r="D460" s="4">
        <f>43.3146 * CHOOSE(CONTROL!$C$9, $C$13, 100%, $E$13) + CHOOSE(CONTROL!$C$28, 0.0021, 0)</f>
        <v>43.316699999999997</v>
      </c>
      <c r="E460" s="4">
        <f>200.926318107687 * CHOOSE(CONTROL!$C$9, $C$13, 100%, $E$13) + CHOOSE(CONTROL!$C$28, 0.0021, 0)</f>
        <v>200.92841810768701</v>
      </c>
    </row>
    <row r="461" spans="1:5" ht="15">
      <c r="A461" s="13">
        <v>55549</v>
      </c>
      <c r="B461" s="4">
        <f>29.5707 * CHOOSE(CONTROL!$C$9, $C$13, 100%, $E$13) + CHOOSE(CONTROL!$C$28, 0.0211, 0)</f>
        <v>29.591799999999999</v>
      </c>
      <c r="C461" s="4">
        <f>29.2074 * CHOOSE(CONTROL!$C$9, $C$13, 100%, $E$13) + CHOOSE(CONTROL!$C$28, 0.0211, 0)</f>
        <v>29.2285</v>
      </c>
      <c r="D461" s="4">
        <f>41.6318 * CHOOSE(CONTROL!$C$9, $C$13, 100%, $E$13) + CHOOSE(CONTROL!$C$28, 0.0021, 0)</f>
        <v>41.633899999999997</v>
      </c>
      <c r="E461" s="4">
        <f>192.556920512467 * CHOOSE(CONTROL!$C$9, $C$13, 100%, $E$13) + CHOOSE(CONTROL!$C$28, 0.0021, 0)</f>
        <v>192.55902051246701</v>
      </c>
    </row>
    <row r="462" spans="1:5" ht="15">
      <c r="A462" s="13">
        <v>55577</v>
      </c>
      <c r="B462" s="4">
        <f>30.2544 * CHOOSE(CONTROL!$C$9, $C$13, 100%, $E$13) + CHOOSE(CONTROL!$C$28, 0.0211, 0)</f>
        <v>30.275500000000001</v>
      </c>
      <c r="C462" s="4">
        <f>29.8911 * CHOOSE(CONTROL!$C$9, $C$13, 100%, $E$13) + CHOOSE(CONTROL!$C$28, 0.0211, 0)</f>
        <v>29.912200000000002</v>
      </c>
      <c r="D462" s="4">
        <f>43.0358 * CHOOSE(CONTROL!$C$9, $C$13, 100%, $E$13) + CHOOSE(CONTROL!$C$28, 0.0021, 0)</f>
        <v>43.0379</v>
      </c>
      <c r="E462" s="4">
        <f>197.128980654819 * CHOOSE(CONTROL!$C$9, $C$13, 100%, $E$13) + CHOOSE(CONTROL!$C$28, 0.0021, 0)</f>
        <v>197.13108065481902</v>
      </c>
    </row>
    <row r="463" spans="1:5" ht="15">
      <c r="A463" s="13">
        <v>55609</v>
      </c>
      <c r="B463" s="4">
        <f>32.05 * CHOOSE(CONTROL!$C$9, $C$13, 100%, $E$13) + CHOOSE(CONTROL!$C$28, 0.0211, 0)</f>
        <v>32.071099999999994</v>
      </c>
      <c r="C463" s="4">
        <f>31.6867 * CHOOSE(CONTROL!$C$9, $C$13, 100%, $E$13) + CHOOSE(CONTROL!$C$28, 0.0211, 0)</f>
        <v>31.707799999999999</v>
      </c>
      <c r="D463" s="4">
        <f>45.2337 * CHOOSE(CONTROL!$C$9, $C$13, 100%, $E$13) + CHOOSE(CONTROL!$C$28, 0.0021, 0)</f>
        <v>45.235799999999998</v>
      </c>
      <c r="E463" s="4">
        <f>209.135453562667 * CHOOSE(CONTROL!$C$9, $C$13, 100%, $E$13) + CHOOSE(CONTROL!$C$28, 0.0021, 0)</f>
        <v>209.13755356266702</v>
      </c>
    </row>
    <row r="464" spans="1:5" ht="15">
      <c r="A464" s="13">
        <v>55639</v>
      </c>
      <c r="B464" s="4">
        <f>33.3258 * CHOOSE(CONTROL!$C$9, $C$13, 100%, $E$13) + CHOOSE(CONTROL!$C$28, 0.0211, 0)</f>
        <v>33.346899999999998</v>
      </c>
      <c r="C464" s="4">
        <f>32.9625 * CHOOSE(CONTROL!$C$9, $C$13, 100%, $E$13) + CHOOSE(CONTROL!$C$28, 0.0211, 0)</f>
        <v>32.983599999999996</v>
      </c>
      <c r="D464" s="4">
        <f>46.4997 * CHOOSE(CONTROL!$C$9, $C$13, 100%, $E$13) + CHOOSE(CONTROL!$C$28, 0.0021, 0)</f>
        <v>46.501799999999996</v>
      </c>
      <c r="E464" s="4">
        <f>217.666212570983 * CHOOSE(CONTROL!$C$9, $C$13, 100%, $E$13) + CHOOSE(CONTROL!$C$28, 0.0021, 0)</f>
        <v>217.66831257098301</v>
      </c>
    </row>
    <row r="465" spans="1:5" ht="15">
      <c r="A465" s="13">
        <v>55670</v>
      </c>
      <c r="B465" s="4">
        <f>34.1053 * CHOOSE(CONTROL!$C$9, $C$13, 100%, $E$13) + CHOOSE(CONTROL!$C$28, 0.0415, 0)</f>
        <v>34.146799999999999</v>
      </c>
      <c r="C465" s="4">
        <f>33.742 * CHOOSE(CONTROL!$C$9, $C$13, 100%, $E$13) + CHOOSE(CONTROL!$C$28, 0.0415, 0)</f>
        <v>33.783499999999997</v>
      </c>
      <c r="D465" s="4">
        <f>45.9994 * CHOOSE(CONTROL!$C$9, $C$13, 100%, $E$13) + CHOOSE(CONTROL!$C$28, 0.0021, 0)</f>
        <v>46.0015</v>
      </c>
      <c r="E465" s="4">
        <f>222.878301871305 * CHOOSE(CONTROL!$C$9, $C$13, 100%, $E$13) + CHOOSE(CONTROL!$C$28, 0.0021, 0)</f>
        <v>222.88040187130503</v>
      </c>
    </row>
    <row r="466" spans="1:5" ht="15">
      <c r="A466" s="13">
        <v>55700</v>
      </c>
      <c r="B466" s="4">
        <f>34.2107 * CHOOSE(CONTROL!$C$9, $C$13, 100%, $E$13) + CHOOSE(CONTROL!$C$28, 0.0415, 0)</f>
        <v>34.252200000000002</v>
      </c>
      <c r="C466" s="4">
        <f>33.8475 * CHOOSE(CONTROL!$C$9, $C$13, 100%, $E$13) + CHOOSE(CONTROL!$C$28, 0.0415, 0)</f>
        <v>33.888999999999996</v>
      </c>
      <c r="D466" s="4">
        <f>46.4069 * CHOOSE(CONTROL!$C$9, $C$13, 100%, $E$13) + CHOOSE(CONTROL!$C$28, 0.0021, 0)</f>
        <v>46.408999999999999</v>
      </c>
      <c r="E466" s="4">
        <f>223.583519184254 * CHOOSE(CONTROL!$C$9, $C$13, 100%, $E$13) + CHOOSE(CONTROL!$C$28, 0.0021, 0)</f>
        <v>223.585619184254</v>
      </c>
    </row>
    <row r="467" spans="1:5" ht="15">
      <c r="A467" s="13">
        <v>55731</v>
      </c>
      <c r="B467" s="4">
        <f>34.2001 * CHOOSE(CONTROL!$C$9, $C$13, 100%, $E$13) + CHOOSE(CONTROL!$C$28, 0.0415, 0)</f>
        <v>34.241599999999998</v>
      </c>
      <c r="C467" s="4">
        <f>33.8368 * CHOOSE(CONTROL!$C$9, $C$13, 100%, $E$13) + CHOOSE(CONTROL!$C$28, 0.0415, 0)</f>
        <v>33.878299999999996</v>
      </c>
      <c r="D467" s="4">
        <f>47.142 * CHOOSE(CONTROL!$C$9, $C$13, 100%, $E$13) + CHOOSE(CONTROL!$C$28, 0.0021, 0)</f>
        <v>47.144100000000002</v>
      </c>
      <c r="E467" s="4">
        <f>223.512404833368 * CHOOSE(CONTROL!$C$9, $C$13, 100%, $E$13) + CHOOSE(CONTROL!$C$28, 0.0021, 0)</f>
        <v>223.51450483336802</v>
      </c>
    </row>
    <row r="468" spans="1:5" ht="15">
      <c r="A468" s="13">
        <v>55762</v>
      </c>
      <c r="B468" s="4">
        <f>35.0004 * CHOOSE(CONTROL!$C$9, $C$13, 100%, $E$13) + CHOOSE(CONTROL!$C$28, 0.0415, 0)</f>
        <v>35.041899999999998</v>
      </c>
      <c r="C468" s="4">
        <f>34.6371 * CHOOSE(CONTROL!$C$9, $C$13, 100%, $E$13) + CHOOSE(CONTROL!$C$28, 0.0415, 0)</f>
        <v>34.678599999999996</v>
      </c>
      <c r="D468" s="4">
        <f>46.6565 * CHOOSE(CONTROL!$C$9, $C$13, 100%, $E$13) + CHOOSE(CONTROL!$C$28, 0.0021, 0)</f>
        <v>46.6586</v>
      </c>
      <c r="E468" s="4">
        <f>228.863759737508 * CHOOSE(CONTROL!$C$9, $C$13, 100%, $E$13) + CHOOSE(CONTROL!$C$28, 0.0021, 0)</f>
        <v>228.865859737508</v>
      </c>
    </row>
    <row r="469" spans="1:5" ht="15">
      <c r="A469" s="13">
        <v>55792</v>
      </c>
      <c r="B469" s="4">
        <f>33.6364 * CHOOSE(CONTROL!$C$9, $C$13, 100%, $E$13) + CHOOSE(CONTROL!$C$28, 0.0415, 0)</f>
        <v>33.677900000000001</v>
      </c>
      <c r="C469" s="4">
        <f>33.2732 * CHOOSE(CONTROL!$C$9, $C$13, 100%, $E$13) + CHOOSE(CONTROL!$C$28, 0.0415, 0)</f>
        <v>33.314700000000002</v>
      </c>
      <c r="D469" s="4">
        <f>46.4271 * CHOOSE(CONTROL!$C$9, $C$13, 100%, $E$13) + CHOOSE(CONTROL!$C$28, 0.0021, 0)</f>
        <v>46.429200000000002</v>
      </c>
      <c r="E469" s="4">
        <f>219.743344236433 * CHOOSE(CONTROL!$C$9, $C$13, 100%, $E$13) + CHOOSE(CONTROL!$C$28, 0.0021, 0)</f>
        <v>219.745444236433</v>
      </c>
    </row>
    <row r="470" spans="1:5" ht="15">
      <c r="A470" s="13">
        <v>55823</v>
      </c>
      <c r="B470" s="4">
        <f>32.5446 * CHOOSE(CONTROL!$C$9, $C$13, 100%, $E$13) + CHOOSE(CONTROL!$C$28, 0.0211, 0)</f>
        <v>32.5657</v>
      </c>
      <c r="C470" s="4">
        <f>32.1813 * CHOOSE(CONTROL!$C$9, $C$13, 100%, $E$13) + CHOOSE(CONTROL!$C$28, 0.0211, 0)</f>
        <v>32.202399999999997</v>
      </c>
      <c r="D470" s="4">
        <f>45.8129 * CHOOSE(CONTROL!$C$9, $C$13, 100%, $E$13) + CHOOSE(CONTROL!$C$28, 0.0021, 0)</f>
        <v>45.814999999999998</v>
      </c>
      <c r="E470" s="4">
        <f>212.442270878847 * CHOOSE(CONTROL!$C$9, $C$13, 100%, $E$13) + CHOOSE(CONTROL!$C$28, 0.0021, 0)</f>
        <v>212.44437087884702</v>
      </c>
    </row>
    <row r="471" spans="1:5" ht="15">
      <c r="A471" s="13">
        <v>55853</v>
      </c>
      <c r="B471" s="4">
        <f>31.8413 * CHOOSE(CONTROL!$C$9, $C$13, 100%, $E$13) + CHOOSE(CONTROL!$C$28, 0.0211, 0)</f>
        <v>31.862400000000001</v>
      </c>
      <c r="C471" s="4">
        <f>31.478 * CHOOSE(CONTROL!$C$9, $C$13, 100%, $E$13) + CHOOSE(CONTROL!$C$28, 0.0211, 0)</f>
        <v>31.499100000000002</v>
      </c>
      <c r="D471" s="4">
        <f>45.6018 * CHOOSE(CONTROL!$C$9, $C$13, 100%, $E$13) + CHOOSE(CONTROL!$C$28, 0.0021, 0)</f>
        <v>45.603899999999996</v>
      </c>
      <c r="E471" s="4">
        <f>207.739834426538 * CHOOSE(CONTROL!$C$9, $C$13, 100%, $E$13) + CHOOSE(CONTROL!$C$28, 0.0021, 0)</f>
        <v>207.74193442653802</v>
      </c>
    </row>
    <row r="472" spans="1:5" ht="15">
      <c r="A472" s="13">
        <v>55884</v>
      </c>
      <c r="B472" s="4">
        <f>31.3547 * CHOOSE(CONTROL!$C$9, $C$13, 100%, $E$13) + CHOOSE(CONTROL!$C$28, 0.0211, 0)</f>
        <v>31.375800000000002</v>
      </c>
      <c r="C472" s="4">
        <f>30.9914 * CHOOSE(CONTROL!$C$9, $C$13, 100%, $E$13) + CHOOSE(CONTROL!$C$28, 0.0211, 0)</f>
        <v>31.012499999999999</v>
      </c>
      <c r="D472" s="4">
        <f>44.0472 * CHOOSE(CONTROL!$C$9, $C$13, 100%, $E$13) + CHOOSE(CONTROL!$C$28, 0.0021, 0)</f>
        <v>44.049299999999995</v>
      </c>
      <c r="E472" s="4">
        <f>204.486352873523 * CHOOSE(CONTROL!$C$9, $C$13, 100%, $E$13) + CHOOSE(CONTROL!$C$28, 0.0021, 0)</f>
        <v>204.48845287352302</v>
      </c>
    </row>
    <row r="473" spans="1:5" ht="15">
      <c r="A473" s="13">
        <v>55915</v>
      </c>
      <c r="B473" s="4">
        <f>30.0235 * CHOOSE(CONTROL!$C$9, $C$13, 100%, $E$13) + CHOOSE(CONTROL!$C$28, 0.0211, 0)</f>
        <v>30.044599999999999</v>
      </c>
      <c r="C473" s="4">
        <f>29.6602 * CHOOSE(CONTROL!$C$9, $C$13, 100%, $E$13) + CHOOSE(CONTROL!$C$28, 0.0211, 0)</f>
        <v>29.6813</v>
      </c>
      <c r="D473" s="4">
        <f>42.3347 * CHOOSE(CONTROL!$C$9, $C$13, 100%, $E$13) + CHOOSE(CONTROL!$C$28, 0.0021, 0)</f>
        <v>42.336799999999997</v>
      </c>
      <c r="E473" s="4">
        <f>195.968665364425 * CHOOSE(CONTROL!$C$9, $C$13, 100%, $E$13) + CHOOSE(CONTROL!$C$28, 0.0021, 0)</f>
        <v>195.97076536442501</v>
      </c>
    </row>
    <row r="474" spans="1:5" ht="15">
      <c r="A474" s="13">
        <v>55943</v>
      </c>
      <c r="B474" s="4">
        <f>30.718 * CHOOSE(CONTROL!$C$9, $C$13, 100%, $E$13) + CHOOSE(CONTROL!$C$28, 0.0211, 0)</f>
        <v>30.739100000000001</v>
      </c>
      <c r="C474" s="4">
        <f>30.3547 * CHOOSE(CONTROL!$C$9, $C$13, 100%, $E$13) + CHOOSE(CONTROL!$C$28, 0.0211, 0)</f>
        <v>30.375800000000002</v>
      </c>
      <c r="D474" s="4">
        <f>43.7635 * CHOOSE(CONTROL!$C$9, $C$13, 100%, $E$13) + CHOOSE(CONTROL!$C$28, 0.0021, 0)</f>
        <v>43.765599999999999</v>
      </c>
      <c r="E474" s="4">
        <f>200.62173377494 * CHOOSE(CONTROL!$C$9, $C$13, 100%, $E$13) + CHOOSE(CONTROL!$C$28, 0.0021, 0)</f>
        <v>200.62383377494001</v>
      </c>
    </row>
    <row r="475" spans="1:5" ht="15">
      <c r="A475" s="13">
        <v>55974</v>
      </c>
      <c r="B475" s="4">
        <f>32.5418 * CHOOSE(CONTROL!$C$9, $C$13, 100%, $E$13) + CHOOSE(CONTROL!$C$28, 0.0211, 0)</f>
        <v>32.562899999999999</v>
      </c>
      <c r="C475" s="4">
        <f>32.1786 * CHOOSE(CONTROL!$C$9, $C$13, 100%, $E$13) + CHOOSE(CONTROL!$C$28, 0.0211, 0)</f>
        <v>32.1997</v>
      </c>
      <c r="D475" s="4">
        <f>46.0002 * CHOOSE(CONTROL!$C$9, $C$13, 100%, $E$13) + CHOOSE(CONTROL!$C$28, 0.0021, 0)</f>
        <v>46.002299999999998</v>
      </c>
      <c r="E475" s="4">
        <f>212.840938700025 * CHOOSE(CONTROL!$C$9, $C$13, 100%, $E$13) + CHOOSE(CONTROL!$C$28, 0.0021, 0)</f>
        <v>212.84303870002501</v>
      </c>
    </row>
    <row r="476" spans="1:5" ht="15">
      <c r="A476" s="13">
        <v>56004</v>
      </c>
      <c r="B476" s="4">
        <f>33.8377 * CHOOSE(CONTROL!$C$9, $C$13, 100%, $E$13) + CHOOSE(CONTROL!$C$28, 0.0211, 0)</f>
        <v>33.858799999999995</v>
      </c>
      <c r="C476" s="4">
        <f>33.4744 * CHOOSE(CONTROL!$C$9, $C$13, 100%, $E$13) + CHOOSE(CONTROL!$C$28, 0.0211, 0)</f>
        <v>33.4955</v>
      </c>
      <c r="D476" s="4">
        <f>47.2886 * CHOOSE(CONTROL!$C$9, $C$13, 100%, $E$13) + CHOOSE(CONTROL!$C$28, 0.0021, 0)</f>
        <v>47.290700000000001</v>
      </c>
      <c r="E476" s="4">
        <f>221.522846641614 * CHOOSE(CONTROL!$C$9, $C$13, 100%, $E$13) + CHOOSE(CONTROL!$C$28, 0.0021, 0)</f>
        <v>221.52494664161401</v>
      </c>
    </row>
    <row r="477" spans="1:5" ht="15">
      <c r="A477" s="13">
        <v>56035</v>
      </c>
      <c r="B477" s="4">
        <f>34.6294 * CHOOSE(CONTROL!$C$9, $C$13, 100%, $E$13) + CHOOSE(CONTROL!$C$28, 0.0415, 0)</f>
        <v>34.670899999999996</v>
      </c>
      <c r="C477" s="4">
        <f>34.2661 * CHOOSE(CONTROL!$C$9, $C$13, 100%, $E$13) + CHOOSE(CONTROL!$C$28, 0.0415, 0)</f>
        <v>34.307600000000001</v>
      </c>
      <c r="D477" s="4">
        <f>46.7794 * CHOOSE(CONTROL!$C$9, $C$13, 100%, $E$13) + CHOOSE(CONTROL!$C$28, 0.0021, 0)</f>
        <v>46.781500000000001</v>
      </c>
      <c r="E477" s="4">
        <f>226.827284317632 * CHOOSE(CONTROL!$C$9, $C$13, 100%, $E$13) + CHOOSE(CONTROL!$C$28, 0.0021, 0)</f>
        <v>226.82938431763202</v>
      </c>
    </row>
    <row r="478" spans="1:5" ht="15">
      <c r="A478" s="13">
        <v>56065</v>
      </c>
      <c r="B478" s="4">
        <f>34.7365 * CHOOSE(CONTROL!$C$9, $C$13, 100%, $E$13) + CHOOSE(CONTROL!$C$28, 0.0415, 0)</f>
        <v>34.777999999999999</v>
      </c>
      <c r="C478" s="4">
        <f>34.3733 * CHOOSE(CONTROL!$C$9, $C$13, 100%, $E$13) + CHOOSE(CONTROL!$C$28, 0.0415, 0)</f>
        <v>34.4148</v>
      </c>
      <c r="D478" s="4">
        <f>47.1941 * CHOOSE(CONTROL!$C$9, $C$13, 100%, $E$13) + CHOOSE(CONTROL!$C$28, 0.0021, 0)</f>
        <v>47.196199999999997</v>
      </c>
      <c r="E478" s="4">
        <f>227.544996749066 * CHOOSE(CONTROL!$C$9, $C$13, 100%, $E$13) + CHOOSE(CONTROL!$C$28, 0.0021, 0)</f>
        <v>227.54709674906601</v>
      </c>
    </row>
    <row r="479" spans="1:5" ht="15">
      <c r="A479" s="13">
        <v>56096</v>
      </c>
      <c r="B479" s="4">
        <f>34.7257 * CHOOSE(CONTROL!$C$9, $C$13, 100%, $E$13) + CHOOSE(CONTROL!$C$28, 0.0415, 0)</f>
        <v>34.767200000000003</v>
      </c>
      <c r="C479" s="4">
        <f>34.3625 * CHOOSE(CONTROL!$C$9, $C$13, 100%, $E$13) + CHOOSE(CONTROL!$C$28, 0.0415, 0)</f>
        <v>34.403999999999996</v>
      </c>
      <c r="D479" s="4">
        <f>47.9422 * CHOOSE(CONTROL!$C$9, $C$13, 100%, $E$13) + CHOOSE(CONTROL!$C$28, 0.0021, 0)</f>
        <v>47.944299999999998</v>
      </c>
      <c r="E479" s="4">
        <f>227.472622386232 * CHOOSE(CONTROL!$C$9, $C$13, 100%, $E$13) + CHOOSE(CONTROL!$C$28, 0.0021, 0)</f>
        <v>227.474722386232</v>
      </c>
    </row>
    <row r="480" spans="1:5" ht="15">
      <c r="A480" s="13">
        <v>56127</v>
      </c>
      <c r="B480" s="4">
        <f>35.5386 * CHOOSE(CONTROL!$C$9, $C$13, 100%, $E$13) + CHOOSE(CONTROL!$C$28, 0.0415, 0)</f>
        <v>35.580100000000002</v>
      </c>
      <c r="C480" s="4">
        <f>35.1753 * CHOOSE(CONTROL!$C$9, $C$13, 100%, $E$13) + CHOOSE(CONTROL!$C$28, 0.0415, 0)</f>
        <v>35.216799999999999</v>
      </c>
      <c r="D480" s="4">
        <f>47.4481 * CHOOSE(CONTROL!$C$9, $C$13, 100%, $E$13) + CHOOSE(CONTROL!$C$28, 0.0021, 0)</f>
        <v>47.450199999999995</v>
      </c>
      <c r="E480" s="4">
        <f>232.918793189466 * CHOOSE(CONTROL!$C$9, $C$13, 100%, $E$13) + CHOOSE(CONTROL!$C$28, 0.0021, 0)</f>
        <v>232.920893189466</v>
      </c>
    </row>
    <row r="481" spans="1:5" ht="15">
      <c r="A481" s="13">
        <v>56157</v>
      </c>
      <c r="B481" s="4">
        <f>34.1532 * CHOOSE(CONTROL!$C$9, $C$13, 100%, $E$13) + CHOOSE(CONTROL!$C$28, 0.0415, 0)</f>
        <v>34.194699999999997</v>
      </c>
      <c r="C481" s="4">
        <f>33.7899 * CHOOSE(CONTROL!$C$9, $C$13, 100%, $E$13) + CHOOSE(CONTROL!$C$28, 0.0415, 0)</f>
        <v>33.831400000000002</v>
      </c>
      <c r="D481" s="4">
        <f>47.2147 * CHOOSE(CONTROL!$C$9, $C$13, 100%, $E$13) + CHOOSE(CONTROL!$C$28, 0.0021, 0)</f>
        <v>47.216799999999999</v>
      </c>
      <c r="E481" s="4">
        <f>223.636781156048 * CHOOSE(CONTROL!$C$9, $C$13, 100%, $E$13) + CHOOSE(CONTROL!$C$28, 0.0021, 0)</f>
        <v>223.638881156048</v>
      </c>
    </row>
    <row r="482" spans="1:5" ht="15">
      <c r="A482" s="13">
        <v>56188</v>
      </c>
      <c r="B482" s="4">
        <f>33.0441 * CHOOSE(CONTROL!$C$9, $C$13, 100%, $E$13) + CHOOSE(CONTROL!$C$28, 0.0211, 0)</f>
        <v>33.065199999999997</v>
      </c>
      <c r="C482" s="4">
        <f>32.6809 * CHOOSE(CONTROL!$C$9, $C$13, 100%, $E$13) + CHOOSE(CONTROL!$C$28, 0.0211, 0)</f>
        <v>32.701999999999998</v>
      </c>
      <c r="D482" s="4">
        <f>46.5897 * CHOOSE(CONTROL!$C$9, $C$13, 100%, $E$13) + CHOOSE(CONTROL!$C$28, 0.0021, 0)</f>
        <v>46.591799999999999</v>
      </c>
      <c r="E482" s="4">
        <f>216.206346571791 * CHOOSE(CONTROL!$C$9, $C$13, 100%, $E$13) + CHOOSE(CONTROL!$C$28, 0.0021, 0)</f>
        <v>216.208446571791</v>
      </c>
    </row>
    <row r="483" spans="1:5" ht="15">
      <c r="A483" s="13">
        <v>56218</v>
      </c>
      <c r="B483" s="4">
        <f>32.3298 * CHOOSE(CONTROL!$C$9, $C$13, 100%, $E$13) + CHOOSE(CONTROL!$C$28, 0.0211, 0)</f>
        <v>32.350899999999996</v>
      </c>
      <c r="C483" s="4">
        <f>31.9666 * CHOOSE(CONTROL!$C$9, $C$13, 100%, $E$13) + CHOOSE(CONTROL!$C$28, 0.0211, 0)</f>
        <v>31.9877</v>
      </c>
      <c r="D483" s="4">
        <f>46.3748 * CHOOSE(CONTROL!$C$9, $C$13, 100%, $E$13) + CHOOSE(CONTROL!$C$28, 0.0021, 0)</f>
        <v>46.376899999999999</v>
      </c>
      <c r="E483" s="4">
        <f>211.420591829414 * CHOOSE(CONTROL!$C$9, $C$13, 100%, $E$13) + CHOOSE(CONTROL!$C$28, 0.0021, 0)</f>
        <v>211.42269182941402</v>
      </c>
    </row>
    <row r="484" spans="1:5" ht="15">
      <c r="A484" s="13">
        <v>56249</v>
      </c>
      <c r="B484" s="4">
        <f>31.8356 * CHOOSE(CONTROL!$C$9, $C$13, 100%, $E$13) + CHOOSE(CONTROL!$C$28, 0.0211, 0)</f>
        <v>31.8567</v>
      </c>
      <c r="C484" s="4">
        <f>31.4723 * CHOOSE(CONTROL!$C$9, $C$13, 100%, $E$13) + CHOOSE(CONTROL!$C$28, 0.0211, 0)</f>
        <v>31.493400000000001</v>
      </c>
      <c r="D484" s="4">
        <f>44.7927 * CHOOSE(CONTROL!$C$9, $C$13, 100%, $E$13) + CHOOSE(CONTROL!$C$28, 0.0021, 0)</f>
        <v>44.794800000000002</v>
      </c>
      <c r="E484" s="4">
        <f>208.109464729773 * CHOOSE(CONTROL!$C$9, $C$13, 100%, $E$13) + CHOOSE(CONTROL!$C$28, 0.0021, 0)</f>
        <v>208.11156472977302</v>
      </c>
    </row>
    <row r="485" spans="1:5" ht="15">
      <c r="A485" s="13">
        <v>56280</v>
      </c>
      <c r="B485" s="4">
        <f>30.4835 * CHOOSE(CONTROL!$C$9, $C$13, 100%, $E$13) + CHOOSE(CONTROL!$C$28, 0.0211, 0)</f>
        <v>30.5046</v>
      </c>
      <c r="C485" s="4">
        <f>30.1202 * CHOOSE(CONTROL!$C$9, $C$13, 100%, $E$13) + CHOOSE(CONTROL!$C$28, 0.0211, 0)</f>
        <v>30.141300000000001</v>
      </c>
      <c r="D485" s="4">
        <f>43.0499 * CHOOSE(CONTROL!$C$9, $C$13, 100%, $E$13) + CHOOSE(CONTROL!$C$28, 0.0021, 0)</f>
        <v>43.052</v>
      </c>
      <c r="E485" s="4">
        <f>199.440859889673 * CHOOSE(CONTROL!$C$9, $C$13, 100%, $E$13) + CHOOSE(CONTROL!$C$28, 0.0021, 0)</f>
        <v>199.44295988967301</v>
      </c>
    </row>
    <row r="486" spans="1:5" ht="15">
      <c r="A486" s="13">
        <v>56308</v>
      </c>
      <c r="B486" s="4">
        <f>31.1889 * CHOOSE(CONTROL!$C$9, $C$13, 100%, $E$13) + CHOOSE(CONTROL!$C$28, 0.0211, 0)</f>
        <v>31.21</v>
      </c>
      <c r="C486" s="4">
        <f>30.8256 * CHOOSE(CONTROL!$C$9, $C$13, 100%, $E$13) + CHOOSE(CONTROL!$C$28, 0.0211, 0)</f>
        <v>30.846700000000002</v>
      </c>
      <c r="D486" s="4">
        <f>44.504 * CHOOSE(CONTROL!$C$9, $C$13, 100%, $E$13) + CHOOSE(CONTROL!$C$28, 0.0021, 0)</f>
        <v>44.506099999999996</v>
      </c>
      <c r="E486" s="4">
        <f>204.176371881822 * CHOOSE(CONTROL!$C$9, $C$13, 100%, $E$13) + CHOOSE(CONTROL!$C$28, 0.0021, 0)</f>
        <v>204.17847188182202</v>
      </c>
    </row>
    <row r="487" spans="1:5" ht="15">
      <c r="A487" s="13">
        <v>56339</v>
      </c>
      <c r="B487" s="4">
        <f>33.0414 * CHOOSE(CONTROL!$C$9, $C$13, 100%, $E$13) + CHOOSE(CONTROL!$C$28, 0.0211, 0)</f>
        <v>33.0625</v>
      </c>
      <c r="C487" s="4">
        <f>32.6781 * CHOOSE(CONTROL!$C$9, $C$13, 100%, $E$13) + CHOOSE(CONTROL!$C$28, 0.0211, 0)</f>
        <v>32.699199999999998</v>
      </c>
      <c r="D487" s="4">
        <f>46.7802 * CHOOSE(CONTROL!$C$9, $C$13, 100%, $E$13) + CHOOSE(CONTROL!$C$28, 0.0021, 0)</f>
        <v>46.782299999999999</v>
      </c>
      <c r="E487" s="4">
        <f>216.612078033594 * CHOOSE(CONTROL!$C$9, $C$13, 100%, $E$13) + CHOOSE(CONTROL!$C$28, 0.0021, 0)</f>
        <v>216.61417803359402</v>
      </c>
    </row>
    <row r="488" spans="1:5" ht="15">
      <c r="A488" s="13">
        <v>56369</v>
      </c>
      <c r="B488" s="4">
        <f>34.3576 * CHOOSE(CONTROL!$C$9, $C$13, 100%, $E$13) + CHOOSE(CONTROL!$C$28, 0.0211, 0)</f>
        <v>34.378699999999995</v>
      </c>
      <c r="C488" s="4">
        <f>33.9943 * CHOOSE(CONTROL!$C$9, $C$13, 100%, $E$13) + CHOOSE(CONTROL!$C$28, 0.0211, 0)</f>
        <v>34.0154</v>
      </c>
      <c r="D488" s="4">
        <f>48.0914 * CHOOSE(CONTROL!$C$9, $C$13, 100%, $E$13) + CHOOSE(CONTROL!$C$28, 0.0021, 0)</f>
        <v>48.093499999999999</v>
      </c>
      <c r="E488" s="4">
        <f>225.447812982004 * CHOOSE(CONTROL!$C$9, $C$13, 100%, $E$13) + CHOOSE(CONTROL!$C$28, 0.0021, 0)</f>
        <v>225.44991298200401</v>
      </c>
    </row>
    <row r="489" spans="1:5" ht="15">
      <c r="A489" s="13">
        <v>56400</v>
      </c>
      <c r="B489" s="4">
        <f>35.1618 * CHOOSE(CONTROL!$C$9, $C$13, 100%, $E$13) + CHOOSE(CONTROL!$C$28, 0.0415, 0)</f>
        <v>35.203299999999999</v>
      </c>
      <c r="C489" s="4">
        <f>34.7985 * CHOOSE(CONTROL!$C$9, $C$13, 100%, $E$13) + CHOOSE(CONTROL!$C$28, 0.0415, 0)</f>
        <v>34.839999999999996</v>
      </c>
      <c r="D489" s="4">
        <f>47.5732 * CHOOSE(CONTROL!$C$9, $C$13, 100%, $E$13) + CHOOSE(CONTROL!$C$28, 0.0021, 0)</f>
        <v>47.575299999999999</v>
      </c>
      <c r="E489" s="4">
        <f>230.84623527247 * CHOOSE(CONTROL!$C$9, $C$13, 100%, $E$13) + CHOOSE(CONTROL!$C$28, 0.0021, 0)</f>
        <v>230.84833527247002</v>
      </c>
    </row>
    <row r="490" spans="1:5" ht="15">
      <c r="A490" s="13">
        <v>56430</v>
      </c>
      <c r="B490" s="4">
        <f>35.2706 * CHOOSE(CONTROL!$C$9, $C$13, 100%, $E$13) + CHOOSE(CONTROL!$C$28, 0.0415, 0)</f>
        <v>35.312100000000001</v>
      </c>
      <c r="C490" s="4">
        <f>34.9073 * CHOOSE(CONTROL!$C$9, $C$13, 100%, $E$13) + CHOOSE(CONTROL!$C$28, 0.0415, 0)</f>
        <v>34.948799999999999</v>
      </c>
      <c r="D490" s="4">
        <f>47.9952 * CHOOSE(CONTROL!$C$9, $C$13, 100%, $E$13) + CHOOSE(CONTROL!$C$28, 0.0021, 0)</f>
        <v>47.997299999999996</v>
      </c>
      <c r="E490" s="4">
        <f>231.576664212283 * CHOOSE(CONTROL!$C$9, $C$13, 100%, $E$13) + CHOOSE(CONTROL!$C$28, 0.0021, 0)</f>
        <v>231.57876421228301</v>
      </c>
    </row>
    <row r="491" spans="1:5" ht="15">
      <c r="A491" s="13">
        <v>56461</v>
      </c>
      <c r="B491" s="4">
        <f>35.2596 * CHOOSE(CONTROL!$C$9, $C$13, 100%, $E$13) + CHOOSE(CONTROL!$C$28, 0.0415, 0)</f>
        <v>35.301099999999998</v>
      </c>
      <c r="C491" s="4">
        <f>34.8964 * CHOOSE(CONTROL!$C$9, $C$13, 100%, $E$13) + CHOOSE(CONTROL!$C$28, 0.0415, 0)</f>
        <v>34.937899999999999</v>
      </c>
      <c r="D491" s="4">
        <f>48.7566 * CHOOSE(CONTROL!$C$9, $C$13, 100%, $E$13) + CHOOSE(CONTROL!$C$28, 0.0021, 0)</f>
        <v>48.758699999999997</v>
      </c>
      <c r="E491" s="4">
        <f>231.503007512469 * CHOOSE(CONTROL!$C$9, $C$13, 100%, $E$13) + CHOOSE(CONTROL!$C$28, 0.0021, 0)</f>
        <v>231.50510751246901</v>
      </c>
    </row>
    <row r="492" spans="1:5" ht="15">
      <c r="A492" s="13">
        <v>56492</v>
      </c>
      <c r="B492" s="4">
        <f>36.0853 * CHOOSE(CONTROL!$C$9, $C$13, 100%, $E$13) + CHOOSE(CONTROL!$C$28, 0.0415, 0)</f>
        <v>36.126799999999996</v>
      </c>
      <c r="C492" s="4">
        <f>35.722 * CHOOSE(CONTROL!$C$9, $C$13, 100%, $E$13) + CHOOSE(CONTROL!$C$28, 0.0415, 0)</f>
        <v>35.763500000000001</v>
      </c>
      <c r="D492" s="4">
        <f>48.2538 * CHOOSE(CONTROL!$C$9, $C$13, 100%, $E$13) + CHOOSE(CONTROL!$C$28, 0.0021, 0)</f>
        <v>48.255899999999997</v>
      </c>
      <c r="E492" s="4">
        <f>237.045674173403 * CHOOSE(CONTROL!$C$9, $C$13, 100%, $E$13) + CHOOSE(CONTROL!$C$28, 0.0021, 0)</f>
        <v>237.04777417340301</v>
      </c>
    </row>
    <row r="493" spans="1:5" ht="15">
      <c r="A493" s="13">
        <v>56522</v>
      </c>
      <c r="B493" s="4">
        <f>34.6781 * CHOOSE(CONTROL!$C$9, $C$13, 100%, $E$13) + CHOOSE(CONTROL!$C$28, 0.0415, 0)</f>
        <v>34.7196</v>
      </c>
      <c r="C493" s="4">
        <f>34.3148 * CHOOSE(CONTROL!$C$9, $C$13, 100%, $E$13) + CHOOSE(CONTROL!$C$28, 0.0415, 0)</f>
        <v>34.356299999999997</v>
      </c>
      <c r="D493" s="4">
        <f>48.0162 * CHOOSE(CONTROL!$C$9, $C$13, 100%, $E$13) + CHOOSE(CONTROL!$C$28, 0.0021, 0)</f>
        <v>48.018299999999996</v>
      </c>
      <c r="E493" s="4">
        <f>227.599202422377 * CHOOSE(CONTROL!$C$9, $C$13, 100%, $E$13) + CHOOSE(CONTROL!$C$28, 0.0021, 0)</f>
        <v>227.60130242237702</v>
      </c>
    </row>
    <row r="494" spans="1:5" ht="15">
      <c r="A494" s="13">
        <v>56553</v>
      </c>
      <c r="B494" s="4">
        <f>33.5516 * CHOOSE(CONTROL!$C$9, $C$13, 100%, $E$13) + CHOOSE(CONTROL!$C$28, 0.0211, 0)</f>
        <v>33.572699999999998</v>
      </c>
      <c r="C494" s="4">
        <f>33.1883 * CHOOSE(CONTROL!$C$9, $C$13, 100%, $E$13) + CHOOSE(CONTROL!$C$28, 0.0211, 0)</f>
        <v>33.209399999999995</v>
      </c>
      <c r="D494" s="4">
        <f>47.3801 * CHOOSE(CONTROL!$C$9, $C$13, 100%, $E$13) + CHOOSE(CONTROL!$C$28, 0.0021, 0)</f>
        <v>47.382199999999997</v>
      </c>
      <c r="E494" s="4">
        <f>220.037114574902 * CHOOSE(CONTROL!$C$9, $C$13, 100%, $E$13) + CHOOSE(CONTROL!$C$28, 0.0021, 0)</f>
        <v>220.03921457490202</v>
      </c>
    </row>
    <row r="495" spans="1:5" ht="15">
      <c r="A495" s="13">
        <v>56583</v>
      </c>
      <c r="B495" s="4">
        <f>32.8261 * CHOOSE(CONTROL!$C$9, $C$13, 100%, $E$13) + CHOOSE(CONTROL!$C$28, 0.0211, 0)</f>
        <v>32.847199999999994</v>
      </c>
      <c r="C495" s="4">
        <f>32.4628 * CHOOSE(CONTROL!$C$9, $C$13, 100%, $E$13) + CHOOSE(CONTROL!$C$28, 0.0211, 0)</f>
        <v>32.483899999999998</v>
      </c>
      <c r="D495" s="4">
        <f>47.1614 * CHOOSE(CONTROL!$C$9, $C$13, 100%, $E$13) + CHOOSE(CONTROL!$C$28, 0.0021, 0)</f>
        <v>47.163499999999999</v>
      </c>
      <c r="E495" s="4">
        <f>215.166565299763 * CHOOSE(CONTROL!$C$9, $C$13, 100%, $E$13) + CHOOSE(CONTROL!$C$28, 0.0021, 0)</f>
        <v>215.16866529976301</v>
      </c>
    </row>
    <row r="496" spans="1:5" ht="15">
      <c r="A496" s="13">
        <v>56614</v>
      </c>
      <c r="B496" s="4">
        <f>32.3241 * CHOOSE(CONTROL!$C$9, $C$13, 100%, $E$13) + CHOOSE(CONTROL!$C$28, 0.0211, 0)</f>
        <v>32.345199999999998</v>
      </c>
      <c r="C496" s="4">
        <f>31.9608 * CHOOSE(CONTROL!$C$9, $C$13, 100%, $E$13) + CHOOSE(CONTROL!$C$28, 0.0211, 0)</f>
        <v>31.9819</v>
      </c>
      <c r="D496" s="4">
        <f>45.5514 * CHOOSE(CONTROL!$C$9, $C$13, 100%, $E$13) + CHOOSE(CONTROL!$C$28, 0.0021, 0)</f>
        <v>45.5535</v>
      </c>
      <c r="E496" s="4">
        <f>211.796771283315 * CHOOSE(CONTROL!$C$9, $C$13, 100%, $E$13) + CHOOSE(CONTROL!$C$28, 0.0021, 0)</f>
        <v>211.79887128331501</v>
      </c>
    </row>
    <row r="497" spans="1:5" ht="15">
      <c r="A497" s="13">
        <v>56645</v>
      </c>
      <c r="B497" s="4">
        <f>30.9506 * CHOOSE(CONTROL!$C$9, $C$13, 100%, $E$13) + CHOOSE(CONTROL!$C$28, 0.0211, 0)</f>
        <v>30.971700000000002</v>
      </c>
      <c r="C497" s="4">
        <f>30.5874 * CHOOSE(CONTROL!$C$9, $C$13, 100%, $E$13) + CHOOSE(CONTROL!$C$28, 0.0211, 0)</f>
        <v>30.608499999999999</v>
      </c>
      <c r="D497" s="4">
        <f>43.7779 * CHOOSE(CONTROL!$C$9, $C$13, 100%, $E$13) + CHOOSE(CONTROL!$C$28, 0.0021, 0)</f>
        <v>43.78</v>
      </c>
      <c r="E497" s="4">
        <f>202.974575142221 * CHOOSE(CONTROL!$C$9, $C$13, 100%, $E$13) + CHOOSE(CONTROL!$C$28, 0.0021, 0)</f>
        <v>202.97667514222101</v>
      </c>
    </row>
    <row r="498" spans="1:5" ht="15">
      <c r="A498" s="13">
        <v>56673</v>
      </c>
      <c r="B498" s="4">
        <f>31.6672 * CHOOSE(CONTROL!$C$9, $C$13, 100%, $E$13) + CHOOSE(CONTROL!$C$28, 0.0211, 0)</f>
        <v>31.688300000000002</v>
      </c>
      <c r="C498" s="4">
        <f>31.3039 * CHOOSE(CONTROL!$C$9, $C$13, 100%, $E$13) + CHOOSE(CONTROL!$C$28, 0.0211, 0)</f>
        <v>31.324999999999999</v>
      </c>
      <c r="D498" s="4">
        <f>45.2576 * CHOOSE(CONTROL!$C$9, $C$13, 100%, $E$13) + CHOOSE(CONTROL!$C$28, 0.0021, 0)</f>
        <v>45.259699999999995</v>
      </c>
      <c r="E498" s="4">
        <f>207.793991460517 * CHOOSE(CONTROL!$C$9, $C$13, 100%, $E$13) + CHOOSE(CONTROL!$C$28, 0.0021, 0)</f>
        <v>207.796091460517</v>
      </c>
    </row>
    <row r="499" spans="1:5" ht="15">
      <c r="A499" s="13">
        <v>56704</v>
      </c>
      <c r="B499" s="4">
        <f>33.5488 * CHOOSE(CONTROL!$C$9, $C$13, 100%, $E$13) + CHOOSE(CONTROL!$C$28, 0.0211, 0)</f>
        <v>33.569899999999997</v>
      </c>
      <c r="C499" s="4">
        <f>33.1855 * CHOOSE(CONTROL!$C$9, $C$13, 100%, $E$13) + CHOOSE(CONTROL!$C$28, 0.0211, 0)</f>
        <v>33.206599999999995</v>
      </c>
      <c r="D499" s="4">
        <f>47.574 * CHOOSE(CONTROL!$C$9, $C$13, 100%, $E$13) + CHOOSE(CONTROL!$C$28, 0.0021, 0)</f>
        <v>47.576099999999997</v>
      </c>
      <c r="E499" s="4">
        <f>220.450034831699 * CHOOSE(CONTROL!$C$9, $C$13, 100%, $E$13) + CHOOSE(CONTROL!$C$28, 0.0021, 0)</f>
        <v>220.45213483169903</v>
      </c>
    </row>
    <row r="500" spans="1:5" ht="15">
      <c r="A500" s="13">
        <v>56734</v>
      </c>
      <c r="B500" s="4">
        <f>34.8857 * CHOOSE(CONTROL!$C$9, $C$13, 100%, $E$13) + CHOOSE(CONTROL!$C$28, 0.0211, 0)</f>
        <v>34.906799999999997</v>
      </c>
      <c r="C500" s="4">
        <f>34.5224 * CHOOSE(CONTROL!$C$9, $C$13, 100%, $E$13) + CHOOSE(CONTROL!$C$28, 0.0211, 0)</f>
        <v>34.543499999999995</v>
      </c>
      <c r="D500" s="4">
        <f>48.9083 * CHOOSE(CONTROL!$C$9, $C$13, 100%, $E$13) + CHOOSE(CONTROL!$C$28, 0.0021, 0)</f>
        <v>48.910399999999996</v>
      </c>
      <c r="E500" s="4">
        <f>229.442322310878 * CHOOSE(CONTROL!$C$9, $C$13, 100%, $E$13) + CHOOSE(CONTROL!$C$28, 0.0021, 0)</f>
        <v>229.44442231087802</v>
      </c>
    </row>
    <row r="501" spans="1:5" ht="15">
      <c r="A501" s="13">
        <v>56765</v>
      </c>
      <c r="B501" s="4">
        <f>35.7026 * CHOOSE(CONTROL!$C$9, $C$13, 100%, $E$13) + CHOOSE(CONTROL!$C$28, 0.0415, 0)</f>
        <v>35.744099999999996</v>
      </c>
      <c r="C501" s="4">
        <f>35.3393 * CHOOSE(CONTROL!$C$9, $C$13, 100%, $E$13) + CHOOSE(CONTROL!$C$28, 0.0415, 0)</f>
        <v>35.380800000000001</v>
      </c>
      <c r="D501" s="4">
        <f>48.3811 * CHOOSE(CONTROL!$C$9, $C$13, 100%, $E$13) + CHOOSE(CONTROL!$C$28, 0.0021, 0)</f>
        <v>48.383200000000002</v>
      </c>
      <c r="E501" s="4">
        <f>234.936394445604 * CHOOSE(CONTROL!$C$9, $C$13, 100%, $E$13) + CHOOSE(CONTROL!$C$28, 0.0021, 0)</f>
        <v>234.93849444560402</v>
      </c>
    </row>
    <row r="502" spans="1:5" ht="15">
      <c r="A502" s="13">
        <v>56795</v>
      </c>
      <c r="B502" s="4">
        <f>35.8131 * CHOOSE(CONTROL!$C$9, $C$13, 100%, $E$13) + CHOOSE(CONTROL!$C$28, 0.0415, 0)</f>
        <v>35.854599999999998</v>
      </c>
      <c r="C502" s="4">
        <f>35.4498 * CHOOSE(CONTROL!$C$9, $C$13, 100%, $E$13) + CHOOSE(CONTROL!$C$28, 0.0415, 0)</f>
        <v>35.491300000000003</v>
      </c>
      <c r="D502" s="4">
        <f>48.8105 * CHOOSE(CONTROL!$C$9, $C$13, 100%, $E$13) + CHOOSE(CONTROL!$C$28, 0.0021, 0)</f>
        <v>48.812599999999996</v>
      </c>
      <c r="E502" s="4">
        <f>235.679765206301 * CHOOSE(CONTROL!$C$9, $C$13, 100%, $E$13) + CHOOSE(CONTROL!$C$28, 0.0021, 0)</f>
        <v>235.68186520630101</v>
      </c>
    </row>
    <row r="503" spans="1:5" ht="15">
      <c r="A503" s="13">
        <v>56826</v>
      </c>
      <c r="B503" s="4">
        <f>35.8019 * CHOOSE(CONTROL!$C$9, $C$13, 100%, $E$13) + CHOOSE(CONTROL!$C$28, 0.0415, 0)</f>
        <v>35.843400000000003</v>
      </c>
      <c r="C503" s="4">
        <f>35.4386 * CHOOSE(CONTROL!$C$9, $C$13, 100%, $E$13) + CHOOSE(CONTROL!$C$28, 0.0415, 0)</f>
        <v>35.4801</v>
      </c>
      <c r="D503" s="4">
        <f>49.5853 * CHOOSE(CONTROL!$C$9, $C$13, 100%, $E$13) + CHOOSE(CONTROL!$C$28, 0.0021, 0)</f>
        <v>49.587399999999995</v>
      </c>
      <c r="E503" s="4">
        <f>235.604803448919 * CHOOSE(CONTROL!$C$9, $C$13, 100%, $E$13) + CHOOSE(CONTROL!$C$28, 0.0021, 0)</f>
        <v>235.60690344891901</v>
      </c>
    </row>
    <row r="504" spans="1:5" ht="15">
      <c r="A504" s="13">
        <v>56857</v>
      </c>
      <c r="B504" s="4">
        <f>36.6406 * CHOOSE(CONTROL!$C$9, $C$13, 100%, $E$13) + CHOOSE(CONTROL!$C$28, 0.0415, 0)</f>
        <v>36.682099999999998</v>
      </c>
      <c r="C504" s="4">
        <f>36.2773 * CHOOSE(CONTROL!$C$9, $C$13, 100%, $E$13) + CHOOSE(CONTROL!$C$28, 0.0415, 0)</f>
        <v>36.318799999999996</v>
      </c>
      <c r="D504" s="4">
        <f>49.0736 * CHOOSE(CONTROL!$C$9, $C$13, 100%, $E$13) + CHOOSE(CONTROL!$C$28, 0.0021, 0)</f>
        <v>49.075699999999998</v>
      </c>
      <c r="E504" s="4">
        <f>241.24567569185 * CHOOSE(CONTROL!$C$9, $C$13, 100%, $E$13) + CHOOSE(CONTROL!$C$28, 0.0021, 0)</f>
        <v>241.24777569185002</v>
      </c>
    </row>
    <row r="505" spans="1:5" ht="15">
      <c r="A505" s="13">
        <v>56887</v>
      </c>
      <c r="B505" s="4">
        <f>35.2112 * CHOOSE(CONTROL!$C$9, $C$13, 100%, $E$13) + CHOOSE(CONTROL!$C$28, 0.0415, 0)</f>
        <v>35.252699999999997</v>
      </c>
      <c r="C505" s="4">
        <f>34.848 * CHOOSE(CONTROL!$C$9, $C$13, 100%, $E$13) + CHOOSE(CONTROL!$C$28, 0.0415, 0)</f>
        <v>34.889499999999998</v>
      </c>
      <c r="D505" s="4">
        <f>48.8318 * CHOOSE(CONTROL!$C$9, $C$13, 100%, $E$13) + CHOOSE(CONTROL!$C$28, 0.0021, 0)</f>
        <v>48.8339</v>
      </c>
      <c r="E505" s="4">
        <f>231.631830307719 * CHOOSE(CONTROL!$C$9, $C$13, 100%, $E$13) + CHOOSE(CONTROL!$C$28, 0.0021, 0)</f>
        <v>231.63393030771903</v>
      </c>
    </row>
    <row r="506" spans="1:5" ht="15">
      <c r="A506" s="13">
        <v>56918</v>
      </c>
      <c r="B506" s="4">
        <f>34.067 * CHOOSE(CONTROL!$C$9, $C$13, 100%, $E$13) + CHOOSE(CONTROL!$C$28, 0.0211, 0)</f>
        <v>34.088099999999997</v>
      </c>
      <c r="C506" s="4">
        <f>33.7038 * CHOOSE(CONTROL!$C$9, $C$13, 100%, $E$13) + CHOOSE(CONTROL!$C$28, 0.0211, 0)</f>
        <v>33.724899999999998</v>
      </c>
      <c r="D506" s="4">
        <f>48.1845 * CHOOSE(CONTROL!$C$9, $C$13, 100%, $E$13) + CHOOSE(CONTROL!$C$28, 0.0021, 0)</f>
        <v>48.186599999999999</v>
      </c>
      <c r="E506" s="4">
        <f>223.935756549922 * CHOOSE(CONTROL!$C$9, $C$13, 100%, $E$13) + CHOOSE(CONTROL!$C$28, 0.0021, 0)</f>
        <v>223.937856549922</v>
      </c>
    </row>
    <row r="507" spans="1:5" ht="15">
      <c r="A507" s="13">
        <v>56948</v>
      </c>
      <c r="B507" s="4">
        <f>33.3301 * CHOOSE(CONTROL!$C$9, $C$13, 100%, $E$13) + CHOOSE(CONTROL!$C$28, 0.0211, 0)</f>
        <v>33.351199999999999</v>
      </c>
      <c r="C507" s="4">
        <f>32.9668 * CHOOSE(CONTROL!$C$9, $C$13, 100%, $E$13) + CHOOSE(CONTROL!$C$28, 0.0211, 0)</f>
        <v>32.987899999999996</v>
      </c>
      <c r="D507" s="4">
        <f>47.962 * CHOOSE(CONTROL!$C$9, $C$13, 100%, $E$13) + CHOOSE(CONTROL!$C$28, 0.0021, 0)</f>
        <v>47.964100000000002</v>
      </c>
      <c r="E507" s="4">
        <f>218.978910343094 * CHOOSE(CONTROL!$C$9, $C$13, 100%, $E$13) + CHOOSE(CONTROL!$C$28, 0.0021, 0)</f>
        <v>218.981010343094</v>
      </c>
    </row>
    <row r="508" spans="1:5" ht="15">
      <c r="A508" s="13">
        <v>56979</v>
      </c>
      <c r="B508" s="4">
        <f>32.8202 * CHOOSE(CONTROL!$C$9, $C$13, 100%, $E$13) + CHOOSE(CONTROL!$C$28, 0.0211, 0)</f>
        <v>32.841299999999997</v>
      </c>
      <c r="C508" s="4">
        <f>32.4569 * CHOOSE(CONTROL!$C$9, $C$13, 100%, $E$13) + CHOOSE(CONTROL!$C$28, 0.0211, 0)</f>
        <v>32.477999999999994</v>
      </c>
      <c r="D508" s="4">
        <f>46.3235 * CHOOSE(CONTROL!$C$9, $C$13, 100%, $E$13) + CHOOSE(CONTROL!$C$28, 0.0021, 0)</f>
        <v>46.325600000000001</v>
      </c>
      <c r="E508" s="4">
        <f>215.549409942907 * CHOOSE(CONTROL!$C$9, $C$13, 100%, $E$13) + CHOOSE(CONTROL!$C$28, 0.0021, 0)</f>
        <v>215.55150994290702</v>
      </c>
    </row>
    <row r="509" spans="1:5" ht="15">
      <c r="A509" s="13">
        <v>57010</v>
      </c>
      <c r="B509" s="4">
        <f>31.4252 * CHOOSE(CONTROL!$C$9, $C$13, 100%, $E$13) + CHOOSE(CONTROL!$C$28, 0.0211, 0)</f>
        <v>31.446300000000001</v>
      </c>
      <c r="C509" s="4">
        <f>31.0619 * CHOOSE(CONTROL!$C$9, $C$13, 100%, $E$13) + CHOOSE(CONTROL!$C$28, 0.0211, 0)</f>
        <v>31.083000000000002</v>
      </c>
      <c r="D509" s="4">
        <f>44.5186 * CHOOSE(CONTROL!$C$9, $C$13, 100%, $E$13) + CHOOSE(CONTROL!$C$28, 0.0021, 0)</f>
        <v>44.520699999999998</v>
      </c>
      <c r="E509" s="4">
        <f>206.570901153131 * CHOOSE(CONTROL!$C$9, $C$13, 100%, $E$13) + CHOOSE(CONTROL!$C$28, 0.0021, 0)</f>
        <v>206.573001153131</v>
      </c>
    </row>
    <row r="510" spans="1:5" ht="15">
      <c r="A510" s="13">
        <v>57038</v>
      </c>
      <c r="B510" s="4">
        <f>32.153 * CHOOSE(CONTROL!$C$9, $C$13, 100%, $E$13) + CHOOSE(CONTROL!$C$28, 0.0211, 0)</f>
        <v>32.174099999999996</v>
      </c>
      <c r="C510" s="4">
        <f>31.7897 * CHOOSE(CONTROL!$C$9, $C$13, 100%, $E$13) + CHOOSE(CONTROL!$C$28, 0.0211, 0)</f>
        <v>31.8108</v>
      </c>
      <c r="D510" s="4">
        <f>46.0245 * CHOOSE(CONTROL!$C$9, $C$13, 100%, $E$13) + CHOOSE(CONTROL!$C$28, 0.0021, 0)</f>
        <v>46.026600000000002</v>
      </c>
      <c r="E510" s="4">
        <f>211.475708423721 * CHOOSE(CONTROL!$C$9, $C$13, 100%, $E$13) + CHOOSE(CONTROL!$C$28, 0.0021, 0)</f>
        <v>211.477808423721</v>
      </c>
    </row>
    <row r="511" spans="1:5" ht="15">
      <c r="A511" s="13">
        <v>57070</v>
      </c>
      <c r="B511" s="4">
        <f>34.0642 * CHOOSE(CONTROL!$C$9, $C$13, 100%, $E$13) + CHOOSE(CONTROL!$C$28, 0.0211, 0)</f>
        <v>34.085299999999997</v>
      </c>
      <c r="C511" s="4">
        <f>33.7009 * CHOOSE(CONTROL!$C$9, $C$13, 100%, $E$13) + CHOOSE(CONTROL!$C$28, 0.0211, 0)</f>
        <v>33.721999999999994</v>
      </c>
      <c r="D511" s="4">
        <f>48.3818 * CHOOSE(CONTROL!$C$9, $C$13, 100%, $E$13) + CHOOSE(CONTROL!$C$28, 0.0021, 0)</f>
        <v>48.383899999999997</v>
      </c>
      <c r="E511" s="4">
        <f>224.355992973579 * CHOOSE(CONTROL!$C$9, $C$13, 100%, $E$13) + CHOOSE(CONTROL!$C$28, 0.0021, 0)</f>
        <v>224.35809297357901</v>
      </c>
    </row>
    <row r="512" spans="1:5" ht="15">
      <c r="A512" s="13">
        <v>57100</v>
      </c>
      <c r="B512" s="4">
        <f>35.4221 * CHOOSE(CONTROL!$C$9, $C$13, 100%, $E$13) + CHOOSE(CONTROL!$C$28, 0.0211, 0)</f>
        <v>35.443199999999997</v>
      </c>
      <c r="C512" s="4">
        <f>35.0589 * CHOOSE(CONTROL!$C$9, $C$13, 100%, $E$13) + CHOOSE(CONTROL!$C$28, 0.0211, 0)</f>
        <v>35.08</v>
      </c>
      <c r="D512" s="4">
        <f>49.7397 * CHOOSE(CONTROL!$C$9, $C$13, 100%, $E$13) + CHOOSE(CONTROL!$C$28, 0.0021, 0)</f>
        <v>49.741799999999998</v>
      </c>
      <c r="E512" s="4">
        <f>233.507606798613 * CHOOSE(CONTROL!$C$9, $C$13, 100%, $E$13) + CHOOSE(CONTROL!$C$28, 0.0021, 0)</f>
        <v>233.50970679861302</v>
      </c>
    </row>
    <row r="513" spans="1:5" ht="15">
      <c r="A513" s="13">
        <v>57131</v>
      </c>
      <c r="B513" s="4">
        <f>36.2518 * CHOOSE(CONTROL!$C$9, $C$13, 100%, $E$13) + CHOOSE(CONTROL!$C$28, 0.0415, 0)</f>
        <v>36.293300000000002</v>
      </c>
      <c r="C513" s="4">
        <f>35.8885 * CHOOSE(CONTROL!$C$9, $C$13, 100%, $E$13) + CHOOSE(CONTROL!$C$28, 0.0415, 0)</f>
        <v>35.93</v>
      </c>
      <c r="D513" s="4">
        <f>49.2032 * CHOOSE(CONTROL!$C$9, $C$13, 100%, $E$13) + CHOOSE(CONTROL!$C$28, 0.0021, 0)</f>
        <v>49.205300000000001</v>
      </c>
      <c r="E513" s="4">
        <f>239.099023512137 * CHOOSE(CONTROL!$C$9, $C$13, 100%, $E$13) + CHOOSE(CONTROL!$C$28, 0.0021, 0)</f>
        <v>239.10112351213701</v>
      </c>
    </row>
    <row r="514" spans="1:5" ht="15">
      <c r="A514" s="13">
        <v>57161</v>
      </c>
      <c r="B514" s="4">
        <f>36.3641 * CHOOSE(CONTROL!$C$9, $C$13, 100%, $E$13) + CHOOSE(CONTROL!$C$28, 0.0415, 0)</f>
        <v>36.4056</v>
      </c>
      <c r="C514" s="4">
        <f>36.0008 * CHOOSE(CONTROL!$C$9, $C$13, 100%, $E$13) + CHOOSE(CONTROL!$C$28, 0.0415, 0)</f>
        <v>36.042299999999997</v>
      </c>
      <c r="D514" s="4">
        <f>49.6402 * CHOOSE(CONTROL!$C$9, $C$13, 100%, $E$13) + CHOOSE(CONTROL!$C$28, 0.0021, 0)</f>
        <v>49.642299999999999</v>
      </c>
      <c r="E514" s="4">
        <f>239.855565398333 * CHOOSE(CONTROL!$C$9, $C$13, 100%, $E$13) + CHOOSE(CONTROL!$C$28, 0.0021, 0)</f>
        <v>239.85766539833301</v>
      </c>
    </row>
    <row r="515" spans="1:5" ht="15">
      <c r="A515" s="13">
        <v>57192</v>
      </c>
      <c r="B515" s="4">
        <f>36.3528 * CHOOSE(CONTROL!$C$9, $C$13, 100%, $E$13) + CHOOSE(CONTROL!$C$28, 0.0415, 0)</f>
        <v>36.394300000000001</v>
      </c>
      <c r="C515" s="4">
        <f>35.9895 * CHOOSE(CONTROL!$C$9, $C$13, 100%, $E$13) + CHOOSE(CONTROL!$C$28, 0.0415, 0)</f>
        <v>36.030999999999999</v>
      </c>
      <c r="D515" s="4">
        <f>50.4287 * CHOOSE(CONTROL!$C$9, $C$13, 100%, $E$13) + CHOOSE(CONTROL!$C$28, 0.0021, 0)</f>
        <v>50.430799999999998</v>
      </c>
      <c r="E515" s="4">
        <f>239.779275460229 * CHOOSE(CONTROL!$C$9, $C$13, 100%, $E$13) + CHOOSE(CONTROL!$C$28, 0.0021, 0)</f>
        <v>239.78137546022901</v>
      </c>
    </row>
    <row r="516" spans="1:5" ht="15">
      <c r="A516" s="13">
        <v>57223</v>
      </c>
      <c r="B516" s="4">
        <f>37.2046 * CHOOSE(CONTROL!$C$9, $C$13, 100%, $E$13) + CHOOSE(CONTROL!$C$28, 0.0415, 0)</f>
        <v>37.246099999999998</v>
      </c>
      <c r="C516" s="4">
        <f>36.8413 * CHOOSE(CONTROL!$C$9, $C$13, 100%, $E$13) + CHOOSE(CONTROL!$C$28, 0.0415, 0)</f>
        <v>36.882799999999996</v>
      </c>
      <c r="D516" s="4">
        <f>49.9079 * CHOOSE(CONTROL!$C$9, $C$13, 100%, $E$13) + CHOOSE(CONTROL!$C$28, 0.0021, 0)</f>
        <v>49.91</v>
      </c>
      <c r="E516" s="4">
        <f>245.52009330254 * CHOOSE(CONTROL!$C$9, $C$13, 100%, $E$13) + CHOOSE(CONTROL!$C$28, 0.0021, 0)</f>
        <v>245.52219330254002</v>
      </c>
    </row>
    <row r="517" spans="1:5" ht="15">
      <c r="A517" s="13">
        <v>57253</v>
      </c>
      <c r="B517" s="4">
        <f>35.7528 * CHOOSE(CONTROL!$C$9, $C$13, 100%, $E$13) + CHOOSE(CONTROL!$C$28, 0.0415, 0)</f>
        <v>35.7943</v>
      </c>
      <c r="C517" s="4">
        <f>35.3895 * CHOOSE(CONTROL!$C$9, $C$13, 100%, $E$13) + CHOOSE(CONTROL!$C$28, 0.0415, 0)</f>
        <v>35.430999999999997</v>
      </c>
      <c r="D517" s="4">
        <f>49.6619 * CHOOSE(CONTROL!$C$9, $C$13, 100%, $E$13) + CHOOSE(CONTROL!$C$28, 0.0021, 0)</f>
        <v>49.664000000000001</v>
      </c>
      <c r="E517" s="4">
        <f>235.735908740728 * CHOOSE(CONTROL!$C$9, $C$13, 100%, $E$13) + CHOOSE(CONTROL!$C$28, 0.0021, 0)</f>
        <v>235.73800874072802</v>
      </c>
    </row>
    <row r="518" spans="1:5" ht="15">
      <c r="A518" s="13">
        <v>57284</v>
      </c>
      <c r="B518" s="4">
        <f>34.5906 * CHOOSE(CONTROL!$C$9, $C$13, 100%, $E$13) + CHOOSE(CONTROL!$C$28, 0.0211, 0)</f>
        <v>34.611699999999999</v>
      </c>
      <c r="C518" s="4">
        <f>34.2273 * CHOOSE(CONTROL!$C$9, $C$13, 100%, $E$13) + CHOOSE(CONTROL!$C$28, 0.0211, 0)</f>
        <v>34.248399999999997</v>
      </c>
      <c r="D518" s="4">
        <f>49.0031 * CHOOSE(CONTROL!$C$9, $C$13, 100%, $E$13) + CHOOSE(CONTROL!$C$28, 0.0021, 0)</f>
        <v>49.005200000000002</v>
      </c>
      <c r="E518" s="4">
        <f>227.903475095405 * CHOOSE(CONTROL!$C$9, $C$13, 100%, $E$13) + CHOOSE(CONTROL!$C$28, 0.0021, 0)</f>
        <v>227.90557509540503</v>
      </c>
    </row>
    <row r="519" spans="1:5" ht="15">
      <c r="A519" s="13">
        <v>57314</v>
      </c>
      <c r="B519" s="4">
        <f>33.842 * CHOOSE(CONTROL!$C$9, $C$13, 100%, $E$13) + CHOOSE(CONTROL!$C$28, 0.0211, 0)</f>
        <v>33.863099999999996</v>
      </c>
      <c r="C519" s="4">
        <f>33.4787 * CHOOSE(CONTROL!$C$9, $C$13, 100%, $E$13) + CHOOSE(CONTROL!$C$28, 0.0211, 0)</f>
        <v>33.4998</v>
      </c>
      <c r="D519" s="4">
        <f>48.7766 * CHOOSE(CONTROL!$C$9, $C$13, 100%, $E$13) + CHOOSE(CONTROL!$C$28, 0.0021, 0)</f>
        <v>48.778700000000001</v>
      </c>
      <c r="E519" s="4">
        <f>222.858802938292 * CHOOSE(CONTROL!$C$9, $C$13, 100%, $E$13) + CHOOSE(CONTROL!$C$28, 0.0021, 0)</f>
        <v>222.86090293829201</v>
      </c>
    </row>
    <row r="520" spans="1:5" ht="15">
      <c r="A520" s="13">
        <v>57345</v>
      </c>
      <c r="B520" s="4">
        <f>33.3241 * CHOOSE(CONTROL!$C$9, $C$13, 100%, $E$13) + CHOOSE(CONTROL!$C$28, 0.0211, 0)</f>
        <v>33.345199999999998</v>
      </c>
      <c r="C520" s="4">
        <f>32.9609 * CHOOSE(CONTROL!$C$9, $C$13, 100%, $E$13) + CHOOSE(CONTROL!$C$28, 0.0211, 0)</f>
        <v>32.981999999999999</v>
      </c>
      <c r="D520" s="4">
        <f>47.1092 * CHOOSE(CONTROL!$C$9, $C$13, 100%, $E$13) + CHOOSE(CONTROL!$C$28, 0.0021, 0)</f>
        <v>47.1113</v>
      </c>
      <c r="E520" s="4">
        <f>219.368538270043 * CHOOSE(CONTROL!$C$9, $C$13, 100%, $E$13) + CHOOSE(CONTROL!$C$28, 0.0021, 0)</f>
        <v>219.370638270043</v>
      </c>
    </row>
    <row r="521" spans="1:5" ht="15">
      <c r="A521" s="13">
        <v>57376</v>
      </c>
      <c r="B521" s="4">
        <f>31.9072 * CHOOSE(CONTROL!$C$9, $C$13, 100%, $E$13) + CHOOSE(CONTROL!$C$28, 0.0211, 0)</f>
        <v>31.9283</v>
      </c>
      <c r="C521" s="4">
        <f>31.5439 * CHOOSE(CONTROL!$C$9, $C$13, 100%, $E$13) + CHOOSE(CONTROL!$C$28, 0.0211, 0)</f>
        <v>31.565000000000001</v>
      </c>
      <c r="D521" s="4">
        <f>45.2725 * CHOOSE(CONTROL!$C$9, $C$13, 100%, $E$13) + CHOOSE(CONTROL!$C$28, 0.0021, 0)</f>
        <v>45.2746</v>
      </c>
      <c r="E521" s="4">
        <f>210.230947266757 * CHOOSE(CONTROL!$C$9, $C$13, 100%, $E$13) + CHOOSE(CONTROL!$C$28, 0.0021, 0)</f>
        <v>210.23304726675701</v>
      </c>
    </row>
    <row r="522" spans="1:5" ht="15">
      <c r="A522" s="13">
        <v>57404</v>
      </c>
      <c r="B522" s="4">
        <f>32.6464 * CHOOSE(CONTROL!$C$9, $C$13, 100%, $E$13) + CHOOSE(CONTROL!$C$28, 0.0211, 0)</f>
        <v>32.667499999999997</v>
      </c>
      <c r="C522" s="4">
        <f>32.2831 * CHOOSE(CONTROL!$C$9, $C$13, 100%, $E$13) + CHOOSE(CONTROL!$C$28, 0.0211, 0)</f>
        <v>32.304199999999994</v>
      </c>
      <c r="D522" s="4">
        <f>46.8049 * CHOOSE(CONTROL!$C$9, $C$13, 100%, $E$13) + CHOOSE(CONTROL!$C$28, 0.0021, 0)</f>
        <v>46.807000000000002</v>
      </c>
      <c r="E522" s="4">
        <f>215.222658455995 * CHOOSE(CONTROL!$C$9, $C$13, 100%, $E$13) + CHOOSE(CONTROL!$C$28, 0.0021, 0)</f>
        <v>215.22475845599502</v>
      </c>
    </row>
    <row r="523" spans="1:5" ht="15">
      <c r="A523" s="13">
        <v>57435</v>
      </c>
      <c r="B523" s="4">
        <f>34.5877 * CHOOSE(CONTROL!$C$9, $C$13, 100%, $E$13) + CHOOSE(CONTROL!$C$28, 0.0211, 0)</f>
        <v>34.608799999999995</v>
      </c>
      <c r="C523" s="4">
        <f>34.2244 * CHOOSE(CONTROL!$C$9, $C$13, 100%, $E$13) + CHOOSE(CONTROL!$C$28, 0.0211, 0)</f>
        <v>34.2455</v>
      </c>
      <c r="D523" s="4">
        <f>49.2039 * CHOOSE(CONTROL!$C$9, $C$13, 100%, $E$13) + CHOOSE(CONTROL!$C$28, 0.0021, 0)</f>
        <v>49.205999999999996</v>
      </c>
      <c r="E523" s="4">
        <f>228.331157314576 * CHOOSE(CONTROL!$C$9, $C$13, 100%, $E$13) + CHOOSE(CONTROL!$C$28, 0.0021, 0)</f>
        <v>228.333257314576</v>
      </c>
    </row>
    <row r="524" spans="1:5" ht="15">
      <c r="A524" s="13">
        <v>57465</v>
      </c>
      <c r="B524" s="4">
        <f>35.967 * CHOOSE(CONTROL!$C$9, $C$13, 100%, $E$13) + CHOOSE(CONTROL!$C$28, 0.0211, 0)</f>
        <v>35.988099999999996</v>
      </c>
      <c r="C524" s="4">
        <f>35.6037 * CHOOSE(CONTROL!$C$9, $C$13, 100%, $E$13) + CHOOSE(CONTROL!$C$28, 0.0211, 0)</f>
        <v>35.6248</v>
      </c>
      <c r="D524" s="4">
        <f>50.5858 * CHOOSE(CONTROL!$C$9, $C$13, 100%, $E$13) + CHOOSE(CONTROL!$C$28, 0.0021, 0)</f>
        <v>50.587899999999998</v>
      </c>
      <c r="E524" s="4">
        <f>237.644920447314 * CHOOSE(CONTROL!$C$9, $C$13, 100%, $E$13) + CHOOSE(CONTROL!$C$28, 0.0021, 0)</f>
        <v>237.64702044731402</v>
      </c>
    </row>
    <row r="525" spans="1:5" ht="15">
      <c r="A525" s="13">
        <v>57496</v>
      </c>
      <c r="B525" s="4">
        <f>36.8097 * CHOOSE(CONTROL!$C$9, $C$13, 100%, $E$13) + CHOOSE(CONTROL!$C$28, 0.0415, 0)</f>
        <v>36.851199999999999</v>
      </c>
      <c r="C525" s="4">
        <f>36.4464 * CHOOSE(CONTROL!$C$9, $C$13, 100%, $E$13) + CHOOSE(CONTROL!$C$28, 0.0415, 0)</f>
        <v>36.487899999999996</v>
      </c>
      <c r="D525" s="4">
        <f>50.0398 * CHOOSE(CONTROL!$C$9, $C$13, 100%, $E$13) + CHOOSE(CONTROL!$C$28, 0.0021, 0)</f>
        <v>50.041899999999998</v>
      </c>
      <c r="E525" s="4">
        <f>243.335406501669 * CHOOSE(CONTROL!$C$9, $C$13, 100%, $E$13) + CHOOSE(CONTROL!$C$28, 0.0021, 0)</f>
        <v>243.33750650166903</v>
      </c>
    </row>
    <row r="526" spans="1:5" ht="15">
      <c r="A526" s="13">
        <v>57526</v>
      </c>
      <c r="B526" s="4">
        <f>36.9237 * CHOOSE(CONTROL!$C$9, $C$13, 100%, $E$13) + CHOOSE(CONTROL!$C$28, 0.0415, 0)</f>
        <v>36.965199999999996</v>
      </c>
      <c r="C526" s="4">
        <f>36.5604 * CHOOSE(CONTROL!$C$9, $C$13, 100%, $E$13) + CHOOSE(CONTROL!$C$28, 0.0415, 0)</f>
        <v>36.601900000000001</v>
      </c>
      <c r="D526" s="4">
        <f>50.4845 * CHOOSE(CONTROL!$C$9, $C$13, 100%, $E$13) + CHOOSE(CONTROL!$C$28, 0.0021, 0)</f>
        <v>50.486599999999996</v>
      </c>
      <c r="E526" s="4">
        <f>244.105352880825 * CHOOSE(CONTROL!$C$9, $C$13, 100%, $E$13) + CHOOSE(CONTROL!$C$28, 0.0021, 0)</f>
        <v>244.10745288082501</v>
      </c>
    </row>
    <row r="527" spans="1:5" ht="15">
      <c r="A527" s="13">
        <v>57557</v>
      </c>
      <c r="B527" s="4">
        <f>36.9122 * CHOOSE(CONTROL!$C$9, $C$13, 100%, $E$13) + CHOOSE(CONTROL!$C$28, 0.0415, 0)</f>
        <v>36.953699999999998</v>
      </c>
      <c r="C527" s="4">
        <f>36.549 * CHOOSE(CONTROL!$C$9, $C$13, 100%, $E$13) + CHOOSE(CONTROL!$C$28, 0.0415, 0)</f>
        <v>36.590499999999999</v>
      </c>
      <c r="D527" s="4">
        <f>51.2869 * CHOOSE(CONTROL!$C$9, $C$13, 100%, $E$13) + CHOOSE(CONTROL!$C$28, 0.0021, 0)</f>
        <v>51.289000000000001</v>
      </c>
      <c r="E527" s="4">
        <f>244.027711229146 * CHOOSE(CONTROL!$C$9, $C$13, 100%, $E$13) + CHOOSE(CONTROL!$C$28, 0.0021, 0)</f>
        <v>244.02981122914602</v>
      </c>
    </row>
    <row r="528" spans="1:5" ht="15">
      <c r="A528" s="13">
        <v>57588</v>
      </c>
      <c r="B528" s="4">
        <f>37.7775 * CHOOSE(CONTROL!$C$9, $C$13, 100%, $E$13) + CHOOSE(CONTROL!$C$28, 0.0415, 0)</f>
        <v>37.819000000000003</v>
      </c>
      <c r="C528" s="4">
        <f>37.4142 * CHOOSE(CONTROL!$C$9, $C$13, 100%, $E$13) + CHOOSE(CONTROL!$C$28, 0.0415, 0)</f>
        <v>37.4557</v>
      </c>
      <c r="D528" s="4">
        <f>50.757 * CHOOSE(CONTROL!$C$9, $C$13, 100%, $E$13) + CHOOSE(CONTROL!$C$28, 0.0021, 0)</f>
        <v>50.759099999999997</v>
      </c>
      <c r="E528" s="4">
        <f>249.870245518039 * CHOOSE(CONTROL!$C$9, $C$13, 100%, $E$13) + CHOOSE(CONTROL!$C$28, 0.0021, 0)</f>
        <v>249.87234551803903</v>
      </c>
    </row>
    <row r="529" spans="1:5" ht="15">
      <c r="A529" s="13">
        <v>57618</v>
      </c>
      <c r="B529" s="4">
        <f>36.3028 * CHOOSE(CONTROL!$C$9, $C$13, 100%, $E$13) + CHOOSE(CONTROL!$C$28, 0.0415, 0)</f>
        <v>36.344299999999997</v>
      </c>
      <c r="C529" s="4">
        <f>35.9395 * CHOOSE(CONTROL!$C$9, $C$13, 100%, $E$13) + CHOOSE(CONTROL!$C$28, 0.0415, 0)</f>
        <v>35.981000000000002</v>
      </c>
      <c r="D529" s="4">
        <f>50.5066 * CHOOSE(CONTROL!$C$9, $C$13, 100%, $E$13) + CHOOSE(CONTROL!$C$28, 0.0021, 0)</f>
        <v>50.508699999999997</v>
      </c>
      <c r="E529" s="4">
        <f>239.912703690124 * CHOOSE(CONTROL!$C$9, $C$13, 100%, $E$13) + CHOOSE(CONTROL!$C$28, 0.0021, 0)</f>
        <v>239.91480369012402</v>
      </c>
    </row>
    <row r="530" spans="1:5" ht="15">
      <c r="A530" s="13">
        <v>57649</v>
      </c>
      <c r="B530" s="4">
        <f>35.1223 * CHOOSE(CONTROL!$C$9, $C$13, 100%, $E$13) + CHOOSE(CONTROL!$C$28, 0.0211, 0)</f>
        <v>35.1434</v>
      </c>
      <c r="C530" s="4">
        <f>34.7591 * CHOOSE(CONTROL!$C$9, $C$13, 100%, $E$13) + CHOOSE(CONTROL!$C$28, 0.0211, 0)</f>
        <v>34.780199999999994</v>
      </c>
      <c r="D530" s="4">
        <f>49.8362 * CHOOSE(CONTROL!$C$9, $C$13, 100%, $E$13) + CHOOSE(CONTROL!$C$28, 0.0021, 0)</f>
        <v>49.838299999999997</v>
      </c>
      <c r="E530" s="4">
        <f>231.94149411768 * CHOOSE(CONTROL!$C$9, $C$13, 100%, $E$13) + CHOOSE(CONTROL!$C$28, 0.0021, 0)</f>
        <v>231.94359411768002</v>
      </c>
    </row>
    <row r="531" spans="1:5" ht="15">
      <c r="A531" s="13">
        <v>57679</v>
      </c>
      <c r="B531" s="4">
        <f>34.362 * CHOOSE(CONTROL!$C$9, $C$13, 100%, $E$13) + CHOOSE(CONTROL!$C$28, 0.0211, 0)</f>
        <v>34.383099999999999</v>
      </c>
      <c r="C531" s="4">
        <f>33.9988 * CHOOSE(CONTROL!$C$9, $C$13, 100%, $E$13) + CHOOSE(CONTROL!$C$28, 0.0211, 0)</f>
        <v>34.0199</v>
      </c>
      <c r="D531" s="4">
        <f>49.6057 * CHOOSE(CONTROL!$C$9, $C$13, 100%, $E$13) + CHOOSE(CONTROL!$C$28, 0.0021, 0)</f>
        <v>49.607799999999997</v>
      </c>
      <c r="E531" s="4">
        <f>226.807439900363 * CHOOSE(CONTROL!$C$9, $C$13, 100%, $E$13) + CHOOSE(CONTROL!$C$28, 0.0021, 0)</f>
        <v>226.80953990036301</v>
      </c>
    </row>
    <row r="532" spans="1:5" ht="15">
      <c r="A532" s="13">
        <v>57710</v>
      </c>
      <c r="B532" s="4">
        <f>33.836 * CHOOSE(CONTROL!$C$9, $C$13, 100%, $E$13) + CHOOSE(CONTROL!$C$28, 0.0211, 0)</f>
        <v>33.857099999999996</v>
      </c>
      <c r="C532" s="4">
        <f>33.4727 * CHOOSE(CONTROL!$C$9, $C$13, 100%, $E$13) + CHOOSE(CONTROL!$C$28, 0.0211, 0)</f>
        <v>33.4938</v>
      </c>
      <c r="D532" s="4">
        <f>47.9089 * CHOOSE(CONTROL!$C$9, $C$13, 100%, $E$13) + CHOOSE(CONTROL!$C$28, 0.0021, 0)</f>
        <v>47.911000000000001</v>
      </c>
      <c r="E532" s="4">
        <f>223.255334336019 * CHOOSE(CONTROL!$C$9, $C$13, 100%, $E$13) + CHOOSE(CONTROL!$C$28, 0.0021, 0)</f>
        <v>223.257434336019</v>
      </c>
    </row>
    <row r="533" spans="1:5" ht="15">
      <c r="A533" s="13">
        <v>57741</v>
      </c>
      <c r="B533" s="4">
        <f>32.3967 * CHOOSE(CONTROL!$C$9, $C$13, 100%, $E$13) + CHOOSE(CONTROL!$C$28, 0.0211, 0)</f>
        <v>32.4178</v>
      </c>
      <c r="C533" s="4">
        <f>32.0335 * CHOOSE(CONTROL!$C$9, $C$13, 100%, $E$13) + CHOOSE(CONTROL!$C$28, 0.0211, 0)</f>
        <v>32.054599999999994</v>
      </c>
      <c r="D533" s="4">
        <f>46.0396 * CHOOSE(CONTROL!$C$9, $C$13, 100%, $E$13) + CHOOSE(CONTROL!$C$28, 0.0021, 0)</f>
        <v>46.041699999999999</v>
      </c>
      <c r="E533" s="4">
        <f>213.955842482939 * CHOOSE(CONTROL!$C$9, $C$13, 100%, $E$13) + CHOOSE(CONTROL!$C$28, 0.0021, 0)</f>
        <v>213.95794248293902</v>
      </c>
    </row>
    <row r="534" spans="1:5" ht="15">
      <c r="A534" s="13">
        <v>57769</v>
      </c>
      <c r="B534" s="4">
        <f>33.1476 * CHOOSE(CONTROL!$C$9, $C$13, 100%, $E$13) + CHOOSE(CONTROL!$C$28, 0.0211, 0)</f>
        <v>33.168699999999994</v>
      </c>
      <c r="C534" s="4">
        <f>32.7843 * CHOOSE(CONTROL!$C$9, $C$13, 100%, $E$13) + CHOOSE(CONTROL!$C$28, 0.0211, 0)</f>
        <v>32.805399999999999</v>
      </c>
      <c r="D534" s="4">
        <f>47.5992 * CHOOSE(CONTROL!$C$9, $C$13, 100%, $E$13) + CHOOSE(CONTROL!$C$28, 0.0021, 0)</f>
        <v>47.601300000000002</v>
      </c>
      <c r="E534" s="4">
        <f>219.035997364083 * CHOOSE(CONTROL!$C$9, $C$13, 100%, $E$13) + CHOOSE(CONTROL!$C$28, 0.0021, 0)</f>
        <v>219.038097364083</v>
      </c>
    </row>
    <row r="535" spans="1:5" ht="15">
      <c r="A535" s="13">
        <v>57800</v>
      </c>
      <c r="B535" s="4">
        <f>35.1194 * CHOOSE(CONTROL!$C$9, $C$13, 100%, $E$13) + CHOOSE(CONTROL!$C$28, 0.0211, 0)</f>
        <v>35.140499999999996</v>
      </c>
      <c r="C535" s="4">
        <f>34.7561 * CHOOSE(CONTROL!$C$9, $C$13, 100%, $E$13) + CHOOSE(CONTROL!$C$28, 0.0211, 0)</f>
        <v>34.777200000000001</v>
      </c>
      <c r="D535" s="4">
        <f>50.0406 * CHOOSE(CONTROL!$C$9, $C$13, 100%, $E$13) + CHOOSE(CONTROL!$C$28, 0.0021, 0)</f>
        <v>50.042699999999996</v>
      </c>
      <c r="E535" s="4">
        <f>232.376754057795 * CHOOSE(CONTROL!$C$9, $C$13, 100%, $E$13) + CHOOSE(CONTROL!$C$28, 0.0021, 0)</f>
        <v>232.37885405779502</v>
      </c>
    </row>
    <row r="536" spans="1:5" ht="15">
      <c r="A536" s="13">
        <v>57830</v>
      </c>
      <c r="B536" s="4">
        <f>36.5204 * CHOOSE(CONTROL!$C$9, $C$13, 100%, $E$13) + CHOOSE(CONTROL!$C$28, 0.0211, 0)</f>
        <v>36.541499999999999</v>
      </c>
      <c r="C536" s="4">
        <f>36.1571 * CHOOSE(CONTROL!$C$9, $C$13, 100%, $E$13) + CHOOSE(CONTROL!$C$28, 0.0211, 0)</f>
        <v>36.178199999999997</v>
      </c>
      <c r="D536" s="4">
        <f>51.4469 * CHOOSE(CONTROL!$C$9, $C$13, 100%, $E$13) + CHOOSE(CONTROL!$C$28, 0.0021, 0)</f>
        <v>51.448999999999998</v>
      </c>
      <c r="E536" s="4">
        <f>241.855539477636 * CHOOSE(CONTROL!$C$9, $C$13, 100%, $E$13) + CHOOSE(CONTROL!$C$28, 0.0021, 0)</f>
        <v>241.85763947763601</v>
      </c>
    </row>
    <row r="537" spans="1:5" ht="15">
      <c r="A537" s="13">
        <v>57861</v>
      </c>
      <c r="B537" s="4">
        <f>37.3764 * CHOOSE(CONTROL!$C$9, $C$13, 100%, $E$13) + CHOOSE(CONTROL!$C$28, 0.0415, 0)</f>
        <v>37.417899999999996</v>
      </c>
      <c r="C537" s="4">
        <f>37.0131 * CHOOSE(CONTROL!$C$9, $C$13, 100%, $E$13) + CHOOSE(CONTROL!$C$28, 0.0415, 0)</f>
        <v>37.054600000000001</v>
      </c>
      <c r="D537" s="4">
        <f>50.8912 * CHOOSE(CONTROL!$C$9, $C$13, 100%, $E$13) + CHOOSE(CONTROL!$C$28, 0.0021, 0)</f>
        <v>50.893299999999996</v>
      </c>
      <c r="E537" s="4">
        <f>247.646850194378 * CHOOSE(CONTROL!$C$9, $C$13, 100%, $E$13) + CHOOSE(CONTROL!$C$28, 0.0021, 0)</f>
        <v>247.64895019437802</v>
      </c>
    </row>
    <row r="538" spans="1:5" ht="15">
      <c r="A538" s="13">
        <v>57891</v>
      </c>
      <c r="B538" s="4">
        <f>37.4922 * CHOOSE(CONTROL!$C$9, $C$13, 100%, $E$13) + CHOOSE(CONTROL!$C$28, 0.0415, 0)</f>
        <v>37.533699999999996</v>
      </c>
      <c r="C538" s="4">
        <f>37.1289 * CHOOSE(CONTROL!$C$9, $C$13, 100%, $E$13) + CHOOSE(CONTROL!$C$28, 0.0415, 0)</f>
        <v>37.170400000000001</v>
      </c>
      <c r="D538" s="4">
        <f>51.3438 * CHOOSE(CONTROL!$C$9, $C$13, 100%, $E$13) + CHOOSE(CONTROL!$C$28, 0.0021, 0)</f>
        <v>51.3459</v>
      </c>
      <c r="E538" s="4">
        <f>248.430438568787 * CHOOSE(CONTROL!$C$9, $C$13, 100%, $E$13) + CHOOSE(CONTROL!$C$28, 0.0021, 0)</f>
        <v>248.43253856878701</v>
      </c>
    </row>
    <row r="539" spans="1:5" ht="15">
      <c r="A539" s="13">
        <v>57922</v>
      </c>
      <c r="B539" s="4">
        <f>37.4805 * CHOOSE(CONTROL!$C$9, $C$13, 100%, $E$13) + CHOOSE(CONTROL!$C$28, 0.0415, 0)</f>
        <v>37.521999999999998</v>
      </c>
      <c r="C539" s="4">
        <f>37.1172 * CHOOSE(CONTROL!$C$9, $C$13, 100%, $E$13) + CHOOSE(CONTROL!$C$28, 0.0415, 0)</f>
        <v>37.158699999999996</v>
      </c>
      <c r="D539" s="4">
        <f>52.1604 * CHOOSE(CONTROL!$C$9, $C$13, 100%, $E$13) + CHOOSE(CONTROL!$C$28, 0.0021, 0)</f>
        <v>52.162500000000001</v>
      </c>
      <c r="E539" s="4">
        <f>248.35142125372 * CHOOSE(CONTROL!$C$9, $C$13, 100%, $E$13) + CHOOSE(CONTROL!$C$28, 0.0021, 0)</f>
        <v>248.35352125372</v>
      </c>
    </row>
    <row r="540" spans="1:5" ht="15">
      <c r="A540" s="13">
        <v>57953</v>
      </c>
      <c r="B540" s="4">
        <f>38.3594 * CHOOSE(CONTROL!$C$9, $C$13, 100%, $E$13) + CHOOSE(CONTROL!$C$28, 0.0415, 0)</f>
        <v>38.4009</v>
      </c>
      <c r="C540" s="4">
        <f>37.9961 * CHOOSE(CONTROL!$C$9, $C$13, 100%, $E$13) + CHOOSE(CONTROL!$C$28, 0.0415, 0)</f>
        <v>38.037599999999998</v>
      </c>
      <c r="D540" s="4">
        <f>51.6211 * CHOOSE(CONTROL!$C$9, $C$13, 100%, $E$13) + CHOOSE(CONTROL!$C$28, 0.0021, 0)</f>
        <v>51.623199999999997</v>
      </c>
      <c r="E540" s="4">
        <f>254.297474212468 * CHOOSE(CONTROL!$C$9, $C$13, 100%, $E$13) + CHOOSE(CONTROL!$C$28, 0.0021, 0)</f>
        <v>254.299574212468</v>
      </c>
    </row>
    <row r="541" spans="1:5" ht="15">
      <c r="A541" s="13">
        <v>57983</v>
      </c>
      <c r="B541" s="4">
        <f>36.8615 * CHOOSE(CONTROL!$C$9, $C$13, 100%, $E$13) + CHOOSE(CONTROL!$C$28, 0.0415, 0)</f>
        <v>36.902999999999999</v>
      </c>
      <c r="C541" s="4">
        <f>36.4982 * CHOOSE(CONTROL!$C$9, $C$13, 100%, $E$13) + CHOOSE(CONTROL!$C$28, 0.0415, 0)</f>
        <v>36.539699999999996</v>
      </c>
      <c r="D541" s="4">
        <f>51.3663 * CHOOSE(CONTROL!$C$9, $C$13, 100%, $E$13) + CHOOSE(CONTROL!$C$28, 0.0021, 0)</f>
        <v>51.368400000000001</v>
      </c>
      <c r="E541" s="4">
        <f>244.163503555201 * CHOOSE(CONTROL!$C$9, $C$13, 100%, $E$13) + CHOOSE(CONTROL!$C$28, 0.0021, 0)</f>
        <v>244.16560355520102</v>
      </c>
    </row>
    <row r="542" spans="1:5" ht="15">
      <c r="A542" s="13">
        <v>58014</v>
      </c>
      <c r="B542" s="4">
        <f>35.6625 * CHOOSE(CONTROL!$C$9, $C$13, 100%, $E$13) + CHOOSE(CONTROL!$C$28, 0.0211, 0)</f>
        <v>35.683599999999998</v>
      </c>
      <c r="C542" s="4">
        <f>35.2992 * CHOOSE(CONTROL!$C$9, $C$13, 100%, $E$13) + CHOOSE(CONTROL!$C$28, 0.0211, 0)</f>
        <v>35.320299999999996</v>
      </c>
      <c r="D542" s="4">
        <f>50.684 * CHOOSE(CONTROL!$C$9, $C$13, 100%, $E$13) + CHOOSE(CONTROL!$C$28, 0.0021, 0)</f>
        <v>50.686099999999996</v>
      </c>
      <c r="E542" s="4">
        <f>236.051059208383 * CHOOSE(CONTROL!$C$9, $C$13, 100%, $E$13) + CHOOSE(CONTROL!$C$28, 0.0021, 0)</f>
        <v>236.05315920838302</v>
      </c>
    </row>
    <row r="543" spans="1:5" ht="15">
      <c r="A543" s="13">
        <v>58044</v>
      </c>
      <c r="B543" s="4">
        <f>34.8902 * CHOOSE(CONTROL!$C$9, $C$13, 100%, $E$13) + CHOOSE(CONTROL!$C$28, 0.0211, 0)</f>
        <v>34.911299999999997</v>
      </c>
      <c r="C543" s="4">
        <f>34.5269 * CHOOSE(CONTROL!$C$9, $C$13, 100%, $E$13) + CHOOSE(CONTROL!$C$28, 0.0211, 0)</f>
        <v>34.547999999999995</v>
      </c>
      <c r="D543" s="4">
        <f>50.4495 * CHOOSE(CONTROL!$C$9, $C$13, 100%, $E$13) + CHOOSE(CONTROL!$C$28, 0.0021, 0)</f>
        <v>50.451599999999999</v>
      </c>
      <c r="E543" s="4">
        <f>230.826039249617 * CHOOSE(CONTROL!$C$9, $C$13, 100%, $E$13) + CHOOSE(CONTROL!$C$28, 0.0021, 0)</f>
        <v>230.82813924961701</v>
      </c>
    </row>
    <row r="544" spans="1:5" ht="15">
      <c r="A544" s="13">
        <v>58075</v>
      </c>
      <c r="B544" s="4">
        <f>34.3559 * CHOOSE(CONTROL!$C$9, $C$13, 100%, $E$13) + CHOOSE(CONTROL!$C$28, 0.0211, 0)</f>
        <v>34.376999999999995</v>
      </c>
      <c r="C544" s="4">
        <f>33.9926 * CHOOSE(CONTROL!$C$9, $C$13, 100%, $E$13) + CHOOSE(CONTROL!$C$28, 0.0211, 0)</f>
        <v>34.0137</v>
      </c>
      <c r="D544" s="4">
        <f>48.7226 * CHOOSE(CONTROL!$C$9, $C$13, 100%, $E$13) + CHOOSE(CONTROL!$C$28, 0.0021, 0)</f>
        <v>48.724699999999999</v>
      </c>
      <c r="E544" s="4">
        <f>227.210997085329 * CHOOSE(CONTROL!$C$9, $C$13, 100%, $E$13) + CHOOSE(CONTROL!$C$28, 0.0021, 0)</f>
        <v>227.21309708532903</v>
      </c>
    </row>
    <row r="545" spans="1:5" ht="15">
      <c r="A545" s="13">
        <v>58106</v>
      </c>
      <c r="B545" s="4">
        <f>32.894 * CHOOSE(CONTROL!$C$9, $C$13, 100%, $E$13) + CHOOSE(CONTROL!$C$28, 0.0211, 0)</f>
        <v>32.915099999999995</v>
      </c>
      <c r="C545" s="4">
        <f>32.5307 * CHOOSE(CONTROL!$C$9, $C$13, 100%, $E$13) + CHOOSE(CONTROL!$C$28, 0.0211, 0)</f>
        <v>32.5518</v>
      </c>
      <c r="D545" s="4">
        <f>46.8204 * CHOOSE(CONTROL!$C$9, $C$13, 100%, $E$13) + CHOOSE(CONTROL!$C$28, 0.0021, 0)</f>
        <v>46.822499999999998</v>
      </c>
      <c r="E545" s="4">
        <f>217.746735805259 * CHOOSE(CONTROL!$C$9, $C$13, 100%, $E$13) + CHOOSE(CONTROL!$C$28, 0.0021, 0)</f>
        <v>217.74883580525901</v>
      </c>
    </row>
    <row r="546" spans="1:5" ht="15">
      <c r="A546" s="13">
        <v>58134</v>
      </c>
      <c r="B546" s="4">
        <f>33.6567 * CHOOSE(CONTROL!$C$9, $C$13, 100%, $E$13) + CHOOSE(CONTROL!$C$28, 0.0211, 0)</f>
        <v>33.677799999999998</v>
      </c>
      <c r="C546" s="4">
        <f>33.2934 * CHOOSE(CONTROL!$C$9, $C$13, 100%, $E$13) + CHOOSE(CONTROL!$C$28, 0.0211, 0)</f>
        <v>33.314499999999995</v>
      </c>
      <c r="D546" s="4">
        <f>48.4075 * CHOOSE(CONTROL!$C$9, $C$13, 100%, $E$13) + CHOOSE(CONTROL!$C$28, 0.0021, 0)</f>
        <v>48.409599999999998</v>
      </c>
      <c r="E546" s="4">
        <f>222.916901433443 * CHOOSE(CONTROL!$C$9, $C$13, 100%, $E$13) + CHOOSE(CONTROL!$C$28, 0.0021, 0)</f>
        <v>222.91900143344301</v>
      </c>
    </row>
    <row r="547" spans="1:5" ht="15">
      <c r="A547" s="13">
        <v>58165</v>
      </c>
      <c r="B547" s="4">
        <f>35.6595 * CHOOSE(CONTROL!$C$9, $C$13, 100%, $E$13) + CHOOSE(CONTROL!$C$28, 0.0211, 0)</f>
        <v>35.680599999999998</v>
      </c>
      <c r="C547" s="4">
        <f>35.2962 * CHOOSE(CONTROL!$C$9, $C$13, 100%, $E$13) + CHOOSE(CONTROL!$C$28, 0.0211, 0)</f>
        <v>35.317299999999996</v>
      </c>
      <c r="D547" s="4">
        <f>50.892 * CHOOSE(CONTROL!$C$9, $C$13, 100%, $E$13) + CHOOSE(CONTROL!$C$28, 0.0021, 0)</f>
        <v>50.894100000000002</v>
      </c>
      <c r="E547" s="4">
        <f>236.494031132342 * CHOOSE(CONTROL!$C$9, $C$13, 100%, $E$13) + CHOOSE(CONTROL!$C$28, 0.0021, 0)</f>
        <v>236.49613113234201</v>
      </c>
    </row>
    <row r="548" spans="1:5" ht="15">
      <c r="A548" s="13">
        <v>58195</v>
      </c>
      <c r="B548" s="4">
        <f>37.0825 * CHOOSE(CONTROL!$C$9, $C$13, 100%, $E$13) + CHOOSE(CONTROL!$C$28, 0.0211, 0)</f>
        <v>37.1036</v>
      </c>
      <c r="C548" s="4">
        <f>36.7192 * CHOOSE(CONTROL!$C$9, $C$13, 100%, $E$13) + CHOOSE(CONTROL!$C$28, 0.0211, 0)</f>
        <v>36.740299999999998</v>
      </c>
      <c r="D548" s="4">
        <f>52.3231 * CHOOSE(CONTROL!$C$9, $C$13, 100%, $E$13) + CHOOSE(CONTROL!$C$28, 0.0021, 0)</f>
        <v>52.325199999999995</v>
      </c>
      <c r="E548" s="4">
        <f>246.140762722452 * CHOOSE(CONTROL!$C$9, $C$13, 100%, $E$13) + CHOOSE(CONTROL!$C$28, 0.0021, 0)</f>
        <v>246.14286272245201</v>
      </c>
    </row>
    <row r="549" spans="1:5" ht="15">
      <c r="A549" s="13">
        <v>58226</v>
      </c>
      <c r="B549" s="4">
        <f>37.952 * CHOOSE(CONTROL!$C$9, $C$13, 100%, $E$13) + CHOOSE(CONTROL!$C$28, 0.0415, 0)</f>
        <v>37.993499999999997</v>
      </c>
      <c r="C549" s="4">
        <f>37.5887 * CHOOSE(CONTROL!$C$9, $C$13, 100%, $E$13) + CHOOSE(CONTROL!$C$28, 0.0415, 0)</f>
        <v>37.630200000000002</v>
      </c>
      <c r="D549" s="4">
        <f>51.7576 * CHOOSE(CONTROL!$C$9, $C$13, 100%, $E$13) + CHOOSE(CONTROL!$C$28, 0.0021, 0)</f>
        <v>51.759699999999995</v>
      </c>
      <c r="E549" s="4">
        <f>252.034684524121 * CHOOSE(CONTROL!$C$9, $C$13, 100%, $E$13) + CHOOSE(CONTROL!$C$28, 0.0021, 0)</f>
        <v>252.036784524121</v>
      </c>
    </row>
    <row r="550" spans="1:5" ht="15">
      <c r="A550" s="13">
        <v>58256</v>
      </c>
      <c r="B550" s="4">
        <f>38.0696 * CHOOSE(CONTROL!$C$9, $C$13, 100%, $E$13) + CHOOSE(CONTROL!$C$28, 0.0415, 0)</f>
        <v>38.1111</v>
      </c>
      <c r="C550" s="4">
        <f>37.7063 * CHOOSE(CONTROL!$C$9, $C$13, 100%, $E$13) + CHOOSE(CONTROL!$C$28, 0.0415, 0)</f>
        <v>37.747799999999998</v>
      </c>
      <c r="D550" s="4">
        <f>52.2182 * CHOOSE(CONTROL!$C$9, $C$13, 100%, $E$13) + CHOOSE(CONTROL!$C$28, 0.0021, 0)</f>
        <v>52.220300000000002</v>
      </c>
      <c r="E550" s="4">
        <f>252.832156604165 * CHOOSE(CONTROL!$C$9, $C$13, 100%, $E$13) + CHOOSE(CONTROL!$C$28, 0.0021, 0)</f>
        <v>252.83425660416501</v>
      </c>
    </row>
    <row r="551" spans="1:5" ht="15">
      <c r="A551" s="13">
        <v>58287</v>
      </c>
      <c r="B551" s="4">
        <f>38.0577 * CHOOSE(CONTROL!$C$9, $C$13, 100%, $E$13) + CHOOSE(CONTROL!$C$28, 0.0415, 0)</f>
        <v>38.099199999999996</v>
      </c>
      <c r="C551" s="4">
        <f>37.6944 * CHOOSE(CONTROL!$C$9, $C$13, 100%, $E$13) + CHOOSE(CONTROL!$C$28, 0.0415, 0)</f>
        <v>37.735900000000001</v>
      </c>
      <c r="D551" s="4">
        <f>53.0492 * CHOOSE(CONTROL!$C$9, $C$13, 100%, $E$13) + CHOOSE(CONTROL!$C$28, 0.0021, 0)</f>
        <v>53.051299999999998</v>
      </c>
      <c r="E551" s="4">
        <f>252.751739251556 * CHOOSE(CONTROL!$C$9, $C$13, 100%, $E$13) + CHOOSE(CONTROL!$C$28, 0.0021, 0)</f>
        <v>252.753839251556</v>
      </c>
    </row>
    <row r="552" spans="1:5" ht="15">
      <c r="A552" s="13">
        <v>58318</v>
      </c>
      <c r="B552" s="4">
        <f>38.9504 * CHOOSE(CONTROL!$C$9, $C$13, 100%, $E$13) + CHOOSE(CONTROL!$C$28, 0.0415, 0)</f>
        <v>38.991900000000001</v>
      </c>
      <c r="C552" s="4">
        <f>38.5871 * CHOOSE(CONTROL!$C$9, $C$13, 100%, $E$13) + CHOOSE(CONTROL!$C$28, 0.0415, 0)</f>
        <v>38.628599999999999</v>
      </c>
      <c r="D552" s="4">
        <f>52.5004 * CHOOSE(CONTROL!$C$9, $C$13, 100%, $E$13) + CHOOSE(CONTROL!$C$28, 0.0021, 0)</f>
        <v>52.502499999999998</v>
      </c>
      <c r="E552" s="4">
        <f>258.803145035418 * CHOOSE(CONTROL!$C$9, $C$13, 100%, $E$13) + CHOOSE(CONTROL!$C$28, 0.0021, 0)</f>
        <v>258.80524503541801</v>
      </c>
    </row>
    <row r="553" spans="1:5" ht="15">
      <c r="A553" s="13">
        <v>58348</v>
      </c>
      <c r="B553" s="4">
        <f>37.429 * CHOOSE(CONTROL!$C$9, $C$13, 100%, $E$13) + CHOOSE(CONTROL!$C$28, 0.0415, 0)</f>
        <v>37.470500000000001</v>
      </c>
      <c r="C553" s="4">
        <f>37.0657 * CHOOSE(CONTROL!$C$9, $C$13, 100%, $E$13) + CHOOSE(CONTROL!$C$28, 0.0415, 0)</f>
        <v>37.107199999999999</v>
      </c>
      <c r="D553" s="4">
        <f>52.2411 * CHOOSE(CONTROL!$C$9, $C$13, 100%, $E$13) + CHOOSE(CONTROL!$C$28, 0.0021, 0)</f>
        <v>52.243200000000002</v>
      </c>
      <c r="E553" s="4">
        <f>248.489619563254 * CHOOSE(CONTROL!$C$9, $C$13, 100%, $E$13) + CHOOSE(CONTROL!$C$28, 0.0021, 0)</f>
        <v>248.49171956325401</v>
      </c>
    </row>
    <row r="554" spans="1:5" ht="15">
      <c r="A554" s="13">
        <v>58379</v>
      </c>
      <c r="B554" s="4">
        <f>36.2111 * CHOOSE(CONTROL!$C$9, $C$13, 100%, $E$13) + CHOOSE(CONTROL!$C$28, 0.0211, 0)</f>
        <v>36.232199999999999</v>
      </c>
      <c r="C554" s="4">
        <f>35.8478 * CHOOSE(CONTROL!$C$9, $C$13, 100%, $E$13) + CHOOSE(CONTROL!$C$28, 0.0211, 0)</f>
        <v>35.868899999999996</v>
      </c>
      <c r="D554" s="4">
        <f>51.5468 * CHOOSE(CONTROL!$C$9, $C$13, 100%, $E$13) + CHOOSE(CONTROL!$C$28, 0.0021, 0)</f>
        <v>51.548899999999996</v>
      </c>
      <c r="E554" s="4">
        <f>240.233438028682 * CHOOSE(CONTROL!$C$9, $C$13, 100%, $E$13) + CHOOSE(CONTROL!$C$28, 0.0021, 0)</f>
        <v>240.23553802868202</v>
      </c>
    </row>
    <row r="555" spans="1:5" ht="15">
      <c r="A555" s="13">
        <v>58409</v>
      </c>
      <c r="B555" s="4">
        <f>35.4267 * CHOOSE(CONTROL!$C$9, $C$13, 100%, $E$13) + CHOOSE(CONTROL!$C$28, 0.0211, 0)</f>
        <v>35.447799999999994</v>
      </c>
      <c r="C555" s="4">
        <f>35.0634 * CHOOSE(CONTROL!$C$9, $C$13, 100%, $E$13) + CHOOSE(CONTROL!$C$28, 0.0211, 0)</f>
        <v>35.084499999999998</v>
      </c>
      <c r="D555" s="4">
        <f>51.3081 * CHOOSE(CONTROL!$C$9, $C$13, 100%, $E$13) + CHOOSE(CONTROL!$C$28, 0.0021, 0)</f>
        <v>51.310200000000002</v>
      </c>
      <c r="E555" s="4">
        <f>234.915840587381 * CHOOSE(CONTROL!$C$9, $C$13, 100%, $E$13) + CHOOSE(CONTROL!$C$28, 0.0021, 0)</f>
        <v>234.91794058738103</v>
      </c>
    </row>
    <row r="556" spans="1:5" ht="15">
      <c r="A556" s="13">
        <v>58440</v>
      </c>
      <c r="B556" s="4">
        <f>34.884 * CHOOSE(CONTROL!$C$9, $C$13, 100%, $E$13) + CHOOSE(CONTROL!$C$28, 0.0211, 0)</f>
        <v>34.905099999999997</v>
      </c>
      <c r="C556" s="4">
        <f>34.5207 * CHOOSE(CONTROL!$C$9, $C$13, 100%, $E$13) + CHOOSE(CONTROL!$C$28, 0.0211, 0)</f>
        <v>34.541799999999995</v>
      </c>
      <c r="D556" s="4">
        <f>49.5507 * CHOOSE(CONTROL!$C$9, $C$13, 100%, $E$13) + CHOOSE(CONTROL!$C$28, 0.0021, 0)</f>
        <v>49.552799999999998</v>
      </c>
      <c r="E556" s="4">
        <f>231.236746705498 * CHOOSE(CONTROL!$C$9, $C$13, 100%, $E$13) + CHOOSE(CONTROL!$C$28, 0.0021, 0)</f>
        <v>231.23884670549802</v>
      </c>
    </row>
    <row r="557" spans="1:5" ht="15">
      <c r="A557" s="13">
        <v>58471</v>
      </c>
      <c r="B557" s="4">
        <f>33.3991 * CHOOSE(CONTROL!$C$9, $C$13, 100%, $E$13) + CHOOSE(CONTROL!$C$28, 0.0211, 0)</f>
        <v>33.420199999999994</v>
      </c>
      <c r="C557" s="4">
        <f>33.0358 * CHOOSE(CONTROL!$C$9, $C$13, 100%, $E$13) + CHOOSE(CONTROL!$C$28, 0.0211, 0)</f>
        <v>33.056899999999999</v>
      </c>
      <c r="D557" s="4">
        <f>47.6149 * CHOOSE(CONTROL!$C$9, $C$13, 100%, $E$13) + CHOOSE(CONTROL!$C$28, 0.0021, 0)</f>
        <v>47.616999999999997</v>
      </c>
      <c r="E557" s="4">
        <f>221.604796595477 * CHOOSE(CONTROL!$C$9, $C$13, 100%, $E$13) + CHOOSE(CONTROL!$C$28, 0.0021, 0)</f>
        <v>221.60689659547702</v>
      </c>
    </row>
    <row r="558" spans="1:5" ht="15">
      <c r="A558" s="13">
        <v>58499</v>
      </c>
      <c r="B558" s="4">
        <f>34.1738 * CHOOSE(CONTROL!$C$9, $C$13, 100%, $E$13) + CHOOSE(CONTROL!$C$28, 0.0211, 0)</f>
        <v>34.194899999999997</v>
      </c>
      <c r="C558" s="4">
        <f>33.8105 * CHOOSE(CONTROL!$C$9, $C$13, 100%, $E$13) + CHOOSE(CONTROL!$C$28, 0.0211, 0)</f>
        <v>33.831599999999995</v>
      </c>
      <c r="D558" s="4">
        <f>49.23 * CHOOSE(CONTROL!$C$9, $C$13, 100%, $E$13) + CHOOSE(CONTROL!$C$28, 0.0021, 0)</f>
        <v>49.232099999999996</v>
      </c>
      <c r="E558" s="4">
        <f>226.866567791088 * CHOOSE(CONTROL!$C$9, $C$13, 100%, $E$13) + CHOOSE(CONTROL!$C$28, 0.0021, 0)</f>
        <v>226.868667791088</v>
      </c>
    </row>
    <row r="559" spans="1:5" ht="15">
      <c r="A559" s="13">
        <v>58531</v>
      </c>
      <c r="B559" s="4">
        <f>36.2081 * CHOOSE(CONTROL!$C$9, $C$13, 100%, $E$13) + CHOOSE(CONTROL!$C$28, 0.0211, 0)</f>
        <v>36.229199999999999</v>
      </c>
      <c r="C559" s="4">
        <f>35.8448 * CHOOSE(CONTROL!$C$9, $C$13, 100%, $E$13) + CHOOSE(CONTROL!$C$28, 0.0211, 0)</f>
        <v>35.865899999999996</v>
      </c>
      <c r="D559" s="4">
        <f>51.7584 * CHOOSE(CONTROL!$C$9, $C$13, 100%, $E$13) + CHOOSE(CONTROL!$C$28, 0.0021, 0)</f>
        <v>51.7605</v>
      </c>
      <c r="E559" s="4">
        <f>240.684258578268 * CHOOSE(CONTROL!$C$9, $C$13, 100%, $E$13) + CHOOSE(CONTROL!$C$28, 0.0021, 0)</f>
        <v>240.686358578268</v>
      </c>
    </row>
    <row r="560" spans="1:5" ht="15">
      <c r="A560" s="13">
        <v>58561</v>
      </c>
      <c r="B560" s="4">
        <f>37.6535 * CHOOSE(CONTROL!$C$9, $C$13, 100%, $E$13) + CHOOSE(CONTROL!$C$28, 0.0211, 0)</f>
        <v>37.674599999999998</v>
      </c>
      <c r="C560" s="4">
        <f>37.2902 * CHOOSE(CONTROL!$C$9, $C$13, 100%, $E$13) + CHOOSE(CONTROL!$C$28, 0.0211, 0)</f>
        <v>37.311299999999996</v>
      </c>
      <c r="D560" s="4">
        <f>53.2149 * CHOOSE(CONTROL!$C$9, $C$13, 100%, $E$13) + CHOOSE(CONTROL!$C$28, 0.0021, 0)</f>
        <v>53.216999999999999</v>
      </c>
      <c r="E560" s="4">
        <f>250.501912027501 * CHOOSE(CONTROL!$C$9, $C$13, 100%, $E$13) + CHOOSE(CONTROL!$C$28, 0.0021, 0)</f>
        <v>250.50401202750101</v>
      </c>
    </row>
    <row r="561" spans="1:5" ht="15">
      <c r="A561" s="13">
        <v>58592</v>
      </c>
      <c r="B561" s="4">
        <f>38.5366 * CHOOSE(CONTROL!$C$9, $C$13, 100%, $E$13) + CHOOSE(CONTROL!$C$28, 0.0415, 0)</f>
        <v>38.578099999999999</v>
      </c>
      <c r="C561" s="4">
        <f>38.1733 * CHOOSE(CONTROL!$C$9, $C$13, 100%, $E$13) + CHOOSE(CONTROL!$C$28, 0.0415, 0)</f>
        <v>38.214799999999997</v>
      </c>
      <c r="D561" s="4">
        <f>52.6394 * CHOOSE(CONTROL!$C$9, $C$13, 100%, $E$13) + CHOOSE(CONTROL!$C$28, 0.0021, 0)</f>
        <v>52.641500000000001</v>
      </c>
      <c r="E561" s="4">
        <f>256.500262988668 * CHOOSE(CONTROL!$C$9, $C$13, 100%, $E$13) + CHOOSE(CONTROL!$C$28, 0.0021, 0)</f>
        <v>256.50236298866798</v>
      </c>
    </row>
    <row r="562" spans="1:5" ht="15">
      <c r="A562" s="13">
        <v>58622</v>
      </c>
      <c r="B562" s="4">
        <f>38.6561 * CHOOSE(CONTROL!$C$9, $C$13, 100%, $E$13) + CHOOSE(CONTROL!$C$28, 0.0415, 0)</f>
        <v>38.697600000000001</v>
      </c>
      <c r="C562" s="4">
        <f>38.2928 * CHOOSE(CONTROL!$C$9, $C$13, 100%, $E$13) + CHOOSE(CONTROL!$C$28, 0.0415, 0)</f>
        <v>38.334299999999999</v>
      </c>
      <c r="D562" s="4">
        <f>53.1081 * CHOOSE(CONTROL!$C$9, $C$13, 100%, $E$13) + CHOOSE(CONTROL!$C$28, 0.0021, 0)</f>
        <v>53.110199999999999</v>
      </c>
      <c r="E562" s="4">
        <f>257.311864767382 * CHOOSE(CONTROL!$C$9, $C$13, 100%, $E$13) + CHOOSE(CONTROL!$C$28, 0.0021, 0)</f>
        <v>257.313964767382</v>
      </c>
    </row>
    <row r="563" spans="1:5" ht="15">
      <c r="A563" s="13">
        <v>58653</v>
      </c>
      <c r="B563" s="4">
        <f>38.644 * CHOOSE(CONTROL!$C$9, $C$13, 100%, $E$13) + CHOOSE(CONTROL!$C$28, 0.0415, 0)</f>
        <v>38.685499999999998</v>
      </c>
      <c r="C563" s="4">
        <f>38.2807 * CHOOSE(CONTROL!$C$9, $C$13, 100%, $E$13) + CHOOSE(CONTROL!$C$28, 0.0415, 0)</f>
        <v>38.322200000000002</v>
      </c>
      <c r="D563" s="4">
        <f>53.9538 * CHOOSE(CONTROL!$C$9, $C$13, 100%, $E$13) + CHOOSE(CONTROL!$C$28, 0.0021, 0)</f>
        <v>53.9559</v>
      </c>
      <c r="E563" s="4">
        <f>257.230022571209 * CHOOSE(CONTROL!$C$9, $C$13, 100%, $E$13) + CHOOSE(CONTROL!$C$28, 0.0021, 0)</f>
        <v>257.232122571209</v>
      </c>
    </row>
    <row r="564" spans="1:5" ht="15">
      <c r="A564" s="13">
        <v>58684</v>
      </c>
      <c r="B564" s="4">
        <f>39.5507 * CHOOSE(CONTROL!$C$9, $C$13, 100%, $E$13) + CHOOSE(CONTROL!$C$28, 0.0415, 0)</f>
        <v>39.592199999999998</v>
      </c>
      <c r="C564" s="4">
        <f>39.1874 * CHOOSE(CONTROL!$C$9, $C$13, 100%, $E$13) + CHOOSE(CONTROL!$C$28, 0.0415, 0)</f>
        <v>39.228899999999996</v>
      </c>
      <c r="D564" s="4">
        <f>53.3953 * CHOOSE(CONTROL!$C$9, $C$13, 100%, $E$13) + CHOOSE(CONTROL!$C$28, 0.0021, 0)</f>
        <v>53.397399999999998</v>
      </c>
      <c r="E564" s="4">
        <f>263.388647833214 * CHOOSE(CONTROL!$C$9, $C$13, 100%, $E$13) + CHOOSE(CONTROL!$C$28, 0.0021, 0)</f>
        <v>263.39074783321399</v>
      </c>
    </row>
    <row r="565" spans="1:5" ht="15">
      <c r="A565" s="13">
        <v>58714</v>
      </c>
      <c r="B565" s="4">
        <f>38.0054 * CHOOSE(CONTROL!$C$9, $C$13, 100%, $E$13) + CHOOSE(CONTROL!$C$28, 0.0415, 0)</f>
        <v>38.046900000000001</v>
      </c>
      <c r="C565" s="4">
        <f>37.6421 * CHOOSE(CONTROL!$C$9, $C$13, 100%, $E$13) + CHOOSE(CONTROL!$C$28, 0.0415, 0)</f>
        <v>37.683599999999998</v>
      </c>
      <c r="D565" s="4">
        <f>53.1314 * CHOOSE(CONTROL!$C$9, $C$13, 100%, $E$13) + CHOOSE(CONTROL!$C$28, 0.0021, 0)</f>
        <v>53.133499999999998</v>
      </c>
      <c r="E565" s="4">
        <f>252.892386174049 * CHOOSE(CONTROL!$C$9, $C$13, 100%, $E$13) + CHOOSE(CONTROL!$C$28, 0.0021, 0)</f>
        <v>252.89448617404901</v>
      </c>
    </row>
    <row r="566" spans="1:5" ht="15">
      <c r="A566" s="13">
        <v>58745</v>
      </c>
      <c r="B566" s="4">
        <f>36.7684 * CHOOSE(CONTROL!$C$9, $C$13, 100%, $E$13) + CHOOSE(CONTROL!$C$28, 0.0211, 0)</f>
        <v>36.789499999999997</v>
      </c>
      <c r="C566" s="4">
        <f>36.4051 * CHOOSE(CONTROL!$C$9, $C$13, 100%, $E$13) + CHOOSE(CONTROL!$C$28, 0.0211, 0)</f>
        <v>36.426199999999994</v>
      </c>
      <c r="D566" s="4">
        <f>52.4248 * CHOOSE(CONTROL!$C$9, $C$13, 100%, $E$13) + CHOOSE(CONTROL!$C$28, 0.0021, 0)</f>
        <v>52.426899999999996</v>
      </c>
      <c r="E566" s="4">
        <f>244.489920700305 * CHOOSE(CONTROL!$C$9, $C$13, 100%, $E$13) + CHOOSE(CONTROL!$C$28, 0.0021, 0)</f>
        <v>244.49202070030501</v>
      </c>
    </row>
    <row r="567" spans="1:5" ht="15">
      <c r="A567" s="13">
        <v>58775</v>
      </c>
      <c r="B567" s="4">
        <f>35.9716 * CHOOSE(CONTROL!$C$9, $C$13, 100%, $E$13) + CHOOSE(CONTROL!$C$28, 0.0211, 0)</f>
        <v>35.992699999999999</v>
      </c>
      <c r="C567" s="4">
        <f>35.6083 * CHOOSE(CONTROL!$C$9, $C$13, 100%, $E$13) + CHOOSE(CONTROL!$C$28, 0.0211, 0)</f>
        <v>35.629399999999997</v>
      </c>
      <c r="D567" s="4">
        <f>52.1819 * CHOOSE(CONTROL!$C$9, $C$13, 100%, $E$13) + CHOOSE(CONTROL!$C$28, 0.0021, 0)</f>
        <v>52.183999999999997</v>
      </c>
      <c r="E567" s="4">
        <f>239.078105478376 * CHOOSE(CONTROL!$C$9, $C$13, 100%, $E$13) + CHOOSE(CONTROL!$C$28, 0.0021, 0)</f>
        <v>239.080205478376</v>
      </c>
    </row>
    <row r="568" spans="1:5" ht="15">
      <c r="A568" s="13">
        <v>58806</v>
      </c>
      <c r="B568" s="4">
        <f>35.4204 * CHOOSE(CONTROL!$C$9, $C$13, 100%, $E$13) + CHOOSE(CONTROL!$C$28, 0.0211, 0)</f>
        <v>35.441499999999998</v>
      </c>
      <c r="C568" s="4">
        <f>35.0571 * CHOOSE(CONTROL!$C$9, $C$13, 100%, $E$13) + CHOOSE(CONTROL!$C$28, 0.0211, 0)</f>
        <v>35.078199999999995</v>
      </c>
      <c r="D568" s="4">
        <f>50.3935 * CHOOSE(CONTROL!$C$9, $C$13, 100%, $E$13) + CHOOSE(CONTROL!$C$28, 0.0021, 0)</f>
        <v>50.395600000000002</v>
      </c>
      <c r="E568" s="4">
        <f>235.333825003469 * CHOOSE(CONTROL!$C$9, $C$13, 100%, $E$13) + CHOOSE(CONTROL!$C$28, 0.0021, 0)</f>
        <v>235.33592500346901</v>
      </c>
    </row>
    <row r="569" spans="1:5" ht="15">
      <c r="A569" s="13">
        <v>58837</v>
      </c>
      <c r="B569" s="4">
        <f>33.9121 * CHOOSE(CONTROL!$C$9, $C$13, 100%, $E$13) + CHOOSE(CONTROL!$C$28, 0.0211, 0)</f>
        <v>33.933199999999999</v>
      </c>
      <c r="C569" s="4">
        <f>33.5489 * CHOOSE(CONTROL!$C$9, $C$13, 100%, $E$13) + CHOOSE(CONTROL!$C$28, 0.0211, 0)</f>
        <v>33.57</v>
      </c>
      <c r="D569" s="4">
        <f>48.4234 * CHOOSE(CONTROL!$C$9, $C$13, 100%, $E$13) + CHOOSE(CONTROL!$C$28, 0.0021, 0)</f>
        <v>48.4255</v>
      </c>
      <c r="E569" s="4">
        <f>225.531214934229 * CHOOSE(CONTROL!$C$9, $C$13, 100%, $E$13) + CHOOSE(CONTROL!$C$28, 0.0021, 0)</f>
        <v>225.53331493422903</v>
      </c>
    </row>
    <row r="570" spans="1:5" ht="15">
      <c r="A570" s="13">
        <v>58865</v>
      </c>
      <c r="B570" s="4">
        <f>34.699 * CHOOSE(CONTROL!$C$9, $C$13, 100%, $E$13) + CHOOSE(CONTROL!$C$28, 0.0211, 0)</f>
        <v>34.720099999999995</v>
      </c>
      <c r="C570" s="4">
        <f>34.3357 * CHOOSE(CONTROL!$C$9, $C$13, 100%, $E$13) + CHOOSE(CONTROL!$C$28, 0.0211, 0)</f>
        <v>34.3568</v>
      </c>
      <c r="D570" s="4">
        <f>50.0671 * CHOOSE(CONTROL!$C$9, $C$13, 100%, $E$13) + CHOOSE(CONTROL!$C$28, 0.0021, 0)</f>
        <v>50.069200000000002</v>
      </c>
      <c r="E570" s="4">
        <f>230.886214774861 * CHOOSE(CONTROL!$C$9, $C$13, 100%, $E$13) + CHOOSE(CONTROL!$C$28, 0.0021, 0)</f>
        <v>230.88831477486102</v>
      </c>
    </row>
    <row r="571" spans="1:5" ht="15">
      <c r="A571" s="13">
        <v>58893</v>
      </c>
      <c r="B571" s="4">
        <f>36.7653 * CHOOSE(CONTROL!$C$9, $C$13, 100%, $E$13) + CHOOSE(CONTROL!$C$28, 0.0211, 0)</f>
        <v>36.7864</v>
      </c>
      <c r="C571" s="4">
        <f>36.402 * CHOOSE(CONTROL!$C$9, $C$13, 100%, $E$13) + CHOOSE(CONTROL!$C$28, 0.0211, 0)</f>
        <v>36.423099999999998</v>
      </c>
      <c r="D571" s="4">
        <f>52.6402 * CHOOSE(CONTROL!$C$9, $C$13, 100%, $E$13) + CHOOSE(CONTROL!$C$28, 0.0021, 0)</f>
        <v>52.642299999999999</v>
      </c>
      <c r="E571" s="4">
        <f>244.948728938337 * CHOOSE(CONTROL!$C$9, $C$13, 100%, $E$13) + CHOOSE(CONTROL!$C$28, 0.0021, 0)</f>
        <v>244.95082893833703</v>
      </c>
    </row>
    <row r="572" spans="1:5" ht="15">
      <c r="A572" s="13">
        <v>58926</v>
      </c>
      <c r="B572" s="4">
        <f>38.2334 * CHOOSE(CONTROL!$C$9, $C$13, 100%, $E$13) + CHOOSE(CONTROL!$C$28, 0.0211, 0)</f>
        <v>38.2545</v>
      </c>
      <c r="C572" s="4">
        <f>37.8701 * CHOOSE(CONTROL!$C$9, $C$13, 100%, $E$13) + CHOOSE(CONTROL!$C$28, 0.0211, 0)</f>
        <v>37.891199999999998</v>
      </c>
      <c r="D572" s="4">
        <f>54.1224 * CHOOSE(CONTROL!$C$9, $C$13, 100%, $E$13) + CHOOSE(CONTROL!$C$28, 0.0021, 0)</f>
        <v>54.124499999999998</v>
      </c>
      <c r="E572" s="4">
        <f>254.940332659129 * CHOOSE(CONTROL!$C$9, $C$13, 100%, $E$13) + CHOOSE(CONTROL!$C$28, 0.0021, 0)</f>
        <v>254.94243265912903</v>
      </c>
    </row>
    <row r="573" spans="1:5" ht="15">
      <c r="A573" s="13">
        <v>58957</v>
      </c>
      <c r="B573" s="4">
        <f>39.1304 * CHOOSE(CONTROL!$C$9, $C$13, 100%, $E$13) + CHOOSE(CONTROL!$C$28, 0.0415, 0)</f>
        <v>39.171900000000001</v>
      </c>
      <c r="C573" s="4">
        <f>38.7671 * CHOOSE(CONTROL!$C$9, $C$13, 100%, $E$13) + CHOOSE(CONTROL!$C$28, 0.0415, 0)</f>
        <v>38.808599999999998</v>
      </c>
      <c r="D573" s="4">
        <f>53.5367 * CHOOSE(CONTROL!$C$9, $C$13, 100%, $E$13) + CHOOSE(CONTROL!$C$28, 0.0021, 0)</f>
        <v>53.538800000000002</v>
      </c>
      <c r="E573" s="4">
        <f>261.044963067213 * CHOOSE(CONTROL!$C$9, $C$13, 100%, $E$13) + CHOOSE(CONTROL!$C$28, 0.0021, 0)</f>
        <v>261.047063067213</v>
      </c>
    </row>
    <row r="574" spans="1:5" ht="15">
      <c r="A574" s="13">
        <v>58987</v>
      </c>
      <c r="B574" s="4">
        <f>39.2518 * CHOOSE(CONTROL!$C$9, $C$13, 100%, $E$13) + CHOOSE(CONTROL!$C$28, 0.0415, 0)</f>
        <v>39.293300000000002</v>
      </c>
      <c r="C574" s="4">
        <f>38.8885 * CHOOSE(CONTROL!$C$9, $C$13, 100%, $E$13) + CHOOSE(CONTROL!$C$28, 0.0415, 0)</f>
        <v>38.93</v>
      </c>
      <c r="D574" s="4">
        <f>54.0137 * CHOOSE(CONTROL!$C$9, $C$13, 100%, $E$13) + CHOOSE(CONTROL!$C$28, 0.0021, 0)</f>
        <v>54.015799999999999</v>
      </c>
      <c r="E574" s="4">
        <f>261.870944896163 * CHOOSE(CONTROL!$C$9, $C$13, 100%, $E$13) + CHOOSE(CONTROL!$C$28, 0.0021, 0)</f>
        <v>261.87304489616298</v>
      </c>
    </row>
    <row r="575" spans="1:5" ht="15">
      <c r="A575" s="13">
        <v>59018</v>
      </c>
      <c r="B575" s="4">
        <f>39.2395 * CHOOSE(CONTROL!$C$9, $C$13, 100%, $E$13) + CHOOSE(CONTROL!$C$28, 0.0415, 0)</f>
        <v>39.280999999999999</v>
      </c>
      <c r="C575" s="4">
        <f>38.8763 * CHOOSE(CONTROL!$C$9, $C$13, 100%, $E$13) + CHOOSE(CONTROL!$C$28, 0.0415, 0)</f>
        <v>38.9178</v>
      </c>
      <c r="D575" s="4">
        <f>54.8744 * CHOOSE(CONTROL!$C$9, $C$13, 100%, $E$13) + CHOOSE(CONTROL!$C$28, 0.0021, 0)</f>
        <v>54.8765</v>
      </c>
      <c r="E575" s="4">
        <f>261.787652610891 * CHOOSE(CONTROL!$C$9, $C$13, 100%, $E$13) + CHOOSE(CONTROL!$C$28, 0.0021, 0)</f>
        <v>261.78975261089096</v>
      </c>
    </row>
    <row r="576" spans="1:5" ht="15">
      <c r="A576" s="13">
        <v>59049</v>
      </c>
      <c r="B576" s="4">
        <f>40.1605 * CHOOSE(CONTROL!$C$9, $C$13, 100%, $E$13) + CHOOSE(CONTROL!$C$28, 0.0415, 0)</f>
        <v>40.201999999999998</v>
      </c>
      <c r="C576" s="4">
        <f>39.7972 * CHOOSE(CONTROL!$C$9, $C$13, 100%, $E$13) + CHOOSE(CONTROL!$C$28, 0.0415, 0)</f>
        <v>39.838699999999996</v>
      </c>
      <c r="D576" s="4">
        <f>54.306 * CHOOSE(CONTROL!$C$9, $C$13, 100%, $E$13) + CHOOSE(CONTROL!$C$28, 0.0021, 0)</f>
        <v>54.308099999999996</v>
      </c>
      <c r="E576" s="4">
        <f>268.055397077632 * CHOOSE(CONTROL!$C$9, $C$13, 100%, $E$13) + CHOOSE(CONTROL!$C$28, 0.0021, 0)</f>
        <v>268.05749707763198</v>
      </c>
    </row>
    <row r="577" spans="1:5" ht="15">
      <c r="A577" s="13">
        <v>59079</v>
      </c>
      <c r="B577" s="4">
        <f>38.5909 * CHOOSE(CONTROL!$C$9, $C$13, 100%, $E$13) + CHOOSE(CONTROL!$C$28, 0.0415, 0)</f>
        <v>38.632399999999997</v>
      </c>
      <c r="C577" s="4">
        <f>38.2276 * CHOOSE(CONTROL!$C$9, $C$13, 100%, $E$13) + CHOOSE(CONTROL!$C$28, 0.0415, 0)</f>
        <v>38.269100000000002</v>
      </c>
      <c r="D577" s="4">
        <f>54.0374 * CHOOSE(CONTROL!$C$9, $C$13, 100%, $E$13) + CHOOSE(CONTROL!$C$28, 0.0021, 0)</f>
        <v>54.039499999999997</v>
      </c>
      <c r="E577" s="4">
        <f>257.373161491458 * CHOOSE(CONTROL!$C$9, $C$13, 100%, $E$13) + CHOOSE(CONTROL!$C$28, 0.0021, 0)</f>
        <v>257.37526149145799</v>
      </c>
    </row>
    <row r="578" spans="1:5" ht="15">
      <c r="A578" s="13">
        <v>59110</v>
      </c>
      <c r="B578" s="4">
        <f>37.3344 * CHOOSE(CONTROL!$C$9, $C$13, 100%, $E$13) + CHOOSE(CONTROL!$C$28, 0.0211, 0)</f>
        <v>37.355499999999999</v>
      </c>
      <c r="C578" s="4">
        <f>36.9711 * CHOOSE(CONTROL!$C$9, $C$13, 100%, $E$13) + CHOOSE(CONTROL!$C$28, 0.0211, 0)</f>
        <v>36.992199999999997</v>
      </c>
      <c r="D578" s="4">
        <f>53.3184 * CHOOSE(CONTROL!$C$9, $C$13, 100%, $E$13) + CHOOSE(CONTROL!$C$28, 0.0021, 0)</f>
        <v>53.320499999999996</v>
      </c>
      <c r="E578" s="4">
        <f>248.8218202035 * CHOOSE(CONTROL!$C$9, $C$13, 100%, $E$13) + CHOOSE(CONTROL!$C$28, 0.0021, 0)</f>
        <v>248.82392020350002</v>
      </c>
    </row>
    <row r="579" spans="1:5" ht="15">
      <c r="A579" s="13">
        <v>59140</v>
      </c>
      <c r="B579" s="4">
        <f>36.5251 * CHOOSE(CONTROL!$C$9, $C$13, 100%, $E$13) + CHOOSE(CONTROL!$C$28, 0.0211, 0)</f>
        <v>36.546199999999999</v>
      </c>
      <c r="C579" s="4">
        <f>36.1618 * CHOOSE(CONTROL!$C$9, $C$13, 100%, $E$13) + CHOOSE(CONTROL!$C$28, 0.0211, 0)</f>
        <v>36.182899999999997</v>
      </c>
      <c r="D579" s="4">
        <f>53.0711 * CHOOSE(CONTROL!$C$9, $C$13, 100%, $E$13) + CHOOSE(CONTROL!$C$28, 0.0021, 0)</f>
        <v>53.0732</v>
      </c>
      <c r="E579" s="4">
        <f>243.314117839868 * CHOOSE(CONTROL!$C$9, $C$13, 100%, $E$13) + CHOOSE(CONTROL!$C$28, 0.0021, 0)</f>
        <v>243.31621783986802</v>
      </c>
    </row>
    <row r="580" spans="1:5" ht="15">
      <c r="A580" s="13">
        <v>59171</v>
      </c>
      <c r="B580" s="4">
        <f>35.9652 * CHOOSE(CONTROL!$C$9, $C$13, 100%, $E$13) + CHOOSE(CONTROL!$C$28, 0.0211, 0)</f>
        <v>35.9863</v>
      </c>
      <c r="C580" s="4">
        <f>35.6019 * CHOOSE(CONTROL!$C$9, $C$13, 100%, $E$13) + CHOOSE(CONTROL!$C$28, 0.0211, 0)</f>
        <v>35.622999999999998</v>
      </c>
      <c r="D580" s="4">
        <f>51.2511 * CHOOSE(CONTROL!$C$9, $C$13, 100%, $E$13) + CHOOSE(CONTROL!$C$28, 0.0021, 0)</f>
        <v>51.2532</v>
      </c>
      <c r="E580" s="4">
        <f>239.50349578866 * CHOOSE(CONTROL!$C$9, $C$13, 100%, $E$13) + CHOOSE(CONTROL!$C$28, 0.0021, 0)</f>
        <v>239.50559578866</v>
      </c>
    </row>
    <row r="581" spans="1:5" ht="15">
      <c r="A581" s="13">
        <v>59202</v>
      </c>
      <c r="B581" s="4">
        <f>34.4333 * CHOOSE(CONTROL!$C$9, $C$13, 100%, $E$13) + CHOOSE(CONTROL!$C$28, 0.0211, 0)</f>
        <v>34.4544</v>
      </c>
      <c r="C581" s="4">
        <f>34.07 * CHOOSE(CONTROL!$C$9, $C$13, 100%, $E$13) + CHOOSE(CONTROL!$C$28, 0.0211, 0)</f>
        <v>34.091099999999997</v>
      </c>
      <c r="D581" s="4">
        <f>49.2463 * CHOOSE(CONTROL!$C$9, $C$13, 100%, $E$13) + CHOOSE(CONTROL!$C$28, 0.0021, 0)</f>
        <v>49.248399999999997</v>
      </c>
      <c r="E581" s="4">
        <f>229.527201988133 * CHOOSE(CONTROL!$C$9, $C$13, 100%, $E$13) + CHOOSE(CONTROL!$C$28, 0.0021, 0)</f>
        <v>229.529301988133</v>
      </c>
    </row>
    <row r="582" spans="1:5" ht="15">
      <c r="A582" s="13">
        <v>59230</v>
      </c>
      <c r="B582" s="4">
        <f>35.2325 * CHOOSE(CONTROL!$C$9, $C$13, 100%, $E$13) + CHOOSE(CONTROL!$C$28, 0.0211, 0)</f>
        <v>35.253599999999999</v>
      </c>
      <c r="C582" s="4">
        <f>34.8692 * CHOOSE(CONTROL!$C$9, $C$13, 100%, $E$13) + CHOOSE(CONTROL!$C$28, 0.0211, 0)</f>
        <v>34.890299999999996</v>
      </c>
      <c r="D582" s="4">
        <f>50.919 * CHOOSE(CONTROL!$C$9, $C$13, 100%, $E$13) + CHOOSE(CONTROL!$C$28, 0.0021, 0)</f>
        <v>50.921099999999996</v>
      </c>
      <c r="E582" s="4">
        <f>234.977082309249 * CHOOSE(CONTROL!$C$9, $C$13, 100%, $E$13) + CHOOSE(CONTROL!$C$28, 0.0021, 0)</f>
        <v>234.97918230924901</v>
      </c>
    </row>
    <row r="583" spans="1:5" ht="15">
      <c r="A583" s="13">
        <v>59261</v>
      </c>
      <c r="B583" s="4">
        <f>37.3313 * CHOOSE(CONTROL!$C$9, $C$13, 100%, $E$13) + CHOOSE(CONTROL!$C$28, 0.0211, 0)</f>
        <v>37.352399999999996</v>
      </c>
      <c r="C583" s="4">
        <f>36.968 * CHOOSE(CONTROL!$C$9, $C$13, 100%, $E$13) + CHOOSE(CONTROL!$C$28, 0.0211, 0)</f>
        <v>36.989100000000001</v>
      </c>
      <c r="D583" s="4">
        <f>53.5375 * CHOOSE(CONTROL!$C$9, $C$13, 100%, $E$13) + CHOOSE(CONTROL!$C$28, 0.0021, 0)</f>
        <v>53.5396</v>
      </c>
      <c r="E583" s="4">
        <f>249.288757656728 * CHOOSE(CONTROL!$C$9, $C$13, 100%, $E$13) + CHOOSE(CONTROL!$C$28, 0.0021, 0)</f>
        <v>249.29085765672801</v>
      </c>
    </row>
    <row r="584" spans="1:5" ht="15">
      <c r="A584" s="13">
        <v>59291</v>
      </c>
      <c r="B584" s="4">
        <f>38.8225 * CHOOSE(CONTROL!$C$9, $C$13, 100%, $E$13) + CHOOSE(CONTROL!$C$28, 0.0211, 0)</f>
        <v>38.843599999999995</v>
      </c>
      <c r="C584" s="4">
        <f>38.4592 * CHOOSE(CONTROL!$C$9, $C$13, 100%, $E$13) + CHOOSE(CONTROL!$C$28, 0.0211, 0)</f>
        <v>38.4803</v>
      </c>
      <c r="D584" s="4">
        <f>55.0459 * CHOOSE(CONTROL!$C$9, $C$13, 100%, $E$13) + CHOOSE(CONTROL!$C$28, 0.0021, 0)</f>
        <v>55.048000000000002</v>
      </c>
      <c r="E584" s="4">
        <f>259.457393719263 * CHOOSE(CONTROL!$C$9, $C$13, 100%, $E$13) + CHOOSE(CONTROL!$C$28, 0.0021, 0)</f>
        <v>259.45949371926298</v>
      </c>
    </row>
    <row r="585" spans="1:5" ht="15">
      <c r="A585" s="13">
        <v>59322</v>
      </c>
      <c r="B585" s="4">
        <f>39.7336 * CHOOSE(CONTROL!$C$9, $C$13, 100%, $E$13) + CHOOSE(CONTROL!$C$28, 0.0415, 0)</f>
        <v>39.775100000000002</v>
      </c>
      <c r="C585" s="4">
        <f>39.3703 * CHOOSE(CONTROL!$C$9, $C$13, 100%, $E$13) + CHOOSE(CONTROL!$C$28, 0.0415, 0)</f>
        <v>39.411799999999999</v>
      </c>
      <c r="D585" s="4">
        <f>54.4499 * CHOOSE(CONTROL!$C$9, $C$13, 100%, $E$13) + CHOOSE(CONTROL!$C$28, 0.0021, 0)</f>
        <v>54.451999999999998</v>
      </c>
      <c r="E585" s="4">
        <f>265.670186645278 * CHOOSE(CONTROL!$C$9, $C$13, 100%, $E$13) + CHOOSE(CONTROL!$C$28, 0.0021, 0)</f>
        <v>265.67228664527801</v>
      </c>
    </row>
    <row r="586" spans="1:5" ht="15">
      <c r="A586" s="13">
        <v>59352</v>
      </c>
      <c r="B586" s="4">
        <f>39.8568 * CHOOSE(CONTROL!$C$9, $C$13, 100%, $E$13) + CHOOSE(CONTROL!$C$28, 0.0415, 0)</f>
        <v>39.898299999999999</v>
      </c>
      <c r="C586" s="4">
        <f>39.4936 * CHOOSE(CONTROL!$C$9, $C$13, 100%, $E$13) + CHOOSE(CONTROL!$C$28, 0.0415, 0)</f>
        <v>39.5351</v>
      </c>
      <c r="D586" s="4">
        <f>54.9353 * CHOOSE(CONTROL!$C$9, $C$13, 100%, $E$13) + CHOOSE(CONTROL!$C$28, 0.0021, 0)</f>
        <v>54.937399999999997</v>
      </c>
      <c r="E586" s="4">
        <f>266.510803311789 * CHOOSE(CONTROL!$C$9, $C$13, 100%, $E$13) + CHOOSE(CONTROL!$C$28, 0.0021, 0)</f>
        <v>266.51290331178899</v>
      </c>
    </row>
    <row r="587" spans="1:5" ht="15">
      <c r="A587" s="13">
        <v>59383</v>
      </c>
      <c r="B587" s="4">
        <f>39.8444 * CHOOSE(CONTROL!$C$9, $C$13, 100%, $E$13) + CHOOSE(CONTROL!$C$28, 0.0415, 0)</f>
        <v>39.885899999999999</v>
      </c>
      <c r="C587" s="4">
        <f>39.4811 * CHOOSE(CONTROL!$C$9, $C$13, 100%, $E$13) + CHOOSE(CONTROL!$C$28, 0.0415, 0)</f>
        <v>39.522599999999997</v>
      </c>
      <c r="D587" s="4">
        <f>55.8112 * CHOOSE(CONTROL!$C$9, $C$13, 100%, $E$13) + CHOOSE(CONTROL!$C$28, 0.0021, 0)</f>
        <v>55.813299999999998</v>
      </c>
      <c r="E587" s="4">
        <f>266.426035244578 * CHOOSE(CONTROL!$C$9, $C$13, 100%, $E$13) + CHOOSE(CONTROL!$C$28, 0.0021, 0)</f>
        <v>266.42813524457796</v>
      </c>
    </row>
    <row r="588" spans="1:5" ht="15">
      <c r="A588" s="13">
        <v>59414</v>
      </c>
      <c r="B588" s="4">
        <f>40.7799 * CHOOSE(CONTROL!$C$9, $C$13, 100%, $E$13) + CHOOSE(CONTROL!$C$28, 0.0415, 0)</f>
        <v>40.821399999999997</v>
      </c>
      <c r="C588" s="4">
        <f>40.4166 * CHOOSE(CONTROL!$C$9, $C$13, 100%, $E$13) + CHOOSE(CONTROL!$C$28, 0.0415, 0)</f>
        <v>40.458100000000002</v>
      </c>
      <c r="D588" s="4">
        <f>55.2327 * CHOOSE(CONTROL!$C$9, $C$13, 100%, $E$13) + CHOOSE(CONTROL!$C$28, 0.0021, 0)</f>
        <v>55.2348</v>
      </c>
      <c r="E588" s="4">
        <f>272.804832302215 * CHOOSE(CONTROL!$C$9, $C$13, 100%, $E$13) + CHOOSE(CONTROL!$C$28, 0.0021, 0)</f>
        <v>272.80693230221499</v>
      </c>
    </row>
    <row r="589" spans="1:5" ht="15">
      <c r="A589" s="13">
        <v>59444</v>
      </c>
      <c r="B589" s="4">
        <f>39.1856 * CHOOSE(CONTROL!$C$9, $C$13, 100%, $E$13) + CHOOSE(CONTROL!$C$28, 0.0415, 0)</f>
        <v>39.2271</v>
      </c>
      <c r="C589" s="4">
        <f>38.8223 * CHOOSE(CONTROL!$C$9, $C$13, 100%, $E$13) + CHOOSE(CONTROL!$C$28, 0.0415, 0)</f>
        <v>38.863799999999998</v>
      </c>
      <c r="D589" s="4">
        <f>54.9594 * CHOOSE(CONTROL!$C$9, $C$13, 100%, $E$13) + CHOOSE(CONTROL!$C$28, 0.0021, 0)</f>
        <v>54.961500000000001</v>
      </c>
      <c r="E589" s="4">
        <f>261.933327682388 * CHOOSE(CONTROL!$C$9, $C$13, 100%, $E$13) + CHOOSE(CONTROL!$C$28, 0.0021, 0)</f>
        <v>261.93542768238797</v>
      </c>
    </row>
    <row r="590" spans="1:5" ht="15">
      <c r="A590" s="13">
        <v>59475</v>
      </c>
      <c r="B590" s="4">
        <f>37.9093 * CHOOSE(CONTROL!$C$9, $C$13, 100%, $E$13) + CHOOSE(CONTROL!$C$28, 0.0211, 0)</f>
        <v>37.930399999999999</v>
      </c>
      <c r="C590" s="4">
        <f>37.546 * CHOOSE(CONTROL!$C$9, $C$13, 100%, $E$13) + CHOOSE(CONTROL!$C$28, 0.0211, 0)</f>
        <v>37.567099999999996</v>
      </c>
      <c r="D590" s="4">
        <f>54.2277 * CHOOSE(CONTROL!$C$9, $C$13, 100%, $E$13) + CHOOSE(CONTROL!$C$28, 0.0021, 0)</f>
        <v>54.229799999999997</v>
      </c>
      <c r="E590" s="4">
        <f>253.230472782045 * CHOOSE(CONTROL!$C$9, $C$13, 100%, $E$13) + CHOOSE(CONTROL!$C$28, 0.0021, 0)</f>
        <v>253.23257278204503</v>
      </c>
    </row>
    <row r="591" spans="1:5" ht="15">
      <c r="A591" s="13">
        <v>59505</v>
      </c>
      <c r="B591" s="4">
        <f>37.0873 * CHOOSE(CONTROL!$C$9, $C$13, 100%, $E$13) + CHOOSE(CONTROL!$C$28, 0.0211, 0)</f>
        <v>37.108399999999996</v>
      </c>
      <c r="C591" s="4">
        <f>36.724 * CHOOSE(CONTROL!$C$9, $C$13, 100%, $E$13) + CHOOSE(CONTROL!$C$28, 0.0211, 0)</f>
        <v>36.745099999999994</v>
      </c>
      <c r="D591" s="4">
        <f>53.9761 * CHOOSE(CONTROL!$C$9, $C$13, 100%, $E$13) + CHOOSE(CONTROL!$C$28, 0.0021, 0)</f>
        <v>53.978200000000001</v>
      </c>
      <c r="E591" s="4">
        <f>247.625184337709 * CHOOSE(CONTROL!$C$9, $C$13, 100%, $E$13) + CHOOSE(CONTROL!$C$28, 0.0021, 0)</f>
        <v>247.627284337709</v>
      </c>
    </row>
    <row r="592" spans="1:5" ht="15">
      <c r="A592" s="13">
        <v>59536</v>
      </c>
      <c r="B592" s="4">
        <f>36.5186 * CHOOSE(CONTROL!$C$9, $C$13, 100%, $E$13) + CHOOSE(CONTROL!$C$28, 0.0211, 0)</f>
        <v>36.539699999999996</v>
      </c>
      <c r="C592" s="4">
        <f>36.1553 * CHOOSE(CONTROL!$C$9, $C$13, 100%, $E$13) + CHOOSE(CONTROL!$C$28, 0.0211, 0)</f>
        <v>36.176399999999994</v>
      </c>
      <c r="D592" s="4">
        <f>52.1239 * CHOOSE(CONTROL!$C$9, $C$13, 100%, $E$13) + CHOOSE(CONTROL!$C$28, 0.0021, 0)</f>
        <v>52.125999999999998</v>
      </c>
      <c r="E592" s="4">
        <f>243.7470452628 * CHOOSE(CONTROL!$C$9, $C$13, 100%, $E$13) + CHOOSE(CONTROL!$C$28, 0.0021, 0)</f>
        <v>243.7491452628</v>
      </c>
    </row>
    <row r="593" spans="1:5" ht="15">
      <c r="A593" s="13">
        <v>59567</v>
      </c>
      <c r="B593" s="4">
        <f>34.9626 * CHOOSE(CONTROL!$C$9, $C$13, 100%, $E$13) + CHOOSE(CONTROL!$C$28, 0.0211, 0)</f>
        <v>34.983699999999999</v>
      </c>
      <c r="C593" s="4">
        <f>34.5993 * CHOOSE(CONTROL!$C$9, $C$13, 100%, $E$13) + CHOOSE(CONTROL!$C$28, 0.0211, 0)</f>
        <v>34.620399999999997</v>
      </c>
      <c r="D593" s="4">
        <f>50.0836 * CHOOSE(CONTROL!$C$9, $C$13, 100%, $E$13) + CHOOSE(CONTROL!$C$28, 0.0021, 0)</f>
        <v>50.085699999999996</v>
      </c>
      <c r="E593" s="4">
        <f>233.593990383394 * CHOOSE(CONTROL!$C$9, $C$13, 100%, $E$13) + CHOOSE(CONTROL!$C$28, 0.0021, 0)</f>
        <v>233.596090383394</v>
      </c>
    </row>
    <row r="594" spans="1:5" ht="15">
      <c r="A594" s="13">
        <v>59595</v>
      </c>
      <c r="B594" s="4">
        <f>35.7743 * CHOOSE(CONTROL!$C$9, $C$13, 100%, $E$13) + CHOOSE(CONTROL!$C$28, 0.0211, 0)</f>
        <v>35.795399999999994</v>
      </c>
      <c r="C594" s="4">
        <f>35.4111 * CHOOSE(CONTROL!$C$9, $C$13, 100%, $E$13) + CHOOSE(CONTROL!$C$28, 0.0211, 0)</f>
        <v>35.432199999999995</v>
      </c>
      <c r="D594" s="4">
        <f>51.7859 * CHOOSE(CONTROL!$C$9, $C$13, 100%, $E$13) + CHOOSE(CONTROL!$C$28, 0.0021, 0)</f>
        <v>51.787999999999997</v>
      </c>
      <c r="E594" s="4">
        <f>239.140432287858 * CHOOSE(CONTROL!$C$9, $C$13, 100%, $E$13) + CHOOSE(CONTROL!$C$28, 0.0021, 0)</f>
        <v>239.14253228785802</v>
      </c>
    </row>
    <row r="595" spans="1:5" ht="15">
      <c r="A595" s="13">
        <v>59626</v>
      </c>
      <c r="B595" s="4">
        <f>37.9061 * CHOOSE(CONTROL!$C$9, $C$13, 100%, $E$13) + CHOOSE(CONTROL!$C$28, 0.0211, 0)</f>
        <v>37.927199999999999</v>
      </c>
      <c r="C595" s="4">
        <f>37.5428 * CHOOSE(CONTROL!$C$9, $C$13, 100%, $E$13) + CHOOSE(CONTROL!$C$28, 0.0211, 0)</f>
        <v>37.563899999999997</v>
      </c>
      <c r="D595" s="4">
        <f>54.4507 * CHOOSE(CONTROL!$C$9, $C$13, 100%, $E$13) + CHOOSE(CONTROL!$C$28, 0.0021, 0)</f>
        <v>54.452799999999996</v>
      </c>
      <c r="E595" s="4">
        <f>253.705683484803 * CHOOSE(CONTROL!$C$9, $C$13, 100%, $E$13) + CHOOSE(CONTROL!$C$28, 0.0021, 0)</f>
        <v>253.707783484803</v>
      </c>
    </row>
    <row r="596" spans="1:5" ht="15">
      <c r="A596" s="13">
        <v>59656</v>
      </c>
      <c r="B596" s="4">
        <f>39.4208 * CHOOSE(CONTROL!$C$9, $C$13, 100%, $E$13) + CHOOSE(CONTROL!$C$28, 0.0211, 0)</f>
        <v>39.441899999999997</v>
      </c>
      <c r="C596" s="4">
        <f>39.0575 * CHOOSE(CONTROL!$C$9, $C$13, 100%, $E$13) + CHOOSE(CONTROL!$C$28, 0.0211, 0)</f>
        <v>39.078599999999994</v>
      </c>
      <c r="D596" s="4">
        <f>55.9858 * CHOOSE(CONTROL!$C$9, $C$13, 100%, $E$13) + CHOOSE(CONTROL!$C$28, 0.0021, 0)</f>
        <v>55.987899999999996</v>
      </c>
      <c r="E596" s="4">
        <f>264.054488567727 * CHOOSE(CONTROL!$C$9, $C$13, 100%, $E$13) + CHOOSE(CONTROL!$C$28, 0.0021, 0)</f>
        <v>264.05658856772698</v>
      </c>
    </row>
    <row r="597" spans="1:5" ht="15">
      <c r="A597" s="13">
        <v>59687</v>
      </c>
      <c r="B597" s="4">
        <f>40.3462 * CHOOSE(CONTROL!$C$9, $C$13, 100%, $E$13) + CHOOSE(CONTROL!$C$28, 0.0415, 0)</f>
        <v>40.387700000000002</v>
      </c>
      <c r="C597" s="4">
        <f>39.9829 * CHOOSE(CONTROL!$C$9, $C$13, 100%, $E$13) + CHOOSE(CONTROL!$C$28, 0.0415, 0)</f>
        <v>40.0244</v>
      </c>
      <c r="D597" s="4">
        <f>55.3792 * CHOOSE(CONTROL!$C$9, $C$13, 100%, $E$13) + CHOOSE(CONTROL!$C$28, 0.0021, 0)</f>
        <v>55.381299999999996</v>
      </c>
      <c r="E597" s="4">
        <f>270.377360447151 * CHOOSE(CONTROL!$C$9, $C$13, 100%, $E$13) + CHOOSE(CONTROL!$C$28, 0.0021, 0)</f>
        <v>270.37946044715096</v>
      </c>
    </row>
    <row r="598" spans="1:5" ht="15">
      <c r="A598" s="13">
        <v>59717</v>
      </c>
      <c r="B598" s="4">
        <f>40.4714 * CHOOSE(CONTROL!$C$9, $C$13, 100%, $E$13) + CHOOSE(CONTROL!$C$28, 0.0415, 0)</f>
        <v>40.512900000000002</v>
      </c>
      <c r="C598" s="4">
        <f>40.1081 * CHOOSE(CONTROL!$C$9, $C$13, 100%, $E$13) + CHOOSE(CONTROL!$C$28, 0.0415, 0)</f>
        <v>40.1496</v>
      </c>
      <c r="D598" s="4">
        <f>55.8732 * CHOOSE(CONTROL!$C$9, $C$13, 100%, $E$13) + CHOOSE(CONTROL!$C$28, 0.0021, 0)</f>
        <v>55.875299999999996</v>
      </c>
      <c r="E598" s="4">
        <f>271.232871252895 * CHOOSE(CONTROL!$C$9, $C$13, 100%, $E$13) + CHOOSE(CONTROL!$C$28, 0.0021, 0)</f>
        <v>271.23497125289498</v>
      </c>
    </row>
    <row r="599" spans="1:5" ht="15">
      <c r="A599" s="13">
        <v>59748</v>
      </c>
      <c r="B599" s="4">
        <f>40.4588 * CHOOSE(CONTROL!$C$9, $C$13, 100%, $E$13) + CHOOSE(CONTROL!$C$28, 0.0415, 0)</f>
        <v>40.500299999999996</v>
      </c>
      <c r="C599" s="4">
        <f>40.0955 * CHOOSE(CONTROL!$C$9, $C$13, 100%, $E$13) + CHOOSE(CONTROL!$C$28, 0.0415, 0)</f>
        <v>40.137</v>
      </c>
      <c r="D599" s="4">
        <f>56.7645 * CHOOSE(CONTROL!$C$9, $C$13, 100%, $E$13) + CHOOSE(CONTROL!$C$28, 0.0021, 0)</f>
        <v>56.766599999999997</v>
      </c>
      <c r="E599" s="4">
        <f>271.146601255677 * CHOOSE(CONTROL!$C$9, $C$13, 100%, $E$13) + CHOOSE(CONTROL!$C$28, 0.0021, 0)</f>
        <v>271.148701255677</v>
      </c>
    </row>
    <row r="600" spans="1:5" ht="15">
      <c r="A600" s="13">
        <v>59779</v>
      </c>
      <c r="B600" s="4">
        <f>41.4089 * CHOOSE(CONTROL!$C$9, $C$13, 100%, $E$13) + CHOOSE(CONTROL!$C$28, 0.0415, 0)</f>
        <v>41.450400000000002</v>
      </c>
      <c r="C600" s="4">
        <f>41.0457 * CHOOSE(CONTROL!$C$9, $C$13, 100%, $E$13) + CHOOSE(CONTROL!$C$28, 0.0415, 0)</f>
        <v>41.087199999999996</v>
      </c>
      <c r="D600" s="4">
        <f>56.1759 * CHOOSE(CONTROL!$C$9, $C$13, 100%, $E$13) + CHOOSE(CONTROL!$C$28, 0.0021, 0)</f>
        <v>56.177999999999997</v>
      </c>
      <c r="E600" s="4">
        <f>277.63841854632 * CHOOSE(CONTROL!$C$9, $C$13, 100%, $E$13) + CHOOSE(CONTROL!$C$28, 0.0021, 0)</f>
        <v>277.64051854631998</v>
      </c>
    </row>
    <row r="601" spans="1:5" ht="15">
      <c r="A601" s="13">
        <v>59809</v>
      </c>
      <c r="B601" s="4">
        <f>39.7896 * CHOOSE(CONTROL!$C$9, $C$13, 100%, $E$13) + CHOOSE(CONTROL!$C$28, 0.0415, 0)</f>
        <v>39.831099999999999</v>
      </c>
      <c r="C601" s="4">
        <f>39.4263 * CHOOSE(CONTROL!$C$9, $C$13, 100%, $E$13) + CHOOSE(CONTROL!$C$28, 0.0415, 0)</f>
        <v>39.467799999999997</v>
      </c>
      <c r="D601" s="4">
        <f>55.8978 * CHOOSE(CONTROL!$C$9, $C$13, 100%, $E$13) + CHOOSE(CONTROL!$C$28, 0.0021, 0)</f>
        <v>55.899899999999995</v>
      </c>
      <c r="E601" s="4">
        <f>266.574291403131 * CHOOSE(CONTROL!$C$9, $C$13, 100%, $E$13) + CHOOSE(CONTROL!$C$28, 0.0021, 0)</f>
        <v>266.57639140313097</v>
      </c>
    </row>
    <row r="602" spans="1:5" ht="15">
      <c r="A602" s="13">
        <v>59840</v>
      </c>
      <c r="B602" s="4">
        <f>38.4933 * CHOOSE(CONTROL!$C$9, $C$13, 100%, $E$13) + CHOOSE(CONTROL!$C$28, 0.0211, 0)</f>
        <v>38.514399999999995</v>
      </c>
      <c r="C602" s="4">
        <f>38.13 * CHOOSE(CONTROL!$C$9, $C$13, 100%, $E$13) + CHOOSE(CONTROL!$C$28, 0.0211, 0)</f>
        <v>38.1511</v>
      </c>
      <c r="D602" s="4">
        <f>55.1531 * CHOOSE(CONTROL!$C$9, $C$13, 100%, $E$13) + CHOOSE(CONTROL!$C$28, 0.0021, 0)</f>
        <v>55.155200000000001</v>
      </c>
      <c r="E602" s="4">
        <f>257.717238355433 * CHOOSE(CONTROL!$C$9, $C$13, 100%, $E$13) + CHOOSE(CONTROL!$C$28, 0.0021, 0)</f>
        <v>257.71933835543297</v>
      </c>
    </row>
    <row r="603" spans="1:5" ht="15">
      <c r="A603" s="13">
        <v>59870</v>
      </c>
      <c r="B603" s="4">
        <f>37.6583 * CHOOSE(CONTROL!$C$9, $C$13, 100%, $E$13) + CHOOSE(CONTROL!$C$28, 0.0211, 0)</f>
        <v>37.679399999999994</v>
      </c>
      <c r="C603" s="4">
        <f>37.295 * CHOOSE(CONTROL!$C$9, $C$13, 100%, $E$13) + CHOOSE(CONTROL!$C$28, 0.0211, 0)</f>
        <v>37.316099999999999</v>
      </c>
      <c r="D603" s="4">
        <f>54.897 * CHOOSE(CONTROL!$C$9, $C$13, 100%, $E$13) + CHOOSE(CONTROL!$C$28, 0.0021, 0)</f>
        <v>54.899099999999997</v>
      </c>
      <c r="E603" s="4">
        <f>252.012634789403 * CHOOSE(CONTROL!$C$9, $C$13, 100%, $E$13) + CHOOSE(CONTROL!$C$28, 0.0021, 0)</f>
        <v>252.01473478940301</v>
      </c>
    </row>
    <row r="604" spans="1:5" ht="15">
      <c r="A604" s="13">
        <v>59901</v>
      </c>
      <c r="B604" s="4">
        <f>37.0807 * CHOOSE(CONTROL!$C$9, $C$13, 100%, $E$13) + CHOOSE(CONTROL!$C$28, 0.0211, 0)</f>
        <v>37.101799999999997</v>
      </c>
      <c r="C604" s="4">
        <f>36.7174 * CHOOSE(CONTROL!$C$9, $C$13, 100%, $E$13) + CHOOSE(CONTROL!$C$28, 0.0211, 0)</f>
        <v>36.738499999999995</v>
      </c>
      <c r="D604" s="4">
        <f>53.0122 * CHOOSE(CONTROL!$C$9, $C$13, 100%, $E$13) + CHOOSE(CONTROL!$C$28, 0.0021, 0)</f>
        <v>53.014299999999999</v>
      </c>
      <c r="E604" s="4">
        <f>248.065782416687 * CHOOSE(CONTROL!$C$9, $C$13, 100%, $E$13) + CHOOSE(CONTROL!$C$28, 0.0021, 0)</f>
        <v>248.06788241668701</v>
      </c>
    </row>
    <row r="605" spans="1:5" ht="15">
      <c r="A605" s="13">
        <v>59932</v>
      </c>
      <c r="B605" s="4">
        <f>35.5002 * CHOOSE(CONTROL!$C$9, $C$13, 100%, $E$13) + CHOOSE(CONTROL!$C$28, 0.0211, 0)</f>
        <v>35.521299999999997</v>
      </c>
      <c r="C605" s="4">
        <f>35.1369 * CHOOSE(CONTROL!$C$9, $C$13, 100%, $E$13) + CHOOSE(CONTROL!$C$28, 0.0211, 0)</f>
        <v>35.157999999999994</v>
      </c>
      <c r="D605" s="4">
        <f>50.9358 * CHOOSE(CONTROL!$C$9, $C$13, 100%, $E$13) + CHOOSE(CONTROL!$C$28, 0.0021, 0)</f>
        <v>50.937899999999999</v>
      </c>
      <c r="E605" s="4">
        <f>237.732834586021 * CHOOSE(CONTROL!$C$9, $C$13, 100%, $E$13) + CHOOSE(CONTROL!$C$28, 0.0021, 0)</f>
        <v>237.73493458602101</v>
      </c>
    </row>
    <row r="606" spans="1:5" ht="15">
      <c r="A606" s="13">
        <v>59961</v>
      </c>
      <c r="B606" s="4">
        <f>36.3247 * CHOOSE(CONTROL!$C$9, $C$13, 100%, $E$13) + CHOOSE(CONTROL!$C$28, 0.0211, 0)</f>
        <v>36.345799999999997</v>
      </c>
      <c r="C606" s="4">
        <f>35.9614 * CHOOSE(CONTROL!$C$9, $C$13, 100%, $E$13) + CHOOSE(CONTROL!$C$28, 0.0211, 0)</f>
        <v>35.982499999999995</v>
      </c>
      <c r="D606" s="4">
        <f>52.6682 * CHOOSE(CONTROL!$C$9, $C$13, 100%, $E$13) + CHOOSE(CONTROL!$C$28, 0.0021, 0)</f>
        <v>52.670299999999997</v>
      </c>
      <c r="E606" s="4">
        <f>243.377548962665 * CHOOSE(CONTROL!$C$9, $C$13, 100%, $E$13) + CHOOSE(CONTROL!$C$28, 0.0021, 0)</f>
        <v>243.37964896266502</v>
      </c>
    </row>
    <row r="607" spans="1:5" ht="15">
      <c r="A607" s="13">
        <v>59992</v>
      </c>
      <c r="B607" s="4">
        <f>38.49 * CHOOSE(CONTROL!$C$9, $C$13, 100%, $E$13) + CHOOSE(CONTROL!$C$28, 0.0211, 0)</f>
        <v>38.511099999999999</v>
      </c>
      <c r="C607" s="4">
        <f>38.1268 * CHOOSE(CONTROL!$C$9, $C$13, 100%, $E$13) + CHOOSE(CONTROL!$C$28, 0.0211, 0)</f>
        <v>38.1479</v>
      </c>
      <c r="D607" s="4">
        <f>55.3801 * CHOOSE(CONTROL!$C$9, $C$13, 100%, $E$13) + CHOOSE(CONTROL!$C$28, 0.0021, 0)</f>
        <v>55.382199999999997</v>
      </c>
      <c r="E607" s="4">
        <f>258.200868894073 * CHOOSE(CONTROL!$C$9, $C$13, 100%, $E$13) + CHOOSE(CONTROL!$C$28, 0.0021, 0)</f>
        <v>258.20296889407297</v>
      </c>
    </row>
    <row r="608" spans="1:5" ht="15">
      <c r="A608" s="13">
        <v>60022</v>
      </c>
      <c r="B608" s="4">
        <f>40.0285 * CHOOSE(CONTROL!$C$9, $C$13, 100%, $E$13) + CHOOSE(CONTROL!$C$28, 0.0211, 0)</f>
        <v>40.049599999999998</v>
      </c>
      <c r="C608" s="4">
        <f>39.6652 * CHOOSE(CONTROL!$C$9, $C$13, 100%, $E$13) + CHOOSE(CONTROL!$C$28, 0.0211, 0)</f>
        <v>39.686299999999996</v>
      </c>
      <c r="D608" s="4">
        <f>56.9422 * CHOOSE(CONTROL!$C$9, $C$13, 100%, $E$13) + CHOOSE(CONTROL!$C$28, 0.0021, 0)</f>
        <v>56.944299999999998</v>
      </c>
      <c r="E608" s="4">
        <f>268.733035252051 * CHOOSE(CONTROL!$C$9, $C$13, 100%, $E$13) + CHOOSE(CONTROL!$C$28, 0.0021, 0)</f>
        <v>268.73513525205101</v>
      </c>
    </row>
    <row r="609" spans="1:5" ht="15">
      <c r="A609" s="13">
        <v>60053</v>
      </c>
      <c r="B609" s="4">
        <f>40.9685 * CHOOSE(CONTROL!$C$9, $C$13, 100%, $E$13) + CHOOSE(CONTROL!$C$28, 0.0415, 0)</f>
        <v>41.01</v>
      </c>
      <c r="C609" s="4">
        <f>40.6052 * CHOOSE(CONTROL!$C$9, $C$13, 100%, $E$13) + CHOOSE(CONTROL!$C$28, 0.0415, 0)</f>
        <v>40.646700000000003</v>
      </c>
      <c r="D609" s="4">
        <f>56.3249 * CHOOSE(CONTROL!$C$9, $C$13, 100%, $E$13) + CHOOSE(CONTROL!$C$28, 0.0021, 0)</f>
        <v>56.326999999999998</v>
      </c>
      <c r="E609" s="4">
        <f>275.167936475976 * CHOOSE(CONTROL!$C$9, $C$13, 100%, $E$13) + CHOOSE(CONTROL!$C$28, 0.0021, 0)</f>
        <v>275.17003647597596</v>
      </c>
    </row>
    <row r="610" spans="1:5" ht="15">
      <c r="A610" s="13">
        <v>60083</v>
      </c>
      <c r="B610" s="4">
        <f>41.0957 * CHOOSE(CONTROL!$C$9, $C$13, 100%, $E$13) + CHOOSE(CONTROL!$C$28, 0.0415, 0)</f>
        <v>41.1372</v>
      </c>
      <c r="C610" s="4">
        <f>40.7324 * CHOOSE(CONTROL!$C$9, $C$13, 100%, $E$13) + CHOOSE(CONTROL!$C$28, 0.0415, 0)</f>
        <v>40.773899999999998</v>
      </c>
      <c r="D610" s="4">
        <f>56.8277 * CHOOSE(CONTROL!$C$9, $C$13, 100%, $E$13) + CHOOSE(CONTROL!$C$28, 0.0021, 0)</f>
        <v>56.829799999999999</v>
      </c>
      <c r="E610" s="4">
        <f>276.038605316962 * CHOOSE(CONTROL!$C$9, $C$13, 100%, $E$13) + CHOOSE(CONTROL!$C$28, 0.0021, 0)</f>
        <v>276.04070531696198</v>
      </c>
    </row>
    <row r="611" spans="1:5" ht="15">
      <c r="A611" s="13">
        <v>60114</v>
      </c>
      <c r="B611" s="4">
        <f>41.0828 * CHOOSE(CONTROL!$C$9, $C$13, 100%, $E$13) + CHOOSE(CONTROL!$C$28, 0.0415, 0)</f>
        <v>41.124299999999998</v>
      </c>
      <c r="C611" s="4">
        <f>40.7196 * CHOOSE(CONTROL!$C$9, $C$13, 100%, $E$13) + CHOOSE(CONTROL!$C$28, 0.0415, 0)</f>
        <v>40.761099999999999</v>
      </c>
      <c r="D611" s="4">
        <f>57.7348 * CHOOSE(CONTROL!$C$9, $C$13, 100%, $E$13) + CHOOSE(CONTROL!$C$28, 0.0021, 0)</f>
        <v>57.736899999999999</v>
      </c>
      <c r="E611" s="4">
        <f>275.950806778376 * CHOOSE(CONTROL!$C$9, $C$13, 100%, $E$13) + CHOOSE(CONTROL!$C$28, 0.0021, 0)</f>
        <v>275.95290677837596</v>
      </c>
    </row>
    <row r="612" spans="1:5" ht="15">
      <c r="A612" s="13">
        <v>60145</v>
      </c>
      <c r="B612" s="4">
        <f>42.0479 * CHOOSE(CONTROL!$C$9, $C$13, 100%, $E$13) + CHOOSE(CONTROL!$C$28, 0.0415, 0)</f>
        <v>42.089399999999998</v>
      </c>
      <c r="C612" s="4">
        <f>41.6847 * CHOOSE(CONTROL!$C$9, $C$13, 100%, $E$13) + CHOOSE(CONTROL!$C$28, 0.0415, 0)</f>
        <v>41.726199999999999</v>
      </c>
      <c r="D612" s="4">
        <f>57.1357 * CHOOSE(CONTROL!$C$9, $C$13, 100%, $E$13) + CHOOSE(CONTROL!$C$28, 0.0021, 0)</f>
        <v>57.137799999999999</v>
      </c>
      <c r="E612" s="4">
        <f>282.557646807034 * CHOOSE(CONTROL!$C$9, $C$13, 100%, $E$13) + CHOOSE(CONTROL!$C$28, 0.0021, 0)</f>
        <v>282.559746807034</v>
      </c>
    </row>
    <row r="613" spans="1:5" ht="15">
      <c r="A613" s="13">
        <v>60175</v>
      </c>
      <c r="B613" s="4">
        <f>40.4031 * CHOOSE(CONTROL!$C$9, $C$13, 100%, $E$13) + CHOOSE(CONTROL!$C$28, 0.0415, 0)</f>
        <v>40.444600000000001</v>
      </c>
      <c r="C613" s="4">
        <f>40.0398 * CHOOSE(CONTROL!$C$9, $C$13, 100%, $E$13) + CHOOSE(CONTROL!$C$28, 0.0415, 0)</f>
        <v>40.081299999999999</v>
      </c>
      <c r="D613" s="4">
        <f>56.8527 * CHOOSE(CONTROL!$C$9, $C$13, 100%, $E$13) + CHOOSE(CONTROL!$C$28, 0.0021, 0)</f>
        <v>56.854799999999997</v>
      </c>
      <c r="E613" s="4">
        <f>271.297484233274 * CHOOSE(CONTROL!$C$9, $C$13, 100%, $E$13) + CHOOSE(CONTROL!$C$28, 0.0021, 0)</f>
        <v>271.299584233274</v>
      </c>
    </row>
    <row r="614" spans="1:5" ht="15">
      <c r="A614" s="13">
        <v>60206</v>
      </c>
      <c r="B614" s="4">
        <f>39.0864 * CHOOSE(CONTROL!$C$9, $C$13, 100%, $E$13) + CHOOSE(CONTROL!$C$28, 0.0211, 0)</f>
        <v>39.107499999999995</v>
      </c>
      <c r="C614" s="4">
        <f>38.7231 * CHOOSE(CONTROL!$C$9, $C$13, 100%, $E$13) + CHOOSE(CONTROL!$C$28, 0.0211, 0)</f>
        <v>38.744199999999999</v>
      </c>
      <c r="D614" s="4">
        <f>56.0948 * CHOOSE(CONTROL!$C$9, $C$13, 100%, $E$13) + CHOOSE(CONTROL!$C$28, 0.0021, 0)</f>
        <v>56.096899999999998</v>
      </c>
      <c r="E614" s="4">
        <f>262.283500938361 * CHOOSE(CONTROL!$C$9, $C$13, 100%, $E$13) + CHOOSE(CONTROL!$C$28, 0.0021, 0)</f>
        <v>262.28560093836097</v>
      </c>
    </row>
    <row r="615" spans="1:5" ht="15">
      <c r="A615" s="13">
        <v>60236</v>
      </c>
      <c r="B615" s="4">
        <f>38.2383 * CHOOSE(CONTROL!$C$9, $C$13, 100%, $E$13) + CHOOSE(CONTROL!$C$28, 0.0211, 0)</f>
        <v>38.259399999999999</v>
      </c>
      <c r="C615" s="4">
        <f>37.8751 * CHOOSE(CONTROL!$C$9, $C$13, 100%, $E$13) + CHOOSE(CONTROL!$C$28, 0.0211, 0)</f>
        <v>37.8962</v>
      </c>
      <c r="D615" s="4">
        <f>55.8343 * CHOOSE(CONTROL!$C$9, $C$13, 100%, $E$13) + CHOOSE(CONTROL!$C$28, 0.0021, 0)</f>
        <v>55.836399999999998</v>
      </c>
      <c r="E615" s="4">
        <f>256.477822574307 * CHOOSE(CONTROL!$C$9, $C$13, 100%, $E$13) + CHOOSE(CONTROL!$C$28, 0.0021, 0)</f>
        <v>256.47992257430701</v>
      </c>
    </row>
    <row r="616" spans="1:5" ht="15">
      <c r="A616" s="13">
        <v>60267</v>
      </c>
      <c r="B616" s="4">
        <f>37.6516 * CHOOSE(CONTROL!$C$9, $C$13, 100%, $E$13) + CHOOSE(CONTROL!$C$28, 0.0211, 0)</f>
        <v>37.672699999999999</v>
      </c>
      <c r="C616" s="4">
        <f>37.2883 * CHOOSE(CONTROL!$C$9, $C$13, 100%, $E$13) + CHOOSE(CONTROL!$C$28, 0.0211, 0)</f>
        <v>37.309399999999997</v>
      </c>
      <c r="D616" s="4">
        <f>53.9161 * CHOOSE(CONTROL!$C$9, $C$13, 100%, $E$13) + CHOOSE(CONTROL!$C$28, 0.0021, 0)</f>
        <v>53.918199999999999</v>
      </c>
      <c r="E616" s="4">
        <f>252.46103943396 * CHOOSE(CONTROL!$C$9, $C$13, 100%, $E$13) + CHOOSE(CONTROL!$C$28, 0.0021, 0)</f>
        <v>252.46313943396001</v>
      </c>
    </row>
    <row r="617" spans="1:5" ht="15">
      <c r="A617" s="13">
        <v>60298</v>
      </c>
      <c r="B617" s="4">
        <f>36.0462 * CHOOSE(CONTROL!$C$9, $C$13, 100%, $E$13) + CHOOSE(CONTROL!$C$28, 0.0211, 0)</f>
        <v>36.067299999999996</v>
      </c>
      <c r="C617" s="4">
        <f>35.683 * CHOOSE(CONTROL!$C$9, $C$13, 100%, $E$13) + CHOOSE(CONTROL!$C$28, 0.0211, 0)</f>
        <v>35.704099999999997</v>
      </c>
      <c r="D617" s="4">
        <f>51.8031 * CHOOSE(CONTROL!$C$9, $C$13, 100%, $E$13) + CHOOSE(CONTROL!$C$28, 0.0021, 0)</f>
        <v>51.805199999999999</v>
      </c>
      <c r="E617" s="4">
        <f>241.945011288793 * CHOOSE(CONTROL!$C$9, $C$13, 100%, $E$13) + CHOOSE(CONTROL!$C$28, 0.0021, 0)</f>
        <v>241.94711128879302</v>
      </c>
    </row>
    <row r="618" spans="1:5" ht="15">
      <c r="A618" s="13">
        <v>60326</v>
      </c>
      <c r="B618" s="4">
        <f>36.8838 * CHOOSE(CONTROL!$C$9, $C$13, 100%, $E$13) + CHOOSE(CONTROL!$C$28, 0.0211, 0)</f>
        <v>36.904899999999998</v>
      </c>
      <c r="C618" s="4">
        <f>36.5205 * CHOOSE(CONTROL!$C$9, $C$13, 100%, $E$13) + CHOOSE(CONTROL!$C$28, 0.0211, 0)</f>
        <v>36.541599999999995</v>
      </c>
      <c r="D618" s="4">
        <f>53.566 * CHOOSE(CONTROL!$C$9, $C$13, 100%, $E$13) + CHOOSE(CONTROL!$C$28, 0.0021, 0)</f>
        <v>53.568100000000001</v>
      </c>
      <c r="E618" s="4">
        <f>247.689739340168 * CHOOSE(CONTROL!$C$9, $C$13, 100%, $E$13) + CHOOSE(CONTROL!$C$28, 0.0021, 0)</f>
        <v>247.691839340168</v>
      </c>
    </row>
    <row r="619" spans="1:5" ht="15">
      <c r="A619" s="13">
        <v>60357</v>
      </c>
      <c r="B619" s="4">
        <f>39.0831 * CHOOSE(CONTROL!$C$9, $C$13, 100%, $E$13) + CHOOSE(CONTROL!$C$28, 0.0211, 0)</f>
        <v>39.104199999999999</v>
      </c>
      <c r="C619" s="4">
        <f>38.7198 * CHOOSE(CONTROL!$C$9, $C$13, 100%, $E$13) + CHOOSE(CONTROL!$C$28, 0.0211, 0)</f>
        <v>38.740899999999996</v>
      </c>
      <c r="D619" s="4">
        <f>56.3258 * CHOOSE(CONTROL!$C$9, $C$13, 100%, $E$13) + CHOOSE(CONTROL!$C$28, 0.0021, 0)</f>
        <v>56.3279</v>
      </c>
      <c r="E619" s="4">
        <f>262.775700496469 * CHOOSE(CONTROL!$C$9, $C$13, 100%, $E$13) + CHOOSE(CONTROL!$C$28, 0.0021, 0)</f>
        <v>262.77780049646901</v>
      </c>
    </row>
    <row r="620" spans="1:5" ht="15">
      <c r="A620" s="13">
        <v>60387</v>
      </c>
      <c r="B620" s="4">
        <f>40.6458 * CHOOSE(CONTROL!$C$9, $C$13, 100%, $E$13) + CHOOSE(CONTROL!$C$28, 0.0211, 0)</f>
        <v>40.666899999999998</v>
      </c>
      <c r="C620" s="4">
        <f>40.2825 * CHOOSE(CONTROL!$C$9, $C$13, 100%, $E$13) + CHOOSE(CONTROL!$C$28, 0.0211, 0)</f>
        <v>40.303599999999996</v>
      </c>
      <c r="D620" s="4">
        <f>57.9156 * CHOOSE(CONTROL!$C$9, $C$13, 100%, $E$13) + CHOOSE(CONTROL!$C$28, 0.0021, 0)</f>
        <v>57.917699999999996</v>
      </c>
      <c r="E620" s="4">
        <f>273.494476944886 * CHOOSE(CONTROL!$C$9, $C$13, 100%, $E$13) + CHOOSE(CONTROL!$C$28, 0.0021, 0)</f>
        <v>273.49657694488599</v>
      </c>
    </row>
    <row r="621" spans="1:5" ht="15">
      <c r="A621" s="13">
        <v>60418</v>
      </c>
      <c r="B621" s="4">
        <f>41.6006 * CHOOSE(CONTROL!$C$9, $C$13, 100%, $E$13) + CHOOSE(CONTROL!$C$28, 0.0415, 0)</f>
        <v>41.642099999999999</v>
      </c>
      <c r="C621" s="4">
        <f>41.2373 * CHOOSE(CONTROL!$C$9, $C$13, 100%, $E$13) + CHOOSE(CONTROL!$C$28, 0.0415, 0)</f>
        <v>41.278799999999997</v>
      </c>
      <c r="D621" s="4">
        <f>57.2874 * CHOOSE(CONTROL!$C$9, $C$13, 100%, $E$13) + CHOOSE(CONTROL!$C$28, 0.0021, 0)</f>
        <v>57.289499999999997</v>
      </c>
      <c r="E621" s="4">
        <f>280.043392461652 * CHOOSE(CONTROL!$C$9, $C$13, 100%, $E$13) + CHOOSE(CONTROL!$C$28, 0.0021, 0)</f>
        <v>280.04549246165197</v>
      </c>
    </row>
    <row r="622" spans="1:5" ht="15">
      <c r="A622" s="13">
        <v>60448</v>
      </c>
      <c r="B622" s="4">
        <f>41.7297 * CHOOSE(CONTROL!$C$9, $C$13, 100%, $E$13) + CHOOSE(CONTROL!$C$28, 0.0415, 0)</f>
        <v>41.7712</v>
      </c>
      <c r="C622" s="4">
        <f>41.3665 * CHOOSE(CONTROL!$C$9, $C$13, 100%, $E$13) + CHOOSE(CONTROL!$C$28, 0.0415, 0)</f>
        <v>41.408000000000001</v>
      </c>
      <c r="D622" s="4">
        <f>57.799 * CHOOSE(CONTROL!$C$9, $C$13, 100%, $E$13) + CHOOSE(CONTROL!$C$28, 0.0021, 0)</f>
        <v>57.801099999999998</v>
      </c>
      <c r="E622" s="4">
        <f>280.929487909628 * CHOOSE(CONTROL!$C$9, $C$13, 100%, $E$13) + CHOOSE(CONTROL!$C$28, 0.0021, 0)</f>
        <v>280.93158790962798</v>
      </c>
    </row>
    <row r="623" spans="1:5" ht="15">
      <c r="A623" s="13">
        <v>60479</v>
      </c>
      <c r="B623" s="4">
        <f>41.7167 * CHOOSE(CONTROL!$C$9, $C$13, 100%, $E$13) + CHOOSE(CONTROL!$C$28, 0.0415, 0)</f>
        <v>41.758200000000002</v>
      </c>
      <c r="C623" s="4">
        <f>41.3534 * CHOOSE(CONTROL!$C$9, $C$13, 100%, $E$13) + CHOOSE(CONTROL!$C$28, 0.0415, 0)</f>
        <v>41.3949</v>
      </c>
      <c r="D623" s="4">
        <f>58.7221 * CHOOSE(CONTROL!$C$9, $C$13, 100%, $E$13) + CHOOSE(CONTROL!$C$28, 0.0021, 0)</f>
        <v>58.724199999999996</v>
      </c>
      <c r="E623" s="4">
        <f>280.840133746807 * CHOOSE(CONTROL!$C$9, $C$13, 100%, $E$13) + CHOOSE(CONTROL!$C$28, 0.0021, 0)</f>
        <v>280.84223374680698</v>
      </c>
    </row>
    <row r="624" spans="1:5" ht="15">
      <c r="A624" s="13">
        <v>60510</v>
      </c>
      <c r="B624" s="4">
        <f>42.697 * CHOOSE(CONTROL!$C$9, $C$13, 100%, $E$13) + CHOOSE(CONTROL!$C$28, 0.0415, 0)</f>
        <v>42.738500000000002</v>
      </c>
      <c r="C624" s="4">
        <f>42.3337 * CHOOSE(CONTROL!$C$9, $C$13, 100%, $E$13) + CHOOSE(CONTROL!$C$28, 0.0415, 0)</f>
        <v>42.3752</v>
      </c>
      <c r="D624" s="4">
        <f>58.1125 * CHOOSE(CONTROL!$C$9, $C$13, 100%, $E$13) + CHOOSE(CONTROL!$C$28, 0.0021, 0)</f>
        <v>58.114599999999996</v>
      </c>
      <c r="E624" s="4">
        <f>287.564034499097 * CHOOSE(CONTROL!$C$9, $C$13, 100%, $E$13) + CHOOSE(CONTROL!$C$28, 0.0021, 0)</f>
        <v>287.56613449909696</v>
      </c>
    </row>
    <row r="625" spans="1:5" ht="15">
      <c r="A625" s="13">
        <v>60540</v>
      </c>
      <c r="B625" s="4">
        <f>41.0263 * CHOOSE(CONTROL!$C$9, $C$13, 100%, $E$13) + CHOOSE(CONTROL!$C$28, 0.0415, 0)</f>
        <v>41.067799999999998</v>
      </c>
      <c r="C625" s="4">
        <f>40.663 * CHOOSE(CONTROL!$C$9, $C$13, 100%, $E$13) + CHOOSE(CONTROL!$C$28, 0.0415, 0)</f>
        <v>40.704499999999996</v>
      </c>
      <c r="D625" s="4">
        <f>57.8244 * CHOOSE(CONTROL!$C$9, $C$13, 100%, $E$13) + CHOOSE(CONTROL!$C$28, 0.0021, 0)</f>
        <v>57.826499999999996</v>
      </c>
      <c r="E625" s="4">
        <f>276.104363117287 * CHOOSE(CONTROL!$C$9, $C$13, 100%, $E$13) + CHOOSE(CONTROL!$C$28, 0.0021, 0)</f>
        <v>276.10646311728698</v>
      </c>
    </row>
    <row r="626" spans="1:5" ht="15">
      <c r="A626" s="13">
        <v>60571</v>
      </c>
      <c r="B626" s="4">
        <f>39.6889 * CHOOSE(CONTROL!$C$9, $C$13, 100%, $E$13) + CHOOSE(CONTROL!$C$28, 0.0211, 0)</f>
        <v>39.709999999999994</v>
      </c>
      <c r="C626" s="4">
        <f>39.3256 * CHOOSE(CONTROL!$C$9, $C$13, 100%, $E$13) + CHOOSE(CONTROL!$C$28, 0.0211, 0)</f>
        <v>39.346699999999998</v>
      </c>
      <c r="D626" s="4">
        <f>57.0532 * CHOOSE(CONTROL!$C$9, $C$13, 100%, $E$13) + CHOOSE(CONTROL!$C$28, 0.0021, 0)</f>
        <v>57.055299999999995</v>
      </c>
      <c r="E626" s="4">
        <f>266.930669067651 * CHOOSE(CONTROL!$C$9, $C$13, 100%, $E$13) + CHOOSE(CONTROL!$C$28, 0.0021, 0)</f>
        <v>266.93276906765101</v>
      </c>
    </row>
    <row r="627" spans="1:5" ht="15">
      <c r="A627" s="13">
        <v>60601</v>
      </c>
      <c r="B627" s="4">
        <f>38.8275 * CHOOSE(CONTROL!$C$9, $C$13, 100%, $E$13) + CHOOSE(CONTROL!$C$28, 0.0211, 0)</f>
        <v>38.848599999999998</v>
      </c>
      <c r="C627" s="4">
        <f>38.4642 * CHOOSE(CONTROL!$C$9, $C$13, 100%, $E$13) + CHOOSE(CONTROL!$C$28, 0.0211, 0)</f>
        <v>38.485299999999995</v>
      </c>
      <c r="D627" s="4">
        <f>56.788 * CHOOSE(CONTROL!$C$9, $C$13, 100%, $E$13) + CHOOSE(CONTROL!$C$28, 0.0021, 0)</f>
        <v>56.790099999999995</v>
      </c>
      <c r="E627" s="4">
        <f>261.022125051104 * CHOOSE(CONTROL!$C$9, $C$13, 100%, $E$13) + CHOOSE(CONTROL!$C$28, 0.0021, 0)</f>
        <v>261.024225051104</v>
      </c>
    </row>
    <row r="628" spans="1:5" ht="15">
      <c r="A628" s="13">
        <v>60632</v>
      </c>
      <c r="B628" s="4">
        <f>38.2315 * CHOOSE(CONTROL!$C$9, $C$13, 100%, $E$13) + CHOOSE(CONTROL!$C$28, 0.0211, 0)</f>
        <v>38.252599999999994</v>
      </c>
      <c r="C628" s="4">
        <f>37.8682 * CHOOSE(CONTROL!$C$9, $C$13, 100%, $E$13) + CHOOSE(CONTROL!$C$28, 0.0211, 0)</f>
        <v>37.889299999999999</v>
      </c>
      <c r="D628" s="4">
        <f>54.836 * CHOOSE(CONTROL!$C$9, $C$13, 100%, $E$13) + CHOOSE(CONTROL!$C$28, 0.0021, 0)</f>
        <v>54.838099999999997</v>
      </c>
      <c r="E628" s="4">
        <f>256.934172102037 * CHOOSE(CONTROL!$C$9, $C$13, 100%, $E$13) + CHOOSE(CONTROL!$C$28, 0.0021, 0)</f>
        <v>256.93627210203698</v>
      </c>
    </row>
    <row r="629" spans="1:5" ht="15">
      <c r="A629" s="13">
        <v>60663</v>
      </c>
      <c r="B629" s="4">
        <f>36.6009 * CHOOSE(CONTROL!$C$9, $C$13, 100%, $E$13) + CHOOSE(CONTROL!$C$28, 0.0211, 0)</f>
        <v>36.622</v>
      </c>
      <c r="C629" s="4">
        <f>36.2376 * CHOOSE(CONTROL!$C$9, $C$13, 100%, $E$13) + CHOOSE(CONTROL!$C$28, 0.0211, 0)</f>
        <v>36.258699999999997</v>
      </c>
      <c r="D629" s="4">
        <f>52.6856 * CHOOSE(CONTROL!$C$9, $C$13, 100%, $E$13) + CHOOSE(CONTROL!$C$28, 0.0021, 0)</f>
        <v>52.6877</v>
      </c>
      <c r="E629" s="4">
        <f>246.231819805072 * CHOOSE(CONTROL!$C$9, $C$13, 100%, $E$13) + CHOOSE(CONTROL!$C$28, 0.0021, 0)</f>
        <v>246.23391980507202</v>
      </c>
    </row>
    <row r="630" spans="1:5" ht="15">
      <c r="A630" s="13">
        <v>60691</v>
      </c>
      <c r="B630" s="4">
        <f>37.4516 * CHOOSE(CONTROL!$C$9, $C$13, 100%, $E$13) + CHOOSE(CONTROL!$C$28, 0.0211, 0)</f>
        <v>37.472699999999996</v>
      </c>
      <c r="C630" s="4">
        <f>37.0883 * CHOOSE(CONTROL!$C$9, $C$13, 100%, $E$13) + CHOOSE(CONTROL!$C$28, 0.0211, 0)</f>
        <v>37.109399999999994</v>
      </c>
      <c r="D630" s="4">
        <f>54.4797 * CHOOSE(CONTROL!$C$9, $C$13, 100%, $E$13) + CHOOSE(CONTROL!$C$28, 0.0021, 0)</f>
        <v>54.4818</v>
      </c>
      <c r="E630" s="4">
        <f>252.078333584548 * CHOOSE(CONTROL!$C$9, $C$13, 100%, $E$13) + CHOOSE(CONTROL!$C$28, 0.0021, 0)</f>
        <v>252.08043358454802</v>
      </c>
    </row>
    <row r="631" spans="1:5" ht="15">
      <c r="A631" s="13">
        <v>60722</v>
      </c>
      <c r="B631" s="4">
        <f>39.6855 * CHOOSE(CONTROL!$C$9, $C$13, 100%, $E$13) + CHOOSE(CONTROL!$C$28, 0.0211, 0)</f>
        <v>39.706599999999995</v>
      </c>
      <c r="C631" s="4">
        <f>39.3223 * CHOOSE(CONTROL!$C$9, $C$13, 100%, $E$13) + CHOOSE(CONTROL!$C$28, 0.0211, 0)</f>
        <v>39.343399999999995</v>
      </c>
      <c r="D631" s="4">
        <f>57.2883 * CHOOSE(CONTROL!$C$9, $C$13, 100%, $E$13) + CHOOSE(CONTROL!$C$28, 0.0021, 0)</f>
        <v>57.290399999999998</v>
      </c>
      <c r="E631" s="4">
        <f>267.431589472063 * CHOOSE(CONTROL!$C$9, $C$13, 100%, $E$13) + CHOOSE(CONTROL!$C$28, 0.0021, 0)</f>
        <v>267.43368947206301</v>
      </c>
    </row>
    <row r="632" spans="1:5" ht="15">
      <c r="A632" s="13">
        <v>60752</v>
      </c>
      <c r="B632" s="4">
        <f>41.2728 * CHOOSE(CONTROL!$C$9, $C$13, 100%, $E$13) + CHOOSE(CONTROL!$C$28, 0.0211, 0)</f>
        <v>41.293899999999994</v>
      </c>
      <c r="C632" s="4">
        <f>40.9095 * CHOOSE(CONTROL!$C$9, $C$13, 100%, $E$13) + CHOOSE(CONTROL!$C$28, 0.0211, 0)</f>
        <v>40.930599999999998</v>
      </c>
      <c r="D632" s="4">
        <f>58.9061 * CHOOSE(CONTROL!$C$9, $C$13, 100%, $E$13) + CHOOSE(CONTROL!$C$28, 0.0021, 0)</f>
        <v>58.908200000000001</v>
      </c>
      <c r="E632" s="4">
        <f>278.340282389179 * CHOOSE(CONTROL!$C$9, $C$13, 100%, $E$13) + CHOOSE(CONTROL!$C$28, 0.0021, 0)</f>
        <v>278.34238238917897</v>
      </c>
    </row>
    <row r="633" spans="1:5" ht="15">
      <c r="A633" s="13">
        <v>60783</v>
      </c>
      <c r="B633" s="4">
        <f>42.2426 * CHOOSE(CONTROL!$C$9, $C$13, 100%, $E$13) + CHOOSE(CONTROL!$C$28, 0.0415, 0)</f>
        <v>42.284100000000002</v>
      </c>
      <c r="C633" s="4">
        <f>41.8793 * CHOOSE(CONTROL!$C$9, $C$13, 100%, $E$13) + CHOOSE(CONTROL!$C$28, 0.0415, 0)</f>
        <v>41.9208</v>
      </c>
      <c r="D633" s="4">
        <f>58.2668 * CHOOSE(CONTROL!$C$9, $C$13, 100%, $E$13) + CHOOSE(CONTROL!$C$28, 0.0021, 0)</f>
        <v>58.268900000000002</v>
      </c>
      <c r="E633" s="4">
        <f>285.005232316656 * CHOOSE(CONTROL!$C$9, $C$13, 100%, $E$13) + CHOOSE(CONTROL!$C$28, 0.0021, 0)</f>
        <v>285.007332316656</v>
      </c>
    </row>
    <row r="634" spans="1:5" ht="15">
      <c r="A634" s="13">
        <v>60813</v>
      </c>
      <c r="B634" s="4">
        <f>42.3738 * CHOOSE(CONTROL!$C$9, $C$13, 100%, $E$13) + CHOOSE(CONTROL!$C$28, 0.0415, 0)</f>
        <v>42.415300000000002</v>
      </c>
      <c r="C634" s="4">
        <f>42.0105 * CHOOSE(CONTROL!$C$9, $C$13, 100%, $E$13) + CHOOSE(CONTROL!$C$28, 0.0415, 0)</f>
        <v>42.052</v>
      </c>
      <c r="D634" s="4">
        <f>58.7875 * CHOOSE(CONTROL!$C$9, $C$13, 100%, $E$13) + CHOOSE(CONTROL!$C$28, 0.0021, 0)</f>
        <v>58.7896</v>
      </c>
      <c r="E634" s="4">
        <f>285.907027701955 * CHOOSE(CONTROL!$C$9, $C$13, 100%, $E$13) + CHOOSE(CONTROL!$C$28, 0.0021, 0)</f>
        <v>285.90912770195496</v>
      </c>
    </row>
    <row r="635" spans="1:5" ht="15">
      <c r="A635" s="13">
        <v>60844</v>
      </c>
      <c r="B635" s="4">
        <f>42.3605 * CHOOSE(CONTROL!$C$9, $C$13, 100%, $E$13) + CHOOSE(CONTROL!$C$28, 0.0415, 0)</f>
        <v>42.402000000000001</v>
      </c>
      <c r="C635" s="4">
        <f>41.9973 * CHOOSE(CONTROL!$C$9, $C$13, 100%, $E$13) + CHOOSE(CONTROL!$C$28, 0.0415, 0)</f>
        <v>42.038800000000002</v>
      </c>
      <c r="D635" s="4">
        <f>59.7269 * CHOOSE(CONTROL!$C$9, $C$13, 100%, $E$13) + CHOOSE(CONTROL!$C$28, 0.0021, 0)</f>
        <v>59.728999999999999</v>
      </c>
      <c r="E635" s="4">
        <f>285.816090352177 * CHOOSE(CONTROL!$C$9, $C$13, 100%, $E$13) + CHOOSE(CONTROL!$C$28, 0.0021, 0)</f>
        <v>285.818190352177</v>
      </c>
    </row>
    <row r="636" spans="1:5" ht="15">
      <c r="A636" s="13">
        <v>60875</v>
      </c>
      <c r="B636" s="4">
        <f>43.3562 * CHOOSE(CONTROL!$C$9, $C$13, 100%, $E$13) + CHOOSE(CONTROL!$C$28, 0.0415, 0)</f>
        <v>43.3977</v>
      </c>
      <c r="C636" s="4">
        <f>42.9929 * CHOOSE(CONTROL!$C$9, $C$13, 100%, $E$13) + CHOOSE(CONTROL!$C$28, 0.0415, 0)</f>
        <v>43.034399999999998</v>
      </c>
      <c r="D636" s="4">
        <f>59.1065 * CHOOSE(CONTROL!$C$9, $C$13, 100%, $E$13) + CHOOSE(CONTROL!$C$28, 0.0021, 0)</f>
        <v>59.108599999999996</v>
      </c>
      <c r="E636" s="4">
        <f>292.659125922969 * CHOOSE(CONTROL!$C$9, $C$13, 100%, $E$13) + CHOOSE(CONTROL!$C$28, 0.0021, 0)</f>
        <v>292.66122592296898</v>
      </c>
    </row>
    <row r="637" spans="1:5" ht="15">
      <c r="A637" s="13">
        <v>60905</v>
      </c>
      <c r="B637" s="4">
        <f>41.6593 * CHOOSE(CONTROL!$C$9, $C$13, 100%, $E$13) + CHOOSE(CONTROL!$C$28, 0.0415, 0)</f>
        <v>41.700800000000001</v>
      </c>
      <c r="C637" s="4">
        <f>41.296 * CHOOSE(CONTROL!$C$9, $C$13, 100%, $E$13) + CHOOSE(CONTROL!$C$28, 0.0415, 0)</f>
        <v>41.337499999999999</v>
      </c>
      <c r="D637" s="4">
        <f>58.8134 * CHOOSE(CONTROL!$C$9, $C$13, 100%, $E$13) + CHOOSE(CONTROL!$C$28, 0.0021, 0)</f>
        <v>58.8155</v>
      </c>
      <c r="E637" s="4">
        <f>280.996410813944 * CHOOSE(CONTROL!$C$9, $C$13, 100%, $E$13) + CHOOSE(CONTROL!$C$28, 0.0021, 0)</f>
        <v>280.99851081394399</v>
      </c>
    </row>
    <row r="638" spans="1:5" ht="15">
      <c r="A638" s="13">
        <v>60936</v>
      </c>
      <c r="B638" s="4">
        <f>40.3008 * CHOOSE(CONTROL!$C$9, $C$13, 100%, $E$13) + CHOOSE(CONTROL!$C$28, 0.0211, 0)</f>
        <v>40.321899999999999</v>
      </c>
      <c r="C638" s="4">
        <f>39.9375 * CHOOSE(CONTROL!$C$9, $C$13, 100%, $E$13) + CHOOSE(CONTROL!$C$28, 0.0211, 0)</f>
        <v>39.958599999999997</v>
      </c>
      <c r="D638" s="4">
        <f>58.0285 * CHOOSE(CONTROL!$C$9, $C$13, 100%, $E$13) + CHOOSE(CONTROL!$C$28, 0.0021, 0)</f>
        <v>58.0306</v>
      </c>
      <c r="E638" s="4">
        <f>271.660176236739 * CHOOSE(CONTROL!$C$9, $C$13, 100%, $E$13) + CHOOSE(CONTROL!$C$28, 0.0021, 0)</f>
        <v>271.66227623673899</v>
      </c>
    </row>
    <row r="639" spans="1:5" ht="15">
      <c r="A639" s="13">
        <v>60966</v>
      </c>
      <c r="B639" s="4">
        <f>39.4259 * CHOOSE(CONTROL!$C$9, $C$13, 100%, $E$13) + CHOOSE(CONTROL!$C$28, 0.0211, 0)</f>
        <v>39.446999999999996</v>
      </c>
      <c r="C639" s="4">
        <f>39.0626 * CHOOSE(CONTROL!$C$9, $C$13, 100%, $E$13) + CHOOSE(CONTROL!$C$28, 0.0211, 0)</f>
        <v>39.0837</v>
      </c>
      <c r="D639" s="4">
        <f>57.7587 * CHOOSE(CONTROL!$C$9, $C$13, 100%, $E$13) + CHOOSE(CONTROL!$C$28, 0.0021, 0)</f>
        <v>57.760799999999996</v>
      </c>
      <c r="E639" s="4">
        <f>265.64694398267 * CHOOSE(CONTROL!$C$9, $C$13, 100%, $E$13) + CHOOSE(CONTROL!$C$28, 0.0021, 0)</f>
        <v>265.64904398266998</v>
      </c>
    </row>
    <row r="640" spans="1:5" ht="15">
      <c r="A640" s="13">
        <v>60997</v>
      </c>
      <c r="B640" s="4">
        <f>38.8205 * CHOOSE(CONTROL!$C$9, $C$13, 100%, $E$13) + CHOOSE(CONTROL!$C$28, 0.0211, 0)</f>
        <v>38.8416</v>
      </c>
      <c r="C640" s="4">
        <f>38.4572 * CHOOSE(CONTROL!$C$9, $C$13, 100%, $E$13) + CHOOSE(CONTROL!$C$28, 0.0211, 0)</f>
        <v>38.478299999999997</v>
      </c>
      <c r="D640" s="4">
        <f>55.7721 * CHOOSE(CONTROL!$C$9, $C$13, 100%, $E$13) + CHOOSE(CONTROL!$C$28, 0.0021, 0)</f>
        <v>55.7742</v>
      </c>
      <c r="E640" s="4">
        <f>261.486560230328 * CHOOSE(CONTROL!$C$9, $C$13, 100%, $E$13) + CHOOSE(CONTROL!$C$28, 0.0021, 0)</f>
        <v>261.48866023032798</v>
      </c>
    </row>
    <row r="641" spans="1:5" ht="15">
      <c r="A641" s="13">
        <v>61028</v>
      </c>
      <c r="B641" s="4">
        <f>37.1643 * CHOOSE(CONTROL!$C$9, $C$13, 100%, $E$13) + CHOOSE(CONTROL!$C$28, 0.0211, 0)</f>
        <v>37.185399999999994</v>
      </c>
      <c r="C641" s="4">
        <f>36.801 * CHOOSE(CONTROL!$C$9, $C$13, 100%, $E$13) + CHOOSE(CONTROL!$C$28, 0.0211, 0)</f>
        <v>36.822099999999999</v>
      </c>
      <c r="D641" s="4">
        <f>53.5837 * CHOOSE(CONTROL!$C$9, $C$13, 100%, $E$13) + CHOOSE(CONTROL!$C$28, 0.0021, 0)</f>
        <v>53.585799999999999</v>
      </c>
      <c r="E641" s="4">
        <f>250.594582469599 * CHOOSE(CONTROL!$C$9, $C$13, 100%, $E$13) + CHOOSE(CONTROL!$C$28, 0.0021, 0)</f>
        <v>250.59668246959902</v>
      </c>
    </row>
    <row r="642" spans="1:5" ht="15">
      <c r="A642" s="13">
        <v>61056</v>
      </c>
      <c r="B642" s="4">
        <f>38.0284 * CHOOSE(CONTROL!$C$9, $C$13, 100%, $E$13) + CHOOSE(CONTROL!$C$28, 0.0211, 0)</f>
        <v>38.049499999999995</v>
      </c>
      <c r="C642" s="4">
        <f>37.6651 * CHOOSE(CONTROL!$C$9, $C$13, 100%, $E$13) + CHOOSE(CONTROL!$C$28, 0.0211, 0)</f>
        <v>37.686199999999999</v>
      </c>
      <c r="D642" s="4">
        <f>55.4096 * CHOOSE(CONTROL!$C$9, $C$13, 100%, $E$13) + CHOOSE(CONTROL!$C$28, 0.0021, 0)</f>
        <v>55.411699999999996</v>
      </c>
      <c r="E642" s="4">
        <f>256.544685427983 * CHOOSE(CONTROL!$C$9, $C$13, 100%, $E$13) + CHOOSE(CONTROL!$C$28, 0.0021, 0)</f>
        <v>256.54678542798297</v>
      </c>
    </row>
    <row r="643" spans="1:5" ht="15">
      <c r="A643" s="13">
        <v>61087</v>
      </c>
      <c r="B643" s="4">
        <f>40.2974 * CHOOSE(CONTROL!$C$9, $C$13, 100%, $E$13) + CHOOSE(CONTROL!$C$28, 0.0211, 0)</f>
        <v>40.3185</v>
      </c>
      <c r="C643" s="4">
        <f>39.9341 * CHOOSE(CONTROL!$C$9, $C$13, 100%, $E$13) + CHOOSE(CONTROL!$C$28, 0.0211, 0)</f>
        <v>39.955199999999998</v>
      </c>
      <c r="D643" s="4">
        <f>58.2678 * CHOOSE(CONTROL!$C$9, $C$13, 100%, $E$13) + CHOOSE(CONTROL!$C$28, 0.0021, 0)</f>
        <v>58.2699</v>
      </c>
      <c r="E643" s="4">
        <f>272.169972004375 * CHOOSE(CONTROL!$C$9, $C$13, 100%, $E$13) + CHOOSE(CONTROL!$C$28, 0.0021, 0)</f>
        <v>272.17207200437497</v>
      </c>
    </row>
    <row r="644" spans="1:5" ht="15">
      <c r="A644" s="13">
        <v>61117</v>
      </c>
      <c r="B644" s="4">
        <f>41.9096 * CHOOSE(CONTROL!$C$9, $C$13, 100%, $E$13) + CHOOSE(CONTROL!$C$28, 0.0211, 0)</f>
        <v>41.930699999999995</v>
      </c>
      <c r="C644" s="4">
        <f>41.5464 * CHOOSE(CONTROL!$C$9, $C$13, 100%, $E$13) + CHOOSE(CONTROL!$C$28, 0.0211, 0)</f>
        <v>41.567499999999995</v>
      </c>
      <c r="D644" s="4">
        <f>59.9142 * CHOOSE(CONTROL!$C$9, $C$13, 100%, $E$13) + CHOOSE(CONTROL!$C$28, 0.0021, 0)</f>
        <v>59.9163</v>
      </c>
      <c r="E644" s="4">
        <f>283.271946351224 * CHOOSE(CONTROL!$C$9, $C$13, 100%, $E$13) + CHOOSE(CONTROL!$C$28, 0.0021, 0)</f>
        <v>283.274046351224</v>
      </c>
    </row>
    <row r="645" spans="1:5" ht="15">
      <c r="A645" s="13">
        <v>61148</v>
      </c>
      <c r="B645" s="4">
        <f>42.8947 * CHOOSE(CONTROL!$C$9, $C$13, 100%, $E$13) + CHOOSE(CONTROL!$C$28, 0.0415, 0)</f>
        <v>42.936199999999999</v>
      </c>
      <c r="C645" s="4">
        <f>42.5314 * CHOOSE(CONTROL!$C$9, $C$13, 100%, $E$13) + CHOOSE(CONTROL!$C$28, 0.0415, 0)</f>
        <v>42.572899999999997</v>
      </c>
      <c r="D645" s="4">
        <f>59.2636 * CHOOSE(CONTROL!$C$9, $C$13, 100%, $E$13) + CHOOSE(CONTROL!$C$28, 0.0021, 0)</f>
        <v>59.265699999999995</v>
      </c>
      <c r="E645" s="4">
        <f>290.054986599959 * CHOOSE(CONTROL!$C$9, $C$13, 100%, $E$13) + CHOOSE(CONTROL!$C$28, 0.0021, 0)</f>
        <v>290.05708659995901</v>
      </c>
    </row>
    <row r="646" spans="1:5" ht="15">
      <c r="A646" s="13">
        <v>61178</v>
      </c>
      <c r="B646" s="4">
        <f>43.0279 * CHOOSE(CONTROL!$C$9, $C$13, 100%, $E$13) + CHOOSE(CONTROL!$C$28, 0.0415, 0)</f>
        <v>43.069400000000002</v>
      </c>
      <c r="C646" s="4">
        <f>42.6647 * CHOOSE(CONTROL!$C$9, $C$13, 100%, $E$13) + CHOOSE(CONTROL!$C$28, 0.0415, 0)</f>
        <v>42.706200000000003</v>
      </c>
      <c r="D646" s="4">
        <f>59.7934 * CHOOSE(CONTROL!$C$9, $C$13, 100%, $E$13) + CHOOSE(CONTROL!$C$28, 0.0021, 0)</f>
        <v>59.795499999999997</v>
      </c>
      <c r="E646" s="4">
        <f>290.972760095808 * CHOOSE(CONTROL!$C$9, $C$13, 100%, $E$13) + CHOOSE(CONTROL!$C$28, 0.0021, 0)</f>
        <v>290.97486009580797</v>
      </c>
    </row>
    <row r="647" spans="1:5" ht="15">
      <c r="A647" s="13">
        <v>61209</v>
      </c>
      <c r="B647" s="4">
        <f>43.0145 * CHOOSE(CONTROL!$C$9, $C$13, 100%, $E$13) + CHOOSE(CONTROL!$C$28, 0.0415, 0)</f>
        <v>43.055999999999997</v>
      </c>
      <c r="C647" s="4">
        <f>42.6512 * CHOOSE(CONTROL!$C$9, $C$13, 100%, $E$13) + CHOOSE(CONTROL!$C$28, 0.0415, 0)</f>
        <v>42.692700000000002</v>
      </c>
      <c r="D647" s="4">
        <f>60.7495 * CHOOSE(CONTROL!$C$9, $C$13, 100%, $E$13) + CHOOSE(CONTROL!$C$28, 0.0021, 0)</f>
        <v>60.751599999999996</v>
      </c>
      <c r="E647" s="4">
        <f>290.880211507991 * CHOOSE(CONTROL!$C$9, $C$13, 100%, $E$13) + CHOOSE(CONTROL!$C$28, 0.0021, 0)</f>
        <v>290.88231150799101</v>
      </c>
    </row>
    <row r="648" spans="1:5" ht="15">
      <c r="A648" s="13">
        <v>61240</v>
      </c>
      <c r="B648" s="4">
        <f>44.0258 * CHOOSE(CONTROL!$C$9, $C$13, 100%, $E$13) + CHOOSE(CONTROL!$C$28, 0.0415, 0)</f>
        <v>44.067299999999996</v>
      </c>
      <c r="C648" s="4">
        <f>43.6626 * CHOOSE(CONTROL!$C$9, $C$13, 100%, $E$13) + CHOOSE(CONTROL!$C$28, 0.0415, 0)</f>
        <v>43.704099999999997</v>
      </c>
      <c r="D648" s="4">
        <f>60.1181 * CHOOSE(CONTROL!$C$9, $C$13, 100%, $E$13) + CHOOSE(CONTROL!$C$28, 0.0021, 0)</f>
        <v>60.120199999999997</v>
      </c>
      <c r="E648" s="4">
        <f>297.8444927412 * CHOOSE(CONTROL!$C$9, $C$13, 100%, $E$13) + CHOOSE(CONTROL!$C$28, 0.0021, 0)</f>
        <v>297.84659274119997</v>
      </c>
    </row>
    <row r="649" spans="1:5" ht="15">
      <c r="A649" s="13">
        <v>61270</v>
      </c>
      <c r="B649" s="4">
        <f>42.3022 * CHOOSE(CONTROL!$C$9, $C$13, 100%, $E$13) + CHOOSE(CONTROL!$C$28, 0.0415, 0)</f>
        <v>42.343699999999998</v>
      </c>
      <c r="C649" s="4">
        <f>41.9389 * CHOOSE(CONTROL!$C$9, $C$13, 100%, $E$13) + CHOOSE(CONTROL!$C$28, 0.0415, 0)</f>
        <v>41.980399999999996</v>
      </c>
      <c r="D649" s="4">
        <f>59.8198 * CHOOSE(CONTROL!$C$9, $C$13, 100%, $E$13) + CHOOSE(CONTROL!$C$28, 0.0021, 0)</f>
        <v>59.821899999999999</v>
      </c>
      <c r="E649" s="4">
        <f>285.975136353704 * CHOOSE(CONTROL!$C$9, $C$13, 100%, $E$13) + CHOOSE(CONTROL!$C$28, 0.0021, 0)</f>
        <v>285.97723635370397</v>
      </c>
    </row>
    <row r="650" spans="1:5" ht="15">
      <c r="A650" s="13">
        <v>61301</v>
      </c>
      <c r="B650" s="4">
        <f>40.9224 * CHOOSE(CONTROL!$C$9, $C$13, 100%, $E$13) + CHOOSE(CONTROL!$C$28, 0.0211, 0)</f>
        <v>40.9435</v>
      </c>
      <c r="C650" s="4">
        <f>40.5591 * CHOOSE(CONTROL!$C$9, $C$13, 100%, $E$13) + CHOOSE(CONTROL!$C$28, 0.0211, 0)</f>
        <v>40.580199999999998</v>
      </c>
      <c r="D650" s="4">
        <f>59.0211 * CHOOSE(CONTROL!$C$9, $C$13, 100%, $E$13) + CHOOSE(CONTROL!$C$28, 0.0021, 0)</f>
        <v>59.023199999999996</v>
      </c>
      <c r="E650" s="4">
        <f>276.473481337853 * CHOOSE(CONTROL!$C$9, $C$13, 100%, $E$13) + CHOOSE(CONTROL!$C$28, 0.0021, 0)</f>
        <v>276.47558133785299</v>
      </c>
    </row>
    <row r="651" spans="1:5" ht="15">
      <c r="A651" s="13">
        <v>61331</v>
      </c>
      <c r="B651" s="4">
        <f>40.0337 * CHOOSE(CONTROL!$C$9, $C$13, 100%, $E$13) + CHOOSE(CONTROL!$C$28, 0.0211, 0)</f>
        <v>40.0548</v>
      </c>
      <c r="C651" s="4">
        <f>39.6704 * CHOOSE(CONTROL!$C$9, $C$13, 100%, $E$13) + CHOOSE(CONTROL!$C$28, 0.0211, 0)</f>
        <v>39.691499999999998</v>
      </c>
      <c r="D651" s="4">
        <f>58.7465 * CHOOSE(CONTROL!$C$9, $C$13, 100%, $E$13) + CHOOSE(CONTROL!$C$28, 0.0021, 0)</f>
        <v>58.748599999999996</v>
      </c>
      <c r="E651" s="4">
        <f>270.353705968472 * CHOOSE(CONTROL!$C$9, $C$13, 100%, $E$13) + CHOOSE(CONTROL!$C$28, 0.0021, 0)</f>
        <v>270.355805968472</v>
      </c>
    </row>
    <row r="652" spans="1:5" ht="15">
      <c r="A652" s="13">
        <v>61362</v>
      </c>
      <c r="B652" s="4">
        <f>39.4188 * CHOOSE(CONTROL!$C$9, $C$13, 100%, $E$13) + CHOOSE(CONTROL!$C$28, 0.0211, 0)</f>
        <v>39.439899999999994</v>
      </c>
      <c r="C652" s="4">
        <f>39.0555 * CHOOSE(CONTROL!$C$9, $C$13, 100%, $E$13) + CHOOSE(CONTROL!$C$28, 0.0211, 0)</f>
        <v>39.076599999999999</v>
      </c>
      <c r="D652" s="4">
        <f>56.7248 * CHOOSE(CONTROL!$C$9, $C$13, 100%, $E$13) + CHOOSE(CONTROL!$C$28, 0.0021, 0)</f>
        <v>56.726900000000001</v>
      </c>
      <c r="E652" s="4">
        <f>266.119608075856 * CHOOSE(CONTROL!$C$9, $C$13, 100%, $E$13) + CHOOSE(CONTROL!$C$28, 0.0021, 0)</f>
        <v>266.12170807585596</v>
      </c>
    </row>
    <row r="653" spans="1:5" ht="15">
      <c r="A653" s="13">
        <v>61393</v>
      </c>
      <c r="B653" s="4">
        <f>37.7365 * CHOOSE(CONTROL!$C$9, $C$13, 100%, $E$13) + CHOOSE(CONTROL!$C$28, 0.0211, 0)</f>
        <v>37.757599999999996</v>
      </c>
      <c r="C653" s="4">
        <f>37.3733 * CHOOSE(CONTROL!$C$9, $C$13, 100%, $E$13) + CHOOSE(CONTROL!$C$28, 0.0211, 0)</f>
        <v>37.394399999999997</v>
      </c>
      <c r="D653" s="4">
        <f>54.4978 * CHOOSE(CONTROL!$C$9, $C$13, 100%, $E$13) + CHOOSE(CONTROL!$C$28, 0.0021, 0)</f>
        <v>54.499899999999997</v>
      </c>
      <c r="E653" s="4">
        <f>255.034645046388 * CHOOSE(CONTROL!$C$9, $C$13, 100%, $E$13) + CHOOSE(CONTROL!$C$28, 0.0021, 0)</f>
        <v>255.03674504638801</v>
      </c>
    </row>
    <row r="654" spans="1:5" ht="15">
      <c r="A654" s="13">
        <v>61422</v>
      </c>
      <c r="B654" s="4">
        <f>38.6142 * CHOOSE(CONTROL!$C$9, $C$13, 100%, $E$13) + CHOOSE(CONTROL!$C$28, 0.0211, 0)</f>
        <v>38.635299999999994</v>
      </c>
      <c r="C654" s="4">
        <f>38.2509 * CHOOSE(CONTROL!$C$9, $C$13, 100%, $E$13) + CHOOSE(CONTROL!$C$28, 0.0211, 0)</f>
        <v>38.271999999999998</v>
      </c>
      <c r="D654" s="4">
        <f>56.3558 * CHOOSE(CONTROL!$C$9, $C$13, 100%, $E$13) + CHOOSE(CONTROL!$C$28, 0.0021, 0)</f>
        <v>56.357900000000001</v>
      </c>
      <c r="E654" s="4">
        <f>261.09017258823 * CHOOSE(CONTROL!$C$9, $C$13, 100%, $E$13) + CHOOSE(CONTROL!$C$28, 0.0021, 0)</f>
        <v>261.09227258823</v>
      </c>
    </row>
    <row r="655" spans="1:5" ht="15">
      <c r="A655" s="13">
        <v>61453</v>
      </c>
      <c r="B655" s="4">
        <f>40.9189 * CHOOSE(CONTROL!$C$9, $C$13, 100%, $E$13) + CHOOSE(CONTROL!$C$28, 0.0211, 0)</f>
        <v>40.94</v>
      </c>
      <c r="C655" s="4">
        <f>40.5557 * CHOOSE(CONTROL!$C$9, $C$13, 100%, $E$13) + CHOOSE(CONTROL!$C$28, 0.0211, 0)</f>
        <v>40.576799999999999</v>
      </c>
      <c r="D655" s="4">
        <f>59.2645 * CHOOSE(CONTROL!$C$9, $C$13, 100%, $E$13) + CHOOSE(CONTROL!$C$28, 0.0021, 0)</f>
        <v>59.266599999999997</v>
      </c>
      <c r="E655" s="4">
        <f>276.992309723383 * CHOOSE(CONTROL!$C$9, $C$13, 100%, $E$13) + CHOOSE(CONTROL!$C$28, 0.0021, 0)</f>
        <v>276.994409723383</v>
      </c>
    </row>
    <row r="656" spans="1:5" ht="15">
      <c r="A656" s="13">
        <v>61483</v>
      </c>
      <c r="B656" s="4">
        <f>42.5565 * CHOOSE(CONTROL!$C$9, $C$13, 100%, $E$13) + CHOOSE(CONTROL!$C$28, 0.0211, 0)</f>
        <v>42.577599999999997</v>
      </c>
      <c r="C656" s="4">
        <f>42.1932 * CHOOSE(CONTROL!$C$9, $C$13, 100%, $E$13) + CHOOSE(CONTROL!$C$28, 0.0211, 0)</f>
        <v>42.214299999999994</v>
      </c>
      <c r="D656" s="4">
        <f>60.94 * CHOOSE(CONTROL!$C$9, $C$13, 100%, $E$13) + CHOOSE(CONTROL!$C$28, 0.0021, 0)</f>
        <v>60.942099999999996</v>
      </c>
      <c r="E656" s="4">
        <f>288.290990081751 * CHOOSE(CONTROL!$C$9, $C$13, 100%, $E$13) + CHOOSE(CONTROL!$C$28, 0.0021, 0)</f>
        <v>288.29309008175096</v>
      </c>
    </row>
    <row r="657" spans="1:5" ht="15">
      <c r="A657" s="13">
        <v>61514</v>
      </c>
      <c r="B657" s="4">
        <f>43.557 * CHOOSE(CONTROL!$C$9, $C$13, 100%, $E$13) + CHOOSE(CONTROL!$C$28, 0.0415, 0)</f>
        <v>43.598500000000001</v>
      </c>
      <c r="C657" s="4">
        <f>43.1937 * CHOOSE(CONTROL!$C$9, $C$13, 100%, $E$13) + CHOOSE(CONTROL!$C$28, 0.0415, 0)</f>
        <v>43.235199999999999</v>
      </c>
      <c r="D657" s="4">
        <f>60.278 * CHOOSE(CONTROL!$C$9, $C$13, 100%, $E$13) + CHOOSE(CONTROL!$C$28, 0.0021, 0)</f>
        <v>60.280099999999997</v>
      </c>
      <c r="E657" s="4">
        <f>295.194212989139 * CHOOSE(CONTROL!$C$9, $C$13, 100%, $E$13) + CHOOSE(CONTROL!$C$28, 0.0021, 0)</f>
        <v>295.19631298913896</v>
      </c>
    </row>
    <row r="658" spans="1:5" ht="15">
      <c r="A658" s="13">
        <v>61544</v>
      </c>
      <c r="B658" s="4">
        <f>43.6924 * CHOOSE(CONTROL!$C$9, $C$13, 100%, $E$13) + CHOOSE(CONTROL!$C$28, 0.0415, 0)</f>
        <v>43.733899999999998</v>
      </c>
      <c r="C658" s="4">
        <f>43.3291 * CHOOSE(CONTROL!$C$9, $C$13, 100%, $E$13) + CHOOSE(CONTROL!$C$28, 0.0415, 0)</f>
        <v>43.370599999999996</v>
      </c>
      <c r="D658" s="4">
        <f>60.8172 * CHOOSE(CONTROL!$C$9, $C$13, 100%, $E$13) + CHOOSE(CONTROL!$C$28, 0.0021, 0)</f>
        <v>60.819299999999998</v>
      </c>
      <c r="E658" s="4">
        <f>296.128247697472 * CHOOSE(CONTROL!$C$9, $C$13, 100%, $E$13) + CHOOSE(CONTROL!$C$28, 0.0021, 0)</f>
        <v>296.13034769747196</v>
      </c>
    </row>
    <row r="659" spans="1:5" ht="15">
      <c r="A659" s="13">
        <v>61575</v>
      </c>
      <c r="B659" s="4">
        <f>43.6787 * CHOOSE(CONTROL!$C$9, $C$13, 100%, $E$13) + CHOOSE(CONTROL!$C$28, 0.0415, 0)</f>
        <v>43.720199999999998</v>
      </c>
      <c r="C659" s="4">
        <f>43.3154 * CHOOSE(CONTROL!$C$9, $C$13, 100%, $E$13) + CHOOSE(CONTROL!$C$28, 0.0415, 0)</f>
        <v>43.356899999999996</v>
      </c>
      <c r="D659" s="4">
        <f>61.7901 * CHOOSE(CONTROL!$C$9, $C$13, 100%, $E$13) + CHOOSE(CONTROL!$C$28, 0.0021, 0)</f>
        <v>61.792200000000001</v>
      </c>
      <c r="E659" s="4">
        <f>296.034059323523 * CHOOSE(CONTROL!$C$9, $C$13, 100%, $E$13) + CHOOSE(CONTROL!$C$28, 0.0021, 0)</f>
        <v>296.03615932352301</v>
      </c>
    </row>
    <row r="660" spans="1:5" ht="15">
      <c r="A660" s="13">
        <v>61606</v>
      </c>
      <c r="B660" s="4">
        <f>44.706 * CHOOSE(CONTROL!$C$9, $C$13, 100%, $E$13) + CHOOSE(CONTROL!$C$28, 0.0415, 0)</f>
        <v>44.747500000000002</v>
      </c>
      <c r="C660" s="4">
        <f>44.3427 * CHOOSE(CONTROL!$C$9, $C$13, 100%, $E$13) + CHOOSE(CONTROL!$C$28, 0.0415, 0)</f>
        <v>44.3842</v>
      </c>
      <c r="D660" s="4">
        <f>61.1476 * CHOOSE(CONTROL!$C$9, $C$13, 100%, $E$13) + CHOOSE(CONTROL!$C$28, 0.0021, 0)</f>
        <v>61.149699999999996</v>
      </c>
      <c r="E660" s="4">
        <f>303.121734463229 * CHOOSE(CONTROL!$C$9, $C$13, 100%, $E$13) + CHOOSE(CONTROL!$C$28, 0.0021, 0)</f>
        <v>303.123834463229</v>
      </c>
    </row>
    <row r="661" spans="1:5" ht="15">
      <c r="A661" s="13">
        <v>61636</v>
      </c>
      <c r="B661" s="4">
        <f>42.9552 * CHOOSE(CONTROL!$C$9, $C$13, 100%, $E$13) + CHOOSE(CONTROL!$C$28, 0.0415, 0)</f>
        <v>42.996699999999997</v>
      </c>
      <c r="C661" s="4">
        <f>42.5919 * CHOOSE(CONTROL!$C$9, $C$13, 100%, $E$13) + CHOOSE(CONTROL!$C$28, 0.0415, 0)</f>
        <v>42.633400000000002</v>
      </c>
      <c r="D661" s="4">
        <f>60.844 * CHOOSE(CONTROL!$C$9, $C$13, 100%, $E$13) + CHOOSE(CONTROL!$C$28, 0.0021, 0)</f>
        <v>60.8461</v>
      </c>
      <c r="E661" s="4">
        <f>291.042075504195 * CHOOSE(CONTROL!$C$9, $C$13, 100%, $E$13) + CHOOSE(CONTROL!$C$28, 0.0021, 0)</f>
        <v>291.04417550419498</v>
      </c>
    </row>
    <row r="662" spans="1:5" ht="15">
      <c r="A662" s="13">
        <v>61667</v>
      </c>
      <c r="B662" s="4">
        <f>41.5537 * CHOOSE(CONTROL!$C$9, $C$13, 100%, $E$13) + CHOOSE(CONTROL!$C$28, 0.0211, 0)</f>
        <v>41.574799999999996</v>
      </c>
      <c r="C662" s="4">
        <f>41.1904 * CHOOSE(CONTROL!$C$9, $C$13, 100%, $E$13) + CHOOSE(CONTROL!$C$28, 0.0211, 0)</f>
        <v>41.211499999999994</v>
      </c>
      <c r="D662" s="4">
        <f>60.0311 * CHOOSE(CONTROL!$C$9, $C$13, 100%, $E$13) + CHOOSE(CONTROL!$C$28, 0.0021, 0)</f>
        <v>60.033200000000001</v>
      </c>
      <c r="E662" s="4">
        <f>281.372069112039 * CHOOSE(CONTROL!$C$9, $C$13, 100%, $E$13) + CHOOSE(CONTROL!$C$28, 0.0021, 0)</f>
        <v>281.374169112039</v>
      </c>
    </row>
    <row r="663" spans="1:5" ht="15">
      <c r="A663" s="13">
        <v>61697</v>
      </c>
      <c r="B663" s="4">
        <f>40.651 * CHOOSE(CONTROL!$C$9, $C$13, 100%, $E$13) + CHOOSE(CONTROL!$C$28, 0.0211, 0)</f>
        <v>40.6721</v>
      </c>
      <c r="C663" s="4">
        <f>40.2878 * CHOOSE(CONTROL!$C$9, $C$13, 100%, $E$13) + CHOOSE(CONTROL!$C$28, 0.0211, 0)</f>
        <v>40.308899999999994</v>
      </c>
      <c r="D663" s="4">
        <f>59.7517 * CHOOSE(CONTROL!$C$9, $C$13, 100%, $E$13) + CHOOSE(CONTROL!$C$28, 0.0021, 0)</f>
        <v>59.753799999999998</v>
      </c>
      <c r="E663" s="4">
        <f>275.143862884623 * CHOOSE(CONTROL!$C$9, $C$13, 100%, $E$13) + CHOOSE(CONTROL!$C$28, 0.0021, 0)</f>
        <v>275.14596288462297</v>
      </c>
    </row>
    <row r="664" spans="1:5" ht="15">
      <c r="A664" s="13">
        <v>61728</v>
      </c>
      <c r="B664" s="4">
        <f>40.0265 * CHOOSE(CONTROL!$C$9, $C$13, 100%, $E$13) + CHOOSE(CONTROL!$C$28, 0.0211, 0)</f>
        <v>40.047599999999996</v>
      </c>
      <c r="C664" s="4">
        <f>39.6632 * CHOOSE(CONTROL!$C$9, $C$13, 100%, $E$13) + CHOOSE(CONTROL!$C$28, 0.0211, 0)</f>
        <v>39.6843</v>
      </c>
      <c r="D664" s="4">
        <f>57.6943 * CHOOSE(CONTROL!$C$9, $C$13, 100%, $E$13) + CHOOSE(CONTROL!$C$28, 0.0021, 0)</f>
        <v>57.696399999999997</v>
      </c>
      <c r="E664" s="4">
        <f>270.83474477643 * CHOOSE(CONTROL!$C$9, $C$13, 100%, $E$13) + CHOOSE(CONTROL!$C$28, 0.0021, 0)</f>
        <v>270.83684477642998</v>
      </c>
    </row>
    <row r="665" spans="1:5" ht="15">
      <c r="A665" s="13">
        <v>61759</v>
      </c>
      <c r="B665" s="4">
        <f>38.3178 * CHOOSE(CONTROL!$C$9, $C$13, 100%, $E$13) + CHOOSE(CONTROL!$C$28, 0.0211, 0)</f>
        <v>38.338899999999995</v>
      </c>
      <c r="C665" s="4">
        <f>37.9545 * CHOOSE(CONTROL!$C$9, $C$13, 100%, $E$13) + CHOOSE(CONTROL!$C$28, 0.0211, 0)</f>
        <v>37.9756</v>
      </c>
      <c r="D665" s="4">
        <f>55.4279 * CHOOSE(CONTROL!$C$9, $C$13, 100%, $E$13) + CHOOSE(CONTROL!$C$28, 0.0021, 0)</f>
        <v>55.43</v>
      </c>
      <c r="E665" s="4">
        <f>259.553377143848 * CHOOSE(CONTROL!$C$9, $C$13, 100%, $E$13) + CHOOSE(CONTROL!$C$28, 0.0021, 0)</f>
        <v>259.55547714384801</v>
      </c>
    </row>
    <row r="666" spans="1:5" ht="15">
      <c r="A666" s="13">
        <v>61787</v>
      </c>
      <c r="B666" s="4">
        <f>39.2092 * CHOOSE(CONTROL!$C$9, $C$13, 100%, $E$13) + CHOOSE(CONTROL!$C$28, 0.0211, 0)</f>
        <v>39.2303</v>
      </c>
      <c r="C666" s="4">
        <f>38.8459 * CHOOSE(CONTROL!$C$9, $C$13, 100%, $E$13) + CHOOSE(CONTROL!$C$28, 0.0211, 0)</f>
        <v>38.866999999999997</v>
      </c>
      <c r="D666" s="4">
        <f>57.3188 * CHOOSE(CONTROL!$C$9, $C$13, 100%, $E$13) + CHOOSE(CONTROL!$C$28, 0.0021, 0)</f>
        <v>57.320900000000002</v>
      </c>
      <c r="E666" s="4">
        <f>265.716197193598 * CHOOSE(CONTROL!$C$9, $C$13, 100%, $E$13) + CHOOSE(CONTROL!$C$28, 0.0021, 0)</f>
        <v>265.718297193598</v>
      </c>
    </row>
    <row r="667" spans="1:5" ht="15">
      <c r="A667" s="13">
        <v>61818</v>
      </c>
      <c r="B667" s="4">
        <f>41.5502 * CHOOSE(CONTROL!$C$9, $C$13, 100%, $E$13) + CHOOSE(CONTROL!$C$28, 0.0211, 0)</f>
        <v>41.571299999999994</v>
      </c>
      <c r="C667" s="4">
        <f>41.1869 * CHOOSE(CONTROL!$C$9, $C$13, 100%, $E$13) + CHOOSE(CONTROL!$C$28, 0.0211, 0)</f>
        <v>41.207999999999998</v>
      </c>
      <c r="D667" s="4">
        <f>60.2789 * CHOOSE(CONTROL!$C$9, $C$13, 100%, $E$13) + CHOOSE(CONTROL!$C$28, 0.0021, 0)</f>
        <v>60.280999999999999</v>
      </c>
      <c r="E667" s="4">
        <f>281.900090156387 * CHOOSE(CONTROL!$C$9, $C$13, 100%, $E$13) + CHOOSE(CONTROL!$C$28, 0.0021, 0)</f>
        <v>281.90219015638701</v>
      </c>
    </row>
    <row r="668" spans="1:5" ht="15">
      <c r="A668" s="13">
        <v>61848</v>
      </c>
      <c r="B668" s="4">
        <f>43.2135 * CHOOSE(CONTROL!$C$9, $C$13, 100%, $E$13) + CHOOSE(CONTROL!$C$28, 0.0211, 0)</f>
        <v>43.2346</v>
      </c>
      <c r="C668" s="4">
        <f>42.8503 * CHOOSE(CONTROL!$C$9, $C$13, 100%, $E$13) + CHOOSE(CONTROL!$C$28, 0.0211, 0)</f>
        <v>42.871399999999994</v>
      </c>
      <c r="D668" s="4">
        <f>61.984 * CHOOSE(CONTROL!$C$9, $C$13, 100%, $E$13) + CHOOSE(CONTROL!$C$28, 0.0021, 0)</f>
        <v>61.9861</v>
      </c>
      <c r="E668" s="4">
        <f>293.398961785181 * CHOOSE(CONTROL!$C$9, $C$13, 100%, $E$13) + CHOOSE(CONTROL!$C$28, 0.0021, 0)</f>
        <v>293.40106178518096</v>
      </c>
    </row>
    <row r="669" spans="1:5" ht="15">
      <c r="A669" s="13">
        <v>61879</v>
      </c>
      <c r="B669" s="4">
        <f>44.2298 * CHOOSE(CONTROL!$C$9, $C$13, 100%, $E$13) + CHOOSE(CONTROL!$C$28, 0.0415, 0)</f>
        <v>44.271299999999997</v>
      </c>
      <c r="C669" s="4">
        <f>43.8665 * CHOOSE(CONTROL!$C$9, $C$13, 100%, $E$13) + CHOOSE(CONTROL!$C$28, 0.0415, 0)</f>
        <v>43.908000000000001</v>
      </c>
      <c r="D669" s="4">
        <f>61.3102 * CHOOSE(CONTROL!$C$9, $C$13, 100%, $E$13) + CHOOSE(CONTROL!$C$28, 0.0021, 0)</f>
        <v>61.3123</v>
      </c>
      <c r="E669" s="4">
        <f>300.424496760883 * CHOOSE(CONTROL!$C$9, $C$13, 100%, $E$13) + CHOOSE(CONTROL!$C$28, 0.0021, 0)</f>
        <v>300.426596760883</v>
      </c>
    </row>
    <row r="670" spans="1:5" ht="15">
      <c r="A670" s="13">
        <v>61909</v>
      </c>
      <c r="B670" s="4">
        <f>44.3673 * CHOOSE(CONTROL!$C$9, $C$13, 100%, $E$13) + CHOOSE(CONTROL!$C$28, 0.0415, 0)</f>
        <v>44.408799999999999</v>
      </c>
      <c r="C670" s="4">
        <f>44.004 * CHOOSE(CONTROL!$C$9, $C$13, 100%, $E$13) + CHOOSE(CONTROL!$C$28, 0.0415, 0)</f>
        <v>44.045499999999997</v>
      </c>
      <c r="D670" s="4">
        <f>61.859 * CHOOSE(CONTROL!$C$9, $C$13, 100%, $E$13) + CHOOSE(CONTROL!$C$28, 0.0021, 0)</f>
        <v>61.8611</v>
      </c>
      <c r="E670" s="4">
        <f>301.375080799665 * CHOOSE(CONTROL!$C$9, $C$13, 100%, $E$13) + CHOOSE(CONTROL!$C$28, 0.0021, 0)</f>
        <v>301.37718079966498</v>
      </c>
    </row>
    <row r="671" spans="1:5" ht="15">
      <c r="A671" s="13">
        <v>61940</v>
      </c>
      <c r="B671" s="4">
        <f>44.3534 * CHOOSE(CONTROL!$C$9, $C$13, 100%, $E$13) + CHOOSE(CONTROL!$C$28, 0.0415, 0)</f>
        <v>44.3949</v>
      </c>
      <c r="C671" s="4">
        <f>43.9901 * CHOOSE(CONTROL!$C$9, $C$13, 100%, $E$13) + CHOOSE(CONTROL!$C$28, 0.0415, 0)</f>
        <v>44.031599999999997</v>
      </c>
      <c r="D671" s="4">
        <f>62.8491 * CHOOSE(CONTROL!$C$9, $C$13, 100%, $E$13) + CHOOSE(CONTROL!$C$28, 0.0021, 0)</f>
        <v>62.851199999999999</v>
      </c>
      <c r="E671" s="4">
        <f>301.27922358567 * CHOOSE(CONTROL!$C$9, $C$13, 100%, $E$13) + CHOOSE(CONTROL!$C$28, 0.0021, 0)</f>
        <v>301.28132358567001</v>
      </c>
    </row>
    <row r="672" spans="1:5" ht="15">
      <c r="A672" s="13">
        <v>61971</v>
      </c>
      <c r="B672" s="4">
        <f>45.3968 * CHOOSE(CONTROL!$C$9, $C$13, 100%, $E$13) + CHOOSE(CONTROL!$C$28, 0.0415, 0)</f>
        <v>45.438299999999998</v>
      </c>
      <c r="C672" s="4">
        <f>45.0335 * CHOOSE(CONTROL!$C$9, $C$13, 100%, $E$13) + CHOOSE(CONTROL!$C$28, 0.0415, 0)</f>
        <v>45.074999999999996</v>
      </c>
      <c r="D672" s="4">
        <f>62.1952 * CHOOSE(CONTROL!$C$9, $C$13, 100%, $E$13) + CHOOSE(CONTROL!$C$28, 0.0021, 0)</f>
        <v>62.197299999999998</v>
      </c>
      <c r="E672" s="4">
        <f>308.492478938779 * CHOOSE(CONTROL!$C$9, $C$13, 100%, $E$13) + CHOOSE(CONTROL!$C$28, 0.0021, 0)</f>
        <v>308.494578938779</v>
      </c>
    </row>
    <row r="673" spans="1:5" ht="15">
      <c r="A673" s="13">
        <v>62001</v>
      </c>
      <c r="B673" s="4">
        <f>43.6185 * CHOOSE(CONTROL!$C$9, $C$13, 100%, $E$13) + CHOOSE(CONTROL!$C$28, 0.0415, 0)</f>
        <v>43.66</v>
      </c>
      <c r="C673" s="4">
        <f>43.2552 * CHOOSE(CONTROL!$C$9, $C$13, 100%, $E$13) + CHOOSE(CONTROL!$C$28, 0.0415, 0)</f>
        <v>43.296700000000001</v>
      </c>
      <c r="D673" s="4">
        <f>61.8863 * CHOOSE(CONTROL!$C$9, $C$13, 100%, $E$13) + CHOOSE(CONTROL!$C$28, 0.0021, 0)</f>
        <v>61.888399999999997</v>
      </c>
      <c r="E673" s="4">
        <f>296.198791243946 * CHOOSE(CONTROL!$C$9, $C$13, 100%, $E$13) + CHOOSE(CONTROL!$C$28, 0.0021, 0)</f>
        <v>296.20089124394599</v>
      </c>
    </row>
    <row r="674" spans="1:5" ht="15">
      <c r="A674" s="13">
        <v>62032</v>
      </c>
      <c r="B674" s="4">
        <f>42.195 * CHOOSE(CONTROL!$C$9, $C$13, 100%, $E$13) + CHOOSE(CONTROL!$C$28, 0.0211, 0)</f>
        <v>42.216099999999997</v>
      </c>
      <c r="C674" s="4">
        <f>41.8317 * CHOOSE(CONTROL!$C$9, $C$13, 100%, $E$13) + CHOOSE(CONTROL!$C$28, 0.0211, 0)</f>
        <v>41.852799999999995</v>
      </c>
      <c r="D674" s="4">
        <f>61.0591 * CHOOSE(CONTROL!$C$9, $C$13, 100%, $E$13) + CHOOSE(CONTROL!$C$28, 0.0021, 0)</f>
        <v>61.061199999999999</v>
      </c>
      <c r="E674" s="4">
        <f>286.357450607146 * CHOOSE(CONTROL!$C$9, $C$13, 100%, $E$13) + CHOOSE(CONTROL!$C$28, 0.0021, 0)</f>
        <v>286.35955060714599</v>
      </c>
    </row>
    <row r="675" spans="1:5" ht="15">
      <c r="A675" s="13">
        <v>62062</v>
      </c>
      <c r="B675" s="4">
        <f>41.2781 * CHOOSE(CONTROL!$C$9, $C$13, 100%, $E$13) + CHOOSE(CONTROL!$C$28, 0.0211, 0)</f>
        <v>41.299199999999999</v>
      </c>
      <c r="C675" s="4">
        <f>40.9148 * CHOOSE(CONTROL!$C$9, $C$13, 100%, $E$13) + CHOOSE(CONTROL!$C$28, 0.0211, 0)</f>
        <v>40.935899999999997</v>
      </c>
      <c r="D675" s="4">
        <f>60.7747 * CHOOSE(CONTROL!$C$9, $C$13, 100%, $E$13) + CHOOSE(CONTROL!$C$28, 0.0021, 0)</f>
        <v>60.776800000000001</v>
      </c>
      <c r="E675" s="4">
        <f>280.018892331739 * CHOOSE(CONTROL!$C$9, $C$13, 100%, $E$13) + CHOOSE(CONTROL!$C$28, 0.0021, 0)</f>
        <v>280.02099233173897</v>
      </c>
    </row>
    <row r="676" spans="1:5" ht="15">
      <c r="A676" s="13">
        <v>62093</v>
      </c>
      <c r="B676" s="4">
        <f>40.6438 * CHOOSE(CONTROL!$C$9, $C$13, 100%, $E$13) + CHOOSE(CONTROL!$C$28, 0.0211, 0)</f>
        <v>40.664899999999996</v>
      </c>
      <c r="C676" s="4">
        <f>40.2805 * CHOOSE(CONTROL!$C$9, $C$13, 100%, $E$13) + CHOOSE(CONTROL!$C$28, 0.0211, 0)</f>
        <v>40.301600000000001</v>
      </c>
      <c r="D676" s="4">
        <f>58.6809 * CHOOSE(CONTROL!$C$9, $C$13, 100%, $E$13) + CHOOSE(CONTROL!$C$28, 0.0021, 0)</f>
        <v>58.683</v>
      </c>
      <c r="E676" s="4">
        <f>275.633424791477 * CHOOSE(CONTROL!$C$9, $C$13, 100%, $E$13) + CHOOSE(CONTROL!$C$28, 0.0021, 0)</f>
        <v>275.635524791477</v>
      </c>
    </row>
    <row r="677" spans="1:5" ht="15">
      <c r="A677" s="13">
        <v>62124</v>
      </c>
      <c r="B677" s="4">
        <f>38.9082 * CHOOSE(CONTROL!$C$9, $C$13, 100%, $E$13) + CHOOSE(CONTROL!$C$28, 0.0211, 0)</f>
        <v>38.929299999999998</v>
      </c>
      <c r="C677" s="4">
        <f>38.5449 * CHOOSE(CONTROL!$C$9, $C$13, 100%, $E$13) + CHOOSE(CONTROL!$C$28, 0.0211, 0)</f>
        <v>38.565999999999995</v>
      </c>
      <c r="D677" s="4">
        <f>56.3745 * CHOOSE(CONTROL!$C$9, $C$13, 100%, $E$13) + CHOOSE(CONTROL!$C$28, 0.0021, 0)</f>
        <v>56.376599999999996</v>
      </c>
      <c r="E677" s="4">
        <f>264.152172637264 * CHOOSE(CONTROL!$C$9, $C$13, 100%, $E$13) + CHOOSE(CONTROL!$C$28, 0.0021, 0)</f>
        <v>264.154272637264</v>
      </c>
    </row>
    <row r="678" spans="1:5" ht="15">
      <c r="A678" s="13">
        <v>62152</v>
      </c>
      <c r="B678" s="4">
        <f>39.8136 * CHOOSE(CONTROL!$C$9, $C$13, 100%, $E$13) + CHOOSE(CONTROL!$C$28, 0.0211, 0)</f>
        <v>39.834699999999998</v>
      </c>
      <c r="C678" s="4">
        <f>39.4503 * CHOOSE(CONTROL!$C$9, $C$13, 100%, $E$13) + CHOOSE(CONTROL!$C$28, 0.0211, 0)</f>
        <v>39.471399999999996</v>
      </c>
      <c r="D678" s="4">
        <f>58.2988 * CHOOSE(CONTROL!$C$9, $C$13, 100%, $E$13) + CHOOSE(CONTROL!$C$28, 0.0021, 0)</f>
        <v>58.300899999999999</v>
      </c>
      <c r="E678" s="4">
        <f>270.424186215464 * CHOOSE(CONTROL!$C$9, $C$13, 100%, $E$13) + CHOOSE(CONTROL!$C$28, 0.0021, 0)</f>
        <v>270.42628621546396</v>
      </c>
    </row>
    <row r="679" spans="1:5" ht="15">
      <c r="A679" s="13">
        <v>62183</v>
      </c>
      <c r="B679" s="4">
        <f>42.1914 * CHOOSE(CONTROL!$C$9, $C$13, 100%, $E$13) + CHOOSE(CONTROL!$C$28, 0.0211, 0)</f>
        <v>42.212499999999999</v>
      </c>
      <c r="C679" s="4">
        <f>41.8282 * CHOOSE(CONTROL!$C$9, $C$13, 100%, $E$13) + CHOOSE(CONTROL!$C$28, 0.0211, 0)</f>
        <v>41.849299999999999</v>
      </c>
      <c r="D679" s="4">
        <f>61.3112 * CHOOSE(CONTROL!$C$9, $C$13, 100%, $E$13) + CHOOSE(CONTROL!$C$28, 0.0021, 0)</f>
        <v>61.313299999999998</v>
      </c>
      <c r="E679" s="4">
        <f>286.89482718686 * CHOOSE(CONTROL!$C$9, $C$13, 100%, $E$13) + CHOOSE(CONTROL!$C$28, 0.0021, 0)</f>
        <v>286.89692718686001</v>
      </c>
    </row>
    <row r="680" spans="1:5" ht="15">
      <c r="A680" s="13">
        <v>62213</v>
      </c>
      <c r="B680" s="4">
        <f>43.8809 * CHOOSE(CONTROL!$C$9, $C$13, 100%, $E$13) + CHOOSE(CONTROL!$C$28, 0.0211, 0)</f>
        <v>43.901999999999994</v>
      </c>
      <c r="C680" s="4">
        <f>43.5176 * CHOOSE(CONTROL!$C$9, $C$13, 100%, $E$13) + CHOOSE(CONTROL!$C$28, 0.0211, 0)</f>
        <v>43.538699999999999</v>
      </c>
      <c r="D680" s="4">
        <f>63.0465 * CHOOSE(CONTROL!$C$9, $C$13, 100%, $E$13) + CHOOSE(CONTROL!$C$28, 0.0021, 0)</f>
        <v>63.0486</v>
      </c>
      <c r="E680" s="4">
        <f>298.597437097188 * CHOOSE(CONTROL!$C$9, $C$13, 100%, $E$13) + CHOOSE(CONTROL!$C$28, 0.0021, 0)</f>
        <v>298.59953709718798</v>
      </c>
    </row>
    <row r="681" spans="1:5" ht="15">
      <c r="A681" s="13">
        <v>62244</v>
      </c>
      <c r="B681" s="4">
        <f>44.9131 * CHOOSE(CONTROL!$C$9, $C$13, 100%, $E$13) + CHOOSE(CONTROL!$C$28, 0.0415, 0)</f>
        <v>44.954599999999999</v>
      </c>
      <c r="C681" s="4">
        <f>44.5498 * CHOOSE(CONTROL!$C$9, $C$13, 100%, $E$13) + CHOOSE(CONTROL!$C$28, 0.0415, 0)</f>
        <v>44.591299999999997</v>
      </c>
      <c r="D681" s="4">
        <f>62.3608 * CHOOSE(CONTROL!$C$9, $C$13, 100%, $E$13) + CHOOSE(CONTROL!$C$28, 0.0021, 0)</f>
        <v>62.362899999999996</v>
      </c>
      <c r="E681" s="4">
        <f>305.747451279983 * CHOOSE(CONTROL!$C$9, $C$13, 100%, $E$13) + CHOOSE(CONTROL!$C$28, 0.0021, 0)</f>
        <v>305.749551279983</v>
      </c>
    </row>
    <row r="682" spans="1:5" ht="15">
      <c r="A682" s="13">
        <v>62274</v>
      </c>
      <c r="B682" s="4">
        <f>45.0528 * CHOOSE(CONTROL!$C$9, $C$13, 100%, $E$13) + CHOOSE(CONTROL!$C$28, 0.0415, 0)</f>
        <v>45.094299999999997</v>
      </c>
      <c r="C682" s="4">
        <f>44.6895 * CHOOSE(CONTROL!$C$9, $C$13, 100%, $E$13) + CHOOSE(CONTROL!$C$28, 0.0415, 0)</f>
        <v>44.731000000000002</v>
      </c>
      <c r="D682" s="4">
        <f>62.9192 * CHOOSE(CONTROL!$C$9, $C$13, 100%, $E$13) + CHOOSE(CONTROL!$C$28, 0.0021, 0)</f>
        <v>62.921299999999995</v>
      </c>
      <c r="E682" s="4">
        <f>306.714877872084 * CHOOSE(CONTROL!$C$9, $C$13, 100%, $E$13) + CHOOSE(CONTROL!$C$28, 0.0021, 0)</f>
        <v>306.71697787208399</v>
      </c>
    </row>
    <row r="683" spans="1:5" ht="15">
      <c r="A683" s="13">
        <v>62305</v>
      </c>
      <c r="B683" s="4">
        <f>45.0387 * CHOOSE(CONTROL!$C$9, $C$13, 100%, $E$13) + CHOOSE(CONTROL!$C$28, 0.0415, 0)</f>
        <v>45.080199999999998</v>
      </c>
      <c r="C683" s="4">
        <f>44.6754 * CHOOSE(CONTROL!$C$9, $C$13, 100%, $E$13) + CHOOSE(CONTROL!$C$28, 0.0415, 0)</f>
        <v>44.716900000000003</v>
      </c>
      <c r="D683" s="4">
        <f>63.9268 * CHOOSE(CONTROL!$C$9, $C$13, 100%, $E$13) + CHOOSE(CONTROL!$C$28, 0.0021, 0)</f>
        <v>63.928899999999999</v>
      </c>
      <c r="E683" s="4">
        <f>306.617322249351 * CHOOSE(CONTROL!$C$9, $C$13, 100%, $E$13) + CHOOSE(CONTROL!$C$28, 0.0021, 0)</f>
        <v>306.61942224935098</v>
      </c>
    </row>
    <row r="684" spans="1:5" ht="15">
      <c r="A684" s="13">
        <v>62336</v>
      </c>
      <c r="B684" s="4">
        <f>46.0985 * CHOOSE(CONTROL!$C$9, $C$13, 100%, $E$13) + CHOOSE(CONTROL!$C$28, 0.0415, 0)</f>
        <v>46.14</v>
      </c>
      <c r="C684" s="4">
        <f>45.7352 * CHOOSE(CONTROL!$C$9, $C$13, 100%, $E$13) + CHOOSE(CONTROL!$C$28, 0.0415, 0)</f>
        <v>45.776699999999998</v>
      </c>
      <c r="D684" s="4">
        <f>63.2614 * CHOOSE(CONTROL!$C$9, $C$13, 100%, $E$13) + CHOOSE(CONTROL!$C$28, 0.0021, 0)</f>
        <v>63.263500000000001</v>
      </c>
      <c r="E684" s="4">
        <f>313.958382859998 * CHOOSE(CONTROL!$C$9, $C$13, 100%, $E$13) + CHOOSE(CONTROL!$C$28, 0.0021, 0)</f>
        <v>313.96048285999797</v>
      </c>
    </row>
    <row r="685" spans="1:5" ht="15">
      <c r="A685" s="13">
        <v>62366</v>
      </c>
      <c r="B685" s="4">
        <f>44.2923 * CHOOSE(CONTROL!$C$9, $C$13, 100%, $E$13) + CHOOSE(CONTROL!$C$28, 0.0415, 0)</f>
        <v>44.333799999999997</v>
      </c>
      <c r="C685" s="4">
        <f>43.929 * CHOOSE(CONTROL!$C$9, $C$13, 100%, $E$13) + CHOOSE(CONTROL!$C$28, 0.0415, 0)</f>
        <v>43.970500000000001</v>
      </c>
      <c r="D685" s="4">
        <f>62.947 * CHOOSE(CONTROL!$C$9, $C$13, 100%, $E$13) + CHOOSE(CONTROL!$C$28, 0.0021, 0)</f>
        <v>62.949100000000001</v>
      </c>
      <c r="E685" s="4">
        <f>301.44687424451 * CHOOSE(CONTROL!$C$9, $C$13, 100%, $E$13) + CHOOSE(CONTROL!$C$28, 0.0021, 0)</f>
        <v>301.44897424451</v>
      </c>
    </row>
    <row r="686" spans="1:5" ht="15">
      <c r="A686" s="13">
        <v>62397</v>
      </c>
      <c r="B686" s="4">
        <f>42.8463 * CHOOSE(CONTROL!$C$9, $C$13, 100%, $E$13) + CHOOSE(CONTROL!$C$28, 0.0211, 0)</f>
        <v>42.867399999999996</v>
      </c>
      <c r="C686" s="4">
        <f>42.4831 * CHOOSE(CONTROL!$C$9, $C$13, 100%, $E$13) + CHOOSE(CONTROL!$C$28, 0.0211, 0)</f>
        <v>42.504199999999997</v>
      </c>
      <c r="D686" s="4">
        <f>62.1052 * CHOOSE(CONTROL!$C$9, $C$13, 100%, $E$13) + CHOOSE(CONTROL!$C$28, 0.0021, 0)</f>
        <v>62.107300000000002</v>
      </c>
      <c r="E686" s="4">
        <f>291.431163643937 * CHOOSE(CONTROL!$C$9, $C$13, 100%, $E$13) + CHOOSE(CONTROL!$C$28, 0.0021, 0)</f>
        <v>291.43326364393698</v>
      </c>
    </row>
    <row r="687" spans="1:5" ht="15">
      <c r="A687" s="13">
        <v>62427</v>
      </c>
      <c r="B687" s="4">
        <f>41.915 * CHOOSE(CONTROL!$C$9, $C$13, 100%, $E$13) + CHOOSE(CONTROL!$C$28, 0.0211, 0)</f>
        <v>41.936099999999996</v>
      </c>
      <c r="C687" s="4">
        <f>41.5518 * CHOOSE(CONTROL!$C$9, $C$13, 100%, $E$13) + CHOOSE(CONTROL!$C$28, 0.0211, 0)</f>
        <v>41.572899999999997</v>
      </c>
      <c r="D687" s="4">
        <f>61.8157 * CHOOSE(CONTROL!$C$9, $C$13, 100%, $E$13) + CHOOSE(CONTROL!$C$28, 0.0021, 0)</f>
        <v>61.817799999999998</v>
      </c>
      <c r="E687" s="4">
        <f>284.980298090728 * CHOOSE(CONTROL!$C$9, $C$13, 100%, $E$13) + CHOOSE(CONTROL!$C$28, 0.0021, 0)</f>
        <v>284.982398090728</v>
      </c>
    </row>
    <row r="688" spans="1:5" ht="15">
      <c r="A688" s="13">
        <v>62458</v>
      </c>
      <c r="B688" s="4">
        <f>41.2707 * CHOOSE(CONTROL!$C$9, $C$13, 100%, $E$13) + CHOOSE(CONTROL!$C$28, 0.0211, 0)</f>
        <v>41.291799999999995</v>
      </c>
      <c r="C688" s="4">
        <f>40.9074 * CHOOSE(CONTROL!$C$9, $C$13, 100%, $E$13) + CHOOSE(CONTROL!$C$28, 0.0211, 0)</f>
        <v>40.9285</v>
      </c>
      <c r="D688" s="4">
        <f>59.685 * CHOOSE(CONTROL!$C$9, $C$13, 100%, $E$13) + CHOOSE(CONTROL!$C$28, 0.0021, 0)</f>
        <v>59.687100000000001</v>
      </c>
      <c r="E688" s="4">
        <f>280.5171283507 * CHOOSE(CONTROL!$C$9, $C$13, 100%, $E$13) + CHOOSE(CONTROL!$C$28, 0.0021, 0)</f>
        <v>280.51922835069996</v>
      </c>
    </row>
    <row r="689" spans="1:5" ht="15">
      <c r="A689" s="13">
        <v>62489</v>
      </c>
      <c r="B689" s="4">
        <f>39.5078 * CHOOSE(CONTROL!$C$9, $C$13, 100%, $E$13) + CHOOSE(CONTROL!$C$28, 0.0211, 0)</f>
        <v>39.5289</v>
      </c>
      <c r="C689" s="4">
        <f>39.1445 * CHOOSE(CONTROL!$C$9, $C$13, 100%, $E$13) + CHOOSE(CONTROL!$C$28, 0.0211, 0)</f>
        <v>39.165599999999998</v>
      </c>
      <c r="D689" s="4">
        <f>57.3379 * CHOOSE(CONTROL!$C$9, $C$13, 100%, $E$13) + CHOOSE(CONTROL!$C$28, 0.0021, 0)</f>
        <v>57.339999999999996</v>
      </c>
      <c r="E689" s="4">
        <f>268.832450098755 * CHOOSE(CONTROL!$C$9, $C$13, 100%, $E$13) + CHOOSE(CONTROL!$C$28, 0.0021, 0)</f>
        <v>268.83455009875496</v>
      </c>
    </row>
    <row r="690" spans="1:5" ht="15">
      <c r="A690" s="13">
        <v>62517</v>
      </c>
      <c r="B690" s="4">
        <f>40.4275 * CHOOSE(CONTROL!$C$9, $C$13, 100%, $E$13) + CHOOSE(CONTROL!$C$28, 0.0211, 0)</f>
        <v>40.448599999999999</v>
      </c>
      <c r="C690" s="4">
        <f>40.0643 * CHOOSE(CONTROL!$C$9, $C$13, 100%, $E$13) + CHOOSE(CONTROL!$C$28, 0.0211, 0)</f>
        <v>40.0854</v>
      </c>
      <c r="D690" s="4">
        <f>59.2962 * CHOOSE(CONTROL!$C$9, $C$13, 100%, $E$13) + CHOOSE(CONTROL!$C$28, 0.0021, 0)</f>
        <v>59.298299999999998</v>
      </c>
      <c r="E690" s="4">
        <f>275.21559190844 * CHOOSE(CONTROL!$C$9, $C$13, 100%, $E$13) + CHOOSE(CONTROL!$C$28, 0.0021, 0)</f>
        <v>275.21769190843997</v>
      </c>
    </row>
    <row r="691" spans="1:5" ht="15">
      <c r="A691" s="13">
        <v>62548</v>
      </c>
      <c r="B691" s="4">
        <f>42.8427 * CHOOSE(CONTROL!$C$9, $C$13, 100%, $E$13) + CHOOSE(CONTROL!$C$28, 0.0211, 0)</f>
        <v>42.863799999999998</v>
      </c>
      <c r="C691" s="4">
        <f>42.4795 * CHOOSE(CONTROL!$C$9, $C$13, 100%, $E$13) + CHOOSE(CONTROL!$C$28, 0.0211, 0)</f>
        <v>42.500599999999999</v>
      </c>
      <c r="D691" s="4">
        <f>62.3618 * CHOOSE(CONTROL!$C$9, $C$13, 100%, $E$13) + CHOOSE(CONTROL!$C$28, 0.0021, 0)</f>
        <v>62.363900000000001</v>
      </c>
      <c r="E691" s="4">
        <f>291.97806152143 * CHOOSE(CONTROL!$C$9, $C$13, 100%, $E$13) + CHOOSE(CONTROL!$C$28, 0.0021, 0)</f>
        <v>291.98016152142998</v>
      </c>
    </row>
    <row r="692" spans="1:5" ht="15">
      <c r="A692" s="13">
        <v>62578</v>
      </c>
      <c r="B692" s="4">
        <f>44.5588 * CHOOSE(CONTROL!$C$9, $C$13, 100%, $E$13) + CHOOSE(CONTROL!$C$28, 0.0211, 0)</f>
        <v>44.579899999999995</v>
      </c>
      <c r="C692" s="4">
        <f>44.1955 * CHOOSE(CONTROL!$C$9, $C$13, 100%, $E$13) + CHOOSE(CONTROL!$C$28, 0.0211, 0)</f>
        <v>44.2166</v>
      </c>
      <c r="D692" s="4">
        <f>64.1277 * CHOOSE(CONTROL!$C$9, $C$13, 100%, $E$13) + CHOOSE(CONTROL!$C$28, 0.0021, 0)</f>
        <v>64.129800000000003</v>
      </c>
      <c r="E692" s="4">
        <f>303.888019570738 * CHOOSE(CONTROL!$C$9, $C$13, 100%, $E$13) + CHOOSE(CONTROL!$C$28, 0.0021, 0)</f>
        <v>303.89011957073797</v>
      </c>
    </row>
    <row r="693" spans="1:5" ht="15">
      <c r="A693" s="13">
        <v>62609</v>
      </c>
      <c r="B693" s="4">
        <f>45.6072 * CHOOSE(CONTROL!$C$9, $C$13, 100%, $E$13) + CHOOSE(CONTROL!$C$28, 0.0415, 0)</f>
        <v>45.648699999999998</v>
      </c>
      <c r="C693" s="4">
        <f>45.2439 * CHOOSE(CONTROL!$C$9, $C$13, 100%, $E$13) + CHOOSE(CONTROL!$C$28, 0.0415, 0)</f>
        <v>45.285399999999996</v>
      </c>
      <c r="D693" s="4">
        <f>63.4299 * CHOOSE(CONTROL!$C$9, $C$13, 100%, $E$13) + CHOOSE(CONTROL!$C$28, 0.0021, 0)</f>
        <v>63.432000000000002</v>
      </c>
      <c r="E693" s="4">
        <f>311.164718497009 * CHOOSE(CONTROL!$C$9, $C$13, 100%, $E$13) + CHOOSE(CONTROL!$C$28, 0.0021, 0)</f>
        <v>311.16681849700899</v>
      </c>
    </row>
    <row r="694" spans="1:5" ht="15">
      <c r="A694" s="13">
        <v>62639</v>
      </c>
      <c r="B694" s="4">
        <f>45.7491 * CHOOSE(CONTROL!$C$9, $C$13, 100%, $E$13) + CHOOSE(CONTROL!$C$28, 0.0415, 0)</f>
        <v>45.790599999999998</v>
      </c>
      <c r="C694" s="4">
        <f>45.3858 * CHOOSE(CONTROL!$C$9, $C$13, 100%, $E$13) + CHOOSE(CONTROL!$C$28, 0.0415, 0)</f>
        <v>45.427300000000002</v>
      </c>
      <c r="D694" s="4">
        <f>63.9982 * CHOOSE(CONTROL!$C$9, $C$13, 100%, $E$13) + CHOOSE(CONTROL!$C$28, 0.0021, 0)</f>
        <v>64.000299999999996</v>
      </c>
      <c r="E694" s="4">
        <f>312.149286060655 * CHOOSE(CONTROL!$C$9, $C$13, 100%, $E$13) + CHOOSE(CONTROL!$C$28, 0.0021, 0)</f>
        <v>312.151386060655</v>
      </c>
    </row>
    <row r="695" spans="1:5" ht="15">
      <c r="A695" s="13">
        <v>62670</v>
      </c>
      <c r="B695" s="4">
        <f>45.7348 * CHOOSE(CONTROL!$C$9, $C$13, 100%, $E$13) + CHOOSE(CONTROL!$C$28, 0.0415, 0)</f>
        <v>45.776299999999999</v>
      </c>
      <c r="C695" s="4">
        <f>45.3715 * CHOOSE(CONTROL!$C$9, $C$13, 100%, $E$13) + CHOOSE(CONTROL!$C$28, 0.0415, 0)</f>
        <v>45.412999999999997</v>
      </c>
      <c r="D695" s="4">
        <f>65.0236 * CHOOSE(CONTROL!$C$9, $C$13, 100%, $E$13) + CHOOSE(CONTROL!$C$28, 0.0021, 0)</f>
        <v>65.025700000000001</v>
      </c>
      <c r="E695" s="4">
        <f>312.05000193659 * CHOOSE(CONTROL!$C$9, $C$13, 100%, $E$13) + CHOOSE(CONTROL!$C$28, 0.0021, 0)</f>
        <v>312.05210193658996</v>
      </c>
    </row>
    <row r="696" spans="1:5" ht="15">
      <c r="A696" s="13">
        <v>62701</v>
      </c>
      <c r="B696" s="4">
        <f>46.8112 * CHOOSE(CONTROL!$C$9, $C$13, 100%, $E$13) + CHOOSE(CONTROL!$C$28, 0.0415, 0)</f>
        <v>46.852699999999999</v>
      </c>
      <c r="C696" s="4">
        <f>46.448 * CHOOSE(CONTROL!$C$9, $C$13, 100%, $E$13) + CHOOSE(CONTROL!$C$28, 0.0415, 0)</f>
        <v>46.4895</v>
      </c>
      <c r="D696" s="4">
        <f>64.3464 * CHOOSE(CONTROL!$C$9, $C$13, 100%, $E$13) + CHOOSE(CONTROL!$C$28, 0.0021, 0)</f>
        <v>64.348500000000001</v>
      </c>
      <c r="E696" s="4">
        <f>319.521132272488 * CHOOSE(CONTROL!$C$9, $C$13, 100%, $E$13) + CHOOSE(CONTROL!$C$28, 0.0021, 0)</f>
        <v>319.52323227248797</v>
      </c>
    </row>
    <row r="697" spans="1:5" ht="15">
      <c r="A697" s="13">
        <v>62731</v>
      </c>
      <c r="B697" s="4">
        <f>44.9766 * CHOOSE(CONTROL!$C$9, $C$13, 100%, $E$13) + CHOOSE(CONTROL!$C$28, 0.0415, 0)</f>
        <v>45.018099999999997</v>
      </c>
      <c r="C697" s="4">
        <f>44.6133 * CHOOSE(CONTROL!$C$9, $C$13, 100%, $E$13) + CHOOSE(CONTROL!$C$28, 0.0415, 0)</f>
        <v>44.654800000000002</v>
      </c>
      <c r="D697" s="4">
        <f>64.0264 * CHOOSE(CONTROL!$C$9, $C$13, 100%, $E$13) + CHOOSE(CONTROL!$C$28, 0.0021, 0)</f>
        <v>64.028499999999994</v>
      </c>
      <c r="E697" s="4">
        <f>306.78794336114 * CHOOSE(CONTROL!$C$9, $C$13, 100%, $E$13) + CHOOSE(CONTROL!$C$28, 0.0021, 0)</f>
        <v>306.79004336113996</v>
      </c>
    </row>
    <row r="698" spans="1:5" ht="15">
      <c r="A698" s="13">
        <v>62762</v>
      </c>
      <c r="B698" s="4">
        <f>43.5079 * CHOOSE(CONTROL!$C$9, $C$13, 100%, $E$13) + CHOOSE(CONTROL!$C$28, 0.0211, 0)</f>
        <v>43.528999999999996</v>
      </c>
      <c r="C698" s="4">
        <f>43.1446 * CHOOSE(CONTROL!$C$9, $C$13, 100%, $E$13) + CHOOSE(CONTROL!$C$28, 0.0211, 0)</f>
        <v>43.165699999999994</v>
      </c>
      <c r="D698" s="4">
        <f>63.1697 * CHOOSE(CONTROL!$C$9, $C$13, 100%, $E$13) + CHOOSE(CONTROL!$C$28, 0.0021, 0)</f>
        <v>63.171799999999998</v>
      </c>
      <c r="E698" s="4">
        <f>296.594773290457 * CHOOSE(CONTROL!$C$9, $C$13, 100%, $E$13) + CHOOSE(CONTROL!$C$28, 0.0021, 0)</f>
        <v>296.59687329045698</v>
      </c>
    </row>
    <row r="699" spans="1:5" ht="15">
      <c r="A699" s="13">
        <v>62792</v>
      </c>
      <c r="B699" s="4">
        <f>42.562 * CHOOSE(CONTROL!$C$9, $C$13, 100%, $E$13) + CHOOSE(CONTROL!$C$28, 0.0211, 0)</f>
        <v>42.583099999999995</v>
      </c>
      <c r="C699" s="4">
        <f>42.1987 * CHOOSE(CONTROL!$C$9, $C$13, 100%, $E$13) + CHOOSE(CONTROL!$C$28, 0.0211, 0)</f>
        <v>42.219799999999999</v>
      </c>
      <c r="D699" s="4">
        <f>62.8752 * CHOOSE(CONTROL!$C$9, $C$13, 100%, $E$13) + CHOOSE(CONTROL!$C$28, 0.0021, 0)</f>
        <v>62.877299999999998</v>
      </c>
      <c r="E699" s="4">
        <f>290.029610586652 * CHOOSE(CONTROL!$C$9, $C$13, 100%, $E$13) + CHOOSE(CONTROL!$C$28, 0.0021, 0)</f>
        <v>290.03171058665197</v>
      </c>
    </row>
    <row r="700" spans="1:5" ht="15">
      <c r="A700" s="13">
        <v>62823</v>
      </c>
      <c r="B700" s="4">
        <f>41.9075 * CHOOSE(CONTROL!$C$9, $C$13, 100%, $E$13) + CHOOSE(CONTROL!$C$28, 0.0211, 0)</f>
        <v>41.928599999999996</v>
      </c>
      <c r="C700" s="4">
        <f>41.5442 * CHOOSE(CONTROL!$C$9, $C$13, 100%, $E$13) + CHOOSE(CONTROL!$C$28, 0.0211, 0)</f>
        <v>41.565299999999993</v>
      </c>
      <c r="D700" s="4">
        <f>60.7068 * CHOOSE(CONTROL!$C$9, $C$13, 100%, $E$13) + CHOOSE(CONTROL!$C$28, 0.0021, 0)</f>
        <v>60.7089</v>
      </c>
      <c r="E700" s="4">
        <f>285.487361910674 * CHOOSE(CONTROL!$C$9, $C$13, 100%, $E$13) + CHOOSE(CONTROL!$C$28, 0.0021, 0)</f>
        <v>285.48946191067398</v>
      </c>
    </row>
    <row r="701" spans="1:5" ht="15">
      <c r="A701" s="13">
        <v>62854</v>
      </c>
      <c r="B701" s="4">
        <f>40.1169 * CHOOSE(CONTROL!$C$9, $C$13, 100%, $E$13) + CHOOSE(CONTROL!$C$28, 0.0211, 0)</f>
        <v>40.137999999999998</v>
      </c>
      <c r="C701" s="4">
        <f>39.7536 * CHOOSE(CONTROL!$C$9, $C$13, 100%, $E$13) + CHOOSE(CONTROL!$C$28, 0.0211, 0)</f>
        <v>39.774699999999996</v>
      </c>
      <c r="D701" s="4">
        <f>58.3182 * CHOOSE(CONTROL!$C$9, $C$13, 100%, $E$13) + CHOOSE(CONTROL!$C$28, 0.0021, 0)</f>
        <v>58.320299999999996</v>
      </c>
      <c r="E701" s="4">
        <f>273.595653234859 * CHOOSE(CONTROL!$C$9, $C$13, 100%, $E$13) + CHOOSE(CONTROL!$C$28, 0.0021, 0)</f>
        <v>273.597753234859</v>
      </c>
    </row>
    <row r="702" spans="1:5" ht="15">
      <c r="A702" s="13">
        <v>62883</v>
      </c>
      <c r="B702" s="4">
        <f>41.0511 * CHOOSE(CONTROL!$C$9, $C$13, 100%, $E$13) + CHOOSE(CONTROL!$C$28, 0.0211, 0)</f>
        <v>41.072199999999995</v>
      </c>
      <c r="C702" s="4">
        <f>40.6878 * CHOOSE(CONTROL!$C$9, $C$13, 100%, $E$13) + CHOOSE(CONTROL!$C$28, 0.0211, 0)</f>
        <v>40.7089</v>
      </c>
      <c r="D702" s="4">
        <f>60.3111 * CHOOSE(CONTROL!$C$9, $C$13, 100%, $E$13) + CHOOSE(CONTROL!$C$28, 0.0021, 0)</f>
        <v>60.313200000000002</v>
      </c>
      <c r="E702" s="4">
        <f>280.091892258347 * CHOOSE(CONTROL!$C$9, $C$13, 100%, $E$13) + CHOOSE(CONTROL!$C$28, 0.0021, 0)</f>
        <v>280.09399225834699</v>
      </c>
    </row>
    <row r="703" spans="1:5" ht="15">
      <c r="A703" s="13">
        <v>62914</v>
      </c>
      <c r="B703" s="4">
        <f>43.5043 * CHOOSE(CONTROL!$C$9, $C$13, 100%, $E$13) + CHOOSE(CONTROL!$C$28, 0.0211, 0)</f>
        <v>43.525399999999998</v>
      </c>
      <c r="C703" s="4">
        <f>43.141 * CHOOSE(CONTROL!$C$9, $C$13, 100%, $E$13) + CHOOSE(CONTROL!$C$28, 0.0211, 0)</f>
        <v>43.162099999999995</v>
      </c>
      <c r="D703" s="4">
        <f>63.4309 * CHOOSE(CONTROL!$C$9, $C$13, 100%, $E$13) + CHOOSE(CONTROL!$C$28, 0.0021, 0)</f>
        <v>63.433</v>
      </c>
      <c r="E703" s="4">
        <f>297.151361165136 * CHOOSE(CONTROL!$C$9, $C$13, 100%, $E$13) + CHOOSE(CONTROL!$C$28, 0.0021, 0)</f>
        <v>297.15346116513598</v>
      </c>
    </row>
    <row r="704" spans="1:5" ht="15">
      <c r="A704" s="13">
        <v>62944</v>
      </c>
      <c r="B704" s="4">
        <f>45.2473 * CHOOSE(CONTROL!$C$9, $C$13, 100%, $E$13) + CHOOSE(CONTROL!$C$28, 0.0211, 0)</f>
        <v>45.2684</v>
      </c>
      <c r="C704" s="4">
        <f>44.884 * CHOOSE(CONTROL!$C$9, $C$13, 100%, $E$13) + CHOOSE(CONTROL!$C$28, 0.0211, 0)</f>
        <v>44.905099999999997</v>
      </c>
      <c r="D704" s="4">
        <f>65.228 * CHOOSE(CONTROL!$C$9, $C$13, 100%, $E$13) + CHOOSE(CONTROL!$C$28, 0.0021, 0)</f>
        <v>65.230099999999993</v>
      </c>
      <c r="E704" s="4">
        <f>309.272341170724 * CHOOSE(CONTROL!$C$9, $C$13, 100%, $E$13) + CHOOSE(CONTROL!$C$28, 0.0021, 0)</f>
        <v>309.274441170724</v>
      </c>
    </row>
    <row r="705" spans="1:5" ht="15">
      <c r="A705" s="13">
        <v>62975</v>
      </c>
      <c r="B705" s="4">
        <f>46.3122 * CHOOSE(CONTROL!$C$9, $C$13, 100%, $E$13) + CHOOSE(CONTROL!$C$28, 0.0415, 0)</f>
        <v>46.353699999999996</v>
      </c>
      <c r="C705" s="4">
        <f>45.9489 * CHOOSE(CONTROL!$C$9, $C$13, 100%, $E$13) + CHOOSE(CONTROL!$C$28, 0.0415, 0)</f>
        <v>45.990400000000001</v>
      </c>
      <c r="D705" s="4">
        <f>64.5178 * CHOOSE(CONTROL!$C$9, $C$13, 100%, $E$13) + CHOOSE(CONTROL!$C$28, 0.0021, 0)</f>
        <v>64.519899999999993</v>
      </c>
      <c r="E705" s="4">
        <f>316.677969454791 * CHOOSE(CONTROL!$C$9, $C$13, 100%, $E$13) + CHOOSE(CONTROL!$C$28, 0.0021, 0)</f>
        <v>316.68006945479101</v>
      </c>
    </row>
    <row r="706" spans="1:5" ht="15">
      <c r="A706" s="13">
        <v>63005</v>
      </c>
      <c r="B706" s="4">
        <f>46.4563 * CHOOSE(CONTROL!$C$9, $C$13, 100%, $E$13) + CHOOSE(CONTROL!$C$28, 0.0415, 0)</f>
        <v>46.497799999999998</v>
      </c>
      <c r="C706" s="4">
        <f>46.093 * CHOOSE(CONTROL!$C$9, $C$13, 100%, $E$13) + CHOOSE(CONTROL!$C$28, 0.0415, 0)</f>
        <v>46.134500000000003</v>
      </c>
      <c r="D706" s="4">
        <f>65.0962 * CHOOSE(CONTROL!$C$9, $C$13, 100%, $E$13) + CHOOSE(CONTROL!$C$28, 0.0021, 0)</f>
        <v>65.098299999999995</v>
      </c>
      <c r="E706" s="4">
        <f>317.679981695615 * CHOOSE(CONTROL!$C$9, $C$13, 100%, $E$13) + CHOOSE(CONTROL!$C$28, 0.0021, 0)</f>
        <v>317.68208169561501</v>
      </c>
    </row>
    <row r="707" spans="1:5" ht="15">
      <c r="A707" s="13">
        <v>63036</v>
      </c>
      <c r="B707" s="4">
        <f>46.4418 * CHOOSE(CONTROL!$C$9, $C$13, 100%, $E$13) + CHOOSE(CONTROL!$C$28, 0.0415, 0)</f>
        <v>46.4833</v>
      </c>
      <c r="C707" s="4">
        <f>46.0785 * CHOOSE(CONTROL!$C$9, $C$13, 100%, $E$13) + CHOOSE(CONTROL!$C$28, 0.0415, 0)</f>
        <v>46.12</v>
      </c>
      <c r="D707" s="4">
        <f>66.1397 * CHOOSE(CONTROL!$C$9, $C$13, 100%, $E$13) + CHOOSE(CONTROL!$C$28, 0.0021, 0)</f>
        <v>66.141800000000003</v>
      </c>
      <c r="E707" s="4">
        <f>317.578938444439 * CHOOSE(CONTROL!$C$9, $C$13, 100%, $E$13) + CHOOSE(CONTROL!$C$28, 0.0021, 0)</f>
        <v>317.581038444439</v>
      </c>
    </row>
    <row r="708" spans="1:5" ht="15">
      <c r="A708" s="13">
        <v>63067</v>
      </c>
      <c r="B708" s="4">
        <f>47.5352 * CHOOSE(CONTROL!$C$9, $C$13, 100%, $E$13) + CHOOSE(CONTROL!$C$28, 0.0415, 0)</f>
        <v>47.576700000000002</v>
      </c>
      <c r="C708" s="4">
        <f>47.1719 * CHOOSE(CONTROL!$C$9, $C$13, 100%, $E$13) + CHOOSE(CONTROL!$C$28, 0.0415, 0)</f>
        <v>47.2134</v>
      </c>
      <c r="D708" s="4">
        <f>65.4506 * CHOOSE(CONTROL!$C$9, $C$13, 100%, $E$13) + CHOOSE(CONTROL!$C$28, 0.0021, 0)</f>
        <v>65.452699999999993</v>
      </c>
      <c r="E708" s="4">
        <f>325.182443095392 * CHOOSE(CONTROL!$C$9, $C$13, 100%, $E$13) + CHOOSE(CONTROL!$C$28, 0.0021, 0)</f>
        <v>325.18454309539197</v>
      </c>
    </row>
    <row r="709" spans="1:5" ht="15">
      <c r="A709" s="13">
        <v>63097</v>
      </c>
      <c r="B709" s="4">
        <f>45.6717 * CHOOSE(CONTROL!$C$9, $C$13, 100%, $E$13) + CHOOSE(CONTROL!$C$28, 0.0415, 0)</f>
        <v>45.713200000000001</v>
      </c>
      <c r="C709" s="4">
        <f>45.3084 * CHOOSE(CONTROL!$C$9, $C$13, 100%, $E$13) + CHOOSE(CONTROL!$C$28, 0.0415, 0)</f>
        <v>45.349899999999998</v>
      </c>
      <c r="D709" s="4">
        <f>65.125 * CHOOSE(CONTROL!$C$9, $C$13, 100%, $E$13) + CHOOSE(CONTROL!$C$28, 0.0021, 0)</f>
        <v>65.127099999999999</v>
      </c>
      <c r="E709" s="4">
        <f>312.22364613214 * CHOOSE(CONTROL!$C$9, $C$13, 100%, $E$13) + CHOOSE(CONTROL!$C$28, 0.0021, 0)</f>
        <v>312.22574613213999</v>
      </c>
    </row>
    <row r="710" spans="1:5" ht="15">
      <c r="A710" s="13">
        <v>63128</v>
      </c>
      <c r="B710" s="4">
        <f>44.1799 * CHOOSE(CONTROL!$C$9, $C$13, 100%, $E$13) + CHOOSE(CONTROL!$C$28, 0.0211, 0)</f>
        <v>44.201000000000001</v>
      </c>
      <c r="C710" s="4">
        <f>43.8166 * CHOOSE(CONTROL!$C$9, $C$13, 100%, $E$13) + CHOOSE(CONTROL!$C$28, 0.0211, 0)</f>
        <v>43.837699999999998</v>
      </c>
      <c r="D710" s="4">
        <f>64.2531 * CHOOSE(CONTROL!$C$9, $C$13, 100%, $E$13) + CHOOSE(CONTROL!$C$28, 0.0021, 0)</f>
        <v>64.255200000000002</v>
      </c>
      <c r="E710" s="4">
        <f>301.849872344794 * CHOOSE(CONTROL!$C$9, $C$13, 100%, $E$13) + CHOOSE(CONTROL!$C$28, 0.0021, 0)</f>
        <v>301.85197234479398</v>
      </c>
    </row>
    <row r="711" spans="1:5" ht="15">
      <c r="A711" s="13">
        <v>63158</v>
      </c>
      <c r="B711" s="4">
        <f>43.2191 * CHOOSE(CONTROL!$C$9, $C$13, 100%, $E$13) + CHOOSE(CONTROL!$C$28, 0.0211, 0)</f>
        <v>43.240199999999994</v>
      </c>
      <c r="C711" s="4">
        <f>42.8558 * CHOOSE(CONTROL!$C$9, $C$13, 100%, $E$13) + CHOOSE(CONTROL!$C$28, 0.0211, 0)</f>
        <v>42.876899999999999</v>
      </c>
      <c r="D711" s="4">
        <f>63.9534 * CHOOSE(CONTROL!$C$9, $C$13, 100%, $E$13) + CHOOSE(CONTROL!$C$28, 0.0021, 0)</f>
        <v>63.955500000000001</v>
      </c>
      <c r="E711" s="4">
        <f>295.168387360818 * CHOOSE(CONTROL!$C$9, $C$13, 100%, $E$13) + CHOOSE(CONTROL!$C$28, 0.0021, 0)</f>
        <v>295.17048736081796</v>
      </c>
    </row>
    <row r="712" spans="1:5" ht="15">
      <c r="A712" s="13">
        <v>63189</v>
      </c>
      <c r="B712" s="4">
        <f>42.5544 * CHOOSE(CONTROL!$C$9, $C$13, 100%, $E$13) + CHOOSE(CONTROL!$C$28, 0.0211, 0)</f>
        <v>42.575499999999998</v>
      </c>
      <c r="C712" s="4">
        <f>42.1911 * CHOOSE(CONTROL!$C$9, $C$13, 100%, $E$13) + CHOOSE(CONTROL!$C$28, 0.0211, 0)</f>
        <v>42.212199999999996</v>
      </c>
      <c r="D712" s="4">
        <f>61.7467 * CHOOSE(CONTROL!$C$9, $C$13, 100%, $E$13) + CHOOSE(CONTROL!$C$28, 0.0021, 0)</f>
        <v>61.748799999999996</v>
      </c>
      <c r="E712" s="4">
        <f>290.545658619541 * CHOOSE(CONTROL!$C$9, $C$13, 100%, $E$13) + CHOOSE(CONTROL!$C$28, 0.0021, 0)</f>
        <v>290.54775861954096</v>
      </c>
    </row>
    <row r="713" spans="1:5" ht="15">
      <c r="A713" s="13">
        <v>63220</v>
      </c>
      <c r="B713" s="4">
        <f>40.7356 * CHOOSE(CONTROL!$C$9, $C$13, 100%, $E$13) + CHOOSE(CONTROL!$C$28, 0.0211, 0)</f>
        <v>40.756699999999995</v>
      </c>
      <c r="C713" s="4">
        <f>40.3723 * CHOOSE(CONTROL!$C$9, $C$13, 100%, $E$13) + CHOOSE(CONTROL!$C$28, 0.0211, 0)</f>
        <v>40.3934</v>
      </c>
      <c r="D713" s="4">
        <f>59.3159 * CHOOSE(CONTROL!$C$9, $C$13, 100%, $E$13) + CHOOSE(CONTROL!$C$28, 0.0021, 0)</f>
        <v>59.317999999999998</v>
      </c>
      <c r="E713" s="4">
        <f>278.443251331867 * CHOOSE(CONTROL!$C$9, $C$13, 100%, $E$13) + CHOOSE(CONTROL!$C$28, 0.0021, 0)</f>
        <v>278.44535133186696</v>
      </c>
    </row>
    <row r="714" spans="1:5" ht="15">
      <c r="A714" s="13">
        <v>63248</v>
      </c>
      <c r="B714" s="4">
        <f>41.6845 * CHOOSE(CONTROL!$C$9, $C$13, 100%, $E$13) + CHOOSE(CONTROL!$C$28, 0.0211, 0)</f>
        <v>41.705599999999997</v>
      </c>
      <c r="C714" s="4">
        <f>41.3212 * CHOOSE(CONTROL!$C$9, $C$13, 100%, $E$13) + CHOOSE(CONTROL!$C$28, 0.0211, 0)</f>
        <v>41.342299999999994</v>
      </c>
      <c r="D714" s="4">
        <f>61.344 * CHOOSE(CONTROL!$C$9, $C$13, 100%, $E$13) + CHOOSE(CONTROL!$C$28, 0.0021, 0)</f>
        <v>61.3461</v>
      </c>
      <c r="E714" s="4">
        <f>285.054591438124 * CHOOSE(CONTROL!$C$9, $C$13, 100%, $E$13) + CHOOSE(CONTROL!$C$28, 0.0021, 0)</f>
        <v>285.05669143812401</v>
      </c>
    </row>
    <row r="715" spans="1:5" ht="15">
      <c r="A715" s="13">
        <v>63279</v>
      </c>
      <c r="B715" s="4">
        <f>44.1762 * CHOOSE(CONTROL!$C$9, $C$13, 100%, $E$13) + CHOOSE(CONTROL!$C$28, 0.0211, 0)</f>
        <v>44.197299999999998</v>
      </c>
      <c r="C715" s="4">
        <f>43.8129 * CHOOSE(CONTROL!$C$9, $C$13, 100%, $E$13) + CHOOSE(CONTROL!$C$28, 0.0211, 0)</f>
        <v>43.833999999999996</v>
      </c>
      <c r="D715" s="4">
        <f>64.5189 * CHOOSE(CONTROL!$C$9, $C$13, 100%, $E$13) + CHOOSE(CONTROL!$C$28, 0.0021, 0)</f>
        <v>64.521000000000001</v>
      </c>
      <c r="E715" s="4">
        <f>302.416321905104 * CHOOSE(CONTROL!$C$9, $C$13, 100%, $E$13) + CHOOSE(CONTROL!$C$28, 0.0021, 0)</f>
        <v>302.41842190510397</v>
      </c>
    </row>
    <row r="716" spans="1:5" ht="15">
      <c r="A716" s="13">
        <v>63309</v>
      </c>
      <c r="B716" s="4">
        <f>45.9466 * CHOOSE(CONTROL!$C$9, $C$13, 100%, $E$13) + CHOOSE(CONTROL!$C$28, 0.0211, 0)</f>
        <v>45.967699999999994</v>
      </c>
      <c r="C716" s="4">
        <f>45.5834 * CHOOSE(CONTROL!$C$9, $C$13, 100%, $E$13) + CHOOSE(CONTROL!$C$28, 0.0211, 0)</f>
        <v>45.604499999999994</v>
      </c>
      <c r="D716" s="4">
        <f>66.3477 * CHOOSE(CONTROL!$C$9, $C$13, 100%, $E$13) + CHOOSE(CONTROL!$C$28, 0.0021, 0)</f>
        <v>66.349800000000002</v>
      </c>
      <c r="E716" s="4">
        <f>314.752062777374 * CHOOSE(CONTROL!$C$9, $C$13, 100%, $E$13) + CHOOSE(CONTROL!$C$28, 0.0021, 0)</f>
        <v>314.75416277737401</v>
      </c>
    </row>
    <row r="717" spans="1:5" ht="15">
      <c r="A717" s="13">
        <v>63340</v>
      </c>
      <c r="B717" s="4">
        <f>47.0283 * CHOOSE(CONTROL!$C$9, $C$13, 100%, $E$13) + CHOOSE(CONTROL!$C$28, 0.0415, 0)</f>
        <v>47.069800000000001</v>
      </c>
      <c r="C717" s="4">
        <f>46.665 * CHOOSE(CONTROL!$C$9, $C$13, 100%, $E$13) + CHOOSE(CONTROL!$C$28, 0.0415, 0)</f>
        <v>46.706499999999998</v>
      </c>
      <c r="D717" s="4">
        <f>65.625 * CHOOSE(CONTROL!$C$9, $C$13, 100%, $E$13) + CHOOSE(CONTROL!$C$28, 0.0021, 0)</f>
        <v>65.627099999999999</v>
      </c>
      <c r="E717" s="4">
        <f>322.288904803884 * CHOOSE(CONTROL!$C$9, $C$13, 100%, $E$13) + CHOOSE(CONTROL!$C$28, 0.0021, 0)</f>
        <v>322.29100480388399</v>
      </c>
    </row>
    <row r="718" spans="1:5" ht="15">
      <c r="A718" s="13">
        <v>63370</v>
      </c>
      <c r="B718" s="4">
        <f>47.1747 * CHOOSE(CONTROL!$C$9, $C$13, 100%, $E$13) + CHOOSE(CONTROL!$C$28, 0.0415, 0)</f>
        <v>47.216200000000001</v>
      </c>
      <c r="C718" s="4">
        <f>46.8114 * CHOOSE(CONTROL!$C$9, $C$13, 100%, $E$13) + CHOOSE(CONTROL!$C$28, 0.0415, 0)</f>
        <v>46.852899999999998</v>
      </c>
      <c r="D718" s="4">
        <f>66.2136 * CHOOSE(CONTROL!$C$9, $C$13, 100%, $E$13) + CHOOSE(CONTROL!$C$28, 0.0021, 0)</f>
        <v>66.215699999999998</v>
      </c>
      <c r="E718" s="4">
        <f>323.308670808608 * CHOOSE(CONTROL!$C$9, $C$13, 100%, $E$13) + CHOOSE(CONTROL!$C$28, 0.0021, 0)</f>
        <v>323.31077080860797</v>
      </c>
    </row>
    <row r="719" spans="1:5" ht="15">
      <c r="A719" s="13">
        <v>63401</v>
      </c>
      <c r="B719" s="4">
        <f>47.1599 * CHOOSE(CONTROL!$C$9, $C$13, 100%, $E$13) + CHOOSE(CONTROL!$C$28, 0.0415, 0)</f>
        <v>47.2014</v>
      </c>
      <c r="C719" s="4">
        <f>46.7966 * CHOOSE(CONTROL!$C$9, $C$13, 100%, $E$13) + CHOOSE(CONTROL!$C$28, 0.0415, 0)</f>
        <v>46.838099999999997</v>
      </c>
      <c r="D719" s="4">
        <f>67.2756 * CHOOSE(CONTROL!$C$9, $C$13, 100%, $E$13) + CHOOSE(CONTROL!$C$28, 0.0021, 0)</f>
        <v>67.277699999999996</v>
      </c>
      <c r="E719" s="4">
        <f>323.205837261913 * CHOOSE(CONTROL!$C$9, $C$13, 100%, $E$13) + CHOOSE(CONTROL!$C$28, 0.0021, 0)</f>
        <v>323.207937261913</v>
      </c>
    </row>
    <row r="720" spans="1:5" ht="15">
      <c r="A720" s="13">
        <v>63432</v>
      </c>
      <c r="B720" s="4">
        <f>48.2705 * CHOOSE(CONTROL!$C$9, $C$13, 100%, $E$13) + CHOOSE(CONTROL!$C$28, 0.0415, 0)</f>
        <v>48.311999999999998</v>
      </c>
      <c r="C720" s="4">
        <f>47.9072 * CHOOSE(CONTROL!$C$9, $C$13, 100%, $E$13) + CHOOSE(CONTROL!$C$28, 0.0415, 0)</f>
        <v>47.948700000000002</v>
      </c>
      <c r="D720" s="4">
        <f>66.5742 * CHOOSE(CONTROL!$C$9, $C$13, 100%, $E$13) + CHOOSE(CONTROL!$C$28, 0.0021, 0)</f>
        <v>66.576300000000003</v>
      </c>
      <c r="E720" s="4">
        <f>330.9440616507 * CHOOSE(CONTROL!$C$9, $C$13, 100%, $E$13) + CHOOSE(CONTROL!$C$28, 0.0021, 0)</f>
        <v>330.94616165069999</v>
      </c>
    </row>
    <row r="721" spans="1:5" ht="15">
      <c r="A721" s="13">
        <v>63462</v>
      </c>
      <c r="B721" s="4">
        <f>46.3777 * CHOOSE(CONTROL!$C$9, $C$13, 100%, $E$13) + CHOOSE(CONTROL!$C$28, 0.0415, 0)</f>
        <v>46.419199999999996</v>
      </c>
      <c r="C721" s="4">
        <f>46.0144 * CHOOSE(CONTROL!$C$9, $C$13, 100%, $E$13) + CHOOSE(CONTROL!$C$28, 0.0415, 0)</f>
        <v>46.055900000000001</v>
      </c>
      <c r="D721" s="4">
        <f>66.2429 * CHOOSE(CONTROL!$C$9, $C$13, 100%, $E$13) + CHOOSE(CONTROL!$C$28, 0.0021, 0)</f>
        <v>66.245000000000005</v>
      </c>
      <c r="E721" s="4">
        <f>317.755659287086 * CHOOSE(CONTROL!$C$9, $C$13, 100%, $E$13) + CHOOSE(CONTROL!$C$28, 0.0021, 0)</f>
        <v>317.757759287086</v>
      </c>
    </row>
    <row r="722" spans="1:5" ht="15">
      <c r="A722" s="13">
        <v>63493</v>
      </c>
      <c r="B722" s="4">
        <f>44.8625 * CHOOSE(CONTROL!$C$9, $C$13, 100%, $E$13) + CHOOSE(CONTROL!$C$28, 0.0211, 0)</f>
        <v>44.883599999999994</v>
      </c>
      <c r="C722" s="4">
        <f>44.4992 * CHOOSE(CONTROL!$C$9, $C$13, 100%, $E$13) + CHOOSE(CONTROL!$C$28, 0.0211, 0)</f>
        <v>44.520299999999999</v>
      </c>
      <c r="D722" s="4">
        <f>65.3556 * CHOOSE(CONTROL!$C$9, $C$13, 100%, $E$13) + CHOOSE(CONTROL!$C$28, 0.0021, 0)</f>
        <v>65.357699999999994</v>
      </c>
      <c r="E722" s="4">
        <f>307.198081826414 * CHOOSE(CONTROL!$C$9, $C$13, 100%, $E$13) + CHOOSE(CONTROL!$C$28, 0.0021, 0)</f>
        <v>307.200181826414</v>
      </c>
    </row>
    <row r="723" spans="1:5" ht="15">
      <c r="A723" s="13">
        <v>63523</v>
      </c>
      <c r="B723" s="4">
        <f>43.8866 * CHOOSE(CONTROL!$C$9, $C$13, 100%, $E$13) + CHOOSE(CONTROL!$C$28, 0.0211, 0)</f>
        <v>43.907699999999998</v>
      </c>
      <c r="C723" s="4">
        <f>43.5233 * CHOOSE(CONTROL!$C$9, $C$13, 100%, $E$13) + CHOOSE(CONTROL!$C$28, 0.0211, 0)</f>
        <v>43.544399999999996</v>
      </c>
      <c r="D723" s="4">
        <f>65.0506 * CHOOSE(CONTROL!$C$9, $C$13, 100%, $E$13) + CHOOSE(CONTROL!$C$28, 0.0021, 0)</f>
        <v>65.052700000000002</v>
      </c>
      <c r="E723" s="4">
        <f>300.398213551217 * CHOOSE(CONTROL!$C$9, $C$13, 100%, $E$13) + CHOOSE(CONTROL!$C$28, 0.0021, 0)</f>
        <v>300.40031355121698</v>
      </c>
    </row>
    <row r="724" spans="1:5" ht="15">
      <c r="A724" s="13">
        <v>63554</v>
      </c>
      <c r="B724" s="4">
        <f>43.2114 * CHOOSE(CONTROL!$C$9, $C$13, 100%, $E$13) + CHOOSE(CONTROL!$C$28, 0.0211, 0)</f>
        <v>43.232499999999995</v>
      </c>
      <c r="C724" s="4">
        <f>42.8481 * CHOOSE(CONTROL!$C$9, $C$13, 100%, $E$13) + CHOOSE(CONTROL!$C$28, 0.0211, 0)</f>
        <v>42.869199999999999</v>
      </c>
      <c r="D724" s="4">
        <f>62.8049 * CHOOSE(CONTROL!$C$9, $C$13, 100%, $E$13) + CHOOSE(CONTROL!$C$28, 0.0021, 0)</f>
        <v>62.807000000000002</v>
      </c>
      <c r="E724" s="4">
        <f>295.693578789928 * CHOOSE(CONTROL!$C$9, $C$13, 100%, $E$13) + CHOOSE(CONTROL!$C$28, 0.0021, 0)</f>
        <v>295.69567878992797</v>
      </c>
    </row>
    <row r="725" spans="1:5" ht="15">
      <c r="A725" s="13">
        <v>63585</v>
      </c>
      <c r="B725" s="4">
        <f>41.364 * CHOOSE(CONTROL!$C$9, $C$13, 100%, $E$13) + CHOOSE(CONTROL!$C$28, 0.0211, 0)</f>
        <v>41.385099999999994</v>
      </c>
      <c r="C725" s="4">
        <f>41.0007 * CHOOSE(CONTROL!$C$9, $C$13, 100%, $E$13) + CHOOSE(CONTROL!$C$28, 0.0211, 0)</f>
        <v>41.021799999999999</v>
      </c>
      <c r="D725" s="4">
        <f>60.3311 * CHOOSE(CONTROL!$C$9, $C$13, 100%, $E$13) + CHOOSE(CONTROL!$C$28, 0.0021, 0)</f>
        <v>60.333199999999998</v>
      </c>
      <c r="E725" s="4">
        <f>283.376739709047 * CHOOSE(CONTROL!$C$9, $C$13, 100%, $E$13) + CHOOSE(CONTROL!$C$28, 0.0021, 0)</f>
        <v>283.37883970904699</v>
      </c>
    </row>
    <row r="726" spans="1:5" ht="15">
      <c r="A726" s="13">
        <v>63613</v>
      </c>
      <c r="B726" s="4">
        <f>42.3278 * CHOOSE(CONTROL!$C$9, $C$13, 100%, $E$13) + CHOOSE(CONTROL!$C$28, 0.0211, 0)</f>
        <v>42.3489</v>
      </c>
      <c r="C726" s="4">
        <f>41.9645 * CHOOSE(CONTROL!$C$9, $C$13, 100%, $E$13) + CHOOSE(CONTROL!$C$28, 0.0211, 0)</f>
        <v>41.985599999999998</v>
      </c>
      <c r="D726" s="4">
        <f>62.3951 * CHOOSE(CONTROL!$C$9, $C$13, 100%, $E$13) + CHOOSE(CONTROL!$C$28, 0.0021, 0)</f>
        <v>62.397199999999998</v>
      </c>
      <c r="E726" s="4">
        <f>290.105220271809 * CHOOSE(CONTROL!$C$9, $C$13, 100%, $E$13) + CHOOSE(CONTROL!$C$28, 0.0021, 0)</f>
        <v>290.10732027180899</v>
      </c>
    </row>
    <row r="727" spans="1:5" ht="15">
      <c r="A727" s="13">
        <v>63644</v>
      </c>
      <c r="B727" s="4">
        <f>44.8587 * CHOOSE(CONTROL!$C$9, $C$13, 100%, $E$13) + CHOOSE(CONTROL!$C$28, 0.0211, 0)</f>
        <v>44.879799999999996</v>
      </c>
      <c r="C727" s="4">
        <f>44.4954 * CHOOSE(CONTROL!$C$9, $C$13, 100%, $E$13) + CHOOSE(CONTROL!$C$28, 0.0211, 0)</f>
        <v>44.516499999999994</v>
      </c>
      <c r="D727" s="4">
        <f>65.6261 * CHOOSE(CONTROL!$C$9, $C$13, 100%, $E$13) + CHOOSE(CONTROL!$C$28, 0.0021, 0)</f>
        <v>65.628199999999993</v>
      </c>
      <c r="E727" s="4">
        <f>307.774567802793 * CHOOSE(CONTROL!$C$9, $C$13, 100%, $E$13) + CHOOSE(CONTROL!$C$28, 0.0021, 0)</f>
        <v>307.77666780279299</v>
      </c>
    </row>
    <row r="728" spans="1:5" ht="15">
      <c r="A728" s="13">
        <v>63674</v>
      </c>
      <c r="B728" s="4">
        <f>46.657 * CHOOSE(CONTROL!$C$9, $C$13, 100%, $E$13) + CHOOSE(CONTROL!$C$28, 0.0211, 0)</f>
        <v>46.678099999999993</v>
      </c>
      <c r="C728" s="4">
        <f>46.2937 * CHOOSE(CONTROL!$C$9, $C$13, 100%, $E$13) + CHOOSE(CONTROL!$C$28, 0.0211, 0)</f>
        <v>46.314799999999998</v>
      </c>
      <c r="D728" s="4">
        <f>67.4872 * CHOOSE(CONTROL!$C$9, $C$13, 100%, $E$13) + CHOOSE(CONTROL!$C$28, 0.0021, 0)</f>
        <v>67.4893</v>
      </c>
      <c r="E728" s="4">
        <f>320.328874698575 * CHOOSE(CONTROL!$C$9, $C$13, 100%, $E$13) + CHOOSE(CONTROL!$C$28, 0.0021, 0)</f>
        <v>320.33097469857501</v>
      </c>
    </row>
    <row r="729" spans="1:5" ht="15">
      <c r="A729" s="13">
        <v>63705</v>
      </c>
      <c r="B729" s="4">
        <f>47.7557 * CHOOSE(CONTROL!$C$9, $C$13, 100%, $E$13) + CHOOSE(CONTROL!$C$28, 0.0415, 0)</f>
        <v>47.797199999999997</v>
      </c>
      <c r="C729" s="4">
        <f>47.3924 * CHOOSE(CONTROL!$C$9, $C$13, 100%, $E$13) + CHOOSE(CONTROL!$C$28, 0.0415, 0)</f>
        <v>47.433900000000001</v>
      </c>
      <c r="D729" s="4">
        <f>66.7518 * CHOOSE(CONTROL!$C$9, $C$13, 100%, $E$13) + CHOOSE(CONTROL!$C$28, 0.0021, 0)</f>
        <v>66.753900000000002</v>
      </c>
      <c r="E729" s="4">
        <f>327.999255327154 * CHOOSE(CONTROL!$C$9, $C$13, 100%, $E$13) + CHOOSE(CONTROL!$C$28, 0.0021, 0)</f>
        <v>328.00135532715399</v>
      </c>
    </row>
    <row r="730" spans="1:5" ht="15">
      <c r="A730" s="13">
        <v>63735</v>
      </c>
      <c r="B730" s="4">
        <f>47.9043 * CHOOSE(CONTROL!$C$9, $C$13, 100%, $E$13) + CHOOSE(CONTROL!$C$28, 0.0415, 0)</f>
        <v>47.945799999999998</v>
      </c>
      <c r="C730" s="4">
        <f>47.5411 * CHOOSE(CONTROL!$C$9, $C$13, 100%, $E$13) + CHOOSE(CONTROL!$C$28, 0.0415, 0)</f>
        <v>47.582599999999999</v>
      </c>
      <c r="D730" s="4">
        <f>67.3508 * CHOOSE(CONTROL!$C$9, $C$13, 100%, $E$13) + CHOOSE(CONTROL!$C$28, 0.0021, 0)</f>
        <v>67.352900000000005</v>
      </c>
      <c r="E730" s="4">
        <f>329.037089658934 * CHOOSE(CONTROL!$C$9, $C$13, 100%, $E$13) + CHOOSE(CONTROL!$C$28, 0.0021, 0)</f>
        <v>329.03918965893399</v>
      </c>
    </row>
    <row r="731" spans="1:5" ht="15">
      <c r="A731" s="13">
        <v>63766</v>
      </c>
      <c r="B731" s="4">
        <f>47.8893 * CHOOSE(CONTROL!$C$9, $C$13, 100%, $E$13) + CHOOSE(CONTROL!$C$28, 0.0415, 0)</f>
        <v>47.930799999999998</v>
      </c>
      <c r="C731" s="4">
        <f>47.5261 * CHOOSE(CONTROL!$C$9, $C$13, 100%, $E$13) + CHOOSE(CONTROL!$C$28, 0.0415, 0)</f>
        <v>47.567599999999999</v>
      </c>
      <c r="D731" s="4">
        <f>68.4315 * CHOOSE(CONTROL!$C$9, $C$13, 100%, $E$13) + CHOOSE(CONTROL!$C$28, 0.0021, 0)</f>
        <v>68.433599999999998</v>
      </c>
      <c r="E731" s="4">
        <f>328.932434096066 * CHOOSE(CONTROL!$C$9, $C$13, 100%, $E$13) + CHOOSE(CONTROL!$C$28, 0.0021, 0)</f>
        <v>328.93453409606599</v>
      </c>
    </row>
    <row r="732" spans="1:5" ht="15">
      <c r="A732" s="13">
        <v>63797</v>
      </c>
      <c r="B732" s="4">
        <f>49.0174 * CHOOSE(CONTROL!$C$9, $C$13, 100%, $E$13) + CHOOSE(CONTROL!$C$28, 0.0415, 0)</f>
        <v>49.058900000000001</v>
      </c>
      <c r="C732" s="4">
        <f>48.6541 * CHOOSE(CONTROL!$C$9, $C$13, 100%, $E$13) + CHOOSE(CONTROL!$C$28, 0.0415, 0)</f>
        <v>48.695599999999999</v>
      </c>
      <c r="D732" s="4">
        <f>67.7178 * CHOOSE(CONTROL!$C$9, $C$13, 100%, $E$13) + CHOOSE(CONTROL!$C$28, 0.0021, 0)</f>
        <v>67.719899999999996</v>
      </c>
      <c r="E732" s="4">
        <f>336.807765201929 * CHOOSE(CONTROL!$C$9, $C$13, 100%, $E$13) + CHOOSE(CONTROL!$C$28, 0.0021, 0)</f>
        <v>336.80986520192897</v>
      </c>
    </row>
    <row r="733" spans="1:5" ht="15">
      <c r="A733" s="13">
        <v>63827</v>
      </c>
      <c r="B733" s="4">
        <f>47.0948 * CHOOSE(CONTROL!$C$9, $C$13, 100%, $E$13) + CHOOSE(CONTROL!$C$28, 0.0415, 0)</f>
        <v>47.136299999999999</v>
      </c>
      <c r="C733" s="4">
        <f>46.7316 * CHOOSE(CONTROL!$C$9, $C$13, 100%, $E$13) + CHOOSE(CONTROL!$C$28, 0.0415, 0)</f>
        <v>46.773099999999999</v>
      </c>
      <c r="D733" s="4">
        <f>67.3806 * CHOOSE(CONTROL!$C$9, $C$13, 100%, $E$13) + CHOOSE(CONTROL!$C$28, 0.0021, 0)</f>
        <v>67.3827</v>
      </c>
      <c r="E733" s="4">
        <f>323.385689264029 * CHOOSE(CONTROL!$C$9, $C$13, 100%, $E$13) + CHOOSE(CONTROL!$C$28, 0.0021, 0)</f>
        <v>323.38778926402898</v>
      </c>
    </row>
    <row r="734" spans="1:5" ht="15">
      <c r="A734" s="13">
        <v>63858</v>
      </c>
      <c r="B734" s="4">
        <f>45.5558 * CHOOSE(CONTROL!$C$9, $C$13, 100%, $E$13) + CHOOSE(CONTROL!$C$28, 0.0211, 0)</f>
        <v>45.576899999999995</v>
      </c>
      <c r="C734" s="4">
        <f>45.1925 * CHOOSE(CONTROL!$C$9, $C$13, 100%, $E$13) + CHOOSE(CONTROL!$C$28, 0.0211, 0)</f>
        <v>45.2136</v>
      </c>
      <c r="D734" s="4">
        <f>66.4776 * CHOOSE(CONTROL!$C$9, $C$13, 100%, $E$13) + CHOOSE(CONTROL!$C$28, 0.0021, 0)</f>
        <v>66.479699999999994</v>
      </c>
      <c r="E734" s="4">
        <f>312.641051476184 * CHOOSE(CONTROL!$C$9, $C$13, 100%, $E$13) + CHOOSE(CONTROL!$C$28, 0.0021, 0)</f>
        <v>312.64315147618396</v>
      </c>
    </row>
    <row r="735" spans="1:5" ht="15">
      <c r="A735" s="13">
        <v>63888</v>
      </c>
      <c r="B735" s="4">
        <f>44.5645 * CHOOSE(CONTROL!$C$9, $C$13, 100%, $E$13) + CHOOSE(CONTROL!$C$28, 0.0211, 0)</f>
        <v>44.585599999999999</v>
      </c>
      <c r="C735" s="4">
        <f>44.2012 * CHOOSE(CONTROL!$C$9, $C$13, 100%, $E$13) + CHOOSE(CONTROL!$C$28, 0.0211, 0)</f>
        <v>44.222299999999997</v>
      </c>
      <c r="D735" s="4">
        <f>66.1672 * CHOOSE(CONTROL!$C$9, $C$13, 100%, $E$13) + CHOOSE(CONTROL!$C$28, 0.0021, 0)</f>
        <v>66.169299999999993</v>
      </c>
      <c r="E735" s="4">
        <f>305.720702381497 * CHOOSE(CONTROL!$C$9, $C$13, 100%, $E$13) + CHOOSE(CONTROL!$C$28, 0.0021, 0)</f>
        <v>305.72280238149699</v>
      </c>
    </row>
    <row r="736" spans="1:5" ht="15">
      <c r="A736" s="13">
        <v>63919</v>
      </c>
      <c r="B736" s="4">
        <f>43.8787 * CHOOSE(CONTROL!$C$9, $C$13, 100%, $E$13) + CHOOSE(CONTROL!$C$28, 0.0211, 0)</f>
        <v>43.899799999999999</v>
      </c>
      <c r="C736" s="4">
        <f>43.5154 * CHOOSE(CONTROL!$C$9, $C$13, 100%, $E$13) + CHOOSE(CONTROL!$C$28, 0.0211, 0)</f>
        <v>43.536499999999997</v>
      </c>
      <c r="D736" s="4">
        <f>63.8819 * CHOOSE(CONTROL!$C$9, $C$13, 100%, $E$13) + CHOOSE(CONTROL!$C$28, 0.0021, 0)</f>
        <v>63.884</v>
      </c>
      <c r="E736" s="4">
        <f>300.932710380258 * CHOOSE(CONTROL!$C$9, $C$13, 100%, $E$13) + CHOOSE(CONTROL!$C$28, 0.0021, 0)</f>
        <v>300.934810380258</v>
      </c>
    </row>
    <row r="737" spans="1:5" ht="15">
      <c r="A737" s="13">
        <v>63950</v>
      </c>
      <c r="B737" s="4">
        <f>42.0023 * CHOOSE(CONTROL!$C$9, $C$13, 100%, $E$13) + CHOOSE(CONTROL!$C$28, 0.0211, 0)</f>
        <v>42.023399999999995</v>
      </c>
      <c r="C737" s="4">
        <f>41.639 * CHOOSE(CONTROL!$C$9, $C$13, 100%, $E$13) + CHOOSE(CONTROL!$C$28, 0.0211, 0)</f>
        <v>41.6601</v>
      </c>
      <c r="D737" s="4">
        <f>61.3644 * CHOOSE(CONTROL!$C$9, $C$13, 100%, $E$13) + CHOOSE(CONTROL!$C$28, 0.0021, 0)</f>
        <v>61.366500000000002</v>
      </c>
      <c r="E737" s="4">
        <f>288.397640179899 * CHOOSE(CONTROL!$C$9, $C$13, 100%, $E$13) + CHOOSE(CONTROL!$C$28, 0.0021, 0)</f>
        <v>288.39974017989897</v>
      </c>
    </row>
    <row r="738" spans="1:5" ht="15">
      <c r="A738" s="13">
        <v>63978</v>
      </c>
      <c r="B738" s="4">
        <f>42.9812 * CHOOSE(CONTROL!$C$9, $C$13, 100%, $E$13) + CHOOSE(CONTROL!$C$28, 0.0211, 0)</f>
        <v>43.002299999999998</v>
      </c>
      <c r="C738" s="4">
        <f>42.6179 * CHOOSE(CONTROL!$C$9, $C$13, 100%, $E$13) + CHOOSE(CONTROL!$C$28, 0.0211, 0)</f>
        <v>42.638999999999996</v>
      </c>
      <c r="D738" s="4">
        <f>63.4648 * CHOOSE(CONTROL!$C$9, $C$13, 100%, $E$13) + CHOOSE(CONTROL!$C$28, 0.0021, 0)</f>
        <v>63.466899999999995</v>
      </c>
      <c r="E738" s="4">
        <f>295.245336706753 * CHOOSE(CONTROL!$C$9, $C$13, 100%, $E$13) + CHOOSE(CONTROL!$C$28, 0.0021, 0)</f>
        <v>295.24743670675298</v>
      </c>
    </row>
    <row r="739" spans="1:5" ht="15">
      <c r="A739" s="13">
        <v>64009</v>
      </c>
      <c r="B739" s="4">
        <f>45.552 * CHOOSE(CONTROL!$C$9, $C$13, 100%, $E$13) + CHOOSE(CONTROL!$C$28, 0.0211, 0)</f>
        <v>45.573099999999997</v>
      </c>
      <c r="C739" s="4">
        <f>45.1887 * CHOOSE(CONTROL!$C$9, $C$13, 100%, $E$13) + CHOOSE(CONTROL!$C$28, 0.0211, 0)</f>
        <v>45.209799999999994</v>
      </c>
      <c r="D739" s="4">
        <f>66.7529 * CHOOSE(CONTROL!$C$9, $C$13, 100%, $E$13) + CHOOSE(CONTROL!$C$28, 0.0021, 0)</f>
        <v>66.754999999999995</v>
      </c>
      <c r="E739" s="4">
        <f>313.227751694964 * CHOOSE(CONTROL!$C$9, $C$13, 100%, $E$13) + CHOOSE(CONTROL!$C$28, 0.0021, 0)</f>
        <v>313.229851694964</v>
      </c>
    </row>
    <row r="740" spans="1:5" ht="15">
      <c r="A740" s="13">
        <v>64039</v>
      </c>
      <c r="B740" s="4">
        <f>47.3785 * CHOOSE(CONTROL!$C$9, $C$13, 100%, $E$13) + CHOOSE(CONTROL!$C$28, 0.0211, 0)</f>
        <v>47.3996</v>
      </c>
      <c r="C740" s="4">
        <f>47.0152 * CHOOSE(CONTROL!$C$9, $C$13, 100%, $E$13) + CHOOSE(CONTROL!$C$28, 0.0211, 0)</f>
        <v>47.036299999999997</v>
      </c>
      <c r="D740" s="4">
        <f>68.6469 * CHOOSE(CONTROL!$C$9, $C$13, 100%, $E$13) + CHOOSE(CONTROL!$C$28, 0.0021, 0)</f>
        <v>68.649000000000001</v>
      </c>
      <c r="E740" s="4">
        <f>326.004497191278 * CHOOSE(CONTROL!$C$9, $C$13, 100%, $E$13) + CHOOSE(CONTROL!$C$28, 0.0021, 0)</f>
        <v>326.00659719127799</v>
      </c>
    </row>
    <row r="741" spans="1:5" ht="15">
      <c r="A741" s="13">
        <v>64070</v>
      </c>
      <c r="B741" s="4">
        <f>48.4945 * CHOOSE(CONTROL!$C$9, $C$13, 100%, $E$13) + CHOOSE(CONTROL!$C$28, 0.0415, 0)</f>
        <v>48.536000000000001</v>
      </c>
      <c r="C741" s="4">
        <f>48.1312 * CHOOSE(CONTROL!$C$9, $C$13, 100%, $E$13) + CHOOSE(CONTROL!$C$28, 0.0415, 0)</f>
        <v>48.172699999999999</v>
      </c>
      <c r="D741" s="4">
        <f>67.8985 * CHOOSE(CONTROL!$C$9, $C$13, 100%, $E$13) + CHOOSE(CONTROL!$C$28, 0.0021, 0)</f>
        <v>67.900599999999997</v>
      </c>
      <c r="E741" s="4">
        <f>333.810782473673 * CHOOSE(CONTROL!$C$9, $C$13, 100%, $E$13) + CHOOSE(CONTROL!$C$28, 0.0021, 0)</f>
        <v>333.81288247367297</v>
      </c>
    </row>
    <row r="742" spans="1:5" ht="15">
      <c r="A742" s="13">
        <v>64100</v>
      </c>
      <c r="B742" s="4">
        <f>48.6455 * CHOOSE(CONTROL!$C$9, $C$13, 100%, $E$13) + CHOOSE(CONTROL!$C$28, 0.0415, 0)</f>
        <v>48.686999999999998</v>
      </c>
      <c r="C742" s="4">
        <f>48.2822 * CHOOSE(CONTROL!$C$9, $C$13, 100%, $E$13) + CHOOSE(CONTROL!$C$28, 0.0415, 0)</f>
        <v>48.323700000000002</v>
      </c>
      <c r="D742" s="4">
        <f>68.508 * CHOOSE(CONTROL!$C$9, $C$13, 100%, $E$13) + CHOOSE(CONTROL!$C$28, 0.0021, 0)</f>
        <v>68.510099999999994</v>
      </c>
      <c r="E742" s="4">
        <f>334.867005269131 * CHOOSE(CONTROL!$C$9, $C$13, 100%, $E$13) + CHOOSE(CONTROL!$C$28, 0.0021, 0)</f>
        <v>334.86910526913101</v>
      </c>
    </row>
    <row r="743" spans="1:5" ht="15">
      <c r="A743" s="13">
        <v>64131</v>
      </c>
      <c r="B743" s="4">
        <f>48.6302 * CHOOSE(CONTROL!$C$9, $C$13, 100%, $E$13) + CHOOSE(CONTROL!$C$28, 0.0415, 0)</f>
        <v>48.671700000000001</v>
      </c>
      <c r="C743" s="4">
        <f>48.267 * CHOOSE(CONTROL!$C$9, $C$13, 100%, $E$13) + CHOOSE(CONTROL!$C$28, 0.0415, 0)</f>
        <v>48.308500000000002</v>
      </c>
      <c r="D743" s="4">
        <f>69.6078 * CHOOSE(CONTROL!$C$9, $C$13, 100%, $E$13) + CHOOSE(CONTROL!$C$28, 0.0021, 0)</f>
        <v>69.609899999999996</v>
      </c>
      <c r="E743" s="4">
        <f>334.760495407404 * CHOOSE(CONTROL!$C$9, $C$13, 100%, $E$13) + CHOOSE(CONTROL!$C$28, 0.0021, 0)</f>
        <v>334.76259540740398</v>
      </c>
    </row>
    <row r="744" spans="1:5" ht="15">
      <c r="A744" s="13">
        <v>64162</v>
      </c>
      <c r="B744" s="4">
        <f>49.776 * CHOOSE(CONTROL!$C$9, $C$13, 100%, $E$13) + CHOOSE(CONTROL!$C$28, 0.0415, 0)</f>
        <v>49.817500000000003</v>
      </c>
      <c r="C744" s="4">
        <f>49.4127 * CHOOSE(CONTROL!$C$9, $C$13, 100%, $E$13) + CHOOSE(CONTROL!$C$28, 0.0415, 0)</f>
        <v>49.4542</v>
      </c>
      <c r="D744" s="4">
        <f>68.8815 * CHOOSE(CONTROL!$C$9, $C$13, 100%, $E$13) + CHOOSE(CONTROL!$C$28, 0.0021, 0)</f>
        <v>68.883600000000001</v>
      </c>
      <c r="E744" s="4">
        <f>342.775362502347 * CHOOSE(CONTROL!$C$9, $C$13, 100%, $E$13) + CHOOSE(CONTROL!$C$28, 0.0021, 0)</f>
        <v>342.77746250234696</v>
      </c>
    </row>
    <row r="745" spans="1:5" ht="15">
      <c r="A745" s="13">
        <v>64192</v>
      </c>
      <c r="B745" s="4">
        <f>47.8232 * CHOOSE(CONTROL!$C$9, $C$13, 100%, $E$13) + CHOOSE(CONTROL!$C$28, 0.0415, 0)</f>
        <v>47.864699999999999</v>
      </c>
      <c r="C745" s="4">
        <f>47.46 * CHOOSE(CONTROL!$C$9, $C$13, 100%, $E$13) + CHOOSE(CONTROL!$C$28, 0.0415, 0)</f>
        <v>47.5015</v>
      </c>
      <c r="D745" s="4">
        <f>68.5383 * CHOOSE(CONTROL!$C$9, $C$13, 100%, $E$13) + CHOOSE(CONTROL!$C$28, 0.0021, 0)</f>
        <v>68.540400000000005</v>
      </c>
      <c r="E745" s="4">
        <f>329.115472735882 * CHOOSE(CONTROL!$C$9, $C$13, 100%, $E$13) + CHOOSE(CONTROL!$C$28, 0.0021, 0)</f>
        <v>329.11757273588199</v>
      </c>
    </row>
    <row r="746" spans="1:5" ht="15">
      <c r="A746" s="13">
        <v>64223</v>
      </c>
      <c r="B746" s="4">
        <f>46.26 * CHOOSE(CONTROL!$C$9, $C$13, 100%, $E$13) + CHOOSE(CONTROL!$C$28, 0.0211, 0)</f>
        <v>46.281099999999995</v>
      </c>
      <c r="C746" s="4">
        <f>45.8967 * CHOOSE(CONTROL!$C$9, $C$13, 100%, $E$13) + CHOOSE(CONTROL!$C$28, 0.0211, 0)</f>
        <v>45.9178</v>
      </c>
      <c r="D746" s="4">
        <f>67.6195 * CHOOSE(CONTROL!$C$9, $C$13, 100%, $E$13) + CHOOSE(CONTROL!$C$28, 0.0021, 0)</f>
        <v>67.621600000000001</v>
      </c>
      <c r="E746" s="4">
        <f>318.180460265262 * CHOOSE(CONTROL!$C$9, $C$13, 100%, $E$13) + CHOOSE(CONTROL!$C$28, 0.0021, 0)</f>
        <v>318.182560265262</v>
      </c>
    </row>
    <row r="747" spans="1:5" ht="15">
      <c r="A747" s="13">
        <v>64253</v>
      </c>
      <c r="B747" s="4">
        <f>45.2531 * CHOOSE(CONTROL!$C$9, $C$13, 100%, $E$13) + CHOOSE(CONTROL!$C$28, 0.0211, 0)</f>
        <v>45.2742</v>
      </c>
      <c r="C747" s="4">
        <f>44.8898 * CHOOSE(CONTROL!$C$9, $C$13, 100%, $E$13) + CHOOSE(CONTROL!$C$28, 0.0211, 0)</f>
        <v>44.910899999999998</v>
      </c>
      <c r="D747" s="4">
        <f>67.3036 * CHOOSE(CONTROL!$C$9, $C$13, 100%, $E$13) + CHOOSE(CONTROL!$C$28, 0.0021, 0)</f>
        <v>67.305700000000002</v>
      </c>
      <c r="E747" s="4">
        <f>311.137495658576 * CHOOSE(CONTROL!$C$9, $C$13, 100%, $E$13) + CHOOSE(CONTROL!$C$28, 0.0021, 0)</f>
        <v>311.13959565857596</v>
      </c>
    </row>
    <row r="748" spans="1:5" ht="15">
      <c r="A748" s="13">
        <v>64284</v>
      </c>
      <c r="B748" s="4">
        <f>44.5565 * CHOOSE(CONTROL!$C$9, $C$13, 100%, $E$13) + CHOOSE(CONTROL!$C$28, 0.0211, 0)</f>
        <v>44.577599999999997</v>
      </c>
      <c r="C748" s="4">
        <f>44.1932 * CHOOSE(CONTROL!$C$9, $C$13, 100%, $E$13) + CHOOSE(CONTROL!$C$28, 0.0211, 0)</f>
        <v>44.214299999999994</v>
      </c>
      <c r="D748" s="4">
        <f>64.9778 * CHOOSE(CONTROL!$C$9, $C$13, 100%, $E$13) + CHOOSE(CONTROL!$C$28, 0.0021, 0)</f>
        <v>64.979900000000001</v>
      </c>
      <c r="E748" s="4">
        <f>306.264669484573 * CHOOSE(CONTROL!$C$9, $C$13, 100%, $E$13) + CHOOSE(CONTROL!$C$28, 0.0021, 0)</f>
        <v>306.26676948457299</v>
      </c>
    </row>
    <row r="749" spans="1:5" ht="15">
      <c r="A749" s="13">
        <v>64315</v>
      </c>
      <c r="B749" s="4">
        <f>42.6506 * CHOOSE(CONTROL!$C$9, $C$13, 100%, $E$13) + CHOOSE(CONTROL!$C$28, 0.0211, 0)</f>
        <v>42.671699999999994</v>
      </c>
      <c r="C749" s="4">
        <f>42.2873 * CHOOSE(CONTROL!$C$9, $C$13, 100%, $E$13) + CHOOSE(CONTROL!$C$28, 0.0211, 0)</f>
        <v>42.308399999999999</v>
      </c>
      <c r="D749" s="4">
        <f>62.4159 * CHOOSE(CONTROL!$C$9, $C$13, 100%, $E$13) + CHOOSE(CONTROL!$C$28, 0.0021, 0)</f>
        <v>62.417999999999999</v>
      </c>
      <c r="E749" s="4">
        <f>293.507501521583 * CHOOSE(CONTROL!$C$9, $C$13, 100%, $E$13) + CHOOSE(CONTROL!$C$28, 0.0021, 0)</f>
        <v>293.50960152158297</v>
      </c>
    </row>
    <row r="750" spans="1:5" ht="15">
      <c r="A750" s="13">
        <v>64344</v>
      </c>
      <c r="B750" s="4">
        <f>43.6449 * CHOOSE(CONTROL!$C$9, $C$13, 100%, $E$13) + CHOOSE(CONTROL!$C$28, 0.0211, 0)</f>
        <v>43.665999999999997</v>
      </c>
      <c r="C750" s="4">
        <f>43.2816 * CHOOSE(CONTROL!$C$9, $C$13, 100%, $E$13) + CHOOSE(CONTROL!$C$28, 0.0211, 0)</f>
        <v>43.302699999999994</v>
      </c>
      <c r="D750" s="4">
        <f>64.5534 * CHOOSE(CONTROL!$C$9, $C$13, 100%, $E$13) + CHOOSE(CONTROL!$C$28, 0.0021, 0)</f>
        <v>64.555499999999995</v>
      </c>
      <c r="E750" s="4">
        <f>300.476526294189 * CHOOSE(CONTROL!$C$9, $C$13, 100%, $E$13) + CHOOSE(CONTROL!$C$28, 0.0021, 0)</f>
        <v>300.47862629418898</v>
      </c>
    </row>
    <row r="751" spans="1:5" ht="15">
      <c r="A751" s="13">
        <v>64375</v>
      </c>
      <c r="B751" s="4">
        <f>46.2561 * CHOOSE(CONTROL!$C$9, $C$13, 100%, $E$13) + CHOOSE(CONTROL!$C$28, 0.0211, 0)</f>
        <v>46.277200000000001</v>
      </c>
      <c r="C751" s="4">
        <f>45.8928 * CHOOSE(CONTROL!$C$9, $C$13, 100%, $E$13) + CHOOSE(CONTROL!$C$28, 0.0211, 0)</f>
        <v>45.913899999999998</v>
      </c>
      <c r="D751" s="4">
        <f>67.8996 * CHOOSE(CONTROL!$C$9, $C$13, 100%, $E$13) + CHOOSE(CONTROL!$C$28, 0.0021, 0)</f>
        <v>67.901700000000005</v>
      </c>
      <c r="E751" s="4">
        <f>318.777555703522 * CHOOSE(CONTROL!$C$9, $C$13, 100%, $E$13) + CHOOSE(CONTROL!$C$28, 0.0021, 0)</f>
        <v>318.779655703522</v>
      </c>
    </row>
    <row r="752" spans="1:5" ht="15">
      <c r="A752" s="13">
        <v>64405</v>
      </c>
      <c r="B752" s="4">
        <f>48.1114 * CHOOSE(CONTROL!$C$9, $C$13, 100%, $E$13) + CHOOSE(CONTROL!$C$28, 0.0211, 0)</f>
        <v>48.1325</v>
      </c>
      <c r="C752" s="4">
        <f>47.7481 * CHOOSE(CONTROL!$C$9, $C$13, 100%, $E$13) + CHOOSE(CONTROL!$C$28, 0.0211, 0)</f>
        <v>47.769199999999998</v>
      </c>
      <c r="D752" s="4">
        <f>69.8271 * CHOOSE(CONTROL!$C$9, $C$13, 100%, $E$13) + CHOOSE(CONTROL!$C$28, 0.0021, 0)</f>
        <v>69.8292</v>
      </c>
      <c r="E752" s="4">
        <f>331.780680992137 * CHOOSE(CONTROL!$C$9, $C$13, 100%, $E$13) + CHOOSE(CONTROL!$C$28, 0.0021, 0)</f>
        <v>331.78278099213696</v>
      </c>
    </row>
    <row r="753" spans="1:5" ht="15">
      <c r="A753" s="13">
        <v>64436</v>
      </c>
      <c r="B753" s="4">
        <f>49.2449 * CHOOSE(CONTROL!$C$9, $C$13, 100%, $E$13) + CHOOSE(CONTROL!$C$28, 0.0415, 0)</f>
        <v>49.2864</v>
      </c>
      <c r="C753" s="4">
        <f>48.8816 * CHOOSE(CONTROL!$C$9, $C$13, 100%, $E$13) + CHOOSE(CONTROL!$C$28, 0.0415, 0)</f>
        <v>48.923099999999998</v>
      </c>
      <c r="D753" s="4">
        <f>69.0654 * CHOOSE(CONTROL!$C$9, $C$13, 100%, $E$13) + CHOOSE(CONTROL!$C$28, 0.0021, 0)</f>
        <v>69.067499999999995</v>
      </c>
      <c r="E753" s="4">
        <f>339.725278902061 * CHOOSE(CONTROL!$C$9, $C$13, 100%, $E$13) + CHOOSE(CONTROL!$C$28, 0.0021, 0)</f>
        <v>339.72737890206099</v>
      </c>
    </row>
    <row r="754" spans="1:5" ht="15">
      <c r="A754" s="13">
        <v>64466</v>
      </c>
      <c r="B754" s="4">
        <f>49.3982 * CHOOSE(CONTROL!$C$9, $C$13, 100%, $E$13) + CHOOSE(CONTROL!$C$28, 0.0415, 0)</f>
        <v>49.439700000000002</v>
      </c>
      <c r="C754" s="4">
        <f>49.035 * CHOOSE(CONTROL!$C$9, $C$13, 100%, $E$13) + CHOOSE(CONTROL!$C$28, 0.0415, 0)</f>
        <v>49.076499999999996</v>
      </c>
      <c r="D754" s="4">
        <f>69.6857 * CHOOSE(CONTROL!$C$9, $C$13, 100%, $E$13) + CHOOSE(CONTROL!$C$28, 0.0021, 0)</f>
        <v>69.687799999999996</v>
      </c>
      <c r="E754" s="4">
        <f>340.800215970033 * CHOOSE(CONTROL!$C$9, $C$13, 100%, $E$13) + CHOOSE(CONTROL!$C$28, 0.0021, 0)</f>
        <v>340.80231597003296</v>
      </c>
    </row>
    <row r="755" spans="1:5" ht="15">
      <c r="A755" s="13">
        <v>64497</v>
      </c>
      <c r="B755" s="4">
        <f>49.3828 * CHOOSE(CONTROL!$C$9, $C$13, 100%, $E$13) + CHOOSE(CONTROL!$C$28, 0.0415, 0)</f>
        <v>49.424300000000002</v>
      </c>
      <c r="C755" s="4">
        <f>49.0195 * CHOOSE(CONTROL!$C$9, $C$13, 100%, $E$13) + CHOOSE(CONTROL!$C$28, 0.0415, 0)</f>
        <v>49.061</v>
      </c>
      <c r="D755" s="4">
        <f>70.805 * CHOOSE(CONTROL!$C$9, $C$13, 100%, $E$13) + CHOOSE(CONTROL!$C$28, 0.0021, 0)</f>
        <v>70.807100000000005</v>
      </c>
      <c r="E755" s="4">
        <f>340.691818954775 * CHOOSE(CONTROL!$C$9, $C$13, 100%, $E$13) + CHOOSE(CONTROL!$C$28, 0.0021, 0)</f>
        <v>340.69391895477497</v>
      </c>
    </row>
    <row r="756" spans="1:5" ht="15">
      <c r="A756" s="13">
        <v>64528</v>
      </c>
      <c r="B756" s="4">
        <f>50.5466 * CHOOSE(CONTROL!$C$9, $C$13, 100%, $E$13) + CHOOSE(CONTROL!$C$28, 0.0415, 0)</f>
        <v>50.588099999999997</v>
      </c>
      <c r="C756" s="4">
        <f>50.1833 * CHOOSE(CONTROL!$C$9, $C$13, 100%, $E$13) + CHOOSE(CONTROL!$C$28, 0.0415, 0)</f>
        <v>50.224800000000002</v>
      </c>
      <c r="D756" s="4">
        <f>70.0658 * CHOOSE(CONTROL!$C$9, $C$13, 100%, $E$13) + CHOOSE(CONTROL!$C$28, 0.0021, 0)</f>
        <v>70.067899999999995</v>
      </c>
      <c r="E756" s="4">
        <f>348.848694352913 * CHOOSE(CONTROL!$C$9, $C$13, 100%, $E$13) + CHOOSE(CONTROL!$C$28, 0.0021, 0)</f>
        <v>348.850794352913</v>
      </c>
    </row>
    <row r="757" spans="1:5" ht="15">
      <c r="A757" s="13">
        <v>64558</v>
      </c>
      <c r="B757" s="4">
        <f>48.5631 * CHOOSE(CONTROL!$C$9, $C$13, 100%, $E$13) + CHOOSE(CONTROL!$C$28, 0.0415, 0)</f>
        <v>48.604599999999998</v>
      </c>
      <c r="C757" s="4">
        <f>48.1998 * CHOOSE(CONTROL!$C$9, $C$13, 100%, $E$13) + CHOOSE(CONTROL!$C$28, 0.0415, 0)</f>
        <v>48.241300000000003</v>
      </c>
      <c r="D757" s="4">
        <f>69.7166 * CHOOSE(CONTROL!$C$9, $C$13, 100%, $E$13) + CHOOSE(CONTROL!$C$28, 0.0021, 0)</f>
        <v>69.718699999999998</v>
      </c>
      <c r="E757" s="4">
        <f>334.94677714612 * CHOOSE(CONTROL!$C$9, $C$13, 100%, $E$13) + CHOOSE(CONTROL!$C$28, 0.0021, 0)</f>
        <v>334.94887714611997</v>
      </c>
    </row>
    <row r="758" spans="1:5" ht="15">
      <c r="A758" s="13">
        <v>64589</v>
      </c>
      <c r="B758" s="4">
        <f>46.9753 * CHOOSE(CONTROL!$C$9, $C$13, 100%, $E$13) + CHOOSE(CONTROL!$C$28, 0.0211, 0)</f>
        <v>46.996399999999994</v>
      </c>
      <c r="C758" s="4">
        <f>46.612 * CHOOSE(CONTROL!$C$9, $C$13, 100%, $E$13) + CHOOSE(CONTROL!$C$28, 0.0211, 0)</f>
        <v>46.633099999999999</v>
      </c>
      <c r="D758" s="4">
        <f>68.7815 * CHOOSE(CONTROL!$C$9, $C$13, 100%, $E$13) + CHOOSE(CONTROL!$C$28, 0.0021, 0)</f>
        <v>68.783599999999993</v>
      </c>
      <c r="E758" s="4">
        <f>323.818016913002 * CHOOSE(CONTROL!$C$9, $C$13, 100%, $E$13) + CHOOSE(CONTROL!$C$28, 0.0021, 0)</f>
        <v>323.82011691300198</v>
      </c>
    </row>
    <row r="759" spans="1:5" ht="15">
      <c r="A759" s="13">
        <v>64619</v>
      </c>
      <c r="B759" s="4">
        <f>45.9526 * CHOOSE(CONTROL!$C$9, $C$13, 100%, $E$13) + CHOOSE(CONTROL!$C$28, 0.0211, 0)</f>
        <v>45.973699999999994</v>
      </c>
      <c r="C759" s="4">
        <f>45.5893 * CHOOSE(CONTROL!$C$9, $C$13, 100%, $E$13) + CHOOSE(CONTROL!$C$28, 0.0211, 0)</f>
        <v>45.610399999999998</v>
      </c>
      <c r="D759" s="4">
        <f>68.46 * CHOOSE(CONTROL!$C$9, $C$13, 100%, $E$13) + CHOOSE(CONTROL!$C$28, 0.0021, 0)</f>
        <v>68.462099999999992</v>
      </c>
      <c r="E759" s="4">
        <f>316.65026427909 * CHOOSE(CONTROL!$C$9, $C$13, 100%, $E$13) + CHOOSE(CONTROL!$C$28, 0.0021, 0)</f>
        <v>316.65236427908997</v>
      </c>
    </row>
    <row r="760" spans="1:5" ht="15">
      <c r="A760" s="13">
        <v>64650</v>
      </c>
      <c r="B760" s="4">
        <f>45.245 * CHOOSE(CONTROL!$C$9, $C$13, 100%, $E$13) + CHOOSE(CONTROL!$C$28, 0.0211, 0)</f>
        <v>45.266099999999994</v>
      </c>
      <c r="C760" s="4">
        <f>44.8817 * CHOOSE(CONTROL!$C$9, $C$13, 100%, $E$13) + CHOOSE(CONTROL!$C$28, 0.0211, 0)</f>
        <v>44.902799999999999</v>
      </c>
      <c r="D760" s="4">
        <f>66.0932 * CHOOSE(CONTROL!$C$9, $C$13, 100%, $E$13) + CHOOSE(CONTROL!$C$28, 0.0021, 0)</f>
        <v>66.095299999999995</v>
      </c>
      <c r="E760" s="4">
        <f>311.691100831053 * CHOOSE(CONTROL!$C$9, $C$13, 100%, $E$13) + CHOOSE(CONTROL!$C$28, 0.0021, 0)</f>
        <v>311.69320083105299</v>
      </c>
    </row>
    <row r="761" spans="1:5" ht="15">
      <c r="A761" s="13">
        <v>64681</v>
      </c>
      <c r="B761" s="4">
        <f>43.3091 * CHOOSE(CONTROL!$C$9, $C$13, 100%, $E$13) + CHOOSE(CONTROL!$C$28, 0.0211, 0)</f>
        <v>43.330199999999998</v>
      </c>
      <c r="C761" s="4">
        <f>42.9458 * CHOOSE(CONTROL!$C$9, $C$13, 100%, $E$13) + CHOOSE(CONTROL!$C$28, 0.0211, 0)</f>
        <v>42.966899999999995</v>
      </c>
      <c r="D761" s="4">
        <f>63.4859 * CHOOSE(CONTROL!$C$9, $C$13, 100%, $E$13) + CHOOSE(CONTROL!$C$28, 0.0021, 0)</f>
        <v>63.488</v>
      </c>
      <c r="E761" s="4">
        <f>298.707899952666 * CHOOSE(CONTROL!$C$9, $C$13, 100%, $E$13) + CHOOSE(CONTROL!$C$28, 0.0021, 0)</f>
        <v>298.70999995266601</v>
      </c>
    </row>
    <row r="762" spans="1:5" ht="15">
      <c r="A762" s="13">
        <v>64709</v>
      </c>
      <c r="B762" s="4">
        <f>44.3191 * CHOOSE(CONTROL!$C$9, $C$13, 100%, $E$13) + CHOOSE(CONTROL!$C$28, 0.0211, 0)</f>
        <v>44.340199999999996</v>
      </c>
      <c r="C762" s="4">
        <f>43.9558 * CHOOSE(CONTROL!$C$9, $C$13, 100%, $E$13) + CHOOSE(CONTROL!$C$28, 0.0211, 0)</f>
        <v>43.976900000000001</v>
      </c>
      <c r="D762" s="4">
        <f>65.6612 * CHOOSE(CONTROL!$C$9, $C$13, 100%, $E$13) + CHOOSE(CONTROL!$C$28, 0.0021, 0)</f>
        <v>65.663299999999992</v>
      </c>
      <c r="E762" s="4">
        <f>305.800402678325 * CHOOSE(CONTROL!$C$9, $C$13, 100%, $E$13) + CHOOSE(CONTROL!$C$28, 0.0021, 0)</f>
        <v>305.80250267832497</v>
      </c>
    </row>
    <row r="763" spans="1:5" ht="15">
      <c r="A763" s="13">
        <v>64740</v>
      </c>
      <c r="B763" s="4">
        <f>46.9713 * CHOOSE(CONTROL!$C$9, $C$13, 100%, $E$13) + CHOOSE(CONTROL!$C$28, 0.0211, 0)</f>
        <v>46.992399999999996</v>
      </c>
      <c r="C763" s="4">
        <f>46.608 * CHOOSE(CONTROL!$C$9, $C$13, 100%, $E$13) + CHOOSE(CONTROL!$C$28, 0.0211, 0)</f>
        <v>46.629099999999994</v>
      </c>
      <c r="D763" s="4">
        <f>69.0665 * CHOOSE(CONTROL!$C$9, $C$13, 100%, $E$13) + CHOOSE(CONTROL!$C$28, 0.0021, 0)</f>
        <v>69.068600000000004</v>
      </c>
      <c r="E763" s="4">
        <f>324.425691754392 * CHOOSE(CONTROL!$C$9, $C$13, 100%, $E$13) + CHOOSE(CONTROL!$C$28, 0.0021, 0)</f>
        <v>324.42779175439199</v>
      </c>
    </row>
    <row r="764" spans="1:5" ht="15">
      <c r="A764" s="13">
        <v>64770</v>
      </c>
      <c r="B764" s="4">
        <f>48.8557 * CHOOSE(CONTROL!$C$9, $C$13, 100%, $E$13) + CHOOSE(CONTROL!$C$28, 0.0211, 0)</f>
        <v>48.876799999999996</v>
      </c>
      <c r="C764" s="4">
        <f>48.4925 * CHOOSE(CONTROL!$C$9, $C$13, 100%, $E$13) + CHOOSE(CONTROL!$C$28, 0.0211, 0)</f>
        <v>48.513599999999997</v>
      </c>
      <c r="D764" s="4">
        <f>71.0281 * CHOOSE(CONTROL!$C$9, $C$13, 100%, $E$13) + CHOOSE(CONTROL!$C$28, 0.0021, 0)</f>
        <v>71.030199999999994</v>
      </c>
      <c r="E764" s="4">
        <f>337.65920785755 * CHOOSE(CONTROL!$C$9, $C$13, 100%, $E$13) + CHOOSE(CONTROL!$C$28, 0.0021, 0)</f>
        <v>337.66130785754996</v>
      </c>
    </row>
    <row r="765" spans="1:5" ht="15">
      <c r="A765" s="13">
        <v>64801</v>
      </c>
      <c r="B765" s="4">
        <f>50.0071 * CHOOSE(CONTROL!$C$9, $C$13, 100%, $E$13) + CHOOSE(CONTROL!$C$28, 0.0415, 0)</f>
        <v>50.0486</v>
      </c>
      <c r="C765" s="4">
        <f>49.6438 * CHOOSE(CONTROL!$C$9, $C$13, 100%, $E$13) + CHOOSE(CONTROL!$C$28, 0.0415, 0)</f>
        <v>49.685299999999998</v>
      </c>
      <c r="D765" s="4">
        <f>70.253 * CHOOSE(CONTROL!$C$9, $C$13, 100%, $E$13) + CHOOSE(CONTROL!$C$28, 0.0021, 0)</f>
        <v>70.255099999999999</v>
      </c>
      <c r="E765" s="4">
        <f>345.744569033464 * CHOOSE(CONTROL!$C$9, $C$13, 100%, $E$13) + CHOOSE(CONTROL!$C$28, 0.0021, 0)</f>
        <v>345.746669033464</v>
      </c>
    </row>
    <row r="766" spans="1:5" ht="15">
      <c r="A766" s="13">
        <v>64831</v>
      </c>
      <c r="B766" s="4">
        <f>50.1629 * CHOOSE(CONTROL!$C$9, $C$13, 100%, $E$13) + CHOOSE(CONTROL!$C$28, 0.0415, 0)</f>
        <v>50.2044</v>
      </c>
      <c r="C766" s="4">
        <f>49.7996 * CHOOSE(CONTROL!$C$9, $C$13, 100%, $E$13) + CHOOSE(CONTROL!$C$28, 0.0415, 0)</f>
        <v>49.841099999999997</v>
      </c>
      <c r="D766" s="4">
        <f>70.8842 * CHOOSE(CONTROL!$C$9, $C$13, 100%, $E$13) + CHOOSE(CONTROL!$C$28, 0.0021, 0)</f>
        <v>70.886300000000006</v>
      </c>
      <c r="E766" s="4">
        <f>346.838551955503 * CHOOSE(CONTROL!$C$9, $C$13, 100%, $E$13) + CHOOSE(CONTROL!$C$28, 0.0021, 0)</f>
        <v>346.84065195550301</v>
      </c>
    </row>
    <row r="767" spans="1:5" ht="15">
      <c r="A767" s="13">
        <v>64862</v>
      </c>
      <c r="B767" s="4">
        <f>50.1472 * CHOOSE(CONTROL!$C$9, $C$13, 100%, $E$13) + CHOOSE(CONTROL!$C$28, 0.0415, 0)</f>
        <v>50.188699999999997</v>
      </c>
      <c r="C767" s="4">
        <f>49.7839 * CHOOSE(CONTROL!$C$9, $C$13, 100%, $E$13) + CHOOSE(CONTROL!$C$28, 0.0415, 0)</f>
        <v>49.825400000000002</v>
      </c>
      <c r="D767" s="4">
        <f>72.0233 * CHOOSE(CONTROL!$C$9, $C$13, 100%, $E$13) + CHOOSE(CONTROL!$C$28, 0.0021, 0)</f>
        <v>72.025400000000005</v>
      </c>
      <c r="E767" s="4">
        <f>346.728234349919 * CHOOSE(CONTROL!$C$9, $C$13, 100%, $E$13) + CHOOSE(CONTROL!$C$28, 0.0021, 0)</f>
        <v>346.73033434991896</v>
      </c>
    </row>
    <row r="768" spans="1:5" ht="15">
      <c r="A768" s="13">
        <v>64893</v>
      </c>
      <c r="B768" s="4">
        <f>51.3293 * CHOOSE(CONTROL!$C$9, $C$13, 100%, $E$13) + CHOOSE(CONTROL!$C$28, 0.0415, 0)</f>
        <v>51.370800000000003</v>
      </c>
      <c r="C768" s="4">
        <f>50.966 * CHOOSE(CONTROL!$C$9, $C$13, 100%, $E$13) + CHOOSE(CONTROL!$C$28, 0.0415, 0)</f>
        <v>51.0075</v>
      </c>
      <c r="D768" s="4">
        <f>71.271 * CHOOSE(CONTROL!$C$9, $C$13, 100%, $E$13) + CHOOSE(CONTROL!$C$28, 0.0021, 0)</f>
        <v>71.273099999999999</v>
      </c>
      <c r="E768" s="4">
        <f>355.029634170101 * CHOOSE(CONTROL!$C$9, $C$13, 100%, $E$13) + CHOOSE(CONTROL!$C$28, 0.0021, 0)</f>
        <v>355.031734170101</v>
      </c>
    </row>
    <row r="769" spans="1:5" ht="15">
      <c r="A769" s="13">
        <v>64923</v>
      </c>
      <c r="B769" s="4">
        <f>49.3146 * CHOOSE(CONTROL!$C$9, $C$13, 100%, $E$13) + CHOOSE(CONTROL!$C$28, 0.0415, 0)</f>
        <v>49.356099999999998</v>
      </c>
      <c r="C769" s="4">
        <f>48.9513 * CHOOSE(CONTROL!$C$9, $C$13, 100%, $E$13) + CHOOSE(CONTROL!$C$28, 0.0415, 0)</f>
        <v>48.992800000000003</v>
      </c>
      <c r="D769" s="4">
        <f>70.9156 * CHOOSE(CONTROL!$C$9, $C$13, 100%, $E$13) + CHOOSE(CONTROL!$C$28, 0.0021, 0)</f>
        <v>70.917699999999996</v>
      </c>
      <c r="E769" s="4">
        <f>340.881401253978 * CHOOSE(CONTROL!$C$9, $C$13, 100%, $E$13) + CHOOSE(CONTROL!$C$28, 0.0021, 0)</f>
        <v>340.88350125397801</v>
      </c>
    </row>
    <row r="770" spans="1:5" ht="15">
      <c r="A770" s="13">
        <v>64954</v>
      </c>
      <c r="B770" s="4">
        <f>47.7018 * CHOOSE(CONTROL!$C$9, $C$13, 100%, $E$13) + CHOOSE(CONTROL!$C$28, 0.0211, 0)</f>
        <v>47.722899999999996</v>
      </c>
      <c r="C770" s="4">
        <f>47.3385 * CHOOSE(CONTROL!$C$9, $C$13, 100%, $E$13) + CHOOSE(CONTROL!$C$28, 0.0211, 0)</f>
        <v>47.3596</v>
      </c>
      <c r="D770" s="4">
        <f>69.964 * CHOOSE(CONTROL!$C$9, $C$13, 100%, $E$13) + CHOOSE(CONTROL!$C$28, 0.0021, 0)</f>
        <v>69.966099999999997</v>
      </c>
      <c r="E770" s="4">
        <f>329.555460414039 * CHOOSE(CONTROL!$C$9, $C$13, 100%, $E$13) + CHOOSE(CONTROL!$C$28, 0.0021, 0)</f>
        <v>329.55756041403896</v>
      </c>
    </row>
    <row r="771" spans="1:5" ht="15">
      <c r="A771" s="13">
        <v>64984</v>
      </c>
      <c r="B771" s="4">
        <f>46.663 * CHOOSE(CONTROL!$C$9, $C$13, 100%, $E$13) + CHOOSE(CONTROL!$C$28, 0.0211, 0)</f>
        <v>46.684099999999994</v>
      </c>
      <c r="C771" s="4">
        <f>46.2997 * CHOOSE(CONTROL!$C$9, $C$13, 100%, $E$13) + CHOOSE(CONTROL!$C$28, 0.0211, 0)</f>
        <v>46.320799999999998</v>
      </c>
      <c r="D771" s="4">
        <f>69.6368 * CHOOSE(CONTROL!$C$9, $C$13, 100%, $E$13) + CHOOSE(CONTROL!$C$28, 0.0021, 0)</f>
        <v>69.638899999999992</v>
      </c>
      <c r="E771" s="4">
        <f>322.26070874481 * CHOOSE(CONTROL!$C$9, $C$13, 100%, $E$13) + CHOOSE(CONTROL!$C$28, 0.0021, 0)</f>
        <v>322.26280874481</v>
      </c>
    </row>
    <row r="772" spans="1:5" ht="15">
      <c r="A772" s="13">
        <v>65015</v>
      </c>
      <c r="B772" s="4">
        <f>45.9443 * CHOOSE(CONTROL!$C$9, $C$13, 100%, $E$13) + CHOOSE(CONTROL!$C$28, 0.0211, 0)</f>
        <v>45.965399999999995</v>
      </c>
      <c r="C772" s="4">
        <f>45.581 * CHOOSE(CONTROL!$C$9, $C$13, 100%, $E$13) + CHOOSE(CONTROL!$C$28, 0.0211, 0)</f>
        <v>45.6021</v>
      </c>
      <c r="D772" s="4">
        <f>67.2282 * CHOOSE(CONTROL!$C$9, $C$13, 100%, $E$13) + CHOOSE(CONTROL!$C$28, 0.0021, 0)</f>
        <v>67.2303</v>
      </c>
      <c r="E772" s="4">
        <f>317.213678289351 * CHOOSE(CONTROL!$C$9, $C$13, 100%, $E$13) + CHOOSE(CONTROL!$C$28, 0.0021, 0)</f>
        <v>317.21577828935096</v>
      </c>
    </row>
    <row r="773" spans="1:5" ht="15">
      <c r="A773" s="13">
        <v>65046</v>
      </c>
      <c r="B773" s="4">
        <f>43.978 * CHOOSE(CONTROL!$C$9, $C$13, 100%, $E$13) + CHOOSE(CONTROL!$C$28, 0.0211, 0)</f>
        <v>43.999099999999999</v>
      </c>
      <c r="C773" s="4">
        <f>43.6147 * CHOOSE(CONTROL!$C$9, $C$13, 100%, $E$13) + CHOOSE(CONTROL!$C$28, 0.0211, 0)</f>
        <v>43.635799999999996</v>
      </c>
      <c r="D773" s="4">
        <f>64.5749 * CHOOSE(CONTROL!$C$9, $C$13, 100%, $E$13) + CHOOSE(CONTROL!$C$28, 0.0021, 0)</f>
        <v>64.576999999999998</v>
      </c>
      <c r="E773" s="4">
        <f>304.000439619328 * CHOOSE(CONTROL!$C$9, $C$13, 100%, $E$13) + CHOOSE(CONTROL!$C$28, 0.0021, 0)</f>
        <v>304.00253961932799</v>
      </c>
    </row>
    <row r="774" spans="1:5" ht="15">
      <c r="A774" s="13">
        <v>65074</v>
      </c>
      <c r="B774" s="4">
        <f>45.0038 * CHOOSE(CONTROL!$C$9, $C$13, 100%, $E$13) + CHOOSE(CONTROL!$C$28, 0.0211, 0)</f>
        <v>45.024899999999995</v>
      </c>
      <c r="C774" s="4">
        <f>44.6406 * CHOOSE(CONTROL!$C$9, $C$13, 100%, $E$13) + CHOOSE(CONTROL!$C$28, 0.0211, 0)</f>
        <v>44.661699999999996</v>
      </c>
      <c r="D774" s="4">
        <f>66.7886 * CHOOSE(CONTROL!$C$9, $C$13, 100%, $E$13) + CHOOSE(CONTROL!$C$28, 0.0021, 0)</f>
        <v>66.790700000000001</v>
      </c>
      <c r="E774" s="4">
        <f>311.218608094094 * CHOOSE(CONTROL!$C$9, $C$13, 100%, $E$13) + CHOOSE(CONTROL!$C$28, 0.0021, 0)</f>
        <v>311.22070809409399</v>
      </c>
    </row>
    <row r="775" spans="1:5" ht="15">
      <c r="A775" s="13">
        <v>65105</v>
      </c>
      <c r="B775" s="4">
        <f>47.6978 * CHOOSE(CONTROL!$C$9, $C$13, 100%, $E$13) + CHOOSE(CONTROL!$C$28, 0.0211, 0)</f>
        <v>47.718899999999998</v>
      </c>
      <c r="C775" s="4">
        <f>47.3345 * CHOOSE(CONTROL!$C$9, $C$13, 100%, $E$13) + CHOOSE(CONTROL!$C$28, 0.0211, 0)</f>
        <v>47.355599999999995</v>
      </c>
      <c r="D775" s="4">
        <f>70.2541 * CHOOSE(CONTROL!$C$9, $C$13, 100%, $E$13) + CHOOSE(CONTROL!$C$28, 0.0021, 0)</f>
        <v>70.256199999999993</v>
      </c>
      <c r="E775" s="4">
        <f>330.173902105597 * CHOOSE(CONTROL!$C$9, $C$13, 100%, $E$13) + CHOOSE(CONTROL!$C$28, 0.0021, 0)</f>
        <v>330.17600210559698</v>
      </c>
    </row>
    <row r="776" spans="1:5" ht="15">
      <c r="A776" s="13">
        <v>65135</v>
      </c>
      <c r="B776" s="4">
        <f>49.6118 * CHOOSE(CONTROL!$C$9, $C$13, 100%, $E$13) + CHOOSE(CONTROL!$C$28, 0.0211, 0)</f>
        <v>49.632899999999999</v>
      </c>
      <c r="C776" s="4">
        <f>49.2485 * CHOOSE(CONTROL!$C$9, $C$13, 100%, $E$13) + CHOOSE(CONTROL!$C$28, 0.0211, 0)</f>
        <v>49.269599999999997</v>
      </c>
      <c r="D776" s="4">
        <f>72.2503 * CHOOSE(CONTROL!$C$9, $C$13, 100%, $E$13) + CHOOSE(CONTROL!$C$28, 0.0021, 0)</f>
        <v>72.252399999999994</v>
      </c>
      <c r="E776" s="4">
        <f>343.641891113276 * CHOOSE(CONTROL!$C$9, $C$13, 100%, $E$13) + CHOOSE(CONTROL!$C$28, 0.0021, 0)</f>
        <v>343.643991113276</v>
      </c>
    </row>
    <row r="777" spans="1:5" ht="15">
      <c r="A777" s="13">
        <v>65166</v>
      </c>
      <c r="B777" s="4">
        <f>50.7813 * CHOOSE(CONTROL!$C$9, $C$13, 100%, $E$13) + CHOOSE(CONTROL!$C$28, 0.0415, 0)</f>
        <v>50.822800000000001</v>
      </c>
      <c r="C777" s="4">
        <f>50.418 * CHOOSE(CONTROL!$C$9, $C$13, 100%, $E$13) + CHOOSE(CONTROL!$C$28, 0.0415, 0)</f>
        <v>50.459499999999998</v>
      </c>
      <c r="D777" s="4">
        <f>71.4615 * CHOOSE(CONTROL!$C$9, $C$13, 100%, $E$13) + CHOOSE(CONTROL!$C$28, 0.0021, 0)</f>
        <v>71.4636</v>
      </c>
      <c r="E777" s="4">
        <f>351.870509614321 * CHOOSE(CONTROL!$C$9, $C$13, 100%, $E$13) + CHOOSE(CONTROL!$C$28, 0.0021, 0)</f>
        <v>351.87260961432099</v>
      </c>
    </row>
    <row r="778" spans="1:5" ht="15">
      <c r="A778" s="13">
        <v>65196</v>
      </c>
      <c r="B778" s="4">
        <f>50.9395 * CHOOSE(CONTROL!$C$9, $C$13, 100%, $E$13) + CHOOSE(CONTROL!$C$28, 0.0415, 0)</f>
        <v>50.981000000000002</v>
      </c>
      <c r="C778" s="4">
        <f>50.5762 * CHOOSE(CONTROL!$C$9, $C$13, 100%, $E$13) + CHOOSE(CONTROL!$C$28, 0.0415, 0)</f>
        <v>50.617699999999999</v>
      </c>
      <c r="D778" s="4">
        <f>72.1039 * CHOOSE(CONTROL!$C$9, $C$13, 100%, $E$13) + CHOOSE(CONTROL!$C$28, 0.0021, 0)</f>
        <v>72.105999999999995</v>
      </c>
      <c r="E778" s="4">
        <f>352.983875846981 * CHOOSE(CONTROL!$C$9, $C$13, 100%, $E$13) + CHOOSE(CONTROL!$C$28, 0.0021, 0)</f>
        <v>352.98597584698098</v>
      </c>
    </row>
    <row r="779" spans="1:5" ht="15">
      <c r="A779" s="13">
        <v>65227</v>
      </c>
      <c r="B779" s="4">
        <f>50.9236 * CHOOSE(CONTROL!$C$9, $C$13, 100%, $E$13) + CHOOSE(CONTROL!$C$28, 0.0415, 0)</f>
        <v>50.9651</v>
      </c>
      <c r="C779" s="4">
        <f>50.5603 * CHOOSE(CONTROL!$C$9, $C$13, 100%, $E$13) + CHOOSE(CONTROL!$C$28, 0.0415, 0)</f>
        <v>50.601799999999997</v>
      </c>
      <c r="D779" s="4">
        <f>73.2631 * CHOOSE(CONTROL!$C$9, $C$13, 100%, $E$13) + CHOOSE(CONTROL!$C$28, 0.0021, 0)</f>
        <v>73.265199999999993</v>
      </c>
      <c r="E779" s="4">
        <f>352.871603621839 * CHOOSE(CONTROL!$C$9, $C$13, 100%, $E$13) + CHOOSE(CONTROL!$C$28, 0.0021, 0)</f>
        <v>352.87370362183896</v>
      </c>
    </row>
    <row r="780" spans="1:5" ht="15">
      <c r="A780" s="13">
        <v>65258</v>
      </c>
      <c r="B780" s="4">
        <f>52.1243 * CHOOSE(CONTROL!$C$9, $C$13, 100%, $E$13) + CHOOSE(CONTROL!$C$28, 0.0415, 0)</f>
        <v>52.165799999999997</v>
      </c>
      <c r="C780" s="4">
        <f>51.761 * CHOOSE(CONTROL!$C$9, $C$13, 100%, $E$13) + CHOOSE(CONTROL!$C$28, 0.0415, 0)</f>
        <v>51.802500000000002</v>
      </c>
      <c r="D780" s="4">
        <f>72.4976 * CHOOSE(CONTROL!$C$9, $C$13, 100%, $E$13) + CHOOSE(CONTROL!$C$28, 0.0021, 0)</f>
        <v>72.499700000000004</v>
      </c>
      <c r="E780" s="4">
        <f>361.320088563787 * CHOOSE(CONTROL!$C$9, $C$13, 100%, $E$13) + CHOOSE(CONTROL!$C$28, 0.0021, 0)</f>
        <v>361.32218856378699</v>
      </c>
    </row>
    <row r="781" spans="1:5" ht="15">
      <c r="A781" s="13">
        <v>65288</v>
      </c>
      <c r="B781" s="4">
        <f>50.0779 * CHOOSE(CONTROL!$C$9, $C$13, 100%, $E$13) + CHOOSE(CONTROL!$C$28, 0.0415, 0)</f>
        <v>50.119399999999999</v>
      </c>
      <c r="C781" s="4">
        <f>49.7146 * CHOOSE(CONTROL!$C$9, $C$13, 100%, $E$13) + CHOOSE(CONTROL!$C$28, 0.0415, 0)</f>
        <v>49.756099999999996</v>
      </c>
      <c r="D781" s="4">
        <f>72.1359 * CHOOSE(CONTROL!$C$9, $C$13, 100%, $E$13) + CHOOSE(CONTROL!$C$28, 0.0021, 0)</f>
        <v>72.138000000000005</v>
      </c>
      <c r="E781" s="4">
        <f>346.921175689304 * CHOOSE(CONTROL!$C$9, $C$13, 100%, $E$13) + CHOOSE(CONTROL!$C$28, 0.0021, 0)</f>
        <v>346.92327568930398</v>
      </c>
    </row>
    <row r="782" spans="1:5" ht="15">
      <c r="A782" s="13">
        <v>65319</v>
      </c>
      <c r="B782" s="4">
        <f>48.4397 * CHOOSE(CONTROL!$C$9, $C$13, 100%, $E$13) + CHOOSE(CONTROL!$C$28, 0.0211, 0)</f>
        <v>48.460799999999999</v>
      </c>
      <c r="C782" s="4">
        <f>48.0764 * CHOOSE(CONTROL!$C$9, $C$13, 100%, $E$13) + CHOOSE(CONTROL!$C$28, 0.0211, 0)</f>
        <v>48.097499999999997</v>
      </c>
      <c r="D782" s="4">
        <f>71.1674 * CHOOSE(CONTROL!$C$9, $C$13, 100%, $E$13) + CHOOSE(CONTROL!$C$28, 0.0021, 0)</f>
        <v>71.169499999999999</v>
      </c>
      <c r="E782" s="4">
        <f>335.394560574707 * CHOOSE(CONTROL!$C$9, $C$13, 100%, $E$13) + CHOOSE(CONTROL!$C$28, 0.0021, 0)</f>
        <v>335.39666057470697</v>
      </c>
    </row>
    <row r="783" spans="1:5" ht="15">
      <c r="A783" s="13">
        <v>65349</v>
      </c>
      <c r="B783" s="4">
        <f>47.3846 * CHOOSE(CONTROL!$C$9, $C$13, 100%, $E$13) + CHOOSE(CONTROL!$C$28, 0.0211, 0)</f>
        <v>47.405699999999996</v>
      </c>
      <c r="C783" s="4">
        <f>47.0213 * CHOOSE(CONTROL!$C$9, $C$13, 100%, $E$13) + CHOOSE(CONTROL!$C$28, 0.0211, 0)</f>
        <v>47.042399999999994</v>
      </c>
      <c r="D783" s="4">
        <f>70.8345 * CHOOSE(CONTROL!$C$9, $C$13, 100%, $E$13) + CHOOSE(CONTROL!$C$28, 0.0021, 0)</f>
        <v>70.836600000000004</v>
      </c>
      <c r="E783" s="4">
        <f>327.970559687181 * CHOOSE(CONTROL!$C$9, $C$13, 100%, $E$13) + CHOOSE(CONTROL!$C$28, 0.0021, 0)</f>
        <v>327.97265968718096</v>
      </c>
    </row>
    <row r="784" spans="1:5" ht="15">
      <c r="A784" s="13">
        <v>65380</v>
      </c>
      <c r="B784" s="4">
        <f>46.6546 * CHOOSE(CONTROL!$C$9, $C$13, 100%, $E$13) + CHOOSE(CONTROL!$C$28, 0.0211, 0)</f>
        <v>46.675699999999999</v>
      </c>
      <c r="C784" s="4">
        <f>46.2913 * CHOOSE(CONTROL!$C$9, $C$13, 100%, $E$13) + CHOOSE(CONTROL!$C$28, 0.0211, 0)</f>
        <v>46.312399999999997</v>
      </c>
      <c r="D784" s="4">
        <f>68.3833 * CHOOSE(CONTROL!$C$9, $C$13, 100%, $E$13) + CHOOSE(CONTROL!$C$28, 0.0021, 0)</f>
        <v>68.385400000000004</v>
      </c>
      <c r="E784" s="4">
        <f>322.834105386927 * CHOOSE(CONTROL!$C$9, $C$13, 100%, $E$13) + CHOOSE(CONTROL!$C$28, 0.0021, 0)</f>
        <v>322.83620538692696</v>
      </c>
    </row>
    <row r="785" spans="1:5" ht="15">
      <c r="A785" s="13">
        <v>65411</v>
      </c>
      <c r="B785" s="4">
        <f>44.6574 * CHOOSE(CONTROL!$C$9, $C$13, 100%, $E$13) + CHOOSE(CONTROL!$C$28, 0.0211, 0)</f>
        <v>44.6785</v>
      </c>
      <c r="C785" s="4">
        <f>44.2941 * CHOOSE(CONTROL!$C$9, $C$13, 100%, $E$13) + CHOOSE(CONTROL!$C$28, 0.0211, 0)</f>
        <v>44.315199999999997</v>
      </c>
      <c r="D785" s="4">
        <f>65.6831 * CHOOSE(CONTROL!$C$9, $C$13, 100%, $E$13) + CHOOSE(CONTROL!$C$28, 0.0021, 0)</f>
        <v>65.685199999999995</v>
      </c>
      <c r="E785" s="4">
        <f>309.386753090191 * CHOOSE(CONTROL!$C$9, $C$13, 100%, $E$13) + CHOOSE(CONTROL!$C$28, 0.0021, 0)</f>
        <v>309.38885309019099</v>
      </c>
    </row>
    <row r="786" spans="1:5" ht="15">
      <c r="A786" s="13">
        <v>65439</v>
      </c>
      <c r="B786" s="4">
        <f>45.6994 * CHOOSE(CONTROL!$C$9, $C$13, 100%, $E$13) + CHOOSE(CONTROL!$C$28, 0.0211, 0)</f>
        <v>45.720499999999994</v>
      </c>
      <c r="C786" s="4">
        <f>45.3361 * CHOOSE(CONTROL!$C$9, $C$13, 100%, $E$13) + CHOOSE(CONTROL!$C$28, 0.0211, 0)</f>
        <v>45.357199999999999</v>
      </c>
      <c r="D786" s="4">
        <f>67.936 * CHOOSE(CONTROL!$C$9, $C$13, 100%, $E$13) + CHOOSE(CONTROL!$C$28, 0.0021, 0)</f>
        <v>67.938100000000006</v>
      </c>
      <c r="E786" s="4">
        <f>316.732813873728 * CHOOSE(CONTROL!$C$9, $C$13, 100%, $E$13) + CHOOSE(CONTROL!$C$28, 0.0021, 0)</f>
        <v>316.73491387372798</v>
      </c>
    </row>
    <row r="787" spans="1:5" ht="15">
      <c r="A787" s="13">
        <v>65470</v>
      </c>
      <c r="B787" s="4">
        <f>48.4356 * CHOOSE(CONTROL!$C$9, $C$13, 100%, $E$13) + CHOOSE(CONTROL!$C$28, 0.0211, 0)</f>
        <v>48.456699999999998</v>
      </c>
      <c r="C787" s="4">
        <f>48.0724 * CHOOSE(CONTROL!$C$9, $C$13, 100%, $E$13) + CHOOSE(CONTROL!$C$28, 0.0211, 0)</f>
        <v>48.093499999999999</v>
      </c>
      <c r="D787" s="4">
        <f>71.4626 * CHOOSE(CONTROL!$C$9, $C$13, 100%, $E$13) + CHOOSE(CONTROL!$C$28, 0.0021, 0)</f>
        <v>71.464699999999993</v>
      </c>
      <c r="E787" s="4">
        <f>336.023959884676 * CHOOSE(CONTROL!$C$9, $C$13, 100%, $E$13) + CHOOSE(CONTROL!$C$28, 0.0021, 0)</f>
        <v>336.02605988467599</v>
      </c>
    </row>
    <row r="788" spans="1:5" ht="15">
      <c r="A788" s="13">
        <v>65500</v>
      </c>
      <c r="B788" s="4">
        <f>50.3798 * CHOOSE(CONTROL!$C$9, $C$13, 100%, $E$13) + CHOOSE(CONTROL!$C$28, 0.0211, 0)</f>
        <v>50.4009</v>
      </c>
      <c r="C788" s="4">
        <f>50.0165 * CHOOSE(CONTROL!$C$9, $C$13, 100%, $E$13) + CHOOSE(CONTROL!$C$28, 0.0211, 0)</f>
        <v>50.037599999999998</v>
      </c>
      <c r="D788" s="4">
        <f>73.4941 * CHOOSE(CONTROL!$C$9, $C$13, 100%, $E$13) + CHOOSE(CONTROL!$C$28, 0.0021, 0)</f>
        <v>73.496200000000002</v>
      </c>
      <c r="E788" s="4">
        <f>349.730576213777 * CHOOSE(CONTROL!$C$9, $C$13, 100%, $E$13) + CHOOSE(CONTROL!$C$28, 0.0021, 0)</f>
        <v>349.73267621377698</v>
      </c>
    </row>
    <row r="789" spans="1:5" ht="15">
      <c r="A789" s="13">
        <v>65531</v>
      </c>
      <c r="B789" s="4">
        <f>51.5676 * CHOOSE(CONTROL!$C$9, $C$13, 100%, $E$13) + CHOOSE(CONTROL!$C$28, 0.0415, 0)</f>
        <v>51.609099999999998</v>
      </c>
      <c r="C789" s="4">
        <f>51.2044 * CHOOSE(CONTROL!$C$9, $C$13, 100%, $E$13) + CHOOSE(CONTROL!$C$28, 0.0415, 0)</f>
        <v>51.245899999999999</v>
      </c>
      <c r="D789" s="4">
        <f>72.6914 * CHOOSE(CONTROL!$C$9, $C$13, 100%, $E$13) + CHOOSE(CONTROL!$C$28, 0.0021, 0)</f>
        <v>72.6935</v>
      </c>
      <c r="E789" s="4">
        <f>358.104990289112 * CHOOSE(CONTROL!$C$9, $C$13, 100%, $E$13) + CHOOSE(CONTROL!$C$28, 0.0021, 0)</f>
        <v>358.10709028911197</v>
      </c>
    </row>
    <row r="790" spans="1:5" ht="15">
      <c r="A790" s="13">
        <v>65561</v>
      </c>
      <c r="B790" s="4">
        <f>51.7284 * CHOOSE(CONTROL!$C$9, $C$13, 100%, $E$13) + CHOOSE(CONTROL!$C$28, 0.0415, 0)</f>
        <v>51.7699</v>
      </c>
      <c r="C790" s="4">
        <f>51.3651 * CHOOSE(CONTROL!$C$9, $C$13, 100%, $E$13) + CHOOSE(CONTROL!$C$28, 0.0415, 0)</f>
        <v>51.406599999999997</v>
      </c>
      <c r="D790" s="4">
        <f>73.3451 * CHOOSE(CONTROL!$C$9, $C$13, 100%, $E$13) + CHOOSE(CONTROL!$C$28, 0.0021, 0)</f>
        <v>73.347200000000001</v>
      </c>
      <c r="E790" s="4">
        <f>359.238083268038 * CHOOSE(CONTROL!$C$9, $C$13, 100%, $E$13) + CHOOSE(CONTROL!$C$28, 0.0021, 0)</f>
        <v>359.24018326803798</v>
      </c>
    </row>
    <row r="791" spans="1:5" ht="15">
      <c r="A791" s="13">
        <v>65592</v>
      </c>
      <c r="B791" s="4">
        <f>51.7122 * CHOOSE(CONTROL!$C$9, $C$13, 100%, $E$13) + CHOOSE(CONTROL!$C$28, 0.0415, 0)</f>
        <v>51.753700000000002</v>
      </c>
      <c r="C791" s="4">
        <f>51.3489 * CHOOSE(CONTROL!$C$9, $C$13, 100%, $E$13) + CHOOSE(CONTROL!$C$28, 0.0415, 0)</f>
        <v>51.3904</v>
      </c>
      <c r="D791" s="4">
        <f>74.5248 * CHOOSE(CONTROL!$C$9, $C$13, 100%, $E$13) + CHOOSE(CONTROL!$C$28, 0.0021, 0)</f>
        <v>74.526899999999998</v>
      </c>
      <c r="E791" s="4">
        <f>359.123821791171 * CHOOSE(CONTROL!$C$9, $C$13, 100%, $E$13) + CHOOSE(CONTROL!$C$28, 0.0021, 0)</f>
        <v>359.12592179117098</v>
      </c>
    </row>
    <row r="792" spans="1:5" ht="15">
      <c r="A792" s="13">
        <v>65623</v>
      </c>
      <c r="B792" s="4">
        <f>52.9317 * CHOOSE(CONTROL!$C$9, $C$13, 100%, $E$13) + CHOOSE(CONTROL!$C$28, 0.0415, 0)</f>
        <v>52.973199999999999</v>
      </c>
      <c r="C792" s="4">
        <f>52.5685 * CHOOSE(CONTROL!$C$9, $C$13, 100%, $E$13) + CHOOSE(CONTROL!$C$28, 0.0415, 0)</f>
        <v>52.61</v>
      </c>
      <c r="D792" s="4">
        <f>73.7457 * CHOOSE(CONTROL!$C$9, $C$13, 100%, $E$13) + CHOOSE(CONTROL!$C$28, 0.0021, 0)</f>
        <v>73.747799999999998</v>
      </c>
      <c r="E792" s="4">
        <f>367.72199792537 * CHOOSE(CONTROL!$C$9, $C$13, 100%, $E$13) + CHOOSE(CONTROL!$C$28, 0.0021, 0)</f>
        <v>367.72409792536996</v>
      </c>
    </row>
    <row r="793" spans="1:5" ht="15">
      <c r="A793" s="13">
        <v>65653</v>
      </c>
      <c r="B793" s="4">
        <f>50.8532 * CHOOSE(CONTROL!$C$9, $C$13, 100%, $E$13) + CHOOSE(CONTROL!$C$28, 0.0415, 0)</f>
        <v>50.8947</v>
      </c>
      <c r="C793" s="4">
        <f>50.4899 * CHOOSE(CONTROL!$C$9, $C$13, 100%, $E$13) + CHOOSE(CONTROL!$C$28, 0.0415, 0)</f>
        <v>50.531399999999998</v>
      </c>
      <c r="D793" s="4">
        <f>73.3777 * CHOOSE(CONTROL!$C$9, $C$13, 100%, $E$13) + CHOOSE(CONTROL!$C$28, 0.0021, 0)</f>
        <v>73.379800000000003</v>
      </c>
      <c r="E793" s="4">
        <f>353.067963517251 * CHOOSE(CONTROL!$C$9, $C$13, 100%, $E$13) + CHOOSE(CONTROL!$C$28, 0.0021, 0)</f>
        <v>353.07006351725096</v>
      </c>
    </row>
    <row r="794" spans="1:5" ht="15">
      <c r="A794" s="13">
        <v>65684</v>
      </c>
      <c r="B794" s="4">
        <f>49.1893 * CHOOSE(CONTROL!$C$9, $C$13, 100%, $E$13) + CHOOSE(CONTROL!$C$28, 0.0211, 0)</f>
        <v>49.2104</v>
      </c>
      <c r="C794" s="4">
        <f>48.826 * CHOOSE(CONTROL!$C$9, $C$13, 100%, $E$13) + CHOOSE(CONTROL!$C$28, 0.0211, 0)</f>
        <v>48.847099999999998</v>
      </c>
      <c r="D794" s="4">
        <f>72.3921 * CHOOSE(CONTROL!$C$9, $C$13, 100%, $E$13) + CHOOSE(CONTROL!$C$28, 0.0021, 0)</f>
        <v>72.394199999999998</v>
      </c>
      <c r="E794" s="4">
        <f>341.337118558965 * CHOOSE(CONTROL!$C$9, $C$13, 100%, $E$13) + CHOOSE(CONTROL!$C$28, 0.0021, 0)</f>
        <v>341.339218558965</v>
      </c>
    </row>
    <row r="795" spans="1:5" ht="15">
      <c r="A795" s="13">
        <v>65714</v>
      </c>
      <c r="B795" s="4">
        <f>48.1176 * CHOOSE(CONTROL!$C$9, $C$13, 100%, $E$13) + CHOOSE(CONTROL!$C$28, 0.0211, 0)</f>
        <v>48.1387</v>
      </c>
      <c r="C795" s="4">
        <f>47.7543 * CHOOSE(CONTROL!$C$9, $C$13, 100%, $E$13) + CHOOSE(CONTROL!$C$28, 0.0211, 0)</f>
        <v>47.775399999999998</v>
      </c>
      <c r="D795" s="4">
        <f>72.0533 * CHOOSE(CONTROL!$C$9, $C$13, 100%, $E$13) + CHOOSE(CONTROL!$C$28, 0.0021, 0)</f>
        <v>72.055399999999992</v>
      </c>
      <c r="E795" s="4">
        <f>333.781578401172 * CHOOSE(CONTROL!$C$9, $C$13, 100%, $E$13) + CHOOSE(CONTROL!$C$28, 0.0021, 0)</f>
        <v>333.78367840117198</v>
      </c>
    </row>
    <row r="796" spans="1:5" ht="15">
      <c r="A796" s="13">
        <v>65745</v>
      </c>
      <c r="B796" s="4">
        <f>47.3761 * CHOOSE(CONTROL!$C$9, $C$13, 100%, $E$13) + CHOOSE(CONTROL!$C$28, 0.0211, 0)</f>
        <v>47.397199999999998</v>
      </c>
      <c r="C796" s="4">
        <f>47.0128 * CHOOSE(CONTROL!$C$9, $C$13, 100%, $E$13) + CHOOSE(CONTROL!$C$28, 0.0211, 0)</f>
        <v>47.033899999999996</v>
      </c>
      <c r="D796" s="4">
        <f>69.5588 * CHOOSE(CONTROL!$C$9, $C$13, 100%, $E$13) + CHOOSE(CONTROL!$C$28, 0.0021, 0)</f>
        <v>69.560900000000004</v>
      </c>
      <c r="E796" s="4">
        <f>328.554115834533 * CHOOSE(CONTROL!$C$9, $C$13, 100%, $E$13) + CHOOSE(CONTROL!$C$28, 0.0021, 0)</f>
        <v>328.55621583453296</v>
      </c>
    </row>
    <row r="797" spans="1:5" ht="15">
      <c r="A797" s="13">
        <v>65776</v>
      </c>
      <c r="B797" s="4">
        <f>45.3474 * CHOOSE(CONTROL!$C$9, $C$13, 100%, $E$13) + CHOOSE(CONTROL!$C$28, 0.0211, 0)</f>
        <v>45.368499999999997</v>
      </c>
      <c r="C797" s="4">
        <f>44.9842 * CHOOSE(CONTROL!$C$9, $C$13, 100%, $E$13) + CHOOSE(CONTROL!$C$28, 0.0211, 0)</f>
        <v>45.005299999999998</v>
      </c>
      <c r="D797" s="4">
        <f>66.8109 * CHOOSE(CONTROL!$C$9, $C$13, 100%, $E$13) + CHOOSE(CONTROL!$C$28, 0.0021, 0)</f>
        <v>66.813000000000002</v>
      </c>
      <c r="E797" s="4">
        <f>314.868501859906 * CHOOSE(CONTROL!$C$9, $C$13, 100%, $E$13) + CHOOSE(CONTROL!$C$28, 0.0021, 0)</f>
        <v>314.870601859906</v>
      </c>
    </row>
    <row r="798" spans="1:5" ht="15">
      <c r="A798" s="13">
        <v>65805</v>
      </c>
      <c r="B798" s="4">
        <f>46.4058 * CHOOSE(CONTROL!$C$9, $C$13, 100%, $E$13) + CHOOSE(CONTROL!$C$28, 0.0211, 0)</f>
        <v>46.426899999999996</v>
      </c>
      <c r="C798" s="4">
        <f>46.0425 * CHOOSE(CONTROL!$C$9, $C$13, 100%, $E$13) + CHOOSE(CONTROL!$C$28, 0.0211, 0)</f>
        <v>46.063599999999994</v>
      </c>
      <c r="D798" s="4">
        <f>69.1036 * CHOOSE(CONTROL!$C$9, $C$13, 100%, $E$13) + CHOOSE(CONTROL!$C$28, 0.0021, 0)</f>
        <v>69.105699999999999</v>
      </c>
      <c r="E798" s="4">
        <f>322.344720962311 * CHOOSE(CONTROL!$C$9, $C$13, 100%, $E$13) + CHOOSE(CONTROL!$C$28, 0.0021, 0)</f>
        <v>322.34682096231097</v>
      </c>
    </row>
    <row r="799" spans="1:5" ht="15">
      <c r="A799" s="13">
        <v>65836</v>
      </c>
      <c r="B799" s="4">
        <f>49.1851 * CHOOSE(CONTROL!$C$9, $C$13, 100%, $E$13) + CHOOSE(CONTROL!$C$28, 0.0211, 0)</f>
        <v>49.206199999999995</v>
      </c>
      <c r="C799" s="4">
        <f>48.8218 * CHOOSE(CONTROL!$C$9, $C$13, 100%, $E$13) + CHOOSE(CONTROL!$C$28, 0.0211, 0)</f>
        <v>48.8429</v>
      </c>
      <c r="D799" s="4">
        <f>72.6925 * CHOOSE(CONTROL!$C$9, $C$13, 100%, $E$13) + CHOOSE(CONTROL!$C$28, 0.0021, 0)</f>
        <v>72.694599999999994</v>
      </c>
      <c r="E799" s="4">
        <f>341.977669635641 * CHOOSE(CONTROL!$C$9, $C$13, 100%, $E$13) + CHOOSE(CONTROL!$C$28, 0.0021, 0)</f>
        <v>341.97976963564099</v>
      </c>
    </row>
    <row r="800" spans="1:5" ht="15">
      <c r="A800" s="13">
        <v>65866</v>
      </c>
      <c r="B800" s="4">
        <f>51.1599 * CHOOSE(CONTROL!$C$9, $C$13, 100%, $E$13) + CHOOSE(CONTROL!$C$28, 0.0211, 0)</f>
        <v>51.180999999999997</v>
      </c>
      <c r="C800" s="4">
        <f>50.7966 * CHOOSE(CONTROL!$C$9, $C$13, 100%, $E$13) + CHOOSE(CONTROL!$C$28, 0.0211, 0)</f>
        <v>50.817699999999995</v>
      </c>
      <c r="D800" s="4">
        <f>74.7599 * CHOOSE(CONTROL!$C$9, $C$13, 100%, $E$13) + CHOOSE(CONTROL!$C$28, 0.0021, 0)</f>
        <v>74.762</v>
      </c>
      <c r="E800" s="4">
        <f>355.927141311484 * CHOOSE(CONTROL!$C$9, $C$13, 100%, $E$13) + CHOOSE(CONTROL!$C$28, 0.0021, 0)</f>
        <v>355.92924131148396</v>
      </c>
    </row>
    <row r="801" spans="1:5" ht="15">
      <c r="A801" s="13">
        <v>65897</v>
      </c>
      <c r="B801" s="4">
        <f>52.3664 * CHOOSE(CONTROL!$C$9, $C$13, 100%, $E$13) + CHOOSE(CONTROL!$C$28, 0.0415, 0)</f>
        <v>52.407899999999998</v>
      </c>
      <c r="C801" s="4">
        <f>52.0031 * CHOOSE(CONTROL!$C$9, $C$13, 100%, $E$13) + CHOOSE(CONTROL!$C$28, 0.0415, 0)</f>
        <v>52.044600000000003</v>
      </c>
      <c r="D801" s="4">
        <f>73.943 * CHOOSE(CONTROL!$C$9, $C$13, 100%, $E$13) + CHOOSE(CONTROL!$C$28, 0.0021, 0)</f>
        <v>73.945099999999996</v>
      </c>
      <c r="E801" s="4">
        <f>364.449934183248 * CHOOSE(CONTROL!$C$9, $C$13, 100%, $E$13) + CHOOSE(CONTROL!$C$28, 0.0021, 0)</f>
        <v>364.45203418324797</v>
      </c>
    </row>
    <row r="802" spans="1:5" ht="15">
      <c r="A802" s="13">
        <v>65927</v>
      </c>
      <c r="B802" s="4">
        <f>52.5296 * CHOOSE(CONTROL!$C$9, $C$13, 100%, $E$13) + CHOOSE(CONTROL!$C$28, 0.0415, 0)</f>
        <v>52.571100000000001</v>
      </c>
      <c r="C802" s="4">
        <f>52.1664 * CHOOSE(CONTROL!$C$9, $C$13, 100%, $E$13) + CHOOSE(CONTROL!$C$28, 0.0415, 0)</f>
        <v>52.207900000000002</v>
      </c>
      <c r="D802" s="4">
        <f>74.6083 * CHOOSE(CONTROL!$C$9, $C$13, 100%, $E$13) + CHOOSE(CONTROL!$C$28, 0.0021, 0)</f>
        <v>74.610399999999998</v>
      </c>
      <c r="E802" s="4">
        <f>365.603103429115 * CHOOSE(CONTROL!$C$9, $C$13, 100%, $E$13) + CHOOSE(CONTROL!$C$28, 0.0021, 0)</f>
        <v>365.60520342911497</v>
      </c>
    </row>
    <row r="803" spans="1:5" ht="15">
      <c r="A803" s="13">
        <v>65958</v>
      </c>
      <c r="B803" s="4">
        <f>52.5132 * CHOOSE(CONTROL!$C$9, $C$13, 100%, $E$13) + CHOOSE(CONTROL!$C$28, 0.0415, 0)</f>
        <v>52.554699999999997</v>
      </c>
      <c r="C803" s="4">
        <f>52.1499 * CHOOSE(CONTROL!$C$9, $C$13, 100%, $E$13) + CHOOSE(CONTROL!$C$28, 0.0415, 0)</f>
        <v>52.191400000000002</v>
      </c>
      <c r="D803" s="4">
        <f>75.8088 * CHOOSE(CONTROL!$C$9, $C$13, 100%, $E$13) + CHOOSE(CONTROL!$C$28, 0.0021, 0)</f>
        <v>75.810900000000004</v>
      </c>
      <c r="E803" s="4">
        <f>365.486817454742 * CHOOSE(CONTROL!$C$9, $C$13, 100%, $E$13) + CHOOSE(CONTROL!$C$28, 0.0021, 0)</f>
        <v>365.48891745474197</v>
      </c>
    </row>
    <row r="804" spans="1:5" ht="15">
      <c r="A804" s="13">
        <v>65989</v>
      </c>
      <c r="B804" s="4">
        <f>53.7519 * CHOOSE(CONTROL!$C$9, $C$13, 100%, $E$13) + CHOOSE(CONTROL!$C$28, 0.0415, 0)</f>
        <v>53.793399999999998</v>
      </c>
      <c r="C804" s="4">
        <f>53.3886 * CHOOSE(CONTROL!$C$9, $C$13, 100%, $E$13) + CHOOSE(CONTROL!$C$28, 0.0415, 0)</f>
        <v>53.430099999999996</v>
      </c>
      <c r="D804" s="4">
        <f>75.016 * CHOOSE(CONTROL!$C$9, $C$13, 100%, $E$13) + CHOOSE(CONTROL!$C$28, 0.0021, 0)</f>
        <v>75.018100000000004</v>
      </c>
      <c r="E804" s="4">
        <f>374.23733702632 * CHOOSE(CONTROL!$C$9, $C$13, 100%, $E$13) + CHOOSE(CONTROL!$C$28, 0.0021, 0)</f>
        <v>374.23943702631999</v>
      </c>
    </row>
    <row r="805" spans="1:5" ht="15">
      <c r="A805" s="13">
        <v>66019</v>
      </c>
      <c r="B805" s="4">
        <f>51.6407 * CHOOSE(CONTROL!$C$9, $C$13, 100%, $E$13) + CHOOSE(CONTROL!$C$28, 0.0415, 0)</f>
        <v>51.682200000000002</v>
      </c>
      <c r="C805" s="4">
        <f>51.2774 * CHOOSE(CONTROL!$C$9, $C$13, 100%, $E$13) + CHOOSE(CONTROL!$C$28, 0.0415, 0)</f>
        <v>51.318899999999999</v>
      </c>
      <c r="D805" s="4">
        <f>74.6414 * CHOOSE(CONTROL!$C$9, $C$13, 100%, $E$13) + CHOOSE(CONTROL!$C$28, 0.0021, 0)</f>
        <v>74.643500000000003</v>
      </c>
      <c r="E805" s="4">
        <f>359.323660812966 * CHOOSE(CONTROL!$C$9, $C$13, 100%, $E$13) + CHOOSE(CONTROL!$C$28, 0.0021, 0)</f>
        <v>359.325760812966</v>
      </c>
    </row>
    <row r="806" spans="1:5" ht="15">
      <c r="A806" s="13">
        <v>66050</v>
      </c>
      <c r="B806" s="4">
        <f>49.9506 * CHOOSE(CONTROL!$C$9, $C$13, 100%, $E$13) + CHOOSE(CONTROL!$C$28, 0.0211, 0)</f>
        <v>49.971699999999998</v>
      </c>
      <c r="C806" s="4">
        <f>49.5873 * CHOOSE(CONTROL!$C$9, $C$13, 100%, $E$13) + CHOOSE(CONTROL!$C$28, 0.0211, 0)</f>
        <v>49.608399999999996</v>
      </c>
      <c r="D806" s="4">
        <f>73.6384 * CHOOSE(CONTROL!$C$9, $C$13, 100%, $E$13) + CHOOSE(CONTROL!$C$28, 0.0021, 0)</f>
        <v>73.640500000000003</v>
      </c>
      <c r="E806" s="4">
        <f>347.384967443992 * CHOOSE(CONTROL!$C$9, $C$13, 100%, $E$13) + CHOOSE(CONTROL!$C$28, 0.0021, 0)</f>
        <v>347.38706744399201</v>
      </c>
    </row>
    <row r="807" spans="1:5" ht="15">
      <c r="A807" s="13">
        <v>66080</v>
      </c>
      <c r="B807" s="4">
        <f>48.8621 * CHOOSE(CONTROL!$C$9, $C$13, 100%, $E$13) + CHOOSE(CONTROL!$C$28, 0.0211, 0)</f>
        <v>48.883199999999995</v>
      </c>
      <c r="C807" s="4">
        <f>48.4988 * CHOOSE(CONTROL!$C$9, $C$13, 100%, $E$13) + CHOOSE(CONTROL!$C$28, 0.0211, 0)</f>
        <v>48.5199</v>
      </c>
      <c r="D807" s="4">
        <f>73.2936 * CHOOSE(CONTROL!$C$9, $C$13, 100%, $E$13) + CHOOSE(CONTROL!$C$28, 0.0021, 0)</f>
        <v>73.295699999999997</v>
      </c>
      <c r="E807" s="4">
        <f>339.695557388568 * CHOOSE(CONTROL!$C$9, $C$13, 100%, $E$13) + CHOOSE(CONTROL!$C$28, 0.0021, 0)</f>
        <v>339.69765738856796</v>
      </c>
    </row>
    <row r="808" spans="1:5" ht="15">
      <c r="A808" s="13">
        <v>66111</v>
      </c>
      <c r="B808" s="4">
        <f>48.1089 * CHOOSE(CONTROL!$C$9, $C$13, 100%, $E$13) + CHOOSE(CONTROL!$C$28, 0.0211, 0)</f>
        <v>48.129999999999995</v>
      </c>
      <c r="C808" s="4">
        <f>47.7456 * CHOOSE(CONTROL!$C$9, $C$13, 100%, $E$13) + CHOOSE(CONTROL!$C$28, 0.0211, 0)</f>
        <v>47.7667</v>
      </c>
      <c r="D808" s="4">
        <f>70.7551 * CHOOSE(CONTROL!$C$9, $C$13, 100%, $E$13) + CHOOSE(CONTROL!$C$28, 0.0021, 0)</f>
        <v>70.757199999999997</v>
      </c>
      <c r="E808" s="4">
        <f>334.375474060998 * CHOOSE(CONTROL!$C$9, $C$13, 100%, $E$13) + CHOOSE(CONTROL!$C$28, 0.0021, 0)</f>
        <v>334.37757406099797</v>
      </c>
    </row>
    <row r="809" spans="1:5" ht="15">
      <c r="A809" s="13">
        <v>66142</v>
      </c>
      <c r="B809" s="4">
        <f>46.0484 * CHOOSE(CONTROL!$C$9, $C$13, 100%, $E$13) + CHOOSE(CONTROL!$C$28, 0.0211, 0)</f>
        <v>46.069499999999998</v>
      </c>
      <c r="C809" s="4">
        <f>45.6851 * CHOOSE(CONTROL!$C$9, $C$13, 100%, $E$13) + CHOOSE(CONTROL!$C$28, 0.0211, 0)</f>
        <v>45.706199999999995</v>
      </c>
      <c r="D809" s="4">
        <f>67.9586 * CHOOSE(CONTROL!$C$9, $C$13, 100%, $E$13) + CHOOSE(CONTROL!$C$28, 0.0021, 0)</f>
        <v>67.960700000000003</v>
      </c>
      <c r="E809" s="4">
        <f>320.447376861672 * CHOOSE(CONTROL!$C$9, $C$13, 100%, $E$13) + CHOOSE(CONTROL!$C$28, 0.0021, 0)</f>
        <v>320.449476861672</v>
      </c>
    </row>
    <row r="810" spans="1:5" ht="15">
      <c r="A810" s="13">
        <v>66170</v>
      </c>
      <c r="B810" s="4">
        <f>47.1234 * CHOOSE(CONTROL!$C$9, $C$13, 100%, $E$13) + CHOOSE(CONTROL!$C$28, 0.0211, 0)</f>
        <v>47.144499999999994</v>
      </c>
      <c r="C810" s="4">
        <f>46.7601 * CHOOSE(CONTROL!$C$9, $C$13, 100%, $E$13) + CHOOSE(CONTROL!$C$28, 0.0211, 0)</f>
        <v>46.781199999999998</v>
      </c>
      <c r="D810" s="4">
        <f>70.2918 * CHOOSE(CONTROL!$C$9, $C$13, 100%, $E$13) + CHOOSE(CONTROL!$C$28, 0.0021, 0)</f>
        <v>70.293899999999994</v>
      </c>
      <c r="E810" s="4">
        <f>328.056060442461 * CHOOSE(CONTROL!$C$9, $C$13, 100%, $E$13) + CHOOSE(CONTROL!$C$28, 0.0021, 0)</f>
        <v>328.05816044246097</v>
      </c>
    </row>
    <row r="811" spans="1:5" ht="15">
      <c r="A811" s="13">
        <v>66201</v>
      </c>
      <c r="B811" s="4">
        <f>49.9464 * CHOOSE(CONTROL!$C$9, $C$13, 100%, $E$13) + CHOOSE(CONTROL!$C$28, 0.0211, 0)</f>
        <v>49.967499999999994</v>
      </c>
      <c r="C811" s="4">
        <f>49.5831 * CHOOSE(CONTROL!$C$9, $C$13, 100%, $E$13) + CHOOSE(CONTROL!$C$28, 0.0211, 0)</f>
        <v>49.604199999999999</v>
      </c>
      <c r="D811" s="4">
        <f>73.9442 * CHOOSE(CONTROL!$C$9, $C$13, 100%, $E$13) + CHOOSE(CONTROL!$C$28, 0.0021, 0)</f>
        <v>73.946299999999994</v>
      </c>
      <c r="E811" s="4">
        <f>348.036867875614 * CHOOSE(CONTROL!$C$9, $C$13, 100%, $E$13) + CHOOSE(CONTROL!$C$28, 0.0021, 0)</f>
        <v>348.03896787561399</v>
      </c>
    </row>
    <row r="812" spans="1:5" ht="15">
      <c r="A812" s="13">
        <v>66231</v>
      </c>
      <c r="B812" s="4">
        <f>51.9522 * CHOOSE(CONTROL!$C$9, $C$13, 100%, $E$13) + CHOOSE(CONTROL!$C$28, 0.0211, 0)</f>
        <v>51.973299999999995</v>
      </c>
      <c r="C812" s="4">
        <f>51.5889 * CHOOSE(CONTROL!$C$9, $C$13, 100%, $E$13) + CHOOSE(CONTROL!$C$28, 0.0211, 0)</f>
        <v>51.61</v>
      </c>
      <c r="D812" s="4">
        <f>76.0481 * CHOOSE(CONTROL!$C$9, $C$13, 100%, $E$13) + CHOOSE(CONTROL!$C$28, 0.0021, 0)</f>
        <v>76.050200000000004</v>
      </c>
      <c r="E812" s="4">
        <f>362.23349783614 * CHOOSE(CONTROL!$C$9, $C$13, 100%, $E$13) + CHOOSE(CONTROL!$C$28, 0.0021, 0)</f>
        <v>362.23559783613996</v>
      </c>
    </row>
    <row r="813" spans="1:5" ht="15">
      <c r="A813" s="13">
        <v>66262</v>
      </c>
      <c r="B813" s="4">
        <f>53.1777 * CHOOSE(CONTROL!$C$9, $C$13, 100%, $E$13) + CHOOSE(CONTROL!$C$28, 0.0415, 0)</f>
        <v>53.219200000000001</v>
      </c>
      <c r="C813" s="4">
        <f>52.8144 * CHOOSE(CONTROL!$C$9, $C$13, 100%, $E$13) + CHOOSE(CONTROL!$C$28, 0.0415, 0)</f>
        <v>52.855899999999998</v>
      </c>
      <c r="D813" s="4">
        <f>75.2167 * CHOOSE(CONTROL!$C$9, $C$13, 100%, $E$13) + CHOOSE(CONTROL!$C$28, 0.0021, 0)</f>
        <v>75.218800000000002</v>
      </c>
      <c r="E813" s="4">
        <f>370.907298496287 * CHOOSE(CONTROL!$C$9, $C$13, 100%, $E$13) + CHOOSE(CONTROL!$C$28, 0.0021, 0)</f>
        <v>370.909398496287</v>
      </c>
    </row>
    <row r="814" spans="1:5" ht="15">
      <c r="A814" s="13">
        <v>66292</v>
      </c>
      <c r="B814" s="4">
        <f>53.3435 * CHOOSE(CONTROL!$C$9, $C$13, 100%, $E$13) + CHOOSE(CONTROL!$C$28, 0.0415, 0)</f>
        <v>53.384999999999998</v>
      </c>
      <c r="C814" s="4">
        <f>52.9802 * CHOOSE(CONTROL!$C$9, $C$13, 100%, $E$13) + CHOOSE(CONTROL!$C$28, 0.0415, 0)</f>
        <v>53.021700000000003</v>
      </c>
      <c r="D814" s="4">
        <f>75.8938 * CHOOSE(CONTROL!$C$9, $C$13, 100%, $E$13) + CHOOSE(CONTROL!$C$28, 0.0021, 0)</f>
        <v>75.895899999999997</v>
      </c>
      <c r="E814" s="4">
        <f>372.080899722618 * CHOOSE(CONTROL!$C$9, $C$13, 100%, $E$13) + CHOOSE(CONTROL!$C$28, 0.0021, 0)</f>
        <v>372.08299972261801</v>
      </c>
    </row>
    <row r="815" spans="1:5" ht="15">
      <c r="A815" s="13">
        <v>66323</v>
      </c>
      <c r="B815" s="4">
        <f>53.3268 * CHOOSE(CONTROL!$C$9, $C$13, 100%, $E$13) + CHOOSE(CONTROL!$C$28, 0.0415, 0)</f>
        <v>53.368299999999998</v>
      </c>
      <c r="C815" s="4">
        <f>52.9635 * CHOOSE(CONTROL!$C$9, $C$13, 100%, $E$13) + CHOOSE(CONTROL!$C$28, 0.0415, 0)</f>
        <v>53.005000000000003</v>
      </c>
      <c r="D815" s="4">
        <f>77.1155 * CHOOSE(CONTROL!$C$9, $C$13, 100%, $E$13) + CHOOSE(CONTROL!$C$28, 0.0021, 0)</f>
        <v>77.117599999999996</v>
      </c>
      <c r="E815" s="4">
        <f>371.962553380467 * CHOOSE(CONTROL!$C$9, $C$13, 100%, $E$13) + CHOOSE(CONTROL!$C$28, 0.0021, 0)</f>
        <v>371.96465338046698</v>
      </c>
    </row>
    <row r="816" spans="1:5" ht="15">
      <c r="A816" s="13">
        <v>66354</v>
      </c>
      <c r="B816" s="4">
        <f>54.585 * CHOOSE(CONTROL!$C$9, $C$13, 100%, $E$13) + CHOOSE(CONTROL!$C$28, 0.0415, 0)</f>
        <v>54.6265</v>
      </c>
      <c r="C816" s="4">
        <f>54.2217 * CHOOSE(CONTROL!$C$9, $C$13, 100%, $E$13) + CHOOSE(CONTROL!$C$28, 0.0415, 0)</f>
        <v>54.263199999999998</v>
      </c>
      <c r="D816" s="4">
        <f>76.3087 * CHOOSE(CONTROL!$C$9, $C$13, 100%, $E$13) + CHOOSE(CONTROL!$C$28, 0.0021, 0)</f>
        <v>76.3108</v>
      </c>
      <c r="E816" s="4">
        <f>380.868115627327 * CHOOSE(CONTROL!$C$9, $C$13, 100%, $E$13) + CHOOSE(CONTROL!$C$28, 0.0021, 0)</f>
        <v>380.87021562732696</v>
      </c>
    </row>
    <row r="817" spans="1:5" ht="15">
      <c r="A817" s="13">
        <v>66384</v>
      </c>
      <c r="B817" s="4">
        <f>52.4406 * CHOOSE(CONTROL!$C$9, $C$13, 100%, $E$13) + CHOOSE(CONTROL!$C$28, 0.0415, 0)</f>
        <v>52.482100000000003</v>
      </c>
      <c r="C817" s="4">
        <f>52.0773 * CHOOSE(CONTROL!$C$9, $C$13, 100%, $E$13) + CHOOSE(CONTROL!$C$28, 0.0415, 0)</f>
        <v>52.1188</v>
      </c>
      <c r="D817" s="4">
        <f>75.9275 * CHOOSE(CONTROL!$C$9, $C$13, 100%, $E$13) + CHOOSE(CONTROL!$C$28, 0.0021, 0)</f>
        <v>75.929599999999994</v>
      </c>
      <c r="E817" s="4">
        <f>365.690197246466 * CHOOSE(CONTROL!$C$9, $C$13, 100%, $E$13) + CHOOSE(CONTROL!$C$28, 0.0021, 0)</f>
        <v>365.69229724646601</v>
      </c>
    </row>
    <row r="818" spans="1:5" ht="15">
      <c r="A818" s="13">
        <v>66415</v>
      </c>
      <c r="B818" s="4">
        <f>50.7239 * CHOOSE(CONTROL!$C$9, $C$13, 100%, $E$13) + CHOOSE(CONTROL!$C$28, 0.0211, 0)</f>
        <v>50.744999999999997</v>
      </c>
      <c r="C818" s="4">
        <f>50.3606 * CHOOSE(CONTROL!$C$9, $C$13, 100%, $E$13) + CHOOSE(CONTROL!$C$28, 0.0211, 0)</f>
        <v>50.381699999999995</v>
      </c>
      <c r="D818" s="4">
        <f>74.9068 * CHOOSE(CONTROL!$C$9, $C$13, 100%, $E$13) + CHOOSE(CONTROL!$C$28, 0.0021, 0)</f>
        <v>74.908900000000003</v>
      </c>
      <c r="E818" s="4">
        <f>353.539972785634 * CHOOSE(CONTROL!$C$9, $C$13, 100%, $E$13) + CHOOSE(CONTROL!$C$28, 0.0021, 0)</f>
        <v>353.54207278563399</v>
      </c>
    </row>
    <row r="819" spans="1:5" ht="15">
      <c r="A819" s="13">
        <v>66445</v>
      </c>
      <c r="B819" s="4">
        <f>49.6182 * CHOOSE(CONTROL!$C$9, $C$13, 100%, $E$13) + CHOOSE(CONTROL!$C$28, 0.0211, 0)</f>
        <v>49.639299999999999</v>
      </c>
      <c r="C819" s="4">
        <f>49.255 * CHOOSE(CONTROL!$C$9, $C$13, 100%, $E$13) + CHOOSE(CONTROL!$C$28, 0.0211, 0)</f>
        <v>49.2761</v>
      </c>
      <c r="D819" s="4">
        <f>74.5559 * CHOOSE(CONTROL!$C$9, $C$13, 100%, $E$13) + CHOOSE(CONTROL!$C$28, 0.0021, 0)</f>
        <v>74.557999999999993</v>
      </c>
      <c r="E819" s="4">
        <f>345.714320910902 * CHOOSE(CONTROL!$C$9, $C$13, 100%, $E$13) + CHOOSE(CONTROL!$C$28, 0.0021, 0)</f>
        <v>345.716420910902</v>
      </c>
    </row>
    <row r="820" spans="1:5" ht="15">
      <c r="A820" s="13">
        <v>66476</v>
      </c>
      <c r="B820" s="4">
        <f>48.8533 * CHOOSE(CONTROL!$C$9, $C$13, 100%, $E$13) + CHOOSE(CONTROL!$C$28, 0.0211, 0)</f>
        <v>48.874399999999994</v>
      </c>
      <c r="C820" s="4">
        <f>48.49 * CHOOSE(CONTROL!$C$9, $C$13, 100%, $E$13) + CHOOSE(CONTROL!$C$28, 0.0211, 0)</f>
        <v>48.511099999999999</v>
      </c>
      <c r="D820" s="4">
        <f>71.9725 * CHOOSE(CONTROL!$C$9, $C$13, 100%, $E$13) + CHOOSE(CONTROL!$C$28, 0.0021, 0)</f>
        <v>71.974599999999995</v>
      </c>
      <c r="E820" s="4">
        <f>340.299975757495 * CHOOSE(CONTROL!$C$9, $C$13, 100%, $E$13) + CHOOSE(CONTROL!$C$28, 0.0021, 0)</f>
        <v>340.302075757495</v>
      </c>
    </row>
    <row r="821" spans="1:5" ht="15">
      <c r="A821" s="13">
        <v>66507</v>
      </c>
      <c r="B821" s="4">
        <f>46.7603 * CHOOSE(CONTROL!$C$9, $C$13, 100%, $E$13) + CHOOSE(CONTROL!$C$28, 0.0211, 0)</f>
        <v>46.781399999999998</v>
      </c>
      <c r="C821" s="4">
        <f>46.397 * CHOOSE(CONTROL!$C$9, $C$13, 100%, $E$13) + CHOOSE(CONTROL!$C$28, 0.0211, 0)</f>
        <v>46.418099999999995</v>
      </c>
      <c r="D821" s="4">
        <f>69.1266 * CHOOSE(CONTROL!$C$9, $C$13, 100%, $E$13) + CHOOSE(CONTROL!$C$28, 0.0021, 0)</f>
        <v>69.128699999999995</v>
      </c>
      <c r="E821" s="4">
        <f>326.12509898883 * CHOOSE(CONTROL!$C$9, $C$13, 100%, $E$13) + CHOOSE(CONTROL!$C$28, 0.0021, 0)</f>
        <v>326.12719898883</v>
      </c>
    </row>
    <row r="822" spans="1:5" ht="15">
      <c r="A822" s="13">
        <v>66535</v>
      </c>
      <c r="B822" s="4">
        <f>47.8522 * CHOOSE(CONTROL!$C$9, $C$13, 100%, $E$13) + CHOOSE(CONTROL!$C$28, 0.0211, 0)</f>
        <v>47.8733</v>
      </c>
      <c r="C822" s="4">
        <f>47.4889 * CHOOSE(CONTROL!$C$9, $C$13, 100%, $E$13) + CHOOSE(CONTROL!$C$28, 0.0211, 0)</f>
        <v>47.51</v>
      </c>
      <c r="D822" s="4">
        <f>71.501 * CHOOSE(CONTROL!$C$9, $C$13, 100%, $E$13) + CHOOSE(CONTROL!$C$28, 0.0021, 0)</f>
        <v>71.503100000000003</v>
      </c>
      <c r="E822" s="4">
        <f>333.868594068307 * CHOOSE(CONTROL!$C$9, $C$13, 100%, $E$13) + CHOOSE(CONTROL!$C$28, 0.0021, 0)</f>
        <v>333.87069406830699</v>
      </c>
    </row>
    <row r="823" spans="1:5" ht="15">
      <c r="A823" s="13">
        <v>66566</v>
      </c>
      <c r="B823" s="4">
        <f>50.7196 * CHOOSE(CONTROL!$C$9, $C$13, 100%, $E$13) + CHOOSE(CONTROL!$C$28, 0.0211, 0)</f>
        <v>50.740699999999997</v>
      </c>
      <c r="C823" s="4">
        <f>50.3564 * CHOOSE(CONTROL!$C$9, $C$13, 100%, $E$13) + CHOOSE(CONTROL!$C$28, 0.0211, 0)</f>
        <v>50.377499999999998</v>
      </c>
      <c r="D823" s="4">
        <f>75.2179 * CHOOSE(CONTROL!$C$9, $C$13, 100%, $E$13) + CHOOSE(CONTROL!$C$28, 0.0021, 0)</f>
        <v>75.22</v>
      </c>
      <c r="E823" s="4">
        <f>354.203423661332 * CHOOSE(CONTROL!$C$9, $C$13, 100%, $E$13) + CHOOSE(CONTROL!$C$28, 0.0021, 0)</f>
        <v>354.20552366133199</v>
      </c>
    </row>
    <row r="824" spans="1:5" ht="15">
      <c r="A824" s="13">
        <v>66596</v>
      </c>
      <c r="B824" s="4">
        <f>52.757 * CHOOSE(CONTROL!$C$9, $C$13, 100%, $E$13) + CHOOSE(CONTROL!$C$28, 0.0211, 0)</f>
        <v>52.778099999999995</v>
      </c>
      <c r="C824" s="4">
        <f>52.3937 * CHOOSE(CONTROL!$C$9, $C$13, 100%, $E$13) + CHOOSE(CONTROL!$C$28, 0.0211, 0)</f>
        <v>52.4148</v>
      </c>
      <c r="D824" s="4">
        <f>77.359 * CHOOSE(CONTROL!$C$9, $C$13, 100%, $E$13) + CHOOSE(CONTROL!$C$28, 0.0021, 0)</f>
        <v>77.361099999999993</v>
      </c>
      <c r="E824" s="4">
        <f>368.651591084412 * CHOOSE(CONTROL!$C$9, $C$13, 100%, $E$13) + CHOOSE(CONTROL!$C$28, 0.0021, 0)</f>
        <v>368.653691084412</v>
      </c>
    </row>
    <row r="825" spans="1:5" ht="15">
      <c r="A825" s="13">
        <v>66627</v>
      </c>
      <c r="B825" s="4">
        <f>54.0017 * CHOOSE(CONTROL!$C$9, $C$13, 100%, $E$13) + CHOOSE(CONTROL!$C$28, 0.0415, 0)</f>
        <v>54.043199999999999</v>
      </c>
      <c r="C825" s="4">
        <f>53.6385 * CHOOSE(CONTROL!$C$9, $C$13, 100%, $E$13) + CHOOSE(CONTROL!$C$28, 0.0415, 0)</f>
        <v>53.68</v>
      </c>
      <c r="D825" s="4">
        <f>76.513 * CHOOSE(CONTROL!$C$9, $C$13, 100%, $E$13) + CHOOSE(CONTROL!$C$28, 0.0021, 0)</f>
        <v>76.515100000000004</v>
      </c>
      <c r="E825" s="4">
        <f>377.479075105668 * CHOOSE(CONTROL!$C$9, $C$13, 100%, $E$13) + CHOOSE(CONTROL!$C$28, 0.0021, 0)</f>
        <v>377.481175105668</v>
      </c>
    </row>
    <row r="826" spans="1:5" ht="15">
      <c r="A826" s="13">
        <v>66657</v>
      </c>
      <c r="B826" s="4">
        <f>54.1702 * CHOOSE(CONTROL!$C$9, $C$13, 100%, $E$13) + CHOOSE(CONTROL!$C$28, 0.0415, 0)</f>
        <v>54.2117</v>
      </c>
      <c r="C826" s="4">
        <f>53.8069 * CHOOSE(CONTROL!$C$9, $C$13, 100%, $E$13) + CHOOSE(CONTROL!$C$28, 0.0415, 0)</f>
        <v>53.848399999999998</v>
      </c>
      <c r="D826" s="4">
        <f>77.202 * CHOOSE(CONTROL!$C$9, $C$13, 100%, $E$13) + CHOOSE(CONTROL!$C$28, 0.0021, 0)</f>
        <v>77.204099999999997</v>
      </c>
      <c r="E826" s="4">
        <f>378.673470328555 * CHOOSE(CONTROL!$C$9, $C$13, 100%, $E$13) + CHOOSE(CONTROL!$C$28, 0.0021, 0)</f>
        <v>378.67557032855501</v>
      </c>
    </row>
    <row r="827" spans="1:5" ht="15">
      <c r="A827" s="13">
        <v>66688</v>
      </c>
      <c r="B827" s="4">
        <f>54.1532 * CHOOSE(CONTROL!$C$9, $C$13, 100%, $E$13) + CHOOSE(CONTROL!$C$28, 0.0415, 0)</f>
        <v>54.194699999999997</v>
      </c>
      <c r="C827" s="4">
        <f>53.7899 * CHOOSE(CONTROL!$C$9, $C$13, 100%, $E$13) + CHOOSE(CONTROL!$C$28, 0.0415, 0)</f>
        <v>53.831400000000002</v>
      </c>
      <c r="D827" s="4">
        <f>78.4453 * CHOOSE(CONTROL!$C$9, $C$13, 100%, $E$13) + CHOOSE(CONTROL!$C$28, 0.0021, 0)</f>
        <v>78.447400000000002</v>
      </c>
      <c r="E827" s="4">
        <f>378.553027112802 * CHOOSE(CONTROL!$C$9, $C$13, 100%, $E$13) + CHOOSE(CONTROL!$C$28, 0.0021, 0)</f>
        <v>378.55512711280198</v>
      </c>
    </row>
    <row r="828" spans="1:5" ht="15">
      <c r="A828" s="13">
        <v>66719</v>
      </c>
      <c r="B828" s="4">
        <f>55.4312 * CHOOSE(CONTROL!$C$9, $C$13, 100%, $E$13) + CHOOSE(CONTROL!$C$28, 0.0415, 0)</f>
        <v>55.472699999999996</v>
      </c>
      <c r="C828" s="4">
        <f>55.0679 * CHOOSE(CONTROL!$C$9, $C$13, 100%, $E$13) + CHOOSE(CONTROL!$C$28, 0.0415, 0)</f>
        <v>55.109400000000001</v>
      </c>
      <c r="D828" s="4">
        <f>77.6242 * CHOOSE(CONTROL!$C$9, $C$13, 100%, $E$13) + CHOOSE(CONTROL!$C$28, 0.0021, 0)</f>
        <v>77.626300000000001</v>
      </c>
      <c r="E828" s="4">
        <f>387.616379098242 * CHOOSE(CONTROL!$C$9, $C$13, 100%, $E$13) + CHOOSE(CONTROL!$C$28, 0.0021, 0)</f>
        <v>387.61847909824201</v>
      </c>
    </row>
    <row r="829" spans="1:5" ht="15">
      <c r="A829" s="13">
        <v>66749</v>
      </c>
      <c r="B829" s="4">
        <f>53.253 * CHOOSE(CONTROL!$C$9, $C$13, 100%, $E$13) + CHOOSE(CONTROL!$C$28, 0.0415, 0)</f>
        <v>53.294499999999999</v>
      </c>
      <c r="C829" s="4">
        <f>52.8898 * CHOOSE(CONTROL!$C$9, $C$13, 100%, $E$13) + CHOOSE(CONTROL!$C$28, 0.0415, 0)</f>
        <v>52.9313</v>
      </c>
      <c r="D829" s="4">
        <f>77.2363 * CHOOSE(CONTROL!$C$9, $C$13, 100%, $E$13) + CHOOSE(CONTROL!$C$28, 0.0021, 0)</f>
        <v>77.238399999999999</v>
      </c>
      <c r="E829" s="4">
        <f>372.169536677874 * CHOOSE(CONTROL!$C$9, $C$13, 100%, $E$13) + CHOOSE(CONTROL!$C$28, 0.0021, 0)</f>
        <v>372.17163667787401</v>
      </c>
    </row>
    <row r="830" spans="1:5" ht="15">
      <c r="A830" s="13">
        <v>66780</v>
      </c>
      <c r="B830" s="4">
        <f>51.5094 * CHOOSE(CONTROL!$C$9, $C$13, 100%, $E$13) + CHOOSE(CONTROL!$C$28, 0.0211, 0)</f>
        <v>51.530499999999996</v>
      </c>
      <c r="C830" s="4">
        <f>51.1461 * CHOOSE(CONTROL!$C$9, $C$13, 100%, $E$13) + CHOOSE(CONTROL!$C$28, 0.0211, 0)</f>
        <v>51.167199999999994</v>
      </c>
      <c r="D830" s="4">
        <f>76.1976 * CHOOSE(CONTROL!$C$9, $C$13, 100%, $E$13) + CHOOSE(CONTROL!$C$28, 0.0021, 0)</f>
        <v>76.199699999999993</v>
      </c>
      <c r="E830" s="4">
        <f>359.804033193863 * CHOOSE(CONTROL!$C$9, $C$13, 100%, $E$13) + CHOOSE(CONTROL!$C$28, 0.0021, 0)</f>
        <v>359.80613319386299</v>
      </c>
    </row>
    <row r="831" spans="1:5" ht="15">
      <c r="A831" s="13">
        <v>66810</v>
      </c>
      <c r="B831" s="4">
        <f>50.3863 * CHOOSE(CONTROL!$C$9, $C$13, 100%, $E$13) + CHOOSE(CONTROL!$C$28, 0.0211, 0)</f>
        <v>50.407399999999996</v>
      </c>
      <c r="C831" s="4">
        <f>50.023 * CHOOSE(CONTROL!$C$9, $C$13, 100%, $E$13) + CHOOSE(CONTROL!$C$28, 0.0211, 0)</f>
        <v>50.0441</v>
      </c>
      <c r="D831" s="4">
        <f>75.8404 * CHOOSE(CONTROL!$C$9, $C$13, 100%, $E$13) + CHOOSE(CONTROL!$C$28, 0.0021, 0)</f>
        <v>75.842500000000001</v>
      </c>
      <c r="E831" s="4">
        <f>351.839725552172 * CHOOSE(CONTROL!$C$9, $C$13, 100%, $E$13) + CHOOSE(CONTROL!$C$28, 0.0021, 0)</f>
        <v>351.841825552172</v>
      </c>
    </row>
    <row r="832" spans="1:5" ht="15">
      <c r="A832" s="13">
        <v>66841</v>
      </c>
      <c r="B832" s="4">
        <f>49.6093 * CHOOSE(CONTROL!$C$9, $C$13, 100%, $E$13) + CHOOSE(CONTROL!$C$28, 0.0211, 0)</f>
        <v>49.630399999999995</v>
      </c>
      <c r="C832" s="4">
        <f>49.246 * CHOOSE(CONTROL!$C$9, $C$13, 100%, $E$13) + CHOOSE(CONTROL!$C$28, 0.0211, 0)</f>
        <v>49.267099999999999</v>
      </c>
      <c r="D832" s="4">
        <f>73.2114 * CHOOSE(CONTROL!$C$9, $C$13, 100%, $E$13) + CHOOSE(CONTROL!$C$28, 0.0021, 0)</f>
        <v>73.213499999999996</v>
      </c>
      <c r="E832" s="4">
        <f>346.329448431456 * CHOOSE(CONTROL!$C$9, $C$13, 100%, $E$13) + CHOOSE(CONTROL!$C$28, 0.0021, 0)</f>
        <v>346.33154843145599</v>
      </c>
    </row>
    <row r="833" spans="1:5" ht="15">
      <c r="A833" s="13">
        <v>66872</v>
      </c>
      <c r="B833" s="4">
        <f>47.4835 * CHOOSE(CONTROL!$C$9, $C$13, 100%, $E$13) + CHOOSE(CONTROL!$C$28, 0.0211, 0)</f>
        <v>47.504599999999996</v>
      </c>
      <c r="C833" s="4">
        <f>47.1202 * CHOOSE(CONTROL!$C$9, $C$13, 100%, $E$13) + CHOOSE(CONTROL!$C$28, 0.0211, 0)</f>
        <v>47.141299999999994</v>
      </c>
      <c r="D833" s="4">
        <f>70.3152 * CHOOSE(CONTROL!$C$9, $C$13, 100%, $E$13) + CHOOSE(CONTROL!$C$28, 0.0021, 0)</f>
        <v>70.317300000000003</v>
      </c>
      <c r="E833" s="4">
        <f>331.9034196257 * CHOOSE(CONTROL!$C$9, $C$13, 100%, $E$13) + CHOOSE(CONTROL!$C$28, 0.0021, 0)</f>
        <v>331.90551962569998</v>
      </c>
    </row>
    <row r="834" spans="1:5" ht="15">
      <c r="A834" s="13">
        <v>66900</v>
      </c>
      <c r="B834" s="4">
        <f>48.5925 * CHOOSE(CONTROL!$C$9, $C$13, 100%, $E$13) + CHOOSE(CONTROL!$C$28, 0.0211, 0)</f>
        <v>48.613599999999998</v>
      </c>
      <c r="C834" s="4">
        <f>48.2293 * CHOOSE(CONTROL!$C$9, $C$13, 100%, $E$13) + CHOOSE(CONTROL!$C$28, 0.0211, 0)</f>
        <v>48.250399999999999</v>
      </c>
      <c r="D834" s="4">
        <f>72.7316 * CHOOSE(CONTROL!$C$9, $C$13, 100%, $E$13) + CHOOSE(CONTROL!$C$28, 0.0021, 0)</f>
        <v>72.733699999999999</v>
      </c>
      <c r="E834" s="4">
        <f>339.784114808934 * CHOOSE(CONTROL!$C$9, $C$13, 100%, $E$13) + CHOOSE(CONTROL!$C$28, 0.0021, 0)</f>
        <v>339.78621480893401</v>
      </c>
    </row>
    <row r="835" spans="1:5" ht="15">
      <c r="A835" s="13">
        <v>66931</v>
      </c>
      <c r="B835" s="4">
        <f>51.505 * CHOOSE(CONTROL!$C$9, $C$13, 100%, $E$13) + CHOOSE(CONTROL!$C$28, 0.0211, 0)</f>
        <v>51.5261</v>
      </c>
      <c r="C835" s="4">
        <f>51.1418 * CHOOSE(CONTROL!$C$9, $C$13, 100%, $E$13) + CHOOSE(CONTROL!$C$28, 0.0211, 0)</f>
        <v>51.1629</v>
      </c>
      <c r="D835" s="4">
        <f>76.5142 * CHOOSE(CONTROL!$C$9, $C$13, 100%, $E$13) + CHOOSE(CONTROL!$C$28, 0.0021, 0)</f>
        <v>76.516300000000001</v>
      </c>
      <c r="E835" s="4">
        <f>360.479239165683 * CHOOSE(CONTROL!$C$9, $C$13, 100%, $E$13) + CHOOSE(CONTROL!$C$28, 0.0021, 0)</f>
        <v>360.48133916568298</v>
      </c>
    </row>
    <row r="836" spans="1:5" ht="15">
      <c r="A836" s="13">
        <v>66961</v>
      </c>
      <c r="B836" s="4">
        <f>53.5744 * CHOOSE(CONTROL!$C$9, $C$13, 100%, $E$13) + CHOOSE(CONTROL!$C$28, 0.0211, 0)</f>
        <v>53.595499999999994</v>
      </c>
      <c r="C836" s="4">
        <f>53.2111 * CHOOSE(CONTROL!$C$9, $C$13, 100%, $E$13) + CHOOSE(CONTROL!$C$28, 0.0211, 0)</f>
        <v>53.232199999999999</v>
      </c>
      <c r="D836" s="4">
        <f>78.6931 * CHOOSE(CONTROL!$C$9, $C$13, 100%, $E$13) + CHOOSE(CONTROL!$C$28, 0.0021, 0)</f>
        <v>78.6952</v>
      </c>
      <c r="E836" s="4">
        <f>375.183400819948 * CHOOSE(CONTROL!$C$9, $C$13, 100%, $E$13) + CHOOSE(CONTROL!$C$28, 0.0021, 0)</f>
        <v>375.185500819948</v>
      </c>
    </row>
    <row r="837" spans="1:5" ht="15">
      <c r="A837" s="13">
        <v>66992</v>
      </c>
      <c r="B837" s="4">
        <f>54.8387 * CHOOSE(CONTROL!$C$9, $C$13, 100%, $E$13) + CHOOSE(CONTROL!$C$28, 0.0415, 0)</f>
        <v>54.880200000000002</v>
      </c>
      <c r="C837" s="4">
        <f>54.4755 * CHOOSE(CONTROL!$C$9, $C$13, 100%, $E$13) + CHOOSE(CONTROL!$C$28, 0.0415, 0)</f>
        <v>54.516999999999996</v>
      </c>
      <c r="D837" s="4">
        <f>77.8321 * CHOOSE(CONTROL!$C$9, $C$13, 100%, $E$13) + CHOOSE(CONTROL!$C$28, 0.0021, 0)</f>
        <v>77.834199999999996</v>
      </c>
      <c r="E837" s="4">
        <f>384.167291181133 * CHOOSE(CONTROL!$C$9, $C$13, 100%, $E$13) + CHOOSE(CONTROL!$C$28, 0.0021, 0)</f>
        <v>384.16939118113299</v>
      </c>
    </row>
    <row r="838" spans="1:5" ht="15">
      <c r="A838" s="13">
        <v>67022</v>
      </c>
      <c r="B838" s="4">
        <f>55.0098 * CHOOSE(CONTROL!$C$9, $C$13, 100%, $E$13) + CHOOSE(CONTROL!$C$28, 0.0415, 0)</f>
        <v>55.051299999999998</v>
      </c>
      <c r="C838" s="4">
        <f>54.6465 * CHOOSE(CONTROL!$C$9, $C$13, 100%, $E$13) + CHOOSE(CONTROL!$C$28, 0.0415, 0)</f>
        <v>54.688000000000002</v>
      </c>
      <c r="D838" s="4">
        <f>78.5333 * CHOOSE(CONTROL!$C$9, $C$13, 100%, $E$13) + CHOOSE(CONTROL!$C$28, 0.0021, 0)</f>
        <v>78.535399999999996</v>
      </c>
      <c r="E838" s="4">
        <f>385.382848830912 * CHOOSE(CONTROL!$C$9, $C$13, 100%, $E$13) + CHOOSE(CONTROL!$C$28, 0.0021, 0)</f>
        <v>385.38494883091198</v>
      </c>
    </row>
    <row r="839" spans="1:5" ht="15">
      <c r="A839" s="13">
        <v>67053</v>
      </c>
      <c r="B839" s="4">
        <f>54.9926 * CHOOSE(CONTROL!$C$9, $C$13, 100%, $E$13) + CHOOSE(CONTROL!$C$28, 0.0415, 0)</f>
        <v>55.034100000000002</v>
      </c>
      <c r="C839" s="4">
        <f>54.6293 * CHOOSE(CONTROL!$C$9, $C$13, 100%, $E$13) + CHOOSE(CONTROL!$C$28, 0.0415, 0)</f>
        <v>54.6708</v>
      </c>
      <c r="D839" s="4">
        <f>79.7985 * CHOOSE(CONTROL!$C$9, $C$13, 100%, $E$13) + CHOOSE(CONTROL!$C$28, 0.0021, 0)</f>
        <v>79.800600000000003</v>
      </c>
      <c r="E839" s="4">
        <f>385.260271588917 * CHOOSE(CONTROL!$C$9, $C$13, 100%, $E$13) + CHOOSE(CONTROL!$C$28, 0.0021, 0)</f>
        <v>385.26237158891701</v>
      </c>
    </row>
    <row r="840" spans="1:5" ht="15">
      <c r="A840" s="13">
        <v>67084</v>
      </c>
      <c r="B840" s="4">
        <f>56.2907 * CHOOSE(CONTROL!$C$9, $C$13, 100%, $E$13) + CHOOSE(CONTROL!$C$28, 0.0415, 0)</f>
        <v>56.3322</v>
      </c>
      <c r="C840" s="4">
        <f>55.9274 * CHOOSE(CONTROL!$C$9, $C$13, 100%, $E$13) + CHOOSE(CONTROL!$C$28, 0.0415, 0)</f>
        <v>55.968899999999998</v>
      </c>
      <c r="D840" s="4">
        <f>78.963 * CHOOSE(CONTROL!$C$9, $C$13, 100%, $E$13) + CHOOSE(CONTROL!$C$28, 0.0021, 0)</f>
        <v>78.965099999999993</v>
      </c>
      <c r="E840" s="4">
        <f>394.484209049008 * CHOOSE(CONTROL!$C$9, $C$13, 100%, $E$13) + CHOOSE(CONTROL!$C$28, 0.0021, 0)</f>
        <v>394.48630904900796</v>
      </c>
    </row>
    <row r="841" spans="1:5" ht="15">
      <c r="A841" s="13">
        <v>67114</v>
      </c>
      <c r="B841" s="4">
        <f>54.0783 * CHOOSE(CONTROL!$C$9, $C$13, 100%, $E$13) + CHOOSE(CONTROL!$C$28, 0.0415, 0)</f>
        <v>54.119799999999998</v>
      </c>
      <c r="C841" s="4">
        <f>53.715 * CHOOSE(CONTROL!$C$9, $C$13, 100%, $E$13) + CHOOSE(CONTROL!$C$28, 0.0415, 0)</f>
        <v>53.756500000000003</v>
      </c>
      <c r="D841" s="4">
        <f>78.5682 * CHOOSE(CONTROL!$C$9, $C$13, 100%, $E$13) + CHOOSE(CONTROL!$C$28, 0.0021, 0)</f>
        <v>78.570300000000003</v>
      </c>
      <c r="E841" s="4">
        <f>378.763677763206 * CHOOSE(CONTROL!$C$9, $C$13, 100%, $E$13) + CHOOSE(CONTROL!$C$28, 0.0021, 0)</f>
        <v>378.76577776320596</v>
      </c>
    </row>
    <row r="842" spans="1:5" ht="15">
      <c r="A842" s="13">
        <v>67145</v>
      </c>
      <c r="B842" s="4">
        <f>52.3072 * CHOOSE(CONTROL!$C$9, $C$13, 100%, $E$13) + CHOOSE(CONTROL!$C$28, 0.0211, 0)</f>
        <v>52.328299999999999</v>
      </c>
      <c r="C842" s="4">
        <f>51.9439 * CHOOSE(CONTROL!$C$9, $C$13, 100%, $E$13) + CHOOSE(CONTROL!$C$28, 0.0211, 0)</f>
        <v>51.964999999999996</v>
      </c>
      <c r="D842" s="4">
        <f>77.5111 * CHOOSE(CONTROL!$C$9, $C$13, 100%, $E$13) + CHOOSE(CONTROL!$C$28, 0.0021, 0)</f>
        <v>77.513199999999998</v>
      </c>
      <c r="E842" s="4">
        <f>366.17908091843 * CHOOSE(CONTROL!$C$9, $C$13, 100%, $E$13) + CHOOSE(CONTROL!$C$28, 0.0021, 0)</f>
        <v>366.18118091842996</v>
      </c>
    </row>
    <row r="843" spans="1:5" ht="15">
      <c r="A843" s="13">
        <v>67175</v>
      </c>
      <c r="B843" s="4">
        <f>51.1665 * CHOOSE(CONTROL!$C$9, $C$13, 100%, $E$13) + CHOOSE(CONTROL!$C$28, 0.0211, 0)</f>
        <v>51.187599999999996</v>
      </c>
      <c r="C843" s="4">
        <f>50.8032 * CHOOSE(CONTROL!$C$9, $C$13, 100%, $E$13) + CHOOSE(CONTROL!$C$28, 0.0211, 0)</f>
        <v>50.824299999999994</v>
      </c>
      <c r="D843" s="4">
        <f>77.1477 * CHOOSE(CONTROL!$C$9, $C$13, 100%, $E$13) + CHOOSE(CONTROL!$C$28, 0.0021, 0)</f>
        <v>77.149799999999999</v>
      </c>
      <c r="E843" s="4">
        <f>358.07366079154 * CHOOSE(CONTROL!$C$9, $C$13, 100%, $E$13) + CHOOSE(CONTROL!$C$28, 0.0021, 0)</f>
        <v>358.07576079154001</v>
      </c>
    </row>
    <row r="844" spans="1:5" ht="15">
      <c r="A844" s="13">
        <v>67206</v>
      </c>
      <c r="B844" s="4">
        <f>50.3773 * CHOOSE(CONTROL!$C$9, $C$13, 100%, $E$13) + CHOOSE(CONTROL!$C$28, 0.0211, 0)</f>
        <v>50.398399999999995</v>
      </c>
      <c r="C844" s="4">
        <f>50.014 * CHOOSE(CONTROL!$C$9, $C$13, 100%, $E$13) + CHOOSE(CONTROL!$C$28, 0.0211, 0)</f>
        <v>50.0351</v>
      </c>
      <c r="D844" s="4">
        <f>74.4722 * CHOOSE(CONTROL!$C$9, $C$13, 100%, $E$13) + CHOOSE(CONTROL!$C$28, 0.0021, 0)</f>
        <v>74.474299999999999</v>
      </c>
      <c r="E844" s="4">
        <f>352.465751970288 * CHOOSE(CONTROL!$C$9, $C$13, 100%, $E$13) + CHOOSE(CONTROL!$C$28, 0.0021, 0)</f>
        <v>352.467851970288</v>
      </c>
    </row>
    <row r="845" spans="1:5" ht="15">
      <c r="A845" s="13">
        <v>67237</v>
      </c>
      <c r="B845" s="4">
        <f>48.218 * CHOOSE(CONTROL!$C$9, $C$13, 100%, $E$13) + CHOOSE(CONTROL!$C$28, 0.0211, 0)</f>
        <v>48.239100000000001</v>
      </c>
      <c r="C845" s="4">
        <f>47.8547 * CHOOSE(CONTROL!$C$9, $C$13, 100%, $E$13) + CHOOSE(CONTROL!$C$28, 0.0211, 0)</f>
        <v>47.875799999999998</v>
      </c>
      <c r="D845" s="4">
        <f>71.5249 * CHOOSE(CONTROL!$C$9, $C$13, 100%, $E$13) + CHOOSE(CONTROL!$C$28, 0.0021, 0)</f>
        <v>71.527000000000001</v>
      </c>
      <c r="E845" s="4">
        <f>337.784121187822 * CHOOSE(CONTROL!$C$9, $C$13, 100%, $E$13) + CHOOSE(CONTROL!$C$28, 0.0021, 0)</f>
        <v>337.78622118782198</v>
      </c>
    </row>
    <row r="846" spans="1:5" ht="15">
      <c r="A846" s="13">
        <v>67266</v>
      </c>
      <c r="B846" s="4">
        <f>49.3445 * CHOOSE(CONTROL!$C$9, $C$13, 100%, $E$13) + CHOOSE(CONTROL!$C$28, 0.0211, 0)</f>
        <v>49.365599999999993</v>
      </c>
      <c r="C846" s="4">
        <f>48.9812 * CHOOSE(CONTROL!$C$9, $C$13, 100%, $E$13) + CHOOSE(CONTROL!$C$28, 0.0211, 0)</f>
        <v>49.002299999999998</v>
      </c>
      <c r="D846" s="4">
        <f>73.9839 * CHOOSE(CONTROL!$C$9, $C$13, 100%, $E$13) + CHOOSE(CONTROL!$C$28, 0.0021, 0)</f>
        <v>73.986000000000004</v>
      </c>
      <c r="E846" s="4">
        <f>345.804447401453 * CHOOSE(CONTROL!$C$9, $C$13, 100%, $E$13) + CHOOSE(CONTROL!$C$28, 0.0021, 0)</f>
        <v>345.80654740145297</v>
      </c>
    </row>
    <row r="847" spans="1:5" ht="15">
      <c r="A847" s="13">
        <v>67297</v>
      </c>
      <c r="B847" s="4">
        <f>52.3028 * CHOOSE(CONTROL!$C$9, $C$13, 100%, $E$13) + CHOOSE(CONTROL!$C$28, 0.0211, 0)</f>
        <v>52.323899999999995</v>
      </c>
      <c r="C847" s="4">
        <f>51.9395 * CHOOSE(CONTROL!$C$9, $C$13, 100%, $E$13) + CHOOSE(CONTROL!$C$28, 0.0211, 0)</f>
        <v>51.960599999999999</v>
      </c>
      <c r="D847" s="4">
        <f>77.8333 * CHOOSE(CONTROL!$C$9, $C$13, 100%, $E$13) + CHOOSE(CONTROL!$C$28, 0.0021, 0)</f>
        <v>77.835399999999993</v>
      </c>
      <c r="E847" s="4">
        <f>366.866250264468 * CHOOSE(CONTROL!$C$9, $C$13, 100%, $E$13) + CHOOSE(CONTROL!$C$28, 0.0021, 0)</f>
        <v>366.86835026446801</v>
      </c>
    </row>
    <row r="848" spans="1:5" ht="15">
      <c r="A848" s="13">
        <v>67327</v>
      </c>
      <c r="B848" s="4">
        <f>54.4047 * CHOOSE(CONTROL!$C$9, $C$13, 100%, $E$13) + CHOOSE(CONTROL!$C$28, 0.0211, 0)</f>
        <v>54.425799999999995</v>
      </c>
      <c r="C848" s="4">
        <f>54.0414 * CHOOSE(CONTROL!$C$9, $C$13, 100%, $E$13) + CHOOSE(CONTROL!$C$28, 0.0211, 0)</f>
        <v>54.0625</v>
      </c>
      <c r="D848" s="4">
        <f>80.0507 * CHOOSE(CONTROL!$C$9, $C$13, 100%, $E$13) + CHOOSE(CONTROL!$C$28, 0.0021, 0)</f>
        <v>80.052800000000005</v>
      </c>
      <c r="E848" s="4">
        <f>381.830941884069 * CHOOSE(CONTROL!$C$9, $C$13, 100%, $E$13) + CHOOSE(CONTROL!$C$28, 0.0021, 0)</f>
        <v>381.83304188406896</v>
      </c>
    </row>
    <row r="849" spans="1:5" ht="15">
      <c r="A849" s="13">
        <v>67358</v>
      </c>
      <c r="B849" s="4">
        <f>55.6889 * CHOOSE(CONTROL!$C$9, $C$13, 100%, $E$13) + CHOOSE(CONTROL!$C$28, 0.0415, 0)</f>
        <v>55.730399999999996</v>
      </c>
      <c r="C849" s="4">
        <f>55.3256 * CHOOSE(CONTROL!$C$9, $C$13, 100%, $E$13) + CHOOSE(CONTROL!$C$28, 0.0415, 0)</f>
        <v>55.367100000000001</v>
      </c>
      <c r="D849" s="4">
        <f>79.1745 * CHOOSE(CONTROL!$C$9, $C$13, 100%, $E$13) + CHOOSE(CONTROL!$C$28, 0.0021, 0)</f>
        <v>79.176599999999993</v>
      </c>
      <c r="E849" s="4">
        <f>390.974009810042 * CHOOSE(CONTROL!$C$9, $C$13, 100%, $E$13) + CHOOSE(CONTROL!$C$28, 0.0021, 0)</f>
        <v>390.97610981004198</v>
      </c>
    </row>
    <row r="850" spans="1:5" ht="15">
      <c r="A850" s="13">
        <v>67388</v>
      </c>
      <c r="B850" s="4">
        <f>55.8627 * CHOOSE(CONTROL!$C$9, $C$13, 100%, $E$13) + CHOOSE(CONTROL!$C$28, 0.0415, 0)</f>
        <v>55.904199999999996</v>
      </c>
      <c r="C850" s="4">
        <f>55.4994 * CHOOSE(CONTROL!$C$9, $C$13, 100%, $E$13) + CHOOSE(CONTROL!$C$28, 0.0415, 0)</f>
        <v>55.540900000000001</v>
      </c>
      <c r="D850" s="4">
        <f>79.8881 * CHOOSE(CONTROL!$C$9, $C$13, 100%, $E$13) + CHOOSE(CONTROL!$C$28, 0.0021, 0)</f>
        <v>79.890199999999993</v>
      </c>
      <c r="E850" s="4">
        <f>392.211104844938 * CHOOSE(CONTROL!$C$9, $C$13, 100%, $E$13) + CHOOSE(CONTROL!$C$28, 0.0021, 0)</f>
        <v>392.21320484493799</v>
      </c>
    </row>
    <row r="851" spans="1:5" ht="15">
      <c r="A851" s="13">
        <v>67419</v>
      </c>
      <c r="B851" s="4">
        <f>55.8452 * CHOOSE(CONTROL!$C$9, $C$13, 100%, $E$13) + CHOOSE(CONTROL!$C$28, 0.0415, 0)</f>
        <v>55.886699999999998</v>
      </c>
      <c r="C851" s="4">
        <f>55.4819 * CHOOSE(CONTROL!$C$9, $C$13, 100%, $E$13) + CHOOSE(CONTROL!$C$28, 0.0415, 0)</f>
        <v>55.523400000000002</v>
      </c>
      <c r="D851" s="4">
        <f>81.1757 * CHOOSE(CONTROL!$C$9, $C$13, 100%, $E$13) + CHOOSE(CONTROL!$C$28, 0.0021, 0)</f>
        <v>81.177800000000005</v>
      </c>
      <c r="E851" s="4">
        <f>392.086355765789 * CHOOSE(CONTROL!$C$9, $C$13, 100%, $E$13) + CHOOSE(CONTROL!$C$28, 0.0021, 0)</f>
        <v>392.08845576578898</v>
      </c>
    </row>
    <row r="852" spans="1:5" ht="15">
      <c r="A852" s="13">
        <v>67450</v>
      </c>
      <c r="B852" s="4">
        <f>57.1637 * CHOOSE(CONTROL!$C$9, $C$13, 100%, $E$13) + CHOOSE(CONTROL!$C$28, 0.0415, 0)</f>
        <v>57.205199999999998</v>
      </c>
      <c r="C852" s="4">
        <f>56.8004 * CHOOSE(CONTROL!$C$9, $C$13, 100%, $E$13) + CHOOSE(CONTROL!$C$28, 0.0415, 0)</f>
        <v>56.841900000000003</v>
      </c>
      <c r="D852" s="4">
        <f>80.3254 * CHOOSE(CONTROL!$C$9, $C$13, 100%, $E$13) + CHOOSE(CONTROL!$C$28, 0.0021, 0)</f>
        <v>80.327500000000001</v>
      </c>
      <c r="E852" s="4">
        <f>401.473723971763 * CHOOSE(CONTROL!$C$9, $C$13, 100%, $E$13) + CHOOSE(CONTROL!$C$28, 0.0021, 0)</f>
        <v>401.47582397176296</v>
      </c>
    </row>
    <row r="853" spans="1:5" ht="15">
      <c r="A853" s="13">
        <v>67480</v>
      </c>
      <c r="B853" s="4">
        <f>54.9165 * CHOOSE(CONTROL!$C$9, $C$13, 100%, $E$13) + CHOOSE(CONTROL!$C$28, 0.0415, 0)</f>
        <v>54.957999999999998</v>
      </c>
      <c r="C853" s="4">
        <f>54.5532 * CHOOSE(CONTROL!$C$9, $C$13, 100%, $E$13) + CHOOSE(CONTROL!$C$28, 0.0415, 0)</f>
        <v>54.594699999999996</v>
      </c>
      <c r="D853" s="4">
        <f>79.9236 * CHOOSE(CONTROL!$C$9, $C$13, 100%, $E$13) + CHOOSE(CONTROL!$C$28, 0.0021, 0)</f>
        <v>79.925699999999992</v>
      </c>
      <c r="E853" s="4">
        <f>385.474654570884 * CHOOSE(CONTROL!$C$9, $C$13, 100%, $E$13) + CHOOSE(CONTROL!$C$28, 0.0021, 0)</f>
        <v>385.476754570884</v>
      </c>
    </row>
    <row r="854" spans="1:5" ht="15">
      <c r="A854" s="13">
        <v>67511</v>
      </c>
      <c r="B854" s="4">
        <f>53.1176 * CHOOSE(CONTROL!$C$9, $C$13, 100%, $E$13) + CHOOSE(CONTROL!$C$28, 0.0211, 0)</f>
        <v>53.1387</v>
      </c>
      <c r="C854" s="4">
        <f>52.7543 * CHOOSE(CONTROL!$C$9, $C$13, 100%, $E$13) + CHOOSE(CONTROL!$C$28, 0.0211, 0)</f>
        <v>52.775399999999998</v>
      </c>
      <c r="D854" s="4">
        <f>78.8479 * CHOOSE(CONTROL!$C$9, $C$13, 100%, $E$13) + CHOOSE(CONTROL!$C$28, 0.0021, 0)</f>
        <v>78.849999999999994</v>
      </c>
      <c r="E854" s="4">
        <f>372.667082444904 * CHOOSE(CONTROL!$C$9, $C$13, 100%, $E$13) + CHOOSE(CONTROL!$C$28, 0.0021, 0)</f>
        <v>372.66918244490398</v>
      </c>
    </row>
    <row r="855" spans="1:5" ht="15">
      <c r="A855" s="13">
        <v>67541</v>
      </c>
      <c r="B855" s="4">
        <f>51.9589 * CHOOSE(CONTROL!$C$9, $C$13, 100%, $E$13) + CHOOSE(CONTROL!$C$28, 0.0211, 0)</f>
        <v>51.98</v>
      </c>
      <c r="C855" s="4">
        <f>51.5956 * CHOOSE(CONTROL!$C$9, $C$13, 100%, $E$13) + CHOOSE(CONTROL!$C$28, 0.0211, 0)</f>
        <v>51.616699999999994</v>
      </c>
      <c r="D855" s="4">
        <f>78.478 * CHOOSE(CONTROL!$C$9, $C$13, 100%, $E$13) + CHOOSE(CONTROL!$C$28, 0.0021, 0)</f>
        <v>78.480099999999993</v>
      </c>
      <c r="E855" s="4">
        <f>364.418049586166 * CHOOSE(CONTROL!$C$9, $C$13, 100%, $E$13) + CHOOSE(CONTROL!$C$28, 0.0021, 0)</f>
        <v>364.42014958616596</v>
      </c>
    </row>
    <row r="856" spans="1:5" ht="15">
      <c r="A856" s="13">
        <v>67572</v>
      </c>
      <c r="B856" s="4">
        <f>51.1573 * CHOOSE(CONTROL!$C$9, $C$13, 100%, $E$13) + CHOOSE(CONTROL!$C$28, 0.0211, 0)</f>
        <v>51.178399999999996</v>
      </c>
      <c r="C856" s="4">
        <f>50.794 * CHOOSE(CONTROL!$C$9, $C$13, 100%, $E$13) + CHOOSE(CONTROL!$C$28, 0.0211, 0)</f>
        <v>50.815099999999994</v>
      </c>
      <c r="D856" s="4">
        <f>75.7552 * CHOOSE(CONTROL!$C$9, $C$13, 100%, $E$13) + CHOOSE(CONTROL!$C$28, 0.0021, 0)</f>
        <v>75.757300000000001</v>
      </c>
      <c r="E856" s="4">
        <f>358.710779215092 * CHOOSE(CONTROL!$C$9, $C$13, 100%, $E$13) + CHOOSE(CONTROL!$C$28, 0.0021, 0)</f>
        <v>358.71287921509196</v>
      </c>
    </row>
    <row r="857" spans="1:5" ht="15">
      <c r="A857" s="13">
        <v>67603</v>
      </c>
      <c r="B857" s="4">
        <f>48.964 * CHOOSE(CONTROL!$C$9, $C$13, 100%, $E$13) + CHOOSE(CONTROL!$C$28, 0.0211, 0)</f>
        <v>48.985099999999996</v>
      </c>
      <c r="C857" s="4">
        <f>48.6007 * CHOOSE(CONTROL!$C$9, $C$13, 100%, $E$13) + CHOOSE(CONTROL!$C$28, 0.0211, 0)</f>
        <v>48.6218</v>
      </c>
      <c r="D857" s="4">
        <f>72.7559 * CHOOSE(CONTROL!$C$9, $C$13, 100%, $E$13) + CHOOSE(CONTROL!$C$28, 0.0021, 0)</f>
        <v>72.757999999999996</v>
      </c>
      <c r="E857" s="4">
        <f>343.769017671773 * CHOOSE(CONTROL!$C$9, $C$13, 100%, $E$13) + CHOOSE(CONTROL!$C$28, 0.0021, 0)</f>
        <v>343.77111767177297</v>
      </c>
    </row>
    <row r="858" spans="1:5" ht="15">
      <c r="A858" s="13">
        <v>67631</v>
      </c>
      <c r="B858" s="4">
        <f>50.1083 * CHOOSE(CONTROL!$C$9, $C$13, 100%, $E$13) + CHOOSE(CONTROL!$C$28, 0.0211, 0)</f>
        <v>50.129399999999997</v>
      </c>
      <c r="C858" s="4">
        <f>49.745 * CHOOSE(CONTROL!$C$9, $C$13, 100%, $E$13) + CHOOSE(CONTROL!$C$28, 0.0211, 0)</f>
        <v>49.766099999999994</v>
      </c>
      <c r="D858" s="4">
        <f>75.2584 * CHOOSE(CONTROL!$C$9, $C$13, 100%, $E$13) + CHOOSE(CONTROL!$C$28, 0.0021, 0)</f>
        <v>75.260499999999993</v>
      </c>
      <c r="E858" s="4">
        <f>351.931448913868 * CHOOSE(CONTROL!$C$9, $C$13, 100%, $E$13) + CHOOSE(CONTROL!$C$28, 0.0021, 0)</f>
        <v>351.93354891386798</v>
      </c>
    </row>
    <row r="859" spans="1:5" ht="15">
      <c r="A859" s="13">
        <v>67662</v>
      </c>
      <c r="B859" s="4">
        <f>53.1131 * CHOOSE(CONTROL!$C$9, $C$13, 100%, $E$13) + CHOOSE(CONTROL!$C$28, 0.0211, 0)</f>
        <v>53.1342</v>
      </c>
      <c r="C859" s="4">
        <f>52.7498 * CHOOSE(CONTROL!$C$9, $C$13, 100%, $E$13) + CHOOSE(CONTROL!$C$28, 0.0211, 0)</f>
        <v>52.770899999999997</v>
      </c>
      <c r="D859" s="4">
        <f>79.1758 * CHOOSE(CONTROL!$C$9, $C$13, 100%, $E$13) + CHOOSE(CONTROL!$C$28, 0.0021, 0)</f>
        <v>79.177899999999994</v>
      </c>
      <c r="E859" s="4">
        <f>373.36642713355 * CHOOSE(CONTROL!$C$9, $C$13, 100%, $E$13) + CHOOSE(CONTROL!$C$28, 0.0021, 0)</f>
        <v>373.36852713355</v>
      </c>
    </row>
    <row r="860" spans="1:5" ht="15">
      <c r="A860" s="13">
        <v>67692</v>
      </c>
      <c r="B860" s="4">
        <f>55.248 * CHOOSE(CONTROL!$C$9, $C$13, 100%, $E$13) + CHOOSE(CONTROL!$C$28, 0.0211, 0)</f>
        <v>55.269099999999995</v>
      </c>
      <c r="C860" s="4">
        <f>54.8848 * CHOOSE(CONTROL!$C$9, $C$13, 100%, $E$13) + CHOOSE(CONTROL!$C$28, 0.0211, 0)</f>
        <v>54.905899999999995</v>
      </c>
      <c r="D860" s="4">
        <f>81.4324 * CHOOSE(CONTROL!$C$9, $C$13, 100%, $E$13) + CHOOSE(CONTROL!$C$28, 0.0021, 0)</f>
        <v>81.4345</v>
      </c>
      <c r="E860" s="4">
        <f>388.596264817278 * CHOOSE(CONTROL!$C$9, $C$13, 100%, $E$13) + CHOOSE(CONTROL!$C$28, 0.0021, 0)</f>
        <v>388.59836481727797</v>
      </c>
    </row>
    <row r="861" spans="1:5" ht="15">
      <c r="A861" s="13">
        <v>67723</v>
      </c>
      <c r="B861" s="4">
        <f>56.5525 * CHOOSE(CONTROL!$C$9, $C$13, 100%, $E$13) + CHOOSE(CONTROL!$C$28, 0.0415, 0)</f>
        <v>56.594000000000001</v>
      </c>
      <c r="C861" s="4">
        <f>56.1892 * CHOOSE(CONTROL!$C$9, $C$13, 100%, $E$13) + CHOOSE(CONTROL!$C$28, 0.0415, 0)</f>
        <v>56.230699999999999</v>
      </c>
      <c r="D861" s="4">
        <f>80.5407 * CHOOSE(CONTROL!$C$9, $C$13, 100%, $E$13) + CHOOSE(CONTROL!$C$28, 0.0021, 0)</f>
        <v>80.5428</v>
      </c>
      <c r="E861" s="4">
        <f>397.901330633768 * CHOOSE(CONTROL!$C$9, $C$13, 100%, $E$13) + CHOOSE(CONTROL!$C$28, 0.0021, 0)</f>
        <v>397.90343063376798</v>
      </c>
    </row>
    <row r="862" spans="1:5" ht="15">
      <c r="A862" s="13">
        <v>67753</v>
      </c>
      <c r="B862" s="4">
        <f>56.729 * CHOOSE(CONTROL!$C$9, $C$13, 100%, $E$13) + CHOOSE(CONTROL!$C$28, 0.0415, 0)</f>
        <v>56.770499999999998</v>
      </c>
      <c r="C862" s="4">
        <f>56.3657 * CHOOSE(CONTROL!$C$9, $C$13, 100%, $E$13) + CHOOSE(CONTROL!$C$28, 0.0415, 0)</f>
        <v>56.407199999999996</v>
      </c>
      <c r="D862" s="4">
        <f>81.2669 * CHOOSE(CONTROL!$C$9, $C$13, 100%, $E$13) + CHOOSE(CONTROL!$C$28, 0.0021, 0)</f>
        <v>81.269000000000005</v>
      </c>
      <c r="E862" s="4">
        <f>399.160344655556 * CHOOSE(CONTROL!$C$9, $C$13, 100%, $E$13) + CHOOSE(CONTROL!$C$28, 0.0021, 0)</f>
        <v>399.16244465555599</v>
      </c>
    </row>
    <row r="863" spans="1:5" ht="15">
      <c r="A863" s="13">
        <v>67784</v>
      </c>
      <c r="B863" s="4">
        <f>56.7112 * CHOOSE(CONTROL!$C$9, $C$13, 100%, $E$13) + CHOOSE(CONTROL!$C$28, 0.0415, 0)</f>
        <v>56.752699999999997</v>
      </c>
      <c r="C863" s="4">
        <f>56.3479 * CHOOSE(CONTROL!$C$9, $C$13, 100%, $E$13) + CHOOSE(CONTROL!$C$28, 0.0415, 0)</f>
        <v>56.389400000000002</v>
      </c>
      <c r="D863" s="4">
        <f>82.5773 * CHOOSE(CONTROL!$C$9, $C$13, 100%, $E$13) + CHOOSE(CONTROL!$C$28, 0.0021, 0)</f>
        <v>82.579399999999993</v>
      </c>
      <c r="E863" s="4">
        <f>399.033385258401 * CHOOSE(CONTROL!$C$9, $C$13, 100%, $E$13) + CHOOSE(CONTROL!$C$28, 0.0021, 0)</f>
        <v>399.03548525840097</v>
      </c>
    </row>
    <row r="864" spans="1:5" ht="15">
      <c r="A864" s="13">
        <v>67815</v>
      </c>
      <c r="B864" s="4">
        <f>58.0504 * CHOOSE(CONTROL!$C$9, $C$13, 100%, $E$13) + CHOOSE(CONTROL!$C$28, 0.0415, 0)</f>
        <v>58.091900000000003</v>
      </c>
      <c r="C864" s="4">
        <f>57.6871 * CHOOSE(CONTROL!$C$9, $C$13, 100%, $E$13) + CHOOSE(CONTROL!$C$28, 0.0415, 0)</f>
        <v>57.7286</v>
      </c>
      <c r="D864" s="4">
        <f>81.7119 * CHOOSE(CONTROL!$C$9, $C$13, 100%, $E$13) + CHOOSE(CONTROL!$C$28, 0.0021, 0)</f>
        <v>81.713999999999999</v>
      </c>
      <c r="E864" s="4">
        <f>408.587079894321 * CHOOSE(CONTROL!$C$9, $C$13, 100%, $E$13) + CHOOSE(CONTROL!$C$28, 0.0021, 0)</f>
        <v>408.58917989432098</v>
      </c>
    </row>
    <row r="865" spans="1:5" ht="15">
      <c r="A865" s="13">
        <v>67845</v>
      </c>
      <c r="B865" s="4">
        <f>55.7679 * CHOOSE(CONTROL!$C$9, $C$13, 100%, $E$13) + CHOOSE(CONTROL!$C$28, 0.0415, 0)</f>
        <v>55.809399999999997</v>
      </c>
      <c r="C865" s="4">
        <f>55.4046 * CHOOSE(CONTROL!$C$9, $C$13, 100%, $E$13) + CHOOSE(CONTROL!$C$28, 0.0415, 0)</f>
        <v>55.446100000000001</v>
      </c>
      <c r="D865" s="4">
        <f>81.303 * CHOOSE(CONTROL!$C$9, $C$13, 100%, $E$13) + CHOOSE(CONTROL!$C$28, 0.0021, 0)</f>
        <v>81.305099999999996</v>
      </c>
      <c r="E865" s="4">
        <f>392.304537209182 * CHOOSE(CONTROL!$C$9, $C$13, 100%, $E$13) + CHOOSE(CONTROL!$C$28, 0.0021, 0)</f>
        <v>392.30663720918199</v>
      </c>
    </row>
    <row r="866" spans="1:5" ht="15">
      <c r="A866" s="13">
        <v>67876</v>
      </c>
      <c r="B866" s="4">
        <f>53.9407 * CHOOSE(CONTROL!$C$9, $C$13, 100%, $E$13) + CHOOSE(CONTROL!$C$28, 0.0211, 0)</f>
        <v>53.961799999999997</v>
      </c>
      <c r="C866" s="4">
        <f>53.5774 * CHOOSE(CONTROL!$C$9, $C$13, 100%, $E$13) + CHOOSE(CONTROL!$C$28, 0.0211, 0)</f>
        <v>53.598499999999994</v>
      </c>
      <c r="D866" s="4">
        <f>80.2083 * CHOOSE(CONTROL!$C$9, $C$13, 100%, $E$13) + CHOOSE(CONTROL!$C$28, 0.0021, 0)</f>
        <v>80.210399999999993</v>
      </c>
      <c r="E866" s="4">
        <f>379.270039101261 * CHOOSE(CONTROL!$C$9, $C$13, 100%, $E$13) + CHOOSE(CONTROL!$C$28, 0.0021, 0)</f>
        <v>379.27213910126096</v>
      </c>
    </row>
    <row r="867" spans="1:5" ht="15">
      <c r="A867" s="13">
        <v>67906</v>
      </c>
      <c r="B867" s="4">
        <f>52.7638 * CHOOSE(CONTROL!$C$9, $C$13, 100%, $E$13) + CHOOSE(CONTROL!$C$28, 0.0211, 0)</f>
        <v>52.7849</v>
      </c>
      <c r="C867" s="4">
        <f>52.4005 * CHOOSE(CONTROL!$C$9, $C$13, 100%, $E$13) + CHOOSE(CONTROL!$C$28, 0.0211, 0)</f>
        <v>52.421599999999998</v>
      </c>
      <c r="D867" s="4">
        <f>79.8319 * CHOOSE(CONTROL!$C$9, $C$13, 100%, $E$13) + CHOOSE(CONTROL!$C$28, 0.0021, 0)</f>
        <v>79.834000000000003</v>
      </c>
      <c r="E867" s="4">
        <f>370.874848964382 * CHOOSE(CONTROL!$C$9, $C$13, 100%, $E$13) + CHOOSE(CONTROL!$C$28, 0.0021, 0)</f>
        <v>370.876948964382</v>
      </c>
    </row>
    <row r="868" spans="1:5" ht="15">
      <c r="A868" s="13">
        <v>67937</v>
      </c>
      <c r="B868" s="4">
        <f>51.9496 * CHOOSE(CONTROL!$C$9, $C$13, 100%, $E$13) + CHOOSE(CONTROL!$C$28, 0.0211, 0)</f>
        <v>51.970699999999994</v>
      </c>
      <c r="C868" s="4">
        <f>51.5863 * CHOOSE(CONTROL!$C$9, $C$13, 100%, $E$13) + CHOOSE(CONTROL!$C$28, 0.0211, 0)</f>
        <v>51.607399999999998</v>
      </c>
      <c r="D868" s="4">
        <f>77.061 * CHOOSE(CONTROL!$C$9, $C$13, 100%, $E$13) + CHOOSE(CONTROL!$C$28, 0.0021, 0)</f>
        <v>77.063100000000006</v>
      </c>
      <c r="E868" s="4">
        <f>365.066456544537 * CHOOSE(CONTROL!$C$9, $C$13, 100%, $E$13) + CHOOSE(CONTROL!$C$28, 0.0021, 0)</f>
        <v>365.06855654453699</v>
      </c>
    </row>
    <row r="869" spans="1:5" ht="15">
      <c r="A869" s="13">
        <v>67968</v>
      </c>
      <c r="B869" s="4">
        <f>49.7218 * CHOOSE(CONTROL!$C$9, $C$13, 100%, $E$13) + CHOOSE(CONTROL!$C$28, 0.0211, 0)</f>
        <v>49.742899999999999</v>
      </c>
      <c r="C869" s="4">
        <f>49.3585 * CHOOSE(CONTROL!$C$9, $C$13, 100%, $E$13) + CHOOSE(CONTROL!$C$28, 0.0211, 0)</f>
        <v>49.379599999999996</v>
      </c>
      <c r="D869" s="4">
        <f>74.0086 * CHOOSE(CONTROL!$C$9, $C$13, 100%, $E$13) + CHOOSE(CONTROL!$C$28, 0.0021, 0)</f>
        <v>74.0107</v>
      </c>
      <c r="E869" s="4">
        <f>349.859955214723 * CHOOSE(CONTROL!$C$9, $C$13, 100%, $E$13) + CHOOSE(CONTROL!$C$28, 0.0021, 0)</f>
        <v>349.862055214723</v>
      </c>
    </row>
    <row r="870" spans="1:5" ht="15">
      <c r="A870" s="13">
        <v>67996</v>
      </c>
      <c r="B870" s="4">
        <f>50.884 * CHOOSE(CONTROL!$C$9, $C$13, 100%, $E$13) + CHOOSE(CONTROL!$C$28, 0.0211, 0)</f>
        <v>50.905099999999997</v>
      </c>
      <c r="C870" s="4">
        <f>50.5208 * CHOOSE(CONTROL!$C$9, $C$13, 100%, $E$13) + CHOOSE(CONTROL!$C$28, 0.0211, 0)</f>
        <v>50.541899999999998</v>
      </c>
      <c r="D870" s="4">
        <f>76.5553 * CHOOSE(CONTROL!$C$9, $C$13, 100%, $E$13) + CHOOSE(CONTROL!$C$28, 0.0021, 0)</f>
        <v>76.557400000000001</v>
      </c>
      <c r="E870" s="4">
        <f>358.167009317921 * CHOOSE(CONTROL!$C$9, $C$13, 100%, $E$13) + CHOOSE(CONTROL!$C$28, 0.0021, 0)</f>
        <v>358.16910931792097</v>
      </c>
    </row>
    <row r="871" spans="1:5" ht="15">
      <c r="A871" s="13">
        <v>68027</v>
      </c>
      <c r="B871" s="4">
        <f>53.9361 * CHOOSE(CONTROL!$C$9, $C$13, 100%, $E$13) + CHOOSE(CONTROL!$C$28, 0.0211, 0)</f>
        <v>53.9572</v>
      </c>
      <c r="C871" s="4">
        <f>53.5728 * CHOOSE(CONTROL!$C$9, $C$13, 100%, $E$13) + CHOOSE(CONTROL!$C$28, 0.0211, 0)</f>
        <v>53.593899999999998</v>
      </c>
      <c r="D871" s="4">
        <f>80.542 * CHOOSE(CONTROL!$C$9, $C$13, 100%, $E$13) + CHOOSE(CONTROL!$C$28, 0.0021, 0)</f>
        <v>80.5441</v>
      </c>
      <c r="E871" s="4">
        <f>379.981774856584 * CHOOSE(CONTROL!$C$9, $C$13, 100%, $E$13) + CHOOSE(CONTROL!$C$28, 0.0021, 0)</f>
        <v>379.98387485658401</v>
      </c>
    </row>
    <row r="872" spans="1:5" ht="15">
      <c r="A872" s="13">
        <v>68057</v>
      </c>
      <c r="B872" s="4">
        <f>56.1047 * CHOOSE(CONTROL!$C$9, $C$13, 100%, $E$13) + CHOOSE(CONTROL!$C$28, 0.0211, 0)</f>
        <v>56.125799999999998</v>
      </c>
      <c r="C872" s="4">
        <f>55.7414 * CHOOSE(CONTROL!$C$9, $C$13, 100%, $E$13) + CHOOSE(CONTROL!$C$28, 0.0211, 0)</f>
        <v>55.762499999999996</v>
      </c>
      <c r="D872" s="4">
        <f>82.8384 * CHOOSE(CONTROL!$C$9, $C$13, 100%, $E$13) + CHOOSE(CONTROL!$C$28, 0.0021, 0)</f>
        <v>82.840499999999992</v>
      </c>
      <c r="E872" s="4">
        <f>395.48145649178 * CHOOSE(CONTROL!$C$9, $C$13, 100%, $E$13) + CHOOSE(CONTROL!$C$28, 0.0021, 0)</f>
        <v>395.48355649178001</v>
      </c>
    </row>
    <row r="873" spans="1:5" ht="15">
      <c r="A873" s="13">
        <v>68088</v>
      </c>
      <c r="B873" s="4">
        <f>57.4296 * CHOOSE(CONTROL!$C$9, $C$13, 100%, $E$13) + CHOOSE(CONTROL!$C$28, 0.0415, 0)</f>
        <v>57.4711</v>
      </c>
      <c r="C873" s="4">
        <f>57.0663 * CHOOSE(CONTROL!$C$9, $C$13, 100%, $E$13) + CHOOSE(CONTROL!$C$28, 0.0415, 0)</f>
        <v>57.107799999999997</v>
      </c>
      <c r="D873" s="4">
        <f>81.931 * CHOOSE(CONTROL!$C$9, $C$13, 100%, $E$13) + CHOOSE(CONTROL!$C$28, 0.0021, 0)</f>
        <v>81.933099999999996</v>
      </c>
      <c r="E873" s="4">
        <f>404.951390495361 * CHOOSE(CONTROL!$C$9, $C$13, 100%, $E$13) + CHOOSE(CONTROL!$C$28, 0.0021, 0)</f>
        <v>404.953490495361</v>
      </c>
    </row>
    <row r="874" spans="1:5" ht="15">
      <c r="A874" s="13">
        <v>68118</v>
      </c>
      <c r="B874" s="4">
        <f>57.6088 * CHOOSE(CONTROL!$C$9, $C$13, 100%, $E$13) + CHOOSE(CONTROL!$C$28, 0.0415, 0)</f>
        <v>57.650300000000001</v>
      </c>
      <c r="C874" s="4">
        <f>57.2456 * CHOOSE(CONTROL!$C$9, $C$13, 100%, $E$13) + CHOOSE(CONTROL!$C$28, 0.0415, 0)</f>
        <v>57.287100000000002</v>
      </c>
      <c r="D874" s="4">
        <f>82.67 * CHOOSE(CONTROL!$C$9, $C$13, 100%, $E$13) + CHOOSE(CONTROL!$C$28, 0.0021, 0)</f>
        <v>82.6721</v>
      </c>
      <c r="E874" s="4">
        <f>406.232711867079 * CHOOSE(CONTROL!$C$9, $C$13, 100%, $E$13) + CHOOSE(CONTROL!$C$28, 0.0021, 0)</f>
        <v>406.23481186707897</v>
      </c>
    </row>
    <row r="875" spans="1:5" ht="15">
      <c r="A875" s="13">
        <v>68149</v>
      </c>
      <c r="B875" s="4">
        <f>57.5908 * CHOOSE(CONTROL!$C$9, $C$13, 100%, $E$13) + CHOOSE(CONTROL!$C$28, 0.0415, 0)</f>
        <v>57.632300000000001</v>
      </c>
      <c r="C875" s="4">
        <f>57.2275 * CHOOSE(CONTROL!$C$9, $C$13, 100%, $E$13) + CHOOSE(CONTROL!$C$28, 0.0415, 0)</f>
        <v>57.268999999999998</v>
      </c>
      <c r="D875" s="4">
        <f>84.0035 * CHOOSE(CONTROL!$C$9, $C$13, 100%, $E$13) + CHOOSE(CONTROL!$C$28, 0.0021, 0)</f>
        <v>84.005600000000001</v>
      </c>
      <c r="E875" s="4">
        <f>406.103502989259 * CHOOSE(CONTROL!$C$9, $C$13, 100%, $E$13) + CHOOSE(CONTROL!$C$28, 0.0021, 0)</f>
        <v>406.10560298925901</v>
      </c>
    </row>
    <row r="876" spans="1:5" ht="15">
      <c r="A876" s="13">
        <v>68180</v>
      </c>
      <c r="B876" s="4">
        <f>58.9511 * CHOOSE(CONTROL!$C$9, $C$13, 100%, $E$13) + CHOOSE(CONTROL!$C$28, 0.0415, 0)</f>
        <v>58.992599999999996</v>
      </c>
      <c r="C876" s="4">
        <f>58.5878 * CHOOSE(CONTROL!$C$9, $C$13, 100%, $E$13) + CHOOSE(CONTROL!$C$28, 0.0415, 0)</f>
        <v>58.629300000000001</v>
      </c>
      <c r="D876" s="4">
        <f>83.1229 * CHOOSE(CONTROL!$C$9, $C$13, 100%, $E$13) + CHOOSE(CONTROL!$C$28, 0.0021, 0)</f>
        <v>83.125</v>
      </c>
      <c r="E876" s="4">
        <f>415.826471045238 * CHOOSE(CONTROL!$C$9, $C$13, 100%, $E$13) + CHOOSE(CONTROL!$C$28, 0.0021, 0)</f>
        <v>415.82857104523799</v>
      </c>
    </row>
    <row r="877" spans="1:5" ht="15">
      <c r="A877" s="13">
        <v>68210</v>
      </c>
      <c r="B877" s="4">
        <f>56.6327 * CHOOSE(CONTROL!$C$9, $C$13, 100%, $E$13) + CHOOSE(CONTROL!$C$28, 0.0415, 0)</f>
        <v>56.674199999999999</v>
      </c>
      <c r="C877" s="4">
        <f>56.2694 * CHOOSE(CONTROL!$C$9, $C$13, 100%, $E$13) + CHOOSE(CONTROL!$C$28, 0.0415, 0)</f>
        <v>56.310899999999997</v>
      </c>
      <c r="D877" s="4">
        <f>82.7068 * CHOOSE(CONTROL!$C$9, $C$13, 100%, $E$13) + CHOOSE(CONTROL!$C$28, 0.0021, 0)</f>
        <v>82.7089</v>
      </c>
      <c r="E877" s="4">
        <f>399.255432464782 * CHOOSE(CONTROL!$C$9, $C$13, 100%, $E$13) + CHOOSE(CONTROL!$C$28, 0.0021, 0)</f>
        <v>399.257532464782</v>
      </c>
    </row>
    <row r="878" spans="1:5" ht="15">
      <c r="A878" s="13">
        <v>68241</v>
      </c>
      <c r="B878" s="4">
        <f>54.7767 * CHOOSE(CONTROL!$C$9, $C$13, 100%, $E$13) + CHOOSE(CONTROL!$C$28, 0.0211, 0)</f>
        <v>54.797799999999995</v>
      </c>
      <c r="C878" s="4">
        <f>54.4134 * CHOOSE(CONTROL!$C$9, $C$13, 100%, $E$13) + CHOOSE(CONTROL!$C$28, 0.0211, 0)</f>
        <v>54.4345</v>
      </c>
      <c r="D878" s="4">
        <f>81.5927 * CHOOSE(CONTROL!$C$9, $C$13, 100%, $E$13) + CHOOSE(CONTROL!$C$28, 0.0021, 0)</f>
        <v>81.594799999999992</v>
      </c>
      <c r="E878" s="4">
        <f>385.989987675229 * CHOOSE(CONTROL!$C$9, $C$13, 100%, $E$13) + CHOOSE(CONTROL!$C$28, 0.0021, 0)</f>
        <v>385.99208767522896</v>
      </c>
    </row>
    <row r="879" spans="1:5" ht="15">
      <c r="A879" s="13">
        <v>68271</v>
      </c>
      <c r="B879" s="4">
        <f>53.5813 * CHOOSE(CONTROL!$C$9, $C$13, 100%, $E$13) + CHOOSE(CONTROL!$C$28, 0.0211, 0)</f>
        <v>53.602399999999996</v>
      </c>
      <c r="C879" s="4">
        <f>53.2181 * CHOOSE(CONTROL!$C$9, $C$13, 100%, $E$13) + CHOOSE(CONTROL!$C$28, 0.0211, 0)</f>
        <v>53.239199999999997</v>
      </c>
      <c r="D879" s="4">
        <f>81.2097 * CHOOSE(CONTROL!$C$9, $C$13, 100%, $E$13) + CHOOSE(CONTROL!$C$28, 0.0021, 0)</f>
        <v>81.211799999999997</v>
      </c>
      <c r="E879" s="4">
        <f>377.446050629361 * CHOOSE(CONTROL!$C$9, $C$13, 100%, $E$13) + CHOOSE(CONTROL!$C$28, 0.0021, 0)</f>
        <v>377.44815062936101</v>
      </c>
    </row>
    <row r="880" spans="1:5" ht="15">
      <c r="A880" s="13">
        <v>68302</v>
      </c>
      <c r="B880" s="4">
        <f>52.7543 * CHOOSE(CONTROL!$C$9, $C$13, 100%, $E$13) + CHOOSE(CONTROL!$C$28, 0.0211, 0)</f>
        <v>52.775399999999998</v>
      </c>
      <c r="C880" s="4">
        <f>52.391 * CHOOSE(CONTROL!$C$9, $C$13, 100%, $E$13) + CHOOSE(CONTROL!$C$28, 0.0211, 0)</f>
        <v>52.412099999999995</v>
      </c>
      <c r="D880" s="4">
        <f>78.3898 * CHOOSE(CONTROL!$C$9, $C$13, 100%, $E$13) + CHOOSE(CONTROL!$C$28, 0.0021, 0)</f>
        <v>78.391899999999993</v>
      </c>
      <c r="E880" s="4">
        <f>371.534744469081 * CHOOSE(CONTROL!$C$9, $C$13, 100%, $E$13) + CHOOSE(CONTROL!$C$28, 0.0021, 0)</f>
        <v>371.53684446908096</v>
      </c>
    </row>
    <row r="881" spans="1:5" ht="15">
      <c r="A881" s="13">
        <v>68333</v>
      </c>
      <c r="B881" s="4">
        <f>50.4915 * CHOOSE(CONTROL!$C$9, $C$13, 100%, $E$13) + CHOOSE(CONTROL!$C$28, 0.0211, 0)</f>
        <v>50.512599999999999</v>
      </c>
      <c r="C881" s="4">
        <f>50.1282 * CHOOSE(CONTROL!$C$9, $C$13, 100%, $E$13) + CHOOSE(CONTROL!$C$28, 0.0211, 0)</f>
        <v>50.149299999999997</v>
      </c>
      <c r="D881" s="4">
        <f>75.2835 * CHOOSE(CONTROL!$C$9, $C$13, 100%, $E$13) + CHOOSE(CONTROL!$C$28, 0.0021, 0)</f>
        <v>75.285600000000002</v>
      </c>
      <c r="E881" s="4">
        <f>356.058812663903 * CHOOSE(CONTROL!$C$9, $C$13, 100%, $E$13) + CHOOSE(CONTROL!$C$28, 0.0021, 0)</f>
        <v>356.06091266390297</v>
      </c>
    </row>
    <row r="882" spans="1:5" ht="15">
      <c r="A882" s="13">
        <v>68361</v>
      </c>
      <c r="B882" s="4">
        <f>51.672 * CHOOSE(CONTROL!$C$9, $C$13, 100%, $E$13) + CHOOSE(CONTROL!$C$28, 0.0211, 0)</f>
        <v>51.693099999999994</v>
      </c>
      <c r="C882" s="4">
        <f>51.3088 * CHOOSE(CONTROL!$C$9, $C$13, 100%, $E$13) + CHOOSE(CONTROL!$C$28, 0.0211, 0)</f>
        <v>51.329899999999995</v>
      </c>
      <c r="D882" s="4">
        <f>77.8752 * CHOOSE(CONTROL!$C$9, $C$13, 100%, $E$13) + CHOOSE(CONTROL!$C$28, 0.0021, 0)</f>
        <v>77.877300000000005</v>
      </c>
      <c r="E882" s="4">
        <f>364.513052072081 * CHOOSE(CONTROL!$C$9, $C$13, 100%, $E$13) + CHOOSE(CONTROL!$C$28, 0.0021, 0)</f>
        <v>364.51515207208098</v>
      </c>
    </row>
    <row r="883" spans="1:5" ht="15">
      <c r="A883" s="13">
        <v>68392</v>
      </c>
      <c r="B883" s="4">
        <f>54.7721 * CHOOSE(CONTROL!$C$9, $C$13, 100%, $E$13) + CHOOSE(CONTROL!$C$28, 0.0211, 0)</f>
        <v>54.793199999999999</v>
      </c>
      <c r="C883" s="4">
        <f>54.4088 * CHOOSE(CONTROL!$C$9, $C$13, 100%, $E$13) + CHOOSE(CONTROL!$C$28, 0.0211, 0)</f>
        <v>54.429899999999996</v>
      </c>
      <c r="D883" s="4">
        <f>81.9323 * CHOOSE(CONTROL!$C$9, $C$13, 100%, $E$13) + CHOOSE(CONTROL!$C$28, 0.0021, 0)</f>
        <v>81.934399999999997</v>
      </c>
      <c r="E883" s="4">
        <f>386.714334043522 * CHOOSE(CONTROL!$C$9, $C$13, 100%, $E$13) + CHOOSE(CONTROL!$C$28, 0.0021, 0)</f>
        <v>386.71643404352199</v>
      </c>
    </row>
    <row r="884" spans="1:5" ht="15">
      <c r="A884" s="13">
        <v>68422</v>
      </c>
      <c r="B884" s="4">
        <f>56.9747 * CHOOSE(CONTROL!$C$9, $C$13, 100%, $E$13) + CHOOSE(CONTROL!$C$28, 0.0211, 0)</f>
        <v>56.995799999999996</v>
      </c>
      <c r="C884" s="4">
        <f>56.6115 * CHOOSE(CONTROL!$C$9, $C$13, 100%, $E$13) + CHOOSE(CONTROL!$C$28, 0.0211, 0)</f>
        <v>56.632599999999996</v>
      </c>
      <c r="D884" s="4">
        <f>84.2693 * CHOOSE(CONTROL!$C$9, $C$13, 100%, $E$13) + CHOOSE(CONTROL!$C$28, 0.0021, 0)</f>
        <v>84.2714</v>
      </c>
      <c r="E884" s="4">
        <f>402.488640755215 * CHOOSE(CONTROL!$C$9, $C$13, 100%, $E$13) + CHOOSE(CONTROL!$C$28, 0.0021, 0)</f>
        <v>402.49074075521497</v>
      </c>
    </row>
    <row r="885" spans="1:5" ht="15">
      <c r="A885" s="13">
        <v>68453</v>
      </c>
      <c r="B885" s="4">
        <f>58.3205 * CHOOSE(CONTROL!$C$9, $C$13, 100%, $E$13) + CHOOSE(CONTROL!$C$28, 0.0415, 0)</f>
        <v>58.362000000000002</v>
      </c>
      <c r="C885" s="4">
        <f>57.9572 * CHOOSE(CONTROL!$C$9, $C$13, 100%, $E$13) + CHOOSE(CONTROL!$C$28, 0.0415, 0)</f>
        <v>57.998699999999999</v>
      </c>
      <c r="D885" s="4">
        <f>83.3458 * CHOOSE(CONTROL!$C$9, $C$13, 100%, $E$13) + CHOOSE(CONTROL!$C$28, 0.0021, 0)</f>
        <v>83.347899999999996</v>
      </c>
      <c r="E885" s="4">
        <f>412.126364098692 * CHOOSE(CONTROL!$C$9, $C$13, 100%, $E$13) + CHOOSE(CONTROL!$C$28, 0.0021, 0)</f>
        <v>412.12846409869201</v>
      </c>
    </row>
    <row r="886" spans="1:5" ht="15">
      <c r="A886" s="13">
        <v>68483</v>
      </c>
      <c r="B886" s="4">
        <f>58.5026 * CHOOSE(CONTROL!$C$9, $C$13, 100%, $E$13) + CHOOSE(CONTROL!$C$28, 0.0415, 0)</f>
        <v>58.5441</v>
      </c>
      <c r="C886" s="4">
        <f>58.1393 * CHOOSE(CONTROL!$C$9, $C$13, 100%, $E$13) + CHOOSE(CONTROL!$C$28, 0.0415, 0)</f>
        <v>58.180799999999998</v>
      </c>
      <c r="D886" s="4">
        <f>84.0979 * CHOOSE(CONTROL!$C$9, $C$13, 100%, $E$13) + CHOOSE(CONTROL!$C$28, 0.0021, 0)</f>
        <v>84.1</v>
      </c>
      <c r="E886" s="4">
        <f>413.430388064438 * CHOOSE(CONTROL!$C$9, $C$13, 100%, $E$13) + CHOOSE(CONTROL!$C$28, 0.0021, 0)</f>
        <v>413.43248806443796</v>
      </c>
    </row>
    <row r="887" spans="1:5" ht="15">
      <c r="A887" s="13">
        <v>68514</v>
      </c>
      <c r="B887" s="4">
        <f>58.4842 * CHOOSE(CONTROL!$C$9, $C$13, 100%, $E$13) + CHOOSE(CONTROL!$C$28, 0.0415, 0)</f>
        <v>58.525700000000001</v>
      </c>
      <c r="C887" s="4">
        <f>58.1209 * CHOOSE(CONTROL!$C$9, $C$13, 100%, $E$13) + CHOOSE(CONTROL!$C$28, 0.0415, 0)</f>
        <v>58.162399999999998</v>
      </c>
      <c r="D887" s="4">
        <f>85.455 * CHOOSE(CONTROL!$C$9, $C$13, 100%, $E$13) + CHOOSE(CONTROL!$C$28, 0.0021, 0)</f>
        <v>85.457099999999997</v>
      </c>
      <c r="E887" s="4">
        <f>413.298889849404 * CHOOSE(CONTROL!$C$9, $C$13, 100%, $E$13) + CHOOSE(CONTROL!$C$28, 0.0021, 0)</f>
        <v>413.300989849404</v>
      </c>
    </row>
    <row r="888" spans="1:5" ht="15">
      <c r="A888" s="13">
        <v>68545</v>
      </c>
      <c r="B888" s="4">
        <f>59.8659 * CHOOSE(CONTROL!$C$9, $C$13, 100%, $E$13) + CHOOSE(CONTROL!$C$28, 0.0415, 0)</f>
        <v>59.907400000000003</v>
      </c>
      <c r="C888" s="4">
        <f>59.5027 * CHOOSE(CONTROL!$C$9, $C$13, 100%, $E$13) + CHOOSE(CONTROL!$C$28, 0.0415, 0)</f>
        <v>59.544199999999996</v>
      </c>
      <c r="D888" s="4">
        <f>84.5588 * CHOOSE(CONTROL!$C$9, $C$13, 100%, $E$13) + CHOOSE(CONTROL!$C$28, 0.0021, 0)</f>
        <v>84.560900000000004</v>
      </c>
      <c r="E888" s="4">
        <f>423.194130530654 * CHOOSE(CONTROL!$C$9, $C$13, 100%, $E$13) + CHOOSE(CONTROL!$C$28, 0.0021, 0)</f>
        <v>423.19623053065396</v>
      </c>
    </row>
    <row r="889" spans="1:5" ht="15">
      <c r="A889" s="13">
        <v>68575</v>
      </c>
      <c r="B889" s="4">
        <f>57.511 * CHOOSE(CONTROL!$C$9, $C$13, 100%, $E$13) + CHOOSE(CONTROL!$C$28, 0.0415, 0)</f>
        <v>57.552500000000002</v>
      </c>
      <c r="C889" s="4">
        <f>57.1478 * CHOOSE(CONTROL!$C$9, $C$13, 100%, $E$13) + CHOOSE(CONTROL!$C$28, 0.0415, 0)</f>
        <v>57.189299999999996</v>
      </c>
      <c r="D889" s="4">
        <f>84.1354 * CHOOSE(CONTROL!$C$9, $C$13, 100%, $E$13) + CHOOSE(CONTROL!$C$28, 0.0021, 0)</f>
        <v>84.137500000000003</v>
      </c>
      <c r="E889" s="4">
        <f>406.329484452644 * CHOOSE(CONTROL!$C$9, $C$13, 100%, $E$13) + CHOOSE(CONTROL!$C$28, 0.0021, 0)</f>
        <v>406.33158445264399</v>
      </c>
    </row>
    <row r="890" spans="1:5" ht="15">
      <c r="A890" s="13">
        <v>68606</v>
      </c>
      <c r="B890" s="4">
        <f>55.6259 * CHOOSE(CONTROL!$C$9, $C$13, 100%, $E$13) + CHOOSE(CONTROL!$C$28, 0.0211, 0)</f>
        <v>55.646999999999998</v>
      </c>
      <c r="C890" s="4">
        <f>55.2626 * CHOOSE(CONTROL!$C$9, $C$13, 100%, $E$13) + CHOOSE(CONTROL!$C$28, 0.0211, 0)</f>
        <v>55.283699999999996</v>
      </c>
      <c r="D890" s="4">
        <f>83.0016 * CHOOSE(CONTROL!$C$9, $C$13, 100%, $E$13) + CHOOSE(CONTROL!$C$28, 0.0021, 0)</f>
        <v>83.003699999999995</v>
      </c>
      <c r="E890" s="4">
        <f>392.829001042567 * CHOOSE(CONTROL!$C$9, $C$13, 100%, $E$13) + CHOOSE(CONTROL!$C$28, 0.0021, 0)</f>
        <v>392.83110104256696</v>
      </c>
    </row>
    <row r="891" spans="1:5" ht="15">
      <c r="A891" s="13">
        <v>68636</v>
      </c>
      <c r="B891" s="4">
        <f>54.4117 * CHOOSE(CONTROL!$C$9, $C$13, 100%, $E$13) + CHOOSE(CONTROL!$C$28, 0.0211, 0)</f>
        <v>54.4328</v>
      </c>
      <c r="C891" s="4">
        <f>54.0485 * CHOOSE(CONTROL!$C$9, $C$13, 100%, $E$13) + CHOOSE(CONTROL!$C$28, 0.0211, 0)</f>
        <v>54.069599999999994</v>
      </c>
      <c r="D891" s="4">
        <f>82.6118 * CHOOSE(CONTROL!$C$9, $C$13, 100%, $E$13) + CHOOSE(CONTROL!$C$28, 0.0021, 0)</f>
        <v>82.613900000000001</v>
      </c>
      <c r="E891" s="4">
        <f>384.133681573495 * CHOOSE(CONTROL!$C$9, $C$13, 100%, $E$13) + CHOOSE(CONTROL!$C$28, 0.0021, 0)</f>
        <v>384.13578157349497</v>
      </c>
    </row>
    <row r="892" spans="1:5" ht="15">
      <c r="A892" s="13">
        <v>68667</v>
      </c>
      <c r="B892" s="4">
        <f>53.5717 * CHOOSE(CONTROL!$C$9, $C$13, 100%, $E$13) + CHOOSE(CONTROL!$C$28, 0.0211, 0)</f>
        <v>53.592799999999997</v>
      </c>
      <c r="C892" s="4">
        <f>53.2084 * CHOOSE(CONTROL!$C$9, $C$13, 100%, $E$13) + CHOOSE(CONTROL!$C$28, 0.0211, 0)</f>
        <v>53.229499999999994</v>
      </c>
      <c r="D892" s="4">
        <f>79.7421 * CHOOSE(CONTROL!$C$9, $C$13, 100%, $E$13) + CHOOSE(CONTROL!$C$28, 0.0021, 0)</f>
        <v>79.744199999999992</v>
      </c>
      <c r="E892" s="4">
        <f>378.117638235726 * CHOOSE(CONTROL!$C$9, $C$13, 100%, $E$13) + CHOOSE(CONTROL!$C$28, 0.0021, 0)</f>
        <v>378.119738235726</v>
      </c>
    </row>
    <row r="893" spans="1:5" ht="15">
      <c r="A893" s="13">
        <v>68698</v>
      </c>
      <c r="B893" s="4">
        <f>51.2733 * CHOOSE(CONTROL!$C$9, $C$13, 100%, $E$13) + CHOOSE(CONTROL!$C$28, 0.0211, 0)</f>
        <v>51.294399999999996</v>
      </c>
      <c r="C893" s="4">
        <f>50.9101 * CHOOSE(CONTROL!$C$9, $C$13, 100%, $E$13) + CHOOSE(CONTROL!$C$28, 0.0211, 0)</f>
        <v>50.931199999999997</v>
      </c>
      <c r="D893" s="4">
        <f>76.5809 * CHOOSE(CONTROL!$C$9, $C$13, 100%, $E$13) + CHOOSE(CONTROL!$C$28, 0.0021, 0)</f>
        <v>76.582999999999998</v>
      </c>
      <c r="E893" s="4">
        <f>362.36750215617 * CHOOSE(CONTROL!$C$9, $C$13, 100%, $E$13) + CHOOSE(CONTROL!$C$28, 0.0021, 0)</f>
        <v>362.36960215617</v>
      </c>
    </row>
    <row r="894" spans="1:5" ht="15">
      <c r="A894" s="13">
        <v>68727</v>
      </c>
      <c r="B894" s="4">
        <f>52.4724 * CHOOSE(CONTROL!$C$9, $C$13, 100%, $E$13) + CHOOSE(CONTROL!$C$28, 0.0211, 0)</f>
        <v>52.493499999999997</v>
      </c>
      <c r="C894" s="4">
        <f>52.1091 * CHOOSE(CONTROL!$C$9, $C$13, 100%, $E$13) + CHOOSE(CONTROL!$C$28, 0.0211, 0)</f>
        <v>52.130199999999995</v>
      </c>
      <c r="D894" s="4">
        <f>79.2184 * CHOOSE(CONTROL!$C$9, $C$13, 100%, $E$13) + CHOOSE(CONTROL!$C$28, 0.0021, 0)</f>
        <v>79.220500000000001</v>
      </c>
      <c r="E894" s="4">
        <f>370.971534714867 * CHOOSE(CONTROL!$C$9, $C$13, 100%, $E$13) + CHOOSE(CONTROL!$C$28, 0.0021, 0)</f>
        <v>370.97363471486699</v>
      </c>
    </row>
    <row r="895" spans="1:5" ht="15">
      <c r="A895" s="13">
        <v>68758</v>
      </c>
      <c r="B895" s="4">
        <f>55.6212 * CHOOSE(CONTROL!$C$9, $C$13, 100%, $E$13) + CHOOSE(CONTROL!$C$28, 0.0211, 0)</f>
        <v>55.642299999999999</v>
      </c>
      <c r="C895" s="4">
        <f>55.2579 * CHOOSE(CONTROL!$C$9, $C$13, 100%, $E$13) + CHOOSE(CONTROL!$C$28, 0.0211, 0)</f>
        <v>55.278999999999996</v>
      </c>
      <c r="D895" s="4">
        <f>83.3472 * CHOOSE(CONTROL!$C$9, $C$13, 100%, $E$13) + CHOOSE(CONTROL!$C$28, 0.0021, 0)</f>
        <v>83.349299999999999</v>
      </c>
      <c r="E895" s="4">
        <f>393.566181460067 * CHOOSE(CONTROL!$C$9, $C$13, 100%, $E$13) + CHOOSE(CONTROL!$C$28, 0.0021, 0)</f>
        <v>393.568281460067</v>
      </c>
    </row>
    <row r="896" spans="1:5" ht="15">
      <c r="A896" s="13">
        <v>68788</v>
      </c>
      <c r="B896" s="4">
        <f>57.8585 * CHOOSE(CONTROL!$C$9, $C$13, 100%, $E$13) + CHOOSE(CONTROL!$C$28, 0.0211, 0)</f>
        <v>57.879599999999996</v>
      </c>
      <c r="C896" s="4">
        <f>57.4952 * CHOOSE(CONTROL!$C$9, $C$13, 100%, $E$13) + CHOOSE(CONTROL!$C$28, 0.0211, 0)</f>
        <v>57.516299999999994</v>
      </c>
      <c r="D896" s="4">
        <f>85.7255 * CHOOSE(CONTROL!$C$9, $C$13, 100%, $E$13) + CHOOSE(CONTROL!$C$28, 0.0021, 0)</f>
        <v>85.727599999999995</v>
      </c>
      <c r="E896" s="4">
        <f>409.61997908579 * CHOOSE(CONTROL!$C$9, $C$13, 100%, $E$13) + CHOOSE(CONTROL!$C$28, 0.0021, 0)</f>
        <v>409.62207908579001</v>
      </c>
    </row>
    <row r="897" spans="1:5" ht="15">
      <c r="A897" s="13">
        <v>68819</v>
      </c>
      <c r="B897" s="4">
        <f>59.2254 * CHOOSE(CONTROL!$C$9, $C$13, 100%, $E$13) + CHOOSE(CONTROL!$C$28, 0.0415, 0)</f>
        <v>59.2669</v>
      </c>
      <c r="C897" s="4">
        <f>58.8621 * CHOOSE(CONTROL!$C$9, $C$13, 100%, $E$13) + CHOOSE(CONTROL!$C$28, 0.0415, 0)</f>
        <v>58.903599999999997</v>
      </c>
      <c r="D897" s="4">
        <f>84.7857 * CHOOSE(CONTROL!$C$9, $C$13, 100%, $E$13) + CHOOSE(CONTROL!$C$28, 0.0021, 0)</f>
        <v>84.787800000000004</v>
      </c>
      <c r="E897" s="4">
        <f>419.428464679276 * CHOOSE(CONTROL!$C$9, $C$13, 100%, $E$13) + CHOOSE(CONTROL!$C$28, 0.0021, 0)</f>
        <v>419.43056467927596</v>
      </c>
    </row>
    <row r="898" spans="1:5" ht="15">
      <c r="A898" s="13">
        <v>68849</v>
      </c>
      <c r="B898" s="4">
        <f>59.4104 * CHOOSE(CONTROL!$C$9, $C$13, 100%, $E$13) + CHOOSE(CONTROL!$C$28, 0.0415, 0)</f>
        <v>59.451900000000002</v>
      </c>
      <c r="C898" s="4">
        <f>59.0471 * CHOOSE(CONTROL!$C$9, $C$13, 100%, $E$13) + CHOOSE(CONTROL!$C$28, 0.0415, 0)</f>
        <v>59.0886</v>
      </c>
      <c r="D898" s="4">
        <f>85.5511 * CHOOSE(CONTROL!$C$9, $C$13, 100%, $E$13) + CHOOSE(CONTROL!$C$28, 0.0021, 0)</f>
        <v>85.553200000000004</v>
      </c>
      <c r="E898" s="4">
        <f>420.755593486126 * CHOOSE(CONTROL!$C$9, $C$13, 100%, $E$13) + CHOOSE(CONTROL!$C$28, 0.0021, 0)</f>
        <v>420.75769348612596</v>
      </c>
    </row>
    <row r="899" spans="1:5" ht="15">
      <c r="A899" s="13">
        <v>68880</v>
      </c>
      <c r="B899" s="4">
        <f>59.3917 * CHOOSE(CONTROL!$C$9, $C$13, 100%, $E$13) + CHOOSE(CONTROL!$C$28, 0.0415, 0)</f>
        <v>59.433199999999999</v>
      </c>
      <c r="C899" s="4">
        <f>59.0284 * CHOOSE(CONTROL!$C$9, $C$13, 100%, $E$13) + CHOOSE(CONTROL!$C$28, 0.0415, 0)</f>
        <v>59.069899999999997</v>
      </c>
      <c r="D899" s="4">
        <f>86.9321 * CHOOSE(CONTROL!$C$9, $C$13, 100%, $E$13) + CHOOSE(CONTROL!$C$28, 0.0021, 0)</f>
        <v>86.934200000000004</v>
      </c>
      <c r="E899" s="4">
        <f>420.62176537115 * CHOOSE(CONTROL!$C$9, $C$13, 100%, $E$13) + CHOOSE(CONTROL!$C$28, 0.0021, 0)</f>
        <v>420.62386537114998</v>
      </c>
    </row>
    <row r="900" spans="1:5" ht="15">
      <c r="A900" s="13">
        <v>68911</v>
      </c>
      <c r="B900" s="4">
        <f>60.7952 * CHOOSE(CONTROL!$C$9, $C$13, 100%, $E$13) + CHOOSE(CONTROL!$C$28, 0.0415, 0)</f>
        <v>60.8367</v>
      </c>
      <c r="C900" s="4">
        <f>60.4319 * CHOOSE(CONTROL!$C$9, $C$13, 100%, $E$13) + CHOOSE(CONTROL!$C$28, 0.0415, 0)</f>
        <v>60.473399999999998</v>
      </c>
      <c r="D900" s="4">
        <f>86.0201 * CHOOSE(CONTROL!$C$9, $C$13, 100%, $E$13) + CHOOSE(CONTROL!$C$28, 0.0021, 0)</f>
        <v>86.022199999999998</v>
      </c>
      <c r="E900" s="4">
        <f>430.692331023132 * CHOOSE(CONTROL!$C$9, $C$13, 100%, $E$13) + CHOOSE(CONTROL!$C$28, 0.0021, 0)</f>
        <v>430.69443102313198</v>
      </c>
    </row>
    <row r="901" spans="1:5" ht="15">
      <c r="A901" s="13">
        <v>68941</v>
      </c>
      <c r="B901" s="4">
        <f>58.4032 * CHOOSE(CONTROL!$C$9, $C$13, 100%, $E$13) + CHOOSE(CONTROL!$C$28, 0.0415, 0)</f>
        <v>58.444699999999997</v>
      </c>
      <c r="C901" s="4">
        <f>58.04 * CHOOSE(CONTROL!$C$9, $C$13, 100%, $E$13) + CHOOSE(CONTROL!$C$28, 0.0415, 0)</f>
        <v>58.081499999999998</v>
      </c>
      <c r="D901" s="4">
        <f>85.5892 * CHOOSE(CONTROL!$C$9, $C$13, 100%, $E$13) + CHOOSE(CONTROL!$C$28, 0.0021, 0)</f>
        <v>85.591300000000004</v>
      </c>
      <c r="E901" s="4">
        <f>413.528875277395 * CHOOSE(CONTROL!$C$9, $C$13, 100%, $E$13) + CHOOSE(CONTROL!$C$28, 0.0021, 0)</f>
        <v>413.53097527739499</v>
      </c>
    </row>
    <row r="902" spans="1:5" ht="15">
      <c r="A902" s="13">
        <v>68972</v>
      </c>
      <c r="B902" s="4">
        <f>56.4885 * CHOOSE(CONTROL!$C$9, $C$13, 100%, $E$13) + CHOOSE(CONTROL!$C$28, 0.0211, 0)</f>
        <v>56.509599999999999</v>
      </c>
      <c r="C902" s="4">
        <f>56.1252 * CHOOSE(CONTROL!$C$9, $C$13, 100%, $E$13) + CHOOSE(CONTROL!$C$28, 0.0211, 0)</f>
        <v>56.146299999999997</v>
      </c>
      <c r="D902" s="4">
        <f>84.4354 * CHOOSE(CONTROL!$C$9, $C$13, 100%, $E$13) + CHOOSE(CONTROL!$C$28, 0.0021, 0)</f>
        <v>84.4375</v>
      </c>
      <c r="E902" s="4">
        <f>399.789188806474 * CHOOSE(CONTROL!$C$9, $C$13, 100%, $E$13) + CHOOSE(CONTROL!$C$28, 0.0021, 0)</f>
        <v>399.79128880647397</v>
      </c>
    </row>
    <row r="903" spans="1:5" ht="15">
      <c r="A903" s="13">
        <v>69002</v>
      </c>
      <c r="B903" s="4">
        <f>55.2552 * CHOOSE(CONTROL!$C$9, $C$13, 100%, $E$13) + CHOOSE(CONTROL!$C$28, 0.0211, 0)</f>
        <v>55.276299999999999</v>
      </c>
      <c r="C903" s="4">
        <f>54.8919 * CHOOSE(CONTROL!$C$9, $C$13, 100%, $E$13) + CHOOSE(CONTROL!$C$28, 0.0211, 0)</f>
        <v>54.912999999999997</v>
      </c>
      <c r="D903" s="4">
        <f>84.0387 * CHOOSE(CONTROL!$C$9, $C$13, 100%, $E$13) + CHOOSE(CONTROL!$C$28, 0.0021, 0)</f>
        <v>84.040800000000004</v>
      </c>
      <c r="E903" s="4">
        <f>390.939804703653 * CHOOSE(CONTROL!$C$9, $C$13, 100%, $E$13) + CHOOSE(CONTROL!$C$28, 0.0021, 0)</f>
        <v>390.94190470365299</v>
      </c>
    </row>
    <row r="904" spans="1:5" ht="15">
      <c r="A904" s="13">
        <v>69033</v>
      </c>
      <c r="B904" s="4">
        <f>54.402 * CHOOSE(CONTROL!$C$9, $C$13, 100%, $E$13) + CHOOSE(CONTROL!$C$28, 0.0211, 0)</f>
        <v>54.423099999999998</v>
      </c>
      <c r="C904" s="4">
        <f>54.0387 * CHOOSE(CONTROL!$C$9, $C$13, 100%, $E$13) + CHOOSE(CONTROL!$C$28, 0.0211, 0)</f>
        <v>54.059799999999996</v>
      </c>
      <c r="D904" s="4">
        <f>81.1183 * CHOOSE(CONTROL!$C$9, $C$13, 100%, $E$13) + CHOOSE(CONTROL!$C$28, 0.0021, 0)</f>
        <v>81.120400000000004</v>
      </c>
      <c r="E904" s="4">
        <f>384.817168443478 * CHOOSE(CONTROL!$C$9, $C$13, 100%, $E$13) + CHOOSE(CONTROL!$C$28, 0.0021, 0)</f>
        <v>384.81926844347799</v>
      </c>
    </row>
    <row r="905" spans="1:5" ht="15">
      <c r="A905" s="13">
        <v>69064</v>
      </c>
      <c r="B905" s="4">
        <f>52.0674 * CHOOSE(CONTROL!$C$9, $C$13, 100%, $E$13) + CHOOSE(CONTROL!$C$28, 0.0211, 0)</f>
        <v>52.088499999999996</v>
      </c>
      <c r="C905" s="4">
        <f>51.7042 * CHOOSE(CONTROL!$C$9, $C$13, 100%, $E$13) + CHOOSE(CONTROL!$C$28, 0.0211, 0)</f>
        <v>51.725299999999997</v>
      </c>
      <c r="D905" s="4">
        <f>77.9013 * CHOOSE(CONTROL!$C$9, $C$13, 100%, $E$13) + CHOOSE(CONTROL!$C$28, 0.0021, 0)</f>
        <v>77.903400000000005</v>
      </c>
      <c r="E905" s="4">
        <f>368.78796970783 * CHOOSE(CONTROL!$C$9, $C$13, 100%, $E$13) + CHOOSE(CONTROL!$C$28, 0.0021, 0)</f>
        <v>368.79006970782996</v>
      </c>
    </row>
    <row r="906" spans="1:5" ht="15">
      <c r="A906" s="13">
        <v>69092</v>
      </c>
      <c r="B906" s="4">
        <f>53.2854 * CHOOSE(CONTROL!$C$9, $C$13, 100%, $E$13) + CHOOSE(CONTROL!$C$28, 0.0211, 0)</f>
        <v>53.3065</v>
      </c>
      <c r="C906" s="4">
        <f>52.9221 * CHOOSE(CONTROL!$C$9, $C$13, 100%, $E$13) + CHOOSE(CONTROL!$C$28, 0.0211, 0)</f>
        <v>52.943199999999997</v>
      </c>
      <c r="D906" s="4">
        <f>80.5853 * CHOOSE(CONTROL!$C$9, $C$13, 100%, $E$13) + CHOOSE(CONTROL!$C$28, 0.0021, 0)</f>
        <v>80.587400000000002</v>
      </c>
      <c r="E906" s="4">
        <f>377.544449468686 * CHOOSE(CONTROL!$C$9, $C$13, 100%, $E$13) + CHOOSE(CONTROL!$C$28, 0.0021, 0)</f>
        <v>377.54654946868601</v>
      </c>
    </row>
    <row r="907" spans="1:5" ht="15">
      <c r="A907" s="13">
        <v>69123</v>
      </c>
      <c r="B907" s="4">
        <f>56.4837 * CHOOSE(CONTROL!$C$9, $C$13, 100%, $E$13) + CHOOSE(CONTROL!$C$28, 0.0211, 0)</f>
        <v>56.504799999999996</v>
      </c>
      <c r="C907" s="4">
        <f>56.1204 * CHOOSE(CONTROL!$C$9, $C$13, 100%, $E$13) + CHOOSE(CONTROL!$C$28, 0.0211, 0)</f>
        <v>56.141499999999994</v>
      </c>
      <c r="D907" s="4">
        <f>84.7871 * CHOOSE(CONTROL!$C$9, $C$13, 100%, $E$13) + CHOOSE(CONTROL!$C$28, 0.0021, 0)</f>
        <v>84.789199999999994</v>
      </c>
      <c r="E907" s="4">
        <f>400.539430668287 * CHOOSE(CONTROL!$C$9, $C$13, 100%, $E$13) + CHOOSE(CONTROL!$C$28, 0.0021, 0)</f>
        <v>400.54153066828701</v>
      </c>
    </row>
    <row r="908" spans="1:5" ht="15">
      <c r="A908" s="13">
        <v>69153</v>
      </c>
      <c r="B908" s="4">
        <f>58.7562 * CHOOSE(CONTROL!$C$9, $C$13, 100%, $E$13) + CHOOSE(CONTROL!$C$28, 0.0211, 0)</f>
        <v>58.777299999999997</v>
      </c>
      <c r="C908" s="4">
        <f>58.3929 * CHOOSE(CONTROL!$C$9, $C$13, 100%, $E$13) + CHOOSE(CONTROL!$C$28, 0.0211, 0)</f>
        <v>58.413999999999994</v>
      </c>
      <c r="D908" s="4">
        <f>87.2074 * CHOOSE(CONTROL!$C$9, $C$13, 100%, $E$13) + CHOOSE(CONTROL!$C$28, 0.0021, 0)</f>
        <v>87.209500000000006</v>
      </c>
      <c r="E908" s="4">
        <f>416.877671259022 * CHOOSE(CONTROL!$C$9, $C$13, 100%, $E$13) + CHOOSE(CONTROL!$C$28, 0.0021, 0)</f>
        <v>416.87977125902199</v>
      </c>
    </row>
    <row r="909" spans="1:5" ht="15">
      <c r="A909" s="13">
        <v>69184</v>
      </c>
      <c r="B909" s="4">
        <f>60.1446 * CHOOSE(CONTROL!$C$9, $C$13, 100%, $E$13) + CHOOSE(CONTROL!$C$28, 0.0415, 0)</f>
        <v>60.186099999999996</v>
      </c>
      <c r="C909" s="4">
        <f>59.7813 * CHOOSE(CONTROL!$C$9, $C$13, 100%, $E$13) + CHOOSE(CONTROL!$C$28, 0.0415, 0)</f>
        <v>59.822800000000001</v>
      </c>
      <c r="D909" s="4">
        <f>86.251 * CHOOSE(CONTROL!$C$9, $C$13, 100%, $E$13) + CHOOSE(CONTROL!$C$28, 0.0021, 0)</f>
        <v>86.253100000000003</v>
      </c>
      <c r="E909" s="4">
        <f>426.859944686983 * CHOOSE(CONTROL!$C$9, $C$13, 100%, $E$13) + CHOOSE(CONTROL!$C$28, 0.0021, 0)</f>
        <v>426.86204468698298</v>
      </c>
    </row>
    <row r="910" spans="1:5" ht="15">
      <c r="A910" s="13">
        <v>69214</v>
      </c>
      <c r="B910" s="4">
        <f>60.3324 * CHOOSE(CONTROL!$C$9, $C$13, 100%, $E$13) + CHOOSE(CONTROL!$C$28, 0.0415, 0)</f>
        <v>60.373899999999999</v>
      </c>
      <c r="C910" s="4">
        <f>59.9691 * CHOOSE(CONTROL!$C$9, $C$13, 100%, $E$13) + CHOOSE(CONTROL!$C$28, 0.0415, 0)</f>
        <v>60.010599999999997</v>
      </c>
      <c r="D910" s="4">
        <f>87.0299 * CHOOSE(CONTROL!$C$9, $C$13, 100%, $E$13) + CHOOSE(CONTROL!$C$28, 0.0021, 0)</f>
        <v>87.031999999999996</v>
      </c>
      <c r="E910" s="4">
        <f>428.210587709072 * CHOOSE(CONTROL!$C$9, $C$13, 100%, $E$13) + CHOOSE(CONTROL!$C$28, 0.0021, 0)</f>
        <v>428.21268770907199</v>
      </c>
    </row>
    <row r="911" spans="1:5" ht="15">
      <c r="A911" s="13">
        <v>69245</v>
      </c>
      <c r="B911" s="4">
        <f>60.3135 * CHOOSE(CONTROL!$C$9, $C$13, 100%, $E$13) + CHOOSE(CONTROL!$C$28, 0.0415, 0)</f>
        <v>60.354999999999997</v>
      </c>
      <c r="C911" s="4">
        <f>59.9502 * CHOOSE(CONTROL!$C$9, $C$13, 100%, $E$13) + CHOOSE(CONTROL!$C$28, 0.0415, 0)</f>
        <v>59.991700000000002</v>
      </c>
      <c r="D911" s="4">
        <f>88.4354 * CHOOSE(CONTROL!$C$9, $C$13, 100%, $E$13) + CHOOSE(CONTROL!$C$28, 0.0021, 0)</f>
        <v>88.4375</v>
      </c>
      <c r="E911" s="4">
        <f>428.074388412727 * CHOOSE(CONTROL!$C$9, $C$13, 100%, $E$13) + CHOOSE(CONTROL!$C$28, 0.0021, 0)</f>
        <v>428.07648841272697</v>
      </c>
    </row>
    <row r="912" spans="1:5" ht="15">
      <c r="A912" s="13">
        <v>69276</v>
      </c>
      <c r="B912" s="4">
        <f>61.739 * CHOOSE(CONTROL!$C$9, $C$13, 100%, $E$13) + CHOOSE(CONTROL!$C$28, 0.0415, 0)</f>
        <v>61.780499999999996</v>
      </c>
      <c r="C912" s="4">
        <f>61.3757 * CHOOSE(CONTROL!$C$9, $C$13, 100%, $E$13) + CHOOSE(CONTROL!$C$28, 0.0415, 0)</f>
        <v>61.417200000000001</v>
      </c>
      <c r="D912" s="4">
        <f>87.5072 * CHOOSE(CONTROL!$C$9, $C$13, 100%, $E$13) + CHOOSE(CONTROL!$C$28, 0.0021, 0)</f>
        <v>87.509299999999996</v>
      </c>
      <c r="E912" s="4">
        <f>438.323385462697 * CHOOSE(CONTROL!$C$9, $C$13, 100%, $E$13) + CHOOSE(CONTROL!$C$28, 0.0021, 0)</f>
        <v>438.32548546269697</v>
      </c>
    </row>
    <row r="913" spans="1:5" ht="15">
      <c r="A913" s="13">
        <v>69306</v>
      </c>
      <c r="B913" s="4">
        <f>59.3095 * CHOOSE(CONTROL!$C$9, $C$13, 100%, $E$13) + CHOOSE(CONTROL!$C$28, 0.0415, 0)</f>
        <v>59.350999999999999</v>
      </c>
      <c r="C913" s="4">
        <f>58.9462 * CHOOSE(CONTROL!$C$9, $C$13, 100%, $E$13) + CHOOSE(CONTROL!$C$28, 0.0415, 0)</f>
        <v>58.987699999999997</v>
      </c>
      <c r="D913" s="4">
        <f>87.0687 * CHOOSE(CONTROL!$C$9, $C$13, 100%, $E$13) + CHOOSE(CONTROL!$C$28, 0.0021, 0)</f>
        <v>87.070800000000006</v>
      </c>
      <c r="E913" s="4">
        <f>420.855825706435 * CHOOSE(CONTROL!$C$9, $C$13, 100%, $E$13) + CHOOSE(CONTROL!$C$28, 0.0021, 0)</f>
        <v>420.85792570643497</v>
      </c>
    </row>
    <row r="914" spans="1:5" ht="15">
      <c r="A914" s="13">
        <v>69337</v>
      </c>
      <c r="B914" s="4">
        <f>57.3646 * CHOOSE(CONTROL!$C$9, $C$13, 100%, $E$13) + CHOOSE(CONTROL!$C$28, 0.0211, 0)</f>
        <v>57.3857</v>
      </c>
      <c r="C914" s="4">
        <f>57.0013 * CHOOSE(CONTROL!$C$9, $C$13, 100%, $E$13) + CHOOSE(CONTROL!$C$28, 0.0211, 0)</f>
        <v>57.022399999999998</v>
      </c>
      <c r="D914" s="4">
        <f>85.8945 * CHOOSE(CONTROL!$C$9, $C$13, 100%, $E$13) + CHOOSE(CONTROL!$C$28, 0.0021, 0)</f>
        <v>85.896599999999992</v>
      </c>
      <c r="E914" s="4">
        <f>406.872697948336 * CHOOSE(CONTROL!$C$9, $C$13, 100%, $E$13) + CHOOSE(CONTROL!$C$28, 0.0021, 0)</f>
        <v>406.87479794833598</v>
      </c>
    </row>
    <row r="915" spans="1:5" ht="15">
      <c r="A915" s="13">
        <v>69367</v>
      </c>
      <c r="B915" s="4">
        <f>56.1119 * CHOOSE(CONTROL!$C$9, $C$13, 100%, $E$13) + CHOOSE(CONTROL!$C$28, 0.0211, 0)</f>
        <v>56.132999999999996</v>
      </c>
      <c r="C915" s="4">
        <f>55.7486 * CHOOSE(CONTROL!$C$9, $C$13, 100%, $E$13) + CHOOSE(CONTROL!$C$28, 0.0211, 0)</f>
        <v>55.7697</v>
      </c>
      <c r="D915" s="4">
        <f>85.4908 * CHOOSE(CONTROL!$C$9, $C$13, 100%, $E$13) + CHOOSE(CONTROL!$C$28, 0.0021, 0)</f>
        <v>85.492899999999992</v>
      </c>
      <c r="E915" s="4">
        <f>397.866519477514 * CHOOSE(CONTROL!$C$9, $C$13, 100%, $E$13) + CHOOSE(CONTROL!$C$28, 0.0021, 0)</f>
        <v>397.86861947751396</v>
      </c>
    </row>
    <row r="916" spans="1:5" ht="15">
      <c r="A916" s="13">
        <v>69398</v>
      </c>
      <c r="B916" s="4">
        <f>55.2453 * CHOOSE(CONTROL!$C$9, $C$13, 100%, $E$13) + CHOOSE(CONTROL!$C$28, 0.0211, 0)</f>
        <v>55.266399999999997</v>
      </c>
      <c r="C916" s="4">
        <f>54.882 * CHOOSE(CONTROL!$C$9, $C$13, 100%, $E$13) + CHOOSE(CONTROL!$C$28, 0.0211, 0)</f>
        <v>54.903099999999995</v>
      </c>
      <c r="D916" s="4">
        <f>82.5188 * CHOOSE(CONTROL!$C$9, $C$13, 100%, $E$13) + CHOOSE(CONTROL!$C$28, 0.0021, 0)</f>
        <v>82.520899999999997</v>
      </c>
      <c r="E916" s="4">
        <f>391.635401669725 * CHOOSE(CONTROL!$C$9, $C$13, 100%, $E$13) + CHOOSE(CONTROL!$C$28, 0.0021, 0)</f>
        <v>391.637501669725</v>
      </c>
    </row>
    <row r="917" spans="1:5" ht="15">
      <c r="A917" s="13">
        <v>69429</v>
      </c>
      <c r="B917" s="4">
        <f>52.874 * CHOOSE(CONTROL!$C$9, $C$13, 100%, $E$13) + CHOOSE(CONTROL!$C$28, 0.0211, 0)</f>
        <v>52.895099999999999</v>
      </c>
      <c r="C917" s="4">
        <f>52.5108 * CHOOSE(CONTROL!$C$9, $C$13, 100%, $E$13) + CHOOSE(CONTROL!$C$28, 0.0211, 0)</f>
        <v>52.5319</v>
      </c>
      <c r="D917" s="4">
        <f>79.2449 * CHOOSE(CONTROL!$C$9, $C$13, 100%, $E$13) + CHOOSE(CONTROL!$C$28, 0.0021, 0)</f>
        <v>79.247</v>
      </c>
      <c r="E917" s="4">
        <f>375.322195814926 * CHOOSE(CONTROL!$C$9, $C$13, 100%, $E$13) + CHOOSE(CONTROL!$C$28, 0.0021, 0)</f>
        <v>375.32429581492596</v>
      </c>
    </row>
    <row r="918" spans="1:5" ht="15">
      <c r="A918" s="13">
        <v>69457</v>
      </c>
      <c r="B918" s="4">
        <f>54.1111 * CHOOSE(CONTROL!$C$9, $C$13, 100%, $E$13) + CHOOSE(CONTROL!$C$28, 0.0211, 0)</f>
        <v>54.132199999999997</v>
      </c>
      <c r="C918" s="4">
        <f>53.7478 * CHOOSE(CONTROL!$C$9, $C$13, 100%, $E$13) + CHOOSE(CONTROL!$C$28, 0.0211, 0)</f>
        <v>53.768899999999995</v>
      </c>
      <c r="D918" s="4">
        <f>81.9764 * CHOOSE(CONTROL!$C$9, $C$13, 100%, $E$13) + CHOOSE(CONTROL!$C$28, 0.0021, 0)</f>
        <v>81.978499999999997</v>
      </c>
      <c r="E918" s="4">
        <f>384.233823854357 * CHOOSE(CONTROL!$C$9, $C$13, 100%, $E$13) + CHOOSE(CONTROL!$C$28, 0.0021, 0)</f>
        <v>384.235923854357</v>
      </c>
    </row>
    <row r="919" spans="1:5" ht="15">
      <c r="A919" s="13">
        <v>69488</v>
      </c>
      <c r="B919" s="4">
        <f>57.3597 * CHOOSE(CONTROL!$C$9, $C$13, 100%, $E$13) + CHOOSE(CONTROL!$C$28, 0.0211, 0)</f>
        <v>57.380799999999994</v>
      </c>
      <c r="C919" s="4">
        <f>56.9965 * CHOOSE(CONTROL!$C$9, $C$13, 100%, $E$13) + CHOOSE(CONTROL!$C$28, 0.0211, 0)</f>
        <v>57.017599999999995</v>
      </c>
      <c r="D919" s="4">
        <f>86.2524 * CHOOSE(CONTROL!$C$9, $C$13, 100%, $E$13) + CHOOSE(CONTROL!$C$28, 0.0021, 0)</f>
        <v>86.254499999999993</v>
      </c>
      <c r="E919" s="4">
        <f>407.63623267858 * CHOOSE(CONTROL!$C$9, $C$13, 100%, $E$13) + CHOOSE(CONTROL!$C$28, 0.0021, 0)</f>
        <v>407.63833267857996</v>
      </c>
    </row>
    <row r="920" spans="1:5" ht="15">
      <c r="A920" s="13">
        <v>69518</v>
      </c>
      <c r="B920" s="4">
        <f>59.6679 * CHOOSE(CONTROL!$C$9, $C$13, 100%, $E$13) + CHOOSE(CONTROL!$C$28, 0.0211, 0)</f>
        <v>59.689</v>
      </c>
      <c r="C920" s="4">
        <f>59.3046 * CHOOSE(CONTROL!$C$9, $C$13, 100%, $E$13) + CHOOSE(CONTROL!$C$28, 0.0211, 0)</f>
        <v>59.325699999999998</v>
      </c>
      <c r="D920" s="4">
        <f>88.7155 * CHOOSE(CONTROL!$C$9, $C$13, 100%, $E$13) + CHOOSE(CONTROL!$C$28, 0.0021, 0)</f>
        <v>88.717600000000004</v>
      </c>
      <c r="E920" s="4">
        <f>424.263956026293 * CHOOSE(CONTROL!$C$9, $C$13, 100%, $E$13) + CHOOSE(CONTROL!$C$28, 0.0021, 0)</f>
        <v>424.26605602629297</v>
      </c>
    </row>
    <row r="921" spans="1:5" ht="15">
      <c r="A921" s="13">
        <v>69549</v>
      </c>
      <c r="B921" s="4">
        <f>61.0782 * CHOOSE(CONTROL!$C$9, $C$13, 100%, $E$13) + CHOOSE(CONTROL!$C$28, 0.0415, 0)</f>
        <v>61.119700000000002</v>
      </c>
      <c r="C921" s="4">
        <f>60.7149 * CHOOSE(CONTROL!$C$9, $C$13, 100%, $E$13) + CHOOSE(CONTROL!$C$28, 0.0415, 0)</f>
        <v>60.756399999999999</v>
      </c>
      <c r="D921" s="4">
        <f>87.7422 * CHOOSE(CONTROL!$C$9, $C$13, 100%, $E$13) + CHOOSE(CONTROL!$C$28, 0.0021, 0)</f>
        <v>87.744299999999996</v>
      </c>
      <c r="E921" s="4">
        <f>434.423096480836 * CHOOSE(CONTROL!$C$9, $C$13, 100%, $E$13) + CHOOSE(CONTROL!$C$28, 0.0021, 0)</f>
        <v>434.42519648083601</v>
      </c>
    </row>
    <row r="922" spans="1:5" ht="15">
      <c r="A922" s="13">
        <v>69579</v>
      </c>
      <c r="B922" s="4">
        <f>61.269 * CHOOSE(CONTROL!$C$9, $C$13, 100%, $E$13) + CHOOSE(CONTROL!$C$28, 0.0415, 0)</f>
        <v>61.310499999999998</v>
      </c>
      <c r="C922" s="4">
        <f>60.9057 * CHOOSE(CONTROL!$C$9, $C$13, 100%, $E$13) + CHOOSE(CONTROL!$C$28, 0.0415, 0)</f>
        <v>60.947200000000002</v>
      </c>
      <c r="D922" s="4">
        <f>88.5349 * CHOOSE(CONTROL!$C$9, $C$13, 100%, $E$13) + CHOOSE(CONTROL!$C$28, 0.0021, 0)</f>
        <v>88.536999999999992</v>
      </c>
      <c r="E922" s="4">
        <f>435.797670345635 * CHOOSE(CONTROL!$C$9, $C$13, 100%, $E$13) + CHOOSE(CONTROL!$C$28, 0.0021, 0)</f>
        <v>435.79977034563501</v>
      </c>
    </row>
    <row r="923" spans="1:5" ht="15">
      <c r="A923" s="13">
        <v>69610</v>
      </c>
      <c r="B923" s="4">
        <f>61.2497 * CHOOSE(CONTROL!$C$9, $C$13, 100%, $E$13) + CHOOSE(CONTROL!$C$28, 0.0415, 0)</f>
        <v>61.291199999999996</v>
      </c>
      <c r="C923" s="4">
        <f>60.8865 * CHOOSE(CONTROL!$C$9, $C$13, 100%, $E$13) + CHOOSE(CONTROL!$C$28, 0.0415, 0)</f>
        <v>60.927999999999997</v>
      </c>
      <c r="D923" s="4">
        <f>89.9651 * CHOOSE(CONTROL!$C$9, $C$13, 100%, $E$13) + CHOOSE(CONTROL!$C$28, 0.0021, 0)</f>
        <v>89.967200000000005</v>
      </c>
      <c r="E923" s="4">
        <f>435.659057855067 * CHOOSE(CONTROL!$C$9, $C$13, 100%, $E$13) + CHOOSE(CONTROL!$C$28, 0.0021, 0)</f>
        <v>435.66115785506696</v>
      </c>
    </row>
    <row r="924" spans="1:5" ht="15">
      <c r="A924" s="13">
        <v>69641</v>
      </c>
      <c r="B924" s="4">
        <f>62.6977 * CHOOSE(CONTROL!$C$9, $C$13, 100%, $E$13) + CHOOSE(CONTROL!$C$28, 0.0415, 0)</f>
        <v>62.739199999999997</v>
      </c>
      <c r="C924" s="4">
        <f>62.3344 * CHOOSE(CONTROL!$C$9, $C$13, 100%, $E$13) + CHOOSE(CONTROL!$C$28, 0.0415, 0)</f>
        <v>62.375900000000001</v>
      </c>
      <c r="D924" s="4">
        <f>89.0206 * CHOOSE(CONTROL!$C$9, $C$13, 100%, $E$13) + CHOOSE(CONTROL!$C$28, 0.0021, 0)</f>
        <v>89.0227</v>
      </c>
      <c r="E924" s="4">
        <f>446.089647770305 * CHOOSE(CONTROL!$C$9, $C$13, 100%, $E$13) + CHOOSE(CONTROL!$C$28, 0.0021, 0)</f>
        <v>446.09174777030501</v>
      </c>
    </row>
    <row r="925" spans="1:5" ht="15">
      <c r="A925" s="13">
        <v>69671</v>
      </c>
      <c r="B925" s="4">
        <f>60.2299 * CHOOSE(CONTROL!$C$9, $C$13, 100%, $E$13) + CHOOSE(CONTROL!$C$28, 0.0415, 0)</f>
        <v>60.2714</v>
      </c>
      <c r="C925" s="4">
        <f>59.8667 * CHOOSE(CONTROL!$C$9, $C$13, 100%, $E$13) + CHOOSE(CONTROL!$C$28, 0.0415, 0)</f>
        <v>59.908200000000001</v>
      </c>
      <c r="D925" s="4">
        <f>88.5743 * CHOOSE(CONTROL!$C$9, $C$13, 100%, $E$13) + CHOOSE(CONTROL!$C$28, 0.0021, 0)</f>
        <v>88.576399999999992</v>
      </c>
      <c r="E925" s="4">
        <f>428.312595854966 * CHOOSE(CONTROL!$C$9, $C$13, 100%, $E$13) + CHOOSE(CONTROL!$C$28, 0.0021, 0)</f>
        <v>428.31469585496598</v>
      </c>
    </row>
    <row r="926" spans="1:5" ht="15">
      <c r="A926" s="13">
        <v>69702</v>
      </c>
      <c r="B926" s="4">
        <f>58.2545 * CHOOSE(CONTROL!$C$9, $C$13, 100%, $E$13) + CHOOSE(CONTROL!$C$28, 0.0211, 0)</f>
        <v>58.275599999999997</v>
      </c>
      <c r="C926" s="4">
        <f>57.8912 * CHOOSE(CONTROL!$C$9, $C$13, 100%, $E$13) + CHOOSE(CONTROL!$C$28, 0.0211, 0)</f>
        <v>57.912299999999995</v>
      </c>
      <c r="D926" s="4">
        <f>87.3794 * CHOOSE(CONTROL!$C$9, $C$13, 100%, $E$13) + CHOOSE(CONTROL!$C$28, 0.0021, 0)</f>
        <v>87.381500000000003</v>
      </c>
      <c r="E926" s="4">
        <f>414.081713489989 * CHOOSE(CONTROL!$C$9, $C$13, 100%, $E$13) + CHOOSE(CONTROL!$C$28, 0.0021, 0)</f>
        <v>414.08381348998898</v>
      </c>
    </row>
    <row r="927" spans="1:5" ht="15">
      <c r="A927" s="13">
        <v>69732</v>
      </c>
      <c r="B927" s="4">
        <f>56.9821 * CHOOSE(CONTROL!$C$9, $C$13, 100%, $E$13) + CHOOSE(CONTROL!$C$28, 0.0211, 0)</f>
        <v>57.0032</v>
      </c>
      <c r="C927" s="4">
        <f>56.6188 * CHOOSE(CONTROL!$C$9, $C$13, 100%, $E$13) + CHOOSE(CONTROL!$C$28, 0.0211, 0)</f>
        <v>56.639899999999997</v>
      </c>
      <c r="D927" s="4">
        <f>86.9685 * CHOOSE(CONTROL!$C$9, $C$13, 100%, $E$13) + CHOOSE(CONTROL!$C$28, 0.0021, 0)</f>
        <v>86.970600000000005</v>
      </c>
      <c r="E927" s="4">
        <f>404.915962551184 * CHOOSE(CONTROL!$C$9, $C$13, 100%, $E$13) + CHOOSE(CONTROL!$C$28, 0.0021, 0)</f>
        <v>404.91806255118399</v>
      </c>
    </row>
    <row r="928" spans="1:5" ht="15">
      <c r="A928" s="13">
        <v>69763</v>
      </c>
      <c r="B928" s="4">
        <f>56.1018 * CHOOSE(CONTROL!$C$9, $C$13, 100%, $E$13) + CHOOSE(CONTROL!$C$28, 0.0211, 0)</f>
        <v>56.122899999999994</v>
      </c>
      <c r="C928" s="4">
        <f>55.7385 * CHOOSE(CONTROL!$C$9, $C$13, 100%, $E$13) + CHOOSE(CONTROL!$C$28, 0.0211, 0)</f>
        <v>55.759599999999999</v>
      </c>
      <c r="D928" s="4">
        <f>83.944 * CHOOSE(CONTROL!$C$9, $C$13, 100%, $E$13) + CHOOSE(CONTROL!$C$28, 0.0021, 0)</f>
        <v>83.946100000000001</v>
      </c>
      <c r="E928" s="4">
        <f>398.5744411077 * CHOOSE(CONTROL!$C$9, $C$13, 100%, $E$13) + CHOOSE(CONTROL!$C$28, 0.0021, 0)</f>
        <v>398.5765411077</v>
      </c>
    </row>
    <row r="929" spans="1:5" ht="15">
      <c r="A929" s="13">
        <v>69794</v>
      </c>
      <c r="B929" s="4">
        <f>53.6933 * CHOOSE(CONTROL!$C$9, $C$13, 100%, $E$13) + CHOOSE(CONTROL!$C$28, 0.0211, 0)</f>
        <v>53.714399999999998</v>
      </c>
      <c r="C929" s="4">
        <f>53.33 * CHOOSE(CONTROL!$C$9, $C$13, 100%, $E$13) + CHOOSE(CONTROL!$C$28, 0.0211, 0)</f>
        <v>53.351099999999995</v>
      </c>
      <c r="D929" s="4">
        <f>80.6123 * CHOOSE(CONTROL!$C$9, $C$13, 100%, $E$13) + CHOOSE(CONTROL!$C$28, 0.0021, 0)</f>
        <v>80.614400000000003</v>
      </c>
      <c r="E929" s="4">
        <f>381.972196064146 * CHOOSE(CONTROL!$C$9, $C$13, 100%, $E$13) + CHOOSE(CONTROL!$C$28, 0.0021, 0)</f>
        <v>381.97429606414596</v>
      </c>
    </row>
    <row r="930" spans="1:5" ht="15">
      <c r="A930" s="13">
        <v>69822</v>
      </c>
      <c r="B930" s="4">
        <f>54.9498 * CHOOSE(CONTROL!$C$9, $C$13, 100%, $E$13) + CHOOSE(CONTROL!$C$28, 0.0211, 0)</f>
        <v>54.9709</v>
      </c>
      <c r="C930" s="4">
        <f>54.5866 * CHOOSE(CONTROL!$C$9, $C$13, 100%, $E$13) + CHOOSE(CONTROL!$C$28, 0.0211, 0)</f>
        <v>54.607699999999994</v>
      </c>
      <c r="D930" s="4">
        <f>83.3921 * CHOOSE(CONTROL!$C$9, $C$13, 100%, $E$13) + CHOOSE(CONTROL!$C$28, 0.0021, 0)</f>
        <v>83.394199999999998</v>
      </c>
      <c r="E930" s="4">
        <f>391.041721316543 * CHOOSE(CONTROL!$C$9, $C$13, 100%, $E$13) + CHOOSE(CONTROL!$C$28, 0.0021, 0)</f>
        <v>391.04382131654296</v>
      </c>
    </row>
    <row r="931" spans="1:5" ht="15">
      <c r="A931" s="13">
        <v>69853</v>
      </c>
      <c r="B931" s="4">
        <f>58.2496 * CHOOSE(CONTROL!$C$9, $C$13, 100%, $E$13) + CHOOSE(CONTROL!$C$28, 0.0211, 0)</f>
        <v>58.270699999999998</v>
      </c>
      <c r="C931" s="4">
        <f>57.8863 * CHOOSE(CONTROL!$C$9, $C$13, 100%, $E$13) + CHOOSE(CONTROL!$C$28, 0.0211, 0)</f>
        <v>57.907399999999996</v>
      </c>
      <c r="D931" s="4">
        <f>87.7436 * CHOOSE(CONTROL!$C$9, $C$13, 100%, $E$13) + CHOOSE(CONTROL!$C$28, 0.0021, 0)</f>
        <v>87.745699999999999</v>
      </c>
      <c r="E931" s="4">
        <f>414.858776613179 * CHOOSE(CONTROL!$C$9, $C$13, 100%, $E$13) + CHOOSE(CONTROL!$C$28, 0.0021, 0)</f>
        <v>414.86087661317896</v>
      </c>
    </row>
    <row r="932" spans="1:5" ht="15">
      <c r="A932" s="13">
        <v>69883</v>
      </c>
      <c r="B932" s="4">
        <f>60.594 * CHOOSE(CONTROL!$C$9, $C$13, 100%, $E$13) + CHOOSE(CONTROL!$C$28, 0.0211, 0)</f>
        <v>60.615099999999998</v>
      </c>
      <c r="C932" s="4">
        <f>60.2308 * CHOOSE(CONTROL!$C$9, $C$13, 100%, $E$13) + CHOOSE(CONTROL!$C$28, 0.0211, 0)</f>
        <v>60.251899999999999</v>
      </c>
      <c r="D932" s="4">
        <f>90.2502 * CHOOSE(CONTROL!$C$9, $C$13, 100%, $E$13) + CHOOSE(CONTROL!$C$28, 0.0021, 0)</f>
        <v>90.252300000000005</v>
      </c>
      <c r="E932" s="4">
        <f>431.781111805434 * CHOOSE(CONTROL!$C$9, $C$13, 100%, $E$13) + CHOOSE(CONTROL!$C$28, 0.0021, 0)</f>
        <v>431.78321180543401</v>
      </c>
    </row>
    <row r="933" spans="1:5" ht="15">
      <c r="A933" s="13">
        <v>69914</v>
      </c>
      <c r="B933" s="4">
        <f>62.0265 * CHOOSE(CONTROL!$C$9, $C$13, 100%, $E$13) + CHOOSE(CONTROL!$C$28, 0.0415, 0)</f>
        <v>62.067999999999998</v>
      </c>
      <c r="C933" s="4">
        <f>61.6632 * CHOOSE(CONTROL!$C$9, $C$13, 100%, $E$13) + CHOOSE(CONTROL!$C$28, 0.0415, 0)</f>
        <v>61.704700000000003</v>
      </c>
      <c r="D933" s="4">
        <f>89.2597 * CHOOSE(CONTROL!$C$9, $C$13, 100%, $E$13) + CHOOSE(CONTROL!$C$28, 0.0021, 0)</f>
        <v>89.261799999999994</v>
      </c>
      <c r="E933" s="4">
        <f>442.120253036131 * CHOOSE(CONTROL!$C$9, $C$13, 100%, $E$13) + CHOOSE(CONTROL!$C$28, 0.0021, 0)</f>
        <v>442.12235303613096</v>
      </c>
    </row>
    <row r="934" spans="1:5" ht="15">
      <c r="A934" s="13">
        <v>69944</v>
      </c>
      <c r="B934" s="4">
        <f>62.2203 * CHOOSE(CONTROL!$C$9, $C$13, 100%, $E$13) + CHOOSE(CONTROL!$C$28, 0.0415, 0)</f>
        <v>62.261800000000001</v>
      </c>
      <c r="C934" s="4">
        <f>61.857 * CHOOSE(CONTROL!$C$9, $C$13, 100%, $E$13) + CHOOSE(CONTROL!$C$28, 0.0415, 0)</f>
        <v>61.898499999999999</v>
      </c>
      <c r="D934" s="4">
        <f>90.0664 * CHOOSE(CONTROL!$C$9, $C$13, 100%, $E$13) + CHOOSE(CONTROL!$C$28, 0.0021, 0)</f>
        <v>90.0685</v>
      </c>
      <c r="E934" s="4">
        <f>443.519181752962 * CHOOSE(CONTROL!$C$9, $C$13, 100%, $E$13) + CHOOSE(CONTROL!$C$28, 0.0021, 0)</f>
        <v>443.52128175296201</v>
      </c>
    </row>
    <row r="935" spans="1:5" ht="15">
      <c r="A935" s="13">
        <v>69975</v>
      </c>
      <c r="B935" s="4">
        <f>62.2007 * CHOOSE(CONTROL!$C$9, $C$13, 100%, $E$13) + CHOOSE(CONTROL!$C$28, 0.0415, 0)</f>
        <v>62.242199999999997</v>
      </c>
      <c r="C935" s="4">
        <f>61.8374 * CHOOSE(CONTROL!$C$9, $C$13, 100%, $E$13) + CHOOSE(CONTROL!$C$28, 0.0415, 0)</f>
        <v>61.878900000000002</v>
      </c>
      <c r="D935" s="4">
        <f>91.522 * CHOOSE(CONTROL!$C$9, $C$13, 100%, $E$13) + CHOOSE(CONTROL!$C$28, 0.0021, 0)</f>
        <v>91.524100000000004</v>
      </c>
      <c r="E935" s="4">
        <f>443.378113310928 * CHOOSE(CONTROL!$C$9, $C$13, 100%, $E$13) + CHOOSE(CONTROL!$C$28, 0.0021, 0)</f>
        <v>443.38021331092796</v>
      </c>
    </row>
    <row r="936" spans="1:5" ht="15">
      <c r="A936" s="13">
        <v>70006</v>
      </c>
      <c r="B936" s="4">
        <f>63.6714 * CHOOSE(CONTROL!$C$9, $C$13, 100%, $E$13) + CHOOSE(CONTROL!$C$28, 0.0415, 0)</f>
        <v>63.712899999999998</v>
      </c>
      <c r="C936" s="4">
        <f>63.3081 * CHOOSE(CONTROL!$C$9, $C$13, 100%, $E$13) + CHOOSE(CONTROL!$C$28, 0.0415, 0)</f>
        <v>63.349600000000002</v>
      </c>
      <c r="D936" s="4">
        <f>90.5607 * CHOOSE(CONTROL!$C$9, $C$13, 100%, $E$13) + CHOOSE(CONTROL!$C$28, 0.0021, 0)</f>
        <v>90.562799999999996</v>
      </c>
      <c r="E936" s="4">
        <f>453.993513573941 * CHOOSE(CONTROL!$C$9, $C$13, 100%, $E$13) + CHOOSE(CONTROL!$C$28, 0.0021, 0)</f>
        <v>453.995613573941</v>
      </c>
    </row>
    <row r="937" spans="1:5" ht="15">
      <c r="A937" s="13">
        <v>70036</v>
      </c>
      <c r="B937" s="4">
        <f>61.1649 * CHOOSE(CONTROL!$C$9, $C$13, 100%, $E$13) + CHOOSE(CONTROL!$C$28, 0.0415, 0)</f>
        <v>61.206400000000002</v>
      </c>
      <c r="C937" s="4">
        <f>60.8016 * CHOOSE(CONTROL!$C$9, $C$13, 100%, $E$13) + CHOOSE(CONTROL!$C$28, 0.0415, 0)</f>
        <v>60.8431</v>
      </c>
      <c r="D937" s="4">
        <f>90.1065 * CHOOSE(CONTROL!$C$9, $C$13, 100%, $E$13) + CHOOSE(CONTROL!$C$28, 0.0021, 0)</f>
        <v>90.108599999999996</v>
      </c>
      <c r="E937" s="4">
        <f>435.901485883159 * CHOOSE(CONTROL!$C$9, $C$13, 100%, $E$13) + CHOOSE(CONTROL!$C$28, 0.0021, 0)</f>
        <v>435.903585883159</v>
      </c>
    </row>
    <row r="938" spans="1:5" ht="15">
      <c r="A938" s="13">
        <v>70067</v>
      </c>
      <c r="B938" s="4">
        <f>59.1584 * CHOOSE(CONTROL!$C$9, $C$13, 100%, $E$13) + CHOOSE(CONTROL!$C$28, 0.0211, 0)</f>
        <v>59.179499999999997</v>
      </c>
      <c r="C938" s="4">
        <f>58.7951 * CHOOSE(CONTROL!$C$9, $C$13, 100%, $E$13) + CHOOSE(CONTROL!$C$28, 0.0211, 0)</f>
        <v>58.816199999999995</v>
      </c>
      <c r="D938" s="4">
        <f>88.8905 * CHOOSE(CONTROL!$C$9, $C$13, 100%, $E$13) + CHOOSE(CONTROL!$C$28, 0.0021, 0)</f>
        <v>88.892600000000002</v>
      </c>
      <c r="E938" s="4">
        <f>421.418459167732 * CHOOSE(CONTROL!$C$9, $C$13, 100%, $E$13) + CHOOSE(CONTROL!$C$28, 0.0021, 0)</f>
        <v>421.42055916773199</v>
      </c>
    </row>
    <row r="939" spans="1:5" ht="15">
      <c r="A939" s="13">
        <v>70097</v>
      </c>
      <c r="B939" s="4">
        <f>57.866 * CHOOSE(CONTROL!$C$9, $C$13, 100%, $E$13) + CHOOSE(CONTROL!$C$28, 0.0211, 0)</f>
        <v>57.887099999999997</v>
      </c>
      <c r="C939" s="4">
        <f>57.5027 * CHOOSE(CONTROL!$C$9, $C$13, 100%, $E$13) + CHOOSE(CONTROL!$C$28, 0.0211, 0)</f>
        <v>57.523799999999994</v>
      </c>
      <c r="D939" s="4">
        <f>88.4724 * CHOOSE(CONTROL!$C$9, $C$13, 100%, $E$13) + CHOOSE(CONTROL!$C$28, 0.0021, 0)</f>
        <v>88.474499999999992</v>
      </c>
      <c r="E939" s="4">
        <f>412.090308438274 * CHOOSE(CONTROL!$C$9, $C$13, 100%, $E$13) + CHOOSE(CONTROL!$C$28, 0.0021, 0)</f>
        <v>412.09240843827399</v>
      </c>
    </row>
    <row r="940" spans="1:5" ht="15">
      <c r="A940" s="13">
        <v>70128</v>
      </c>
      <c r="B940" s="4">
        <f>56.9719 * CHOOSE(CONTROL!$C$9, $C$13, 100%, $E$13) + CHOOSE(CONTROL!$C$28, 0.0211, 0)</f>
        <v>56.992999999999995</v>
      </c>
      <c r="C940" s="4">
        <f>56.6086 * CHOOSE(CONTROL!$C$9, $C$13, 100%, $E$13) + CHOOSE(CONTROL!$C$28, 0.0211, 0)</f>
        <v>56.6297</v>
      </c>
      <c r="D940" s="4">
        <f>85.3945 * CHOOSE(CONTROL!$C$9, $C$13, 100%, $E$13) + CHOOSE(CONTROL!$C$28, 0.0021, 0)</f>
        <v>85.396599999999992</v>
      </c>
      <c r="E940" s="4">
        <f>405.636427215247 * CHOOSE(CONTROL!$C$9, $C$13, 100%, $E$13) + CHOOSE(CONTROL!$C$28, 0.0021, 0)</f>
        <v>405.638527215247</v>
      </c>
    </row>
    <row r="941" spans="1:5" ht="15">
      <c r="A941" s="13">
        <v>70159</v>
      </c>
      <c r="B941" s="4">
        <f>54.5255 * CHOOSE(CONTROL!$C$9, $C$13, 100%, $E$13) + CHOOSE(CONTROL!$C$28, 0.0211, 0)</f>
        <v>54.546599999999998</v>
      </c>
      <c r="C941" s="4">
        <f>54.1622 * CHOOSE(CONTROL!$C$9, $C$13, 100%, $E$13) + CHOOSE(CONTROL!$C$28, 0.0211, 0)</f>
        <v>54.183299999999996</v>
      </c>
      <c r="D941" s="4">
        <f>82.0039 * CHOOSE(CONTROL!$C$9, $C$13, 100%, $E$13) + CHOOSE(CONTROL!$C$28, 0.0021, 0)</f>
        <v>82.006</v>
      </c>
      <c r="E941" s="4">
        <f>388.740021754568 * CHOOSE(CONTROL!$C$9, $C$13, 100%, $E$13) + CHOOSE(CONTROL!$C$28, 0.0021, 0)</f>
        <v>388.74212175456796</v>
      </c>
    </row>
    <row r="942" spans="1:5" ht="15">
      <c r="A942" s="13">
        <v>70188</v>
      </c>
      <c r="B942" s="4">
        <f>55.8018 * CHOOSE(CONTROL!$C$9, $C$13, 100%, $E$13) + CHOOSE(CONTROL!$C$28, 0.0211, 0)</f>
        <v>55.822899999999997</v>
      </c>
      <c r="C942" s="4">
        <f>55.4385 * CHOOSE(CONTROL!$C$9, $C$13, 100%, $E$13) + CHOOSE(CONTROL!$C$28, 0.0211, 0)</f>
        <v>55.459599999999995</v>
      </c>
      <c r="D942" s="4">
        <f>84.8328 * CHOOSE(CONTROL!$C$9, $C$13, 100%, $E$13) + CHOOSE(CONTROL!$C$28, 0.0021, 0)</f>
        <v>84.834900000000005</v>
      </c>
      <c r="E942" s="4">
        <f>397.970241860243 * CHOOSE(CONTROL!$C$9, $C$13, 100%, $E$13) + CHOOSE(CONTROL!$C$28, 0.0021, 0)</f>
        <v>397.97234186024298</v>
      </c>
    </row>
    <row r="943" spans="1:5" ht="15">
      <c r="A943" s="13">
        <v>70219</v>
      </c>
      <c r="B943" s="4">
        <f>59.1534 * CHOOSE(CONTROL!$C$9, $C$13, 100%, $E$13) + CHOOSE(CONTROL!$C$28, 0.0211, 0)</f>
        <v>59.174499999999995</v>
      </c>
      <c r="C943" s="4">
        <f>58.7901 * CHOOSE(CONTROL!$C$9, $C$13, 100%, $E$13) + CHOOSE(CONTROL!$C$28, 0.0211, 0)</f>
        <v>58.811199999999999</v>
      </c>
      <c r="D943" s="4">
        <f>89.2612 * CHOOSE(CONTROL!$C$9, $C$13, 100%, $E$13) + CHOOSE(CONTROL!$C$28, 0.0021, 0)</f>
        <v>89.263300000000001</v>
      </c>
      <c r="E943" s="4">
        <f>422.209290381433 * CHOOSE(CONTROL!$C$9, $C$13, 100%, $E$13) + CHOOSE(CONTROL!$C$28, 0.0021, 0)</f>
        <v>422.21139038143298</v>
      </c>
    </row>
    <row r="944" spans="1:5" ht="15">
      <c r="A944" s="13">
        <v>70249</v>
      </c>
      <c r="B944" s="4">
        <f>61.5347 * CHOOSE(CONTROL!$C$9, $C$13, 100%, $E$13) + CHOOSE(CONTROL!$C$28, 0.0211, 0)</f>
        <v>61.555799999999998</v>
      </c>
      <c r="C944" s="4">
        <f>61.1714 * CHOOSE(CONTROL!$C$9, $C$13, 100%, $E$13) + CHOOSE(CONTROL!$C$28, 0.0211, 0)</f>
        <v>61.192499999999995</v>
      </c>
      <c r="D944" s="4">
        <f>91.8121 * CHOOSE(CONTROL!$C$9, $C$13, 100%, $E$13) + CHOOSE(CONTROL!$C$28, 0.0021, 0)</f>
        <v>91.8142</v>
      </c>
      <c r="E944" s="4">
        <f>439.431457383532 * CHOOSE(CONTROL!$C$9, $C$13, 100%, $E$13) + CHOOSE(CONTROL!$C$28, 0.0021, 0)</f>
        <v>439.43355738353199</v>
      </c>
    </row>
    <row r="945" spans="1:5" ht="15">
      <c r="A945" s="13">
        <v>70280</v>
      </c>
      <c r="B945" s="4">
        <f>62.9897 * CHOOSE(CONTROL!$C$9, $C$13, 100%, $E$13) + CHOOSE(CONTROL!$C$28, 0.0415, 0)</f>
        <v>63.031199999999998</v>
      </c>
      <c r="C945" s="4">
        <f>62.6264 * CHOOSE(CONTROL!$C$9, $C$13, 100%, $E$13) + CHOOSE(CONTROL!$C$28, 0.0415, 0)</f>
        <v>62.667899999999996</v>
      </c>
      <c r="D945" s="4">
        <f>90.8041 * CHOOSE(CONTROL!$C$9, $C$13, 100%, $E$13) + CHOOSE(CONTROL!$C$28, 0.0021, 0)</f>
        <v>90.806200000000004</v>
      </c>
      <c r="E945" s="4">
        <f>449.953788664078 * CHOOSE(CONTROL!$C$9, $C$13, 100%, $E$13) + CHOOSE(CONTROL!$C$28, 0.0021, 0)</f>
        <v>449.95588866407797</v>
      </c>
    </row>
    <row r="946" spans="1:5" ht="15">
      <c r="A946" s="13">
        <v>70310</v>
      </c>
      <c r="B946" s="4">
        <f>63.1865 * CHOOSE(CONTROL!$C$9, $C$13, 100%, $E$13) + CHOOSE(CONTROL!$C$28, 0.0415, 0)</f>
        <v>63.228000000000002</v>
      </c>
      <c r="C946" s="4">
        <f>62.8232 * CHOOSE(CONTROL!$C$9, $C$13, 100%, $E$13) + CHOOSE(CONTROL!$C$28, 0.0415, 0)</f>
        <v>62.864699999999999</v>
      </c>
      <c r="D946" s="4">
        <f>91.625 * CHOOSE(CONTROL!$C$9, $C$13, 100%, $E$13) + CHOOSE(CONTROL!$C$28, 0.0021, 0)</f>
        <v>91.627099999999999</v>
      </c>
      <c r="E946" s="4">
        <f>451.377503754908 * CHOOSE(CONTROL!$C$9, $C$13, 100%, $E$13) + CHOOSE(CONTROL!$C$28, 0.0021, 0)</f>
        <v>451.37960375490798</v>
      </c>
    </row>
    <row r="947" spans="1:5" ht="15">
      <c r="A947" s="13">
        <v>70341</v>
      </c>
      <c r="B947" s="4">
        <f>63.1667 * CHOOSE(CONTROL!$C$9, $C$13, 100%, $E$13) + CHOOSE(CONTROL!$C$28, 0.0415, 0)</f>
        <v>63.208199999999998</v>
      </c>
      <c r="C947" s="4">
        <f>62.8034 * CHOOSE(CONTROL!$C$9, $C$13, 100%, $E$13) + CHOOSE(CONTROL!$C$28, 0.0415, 0)</f>
        <v>62.844900000000003</v>
      </c>
      <c r="D947" s="4">
        <f>93.1063 * CHOOSE(CONTROL!$C$9, $C$13, 100%, $E$13) + CHOOSE(CONTROL!$C$28, 0.0021, 0)</f>
        <v>93.108400000000003</v>
      </c>
      <c r="E947" s="4">
        <f>451.233935846589 * CHOOSE(CONTROL!$C$9, $C$13, 100%, $E$13) + CHOOSE(CONTROL!$C$28, 0.0021, 0)</f>
        <v>451.236035846589</v>
      </c>
    </row>
    <row r="948" spans="1:5" ht="15">
      <c r="A948" s="13">
        <v>70372</v>
      </c>
      <c r="B948" s="4">
        <f>64.6605 * CHOOSE(CONTROL!$C$9, $C$13, 100%, $E$13) + CHOOSE(CONTROL!$C$28, 0.0415, 0)</f>
        <v>64.701999999999998</v>
      </c>
      <c r="C948" s="4">
        <f>64.2972 * CHOOSE(CONTROL!$C$9, $C$13, 100%, $E$13) + CHOOSE(CONTROL!$C$28, 0.0415, 0)</f>
        <v>64.338700000000003</v>
      </c>
      <c r="D948" s="4">
        <f>92.128 * CHOOSE(CONTROL!$C$9, $C$13, 100%, $E$13) + CHOOSE(CONTROL!$C$28, 0.0021, 0)</f>
        <v>92.130099999999999</v>
      </c>
      <c r="E948" s="4">
        <f>462.037420947593 * CHOOSE(CONTROL!$C$9, $C$13, 100%, $E$13) + CHOOSE(CONTROL!$C$28, 0.0021, 0)</f>
        <v>462.03952094759296</v>
      </c>
    </row>
    <row r="949" spans="1:5" ht="15">
      <c r="A949" s="13">
        <v>70402</v>
      </c>
      <c r="B949" s="4">
        <f>62.1145 * CHOOSE(CONTROL!$C$9, $C$13, 100%, $E$13) + CHOOSE(CONTROL!$C$28, 0.0415, 0)</f>
        <v>62.155999999999999</v>
      </c>
      <c r="C949" s="4">
        <f>61.7513 * CHOOSE(CONTROL!$C$9, $C$13, 100%, $E$13) + CHOOSE(CONTROL!$C$28, 0.0415, 0)</f>
        <v>61.7928</v>
      </c>
      <c r="D949" s="4">
        <f>91.6658 * CHOOSE(CONTROL!$C$9, $C$13, 100%, $E$13) + CHOOSE(CONTROL!$C$28, 0.0021, 0)</f>
        <v>91.667900000000003</v>
      </c>
      <c r="E949" s="4">
        <f>443.624836705682 * CHOOSE(CONTROL!$C$9, $C$13, 100%, $E$13) + CHOOSE(CONTROL!$C$28, 0.0021, 0)</f>
        <v>443.626936705682</v>
      </c>
    </row>
    <row r="950" spans="1:5" ht="15">
      <c r="A950" s="13">
        <v>70433</v>
      </c>
      <c r="B950" s="4">
        <f>60.0765 * CHOOSE(CONTROL!$C$9, $C$13, 100%, $E$13) + CHOOSE(CONTROL!$C$28, 0.0211, 0)</f>
        <v>60.0976</v>
      </c>
      <c r="C950" s="4">
        <f>59.7132 * CHOOSE(CONTROL!$C$9, $C$13, 100%, $E$13) + CHOOSE(CONTROL!$C$28, 0.0211, 0)</f>
        <v>59.734299999999998</v>
      </c>
      <c r="D950" s="4">
        <f>90.4283 * CHOOSE(CONTROL!$C$9, $C$13, 100%, $E$13) + CHOOSE(CONTROL!$C$28, 0.0021, 0)</f>
        <v>90.430399999999992</v>
      </c>
      <c r="E950" s="4">
        <f>428.885198118266 * CHOOSE(CONTROL!$C$9, $C$13, 100%, $E$13) + CHOOSE(CONTROL!$C$28, 0.0021, 0)</f>
        <v>428.88729811826596</v>
      </c>
    </row>
    <row r="951" spans="1:5" ht="15">
      <c r="A951" s="13">
        <v>70463</v>
      </c>
      <c r="B951" s="4">
        <f>58.7638 * CHOOSE(CONTROL!$C$9, $C$13, 100%, $E$13) + CHOOSE(CONTROL!$C$28, 0.0211, 0)</f>
        <v>58.7849</v>
      </c>
      <c r="C951" s="4">
        <f>58.4005 * CHOOSE(CONTROL!$C$9, $C$13, 100%, $E$13) + CHOOSE(CONTROL!$C$28, 0.0211, 0)</f>
        <v>58.421599999999998</v>
      </c>
      <c r="D951" s="4">
        <f>90.0028 * CHOOSE(CONTROL!$C$9, $C$13, 100%, $E$13) + CHOOSE(CONTROL!$C$28, 0.0021, 0)</f>
        <v>90.004899999999992</v>
      </c>
      <c r="E951" s="4">
        <f>419.391770180673 * CHOOSE(CONTROL!$C$9, $C$13, 100%, $E$13) + CHOOSE(CONTROL!$C$28, 0.0021, 0)</f>
        <v>419.39387018067299</v>
      </c>
    </row>
    <row r="952" spans="1:5" ht="15">
      <c r="A952" s="13">
        <v>70494</v>
      </c>
      <c r="B952" s="4">
        <f>57.8556 * CHOOSE(CONTROL!$C$9, $C$13, 100%, $E$13) + CHOOSE(CONTROL!$C$28, 0.0211, 0)</f>
        <v>57.8767</v>
      </c>
      <c r="C952" s="4">
        <f>57.4923 * CHOOSE(CONTROL!$C$9, $C$13, 100%, $E$13) + CHOOSE(CONTROL!$C$28, 0.0211, 0)</f>
        <v>57.513399999999997</v>
      </c>
      <c r="D952" s="4">
        <f>86.8705 * CHOOSE(CONTROL!$C$9, $C$13, 100%, $E$13) + CHOOSE(CONTROL!$C$28, 0.0021, 0)</f>
        <v>86.872600000000006</v>
      </c>
      <c r="E952" s="4">
        <f>412.823538375079 * CHOOSE(CONTROL!$C$9, $C$13, 100%, $E$13) + CHOOSE(CONTROL!$C$28, 0.0021, 0)</f>
        <v>412.825638375079</v>
      </c>
    </row>
    <row r="953" spans="1:5" ht="15">
      <c r="A953" s="13">
        <v>70525</v>
      </c>
      <c r="B953" s="4">
        <f>55.3707 * CHOOSE(CONTROL!$C$9, $C$13, 100%, $E$13) + CHOOSE(CONTROL!$C$28, 0.0211, 0)</f>
        <v>55.391799999999996</v>
      </c>
      <c r="C953" s="4">
        <f>55.0074 * CHOOSE(CONTROL!$C$9, $C$13, 100%, $E$13) + CHOOSE(CONTROL!$C$28, 0.0211, 0)</f>
        <v>55.028499999999994</v>
      </c>
      <c r="D953" s="4">
        <f>83.42 * CHOOSE(CONTROL!$C$9, $C$13, 100%, $E$13) + CHOOSE(CONTROL!$C$28, 0.0021, 0)</f>
        <v>83.4221</v>
      </c>
      <c r="E953" s="4">
        <f>395.627760530413 * CHOOSE(CONTROL!$C$9, $C$13, 100%, $E$13) + CHOOSE(CONTROL!$C$28, 0.0021, 0)</f>
        <v>395.629860530413</v>
      </c>
    </row>
    <row r="954" spans="1:5" ht="15">
      <c r="A954" s="13">
        <v>70553</v>
      </c>
      <c r="B954" s="4">
        <f>56.6671 * CHOOSE(CONTROL!$C$9, $C$13, 100%, $E$13) + CHOOSE(CONTROL!$C$28, 0.0211, 0)</f>
        <v>56.688199999999995</v>
      </c>
      <c r="C954" s="4">
        <f>56.3038 * CHOOSE(CONTROL!$C$9, $C$13, 100%, $E$13) + CHOOSE(CONTROL!$C$28, 0.0211, 0)</f>
        <v>56.3249</v>
      </c>
      <c r="D954" s="4">
        <f>86.2989 * CHOOSE(CONTROL!$C$9, $C$13, 100%, $E$13) + CHOOSE(CONTROL!$C$28, 0.0021, 0)</f>
        <v>86.301000000000002</v>
      </c>
      <c r="E954" s="4">
        <f>405.021522698581 * CHOOSE(CONTROL!$C$9, $C$13, 100%, $E$13) + CHOOSE(CONTROL!$C$28, 0.0021, 0)</f>
        <v>405.02362269858099</v>
      </c>
    </row>
    <row r="955" spans="1:5" ht="15">
      <c r="A955" s="13">
        <v>70584</v>
      </c>
      <c r="B955" s="4">
        <f>60.0714 * CHOOSE(CONTROL!$C$9, $C$13, 100%, $E$13) + CHOOSE(CONTROL!$C$28, 0.0211, 0)</f>
        <v>60.092499999999994</v>
      </c>
      <c r="C955" s="4">
        <f>59.7081 * CHOOSE(CONTROL!$C$9, $C$13, 100%, $E$13) + CHOOSE(CONTROL!$C$28, 0.0211, 0)</f>
        <v>59.729199999999999</v>
      </c>
      <c r="D955" s="4">
        <f>90.8055 * CHOOSE(CONTROL!$C$9, $C$13, 100%, $E$13) + CHOOSE(CONTROL!$C$28, 0.0021, 0)</f>
        <v>90.807599999999994</v>
      </c>
      <c r="E955" s="4">
        <f>429.690041367031 * CHOOSE(CONTROL!$C$9, $C$13, 100%, $E$13) + CHOOSE(CONTROL!$C$28, 0.0021, 0)</f>
        <v>429.69214136703096</v>
      </c>
    </row>
    <row r="956" spans="1:5" ht="15">
      <c r="A956" s="13">
        <v>70614</v>
      </c>
      <c r="B956" s="4">
        <f>62.4902 * CHOOSE(CONTROL!$C$9, $C$13, 100%, $E$13) + CHOOSE(CONTROL!$C$28, 0.0211, 0)</f>
        <v>62.511299999999999</v>
      </c>
      <c r="C956" s="4">
        <f>62.1269 * CHOOSE(CONTROL!$C$9, $C$13, 100%, $E$13) + CHOOSE(CONTROL!$C$28, 0.0211, 0)</f>
        <v>62.147999999999996</v>
      </c>
      <c r="D956" s="4">
        <f>93.4015 * CHOOSE(CONTROL!$C$9, $C$13, 100%, $E$13) + CHOOSE(CONTROL!$C$28, 0.0021, 0)</f>
        <v>93.403599999999997</v>
      </c>
      <c r="E956" s="4">
        <f>447.217352632201 * CHOOSE(CONTROL!$C$9, $C$13, 100%, $E$13) + CHOOSE(CONTROL!$C$28, 0.0021, 0)</f>
        <v>447.21945263220101</v>
      </c>
    </row>
    <row r="957" spans="1:5" ht="15">
      <c r="A957" s="13">
        <v>70645</v>
      </c>
      <c r="B957" s="4">
        <f>63.968 * CHOOSE(CONTROL!$C$9, $C$13, 100%, $E$13) + CHOOSE(CONTROL!$C$28, 0.0415, 0)</f>
        <v>64.009500000000003</v>
      </c>
      <c r="C957" s="4">
        <f>63.6047 * CHOOSE(CONTROL!$C$9, $C$13, 100%, $E$13) + CHOOSE(CONTROL!$C$28, 0.0415, 0)</f>
        <v>63.6462</v>
      </c>
      <c r="D957" s="4">
        <f>92.3757 * CHOOSE(CONTROL!$C$9, $C$13, 100%, $E$13) + CHOOSE(CONTROL!$C$28, 0.0021, 0)</f>
        <v>92.377799999999993</v>
      </c>
      <c r="E957" s="4">
        <f>457.926119744196 * CHOOSE(CONTROL!$C$9, $C$13, 100%, $E$13) + CHOOSE(CONTROL!$C$28, 0.0021, 0)</f>
        <v>457.92821974419599</v>
      </c>
    </row>
    <row r="958" spans="1:5" ht="15">
      <c r="A958" s="13">
        <v>70675</v>
      </c>
      <c r="B958" s="4">
        <f>64.168 * CHOOSE(CONTROL!$C$9, $C$13, 100%, $E$13) + CHOOSE(CONTROL!$C$28, 0.0415, 0)</f>
        <v>64.209500000000006</v>
      </c>
      <c r="C958" s="4">
        <f>63.8047 * CHOOSE(CONTROL!$C$9, $C$13, 100%, $E$13) + CHOOSE(CONTROL!$C$28, 0.0415, 0)</f>
        <v>63.846199999999996</v>
      </c>
      <c r="D958" s="4">
        <f>93.2111 * CHOOSE(CONTROL!$C$9, $C$13, 100%, $E$13) + CHOOSE(CONTROL!$C$28, 0.0021, 0)</f>
        <v>93.213200000000001</v>
      </c>
      <c r="E958" s="4">
        <f>459.375060376746 * CHOOSE(CONTROL!$C$9, $C$13, 100%, $E$13) + CHOOSE(CONTROL!$C$28, 0.0021, 0)</f>
        <v>459.37716037674596</v>
      </c>
    </row>
    <row r="959" spans="1:5" ht="15">
      <c r="A959" s="13">
        <v>70706</v>
      </c>
      <c r="B959" s="4">
        <f>64.1478 * CHOOSE(CONTROL!$C$9, $C$13, 100%, $E$13) + CHOOSE(CONTROL!$C$28, 0.0415, 0)</f>
        <v>64.189300000000003</v>
      </c>
      <c r="C959" s="4">
        <f>63.7845 * CHOOSE(CONTROL!$C$9, $C$13, 100%, $E$13) + CHOOSE(CONTROL!$C$28, 0.0415, 0)</f>
        <v>63.826000000000001</v>
      </c>
      <c r="D959" s="4">
        <f>94.7186 * CHOOSE(CONTROL!$C$9, $C$13, 100%, $E$13) + CHOOSE(CONTROL!$C$28, 0.0021, 0)</f>
        <v>94.720699999999994</v>
      </c>
      <c r="E959" s="4">
        <f>459.228948716321 * CHOOSE(CONTROL!$C$9, $C$13, 100%, $E$13) + CHOOSE(CONTROL!$C$28, 0.0021, 0)</f>
        <v>459.23104871632097</v>
      </c>
    </row>
    <row r="960" spans="1:5" ht="15">
      <c r="A960" s="13">
        <v>70737</v>
      </c>
      <c r="B960" s="4">
        <f>65.6651 * CHOOSE(CONTROL!$C$9, $C$13, 100%, $E$13) + CHOOSE(CONTROL!$C$28, 0.0415, 0)</f>
        <v>65.706599999999995</v>
      </c>
      <c r="C960" s="4">
        <f>65.3018 * CHOOSE(CONTROL!$C$9, $C$13, 100%, $E$13) + CHOOSE(CONTROL!$C$28, 0.0415, 0)</f>
        <v>65.343299999999999</v>
      </c>
      <c r="D960" s="4">
        <f>93.7231 * CHOOSE(CONTROL!$C$9, $C$13, 100%, $E$13) + CHOOSE(CONTROL!$C$28, 0.0021, 0)</f>
        <v>93.725200000000001</v>
      </c>
      <c r="E960" s="4">
        <f>470.223851163315 * CHOOSE(CONTROL!$C$9, $C$13, 100%, $E$13) + CHOOSE(CONTROL!$C$28, 0.0021, 0)</f>
        <v>470.22595116331496</v>
      </c>
    </row>
    <row r="961" spans="1:5" ht="15">
      <c r="A961" s="13">
        <v>70767</v>
      </c>
      <c r="B961" s="4">
        <f>63.0791 * CHOOSE(CONTROL!$C$9, $C$13, 100%, $E$13) + CHOOSE(CONTROL!$C$28, 0.0415, 0)</f>
        <v>63.120599999999996</v>
      </c>
      <c r="C961" s="4">
        <f>62.7158 * CHOOSE(CONTROL!$C$9, $C$13, 100%, $E$13) + CHOOSE(CONTROL!$C$28, 0.0415, 0)</f>
        <v>62.757300000000001</v>
      </c>
      <c r="D961" s="4">
        <f>93.2527 * CHOOSE(CONTROL!$C$9, $C$13, 100%, $E$13) + CHOOSE(CONTROL!$C$28, 0.0021, 0)</f>
        <v>93.254800000000003</v>
      </c>
      <c r="E961" s="4">
        <f>451.485030713787 * CHOOSE(CONTROL!$C$9, $C$13, 100%, $E$13) + CHOOSE(CONTROL!$C$28, 0.0021, 0)</f>
        <v>451.487130713787</v>
      </c>
    </row>
    <row r="962" spans="1:5" ht="15">
      <c r="A962" s="13">
        <v>70798</v>
      </c>
      <c r="B962" s="4">
        <f>61.009 * CHOOSE(CONTROL!$C$9, $C$13, 100%, $E$13) + CHOOSE(CONTROL!$C$28, 0.0211, 0)</f>
        <v>61.030099999999997</v>
      </c>
      <c r="C962" s="4">
        <f>60.6457 * CHOOSE(CONTROL!$C$9, $C$13, 100%, $E$13) + CHOOSE(CONTROL!$C$28, 0.0211, 0)</f>
        <v>60.666799999999995</v>
      </c>
      <c r="D962" s="4">
        <f>91.9933 * CHOOSE(CONTROL!$C$9, $C$13, 100%, $E$13) + CHOOSE(CONTROL!$C$28, 0.0021, 0)</f>
        <v>91.995400000000004</v>
      </c>
      <c r="E962" s="4">
        <f>436.484233576802 * CHOOSE(CONTROL!$C$9, $C$13, 100%, $E$13) + CHOOSE(CONTROL!$C$28, 0.0021, 0)</f>
        <v>436.486333576802</v>
      </c>
    </row>
    <row r="963" spans="1:5" ht="15">
      <c r="A963" s="13">
        <v>70828</v>
      </c>
      <c r="B963" s="4">
        <f>59.6757 * CHOOSE(CONTROL!$C$9, $C$13, 100%, $E$13) + CHOOSE(CONTROL!$C$28, 0.0211, 0)</f>
        <v>59.696799999999996</v>
      </c>
      <c r="C963" s="4">
        <f>59.3124 * CHOOSE(CONTROL!$C$9, $C$13, 100%, $E$13) + CHOOSE(CONTROL!$C$28, 0.0211, 0)</f>
        <v>59.333499999999994</v>
      </c>
      <c r="D963" s="4">
        <f>91.5603 * CHOOSE(CONTROL!$C$9, $C$13, 100%, $E$13) + CHOOSE(CONTROL!$C$28, 0.0021, 0)</f>
        <v>91.562399999999997</v>
      </c>
      <c r="E963" s="4">
        <f>426.822600031187 * CHOOSE(CONTROL!$C$9, $C$13, 100%, $E$13) + CHOOSE(CONTROL!$C$28, 0.0021, 0)</f>
        <v>426.82470003118698</v>
      </c>
    </row>
    <row r="964" spans="1:5" ht="15">
      <c r="A964" s="13">
        <v>70859</v>
      </c>
      <c r="B964" s="4">
        <f>58.7532 * CHOOSE(CONTROL!$C$9, $C$13, 100%, $E$13) + CHOOSE(CONTROL!$C$28, 0.0211, 0)</f>
        <v>58.774299999999997</v>
      </c>
      <c r="C964" s="4">
        <f>58.3899 * CHOOSE(CONTROL!$C$9, $C$13, 100%, $E$13) + CHOOSE(CONTROL!$C$28, 0.0211, 0)</f>
        <v>58.410999999999994</v>
      </c>
      <c r="D964" s="4">
        <f>88.3727 * CHOOSE(CONTROL!$C$9, $C$13, 100%, $E$13) + CHOOSE(CONTROL!$C$28, 0.0021, 0)</f>
        <v>88.374799999999993</v>
      </c>
      <c r="E964" s="4">
        <f>420.137991566736 * CHOOSE(CONTROL!$C$9, $C$13, 100%, $E$13) + CHOOSE(CONTROL!$C$28, 0.0021, 0)</f>
        <v>420.14009156673598</v>
      </c>
    </row>
    <row r="965" spans="1:5" ht="15">
      <c r="A965" s="13">
        <v>70890</v>
      </c>
      <c r="B965" s="4">
        <f>56.2293 * CHOOSE(CONTROL!$C$9, $C$13, 100%, $E$13) + CHOOSE(CONTROL!$C$28, 0.0211, 0)</f>
        <v>56.250399999999999</v>
      </c>
      <c r="C965" s="4">
        <f>55.866 * CHOOSE(CONTROL!$C$9, $C$13, 100%, $E$13) + CHOOSE(CONTROL!$C$28, 0.0211, 0)</f>
        <v>55.887099999999997</v>
      </c>
      <c r="D965" s="4">
        <f>84.8612 * CHOOSE(CONTROL!$C$9, $C$13, 100%, $E$13) + CHOOSE(CONTROL!$C$28, 0.0021, 0)</f>
        <v>84.863299999999995</v>
      </c>
      <c r="E965" s="4">
        <f>402.637537025014 * CHOOSE(CONTROL!$C$9, $C$13, 100%, $E$13) + CHOOSE(CONTROL!$C$28, 0.0021, 0)</f>
        <v>402.639637025014</v>
      </c>
    </row>
    <row r="966" spans="1:5" ht="15">
      <c r="A966" s="13">
        <v>70918</v>
      </c>
      <c r="B966" s="4">
        <f>57.546 * CHOOSE(CONTROL!$C$9, $C$13, 100%, $E$13) + CHOOSE(CONTROL!$C$28, 0.0211, 0)</f>
        <v>57.567099999999996</v>
      </c>
      <c r="C966" s="4">
        <f>57.1827 * CHOOSE(CONTROL!$C$9, $C$13, 100%, $E$13) + CHOOSE(CONTROL!$C$28, 0.0211, 0)</f>
        <v>57.203799999999994</v>
      </c>
      <c r="D966" s="4">
        <f>87.7909 * CHOOSE(CONTROL!$C$9, $C$13, 100%, $E$13) + CHOOSE(CONTROL!$C$28, 0.0021, 0)</f>
        <v>87.792999999999992</v>
      </c>
      <c r="E966" s="4">
        <f>412.197738912059 * CHOOSE(CONTROL!$C$9, $C$13, 100%, $E$13) + CHOOSE(CONTROL!$C$28, 0.0021, 0)</f>
        <v>412.19983891205896</v>
      </c>
    </row>
    <row r="967" spans="1:5" ht="15">
      <c r="A967" s="13">
        <v>70949</v>
      </c>
      <c r="B967" s="4">
        <f>61.0038 * CHOOSE(CONTROL!$C$9, $C$13, 100%, $E$13) + CHOOSE(CONTROL!$C$28, 0.0211, 0)</f>
        <v>61.024899999999995</v>
      </c>
      <c r="C967" s="4">
        <f>60.6406 * CHOOSE(CONTROL!$C$9, $C$13, 100%, $E$13) + CHOOSE(CONTROL!$C$28, 0.0211, 0)</f>
        <v>60.661699999999996</v>
      </c>
      <c r="D967" s="4">
        <f>92.3772 * CHOOSE(CONTROL!$C$9, $C$13, 100%, $E$13) + CHOOSE(CONTROL!$C$28, 0.0021, 0)</f>
        <v>92.379300000000001</v>
      </c>
      <c r="E967" s="4">
        <f>437.303337127422 * CHOOSE(CONTROL!$C$9, $C$13, 100%, $E$13) + CHOOSE(CONTROL!$C$28, 0.0021, 0)</f>
        <v>437.30543712742201</v>
      </c>
    </row>
    <row r="968" spans="1:5" ht="15">
      <c r="A968" s="13">
        <v>70979</v>
      </c>
      <c r="B968" s="4">
        <f>63.4607 * CHOOSE(CONTROL!$C$9, $C$13, 100%, $E$13) + CHOOSE(CONTROL!$C$28, 0.0211, 0)</f>
        <v>63.4818</v>
      </c>
      <c r="C968" s="4">
        <f>63.0974 * CHOOSE(CONTROL!$C$9, $C$13, 100%, $E$13) + CHOOSE(CONTROL!$C$28, 0.0211, 0)</f>
        <v>63.118499999999997</v>
      </c>
      <c r="D968" s="4">
        <f>95.019 * CHOOSE(CONTROL!$C$9, $C$13, 100%, $E$13) + CHOOSE(CONTROL!$C$28, 0.0021, 0)</f>
        <v>95.021100000000004</v>
      </c>
      <c r="E968" s="4">
        <f>455.141199235524 * CHOOSE(CONTROL!$C$9, $C$13, 100%, $E$13) + CHOOSE(CONTROL!$C$28, 0.0021, 0)</f>
        <v>455.14329923552401</v>
      </c>
    </row>
    <row r="969" spans="1:5" ht="15">
      <c r="A969" s="13">
        <v>71010</v>
      </c>
      <c r="B969" s="4">
        <f>64.9617 * CHOOSE(CONTROL!$C$9, $C$13, 100%, $E$13) + CHOOSE(CONTROL!$C$28, 0.0415, 0)</f>
        <v>65.003199999999993</v>
      </c>
      <c r="C969" s="4">
        <f>64.5985 * CHOOSE(CONTROL!$C$9, $C$13, 100%, $E$13) + CHOOSE(CONTROL!$C$28, 0.0415, 0)</f>
        <v>64.64</v>
      </c>
      <c r="D969" s="4">
        <f>93.9751 * CHOOSE(CONTROL!$C$9, $C$13, 100%, $E$13) + CHOOSE(CONTROL!$C$28, 0.0021, 0)</f>
        <v>93.977199999999996</v>
      </c>
      <c r="E969" s="4">
        <f>466.039705469686 * CHOOSE(CONTROL!$C$9, $C$13, 100%, $E$13) + CHOOSE(CONTROL!$C$28, 0.0021, 0)</f>
        <v>466.04180546968598</v>
      </c>
    </row>
    <row r="970" spans="1:5" ht="15">
      <c r="A970" s="13">
        <v>71040</v>
      </c>
      <c r="B970" s="4">
        <f>65.1648 * CHOOSE(CONTROL!$C$9, $C$13, 100%, $E$13) + CHOOSE(CONTROL!$C$28, 0.0415, 0)</f>
        <v>65.206299999999999</v>
      </c>
      <c r="C970" s="4">
        <f>64.8016 * CHOOSE(CONTROL!$C$9, $C$13, 100%, $E$13) + CHOOSE(CONTROL!$C$28, 0.0415, 0)</f>
        <v>64.843099999999993</v>
      </c>
      <c r="D970" s="4">
        <f>94.8253 * CHOOSE(CONTROL!$C$9, $C$13, 100%, $E$13) + CHOOSE(CONTROL!$C$28, 0.0021, 0)</f>
        <v>94.827399999999997</v>
      </c>
      <c r="E970" s="4">
        <f>467.514318592898 * CHOOSE(CONTROL!$C$9, $C$13, 100%, $E$13) + CHOOSE(CONTROL!$C$28, 0.0021, 0)</f>
        <v>467.51641859289799</v>
      </c>
    </row>
    <row r="971" spans="1:5" ht="15">
      <c r="A971" s="13">
        <v>71071</v>
      </c>
      <c r="B971" s="4">
        <f>65.1444 * CHOOSE(CONTROL!$C$9, $C$13, 100%, $E$13) + CHOOSE(CONTROL!$C$28, 0.0415, 0)</f>
        <v>65.185900000000004</v>
      </c>
      <c r="C971" s="4">
        <f>64.7811 * CHOOSE(CONTROL!$C$9, $C$13, 100%, $E$13) + CHOOSE(CONTROL!$C$28, 0.0415, 0)</f>
        <v>64.822599999999994</v>
      </c>
      <c r="D971" s="4">
        <f>96.3594 * CHOOSE(CONTROL!$C$9, $C$13, 100%, $E$13) + CHOOSE(CONTROL!$C$28, 0.0021, 0)</f>
        <v>96.361499999999992</v>
      </c>
      <c r="E971" s="4">
        <f>467.365618109885 * CHOOSE(CONTROL!$C$9, $C$13, 100%, $E$13) + CHOOSE(CONTROL!$C$28, 0.0021, 0)</f>
        <v>467.367718109885</v>
      </c>
    </row>
    <row r="972" spans="1:5" ht="15">
      <c r="A972" s="13">
        <v>71102</v>
      </c>
      <c r="B972" s="4">
        <f>66.6855 * CHOOSE(CONTROL!$C$9, $C$13, 100%, $E$13) + CHOOSE(CONTROL!$C$28, 0.0415, 0)</f>
        <v>66.727000000000004</v>
      </c>
      <c r="C972" s="4">
        <f>66.3222 * CHOOSE(CONTROL!$C$9, $C$13, 100%, $E$13) + CHOOSE(CONTROL!$C$28, 0.0415, 0)</f>
        <v>66.363699999999994</v>
      </c>
      <c r="D972" s="4">
        <f>95.3463 * CHOOSE(CONTROL!$C$9, $C$13, 100%, $E$13) + CHOOSE(CONTROL!$C$28, 0.0021, 0)</f>
        <v>95.348399999999998</v>
      </c>
      <c r="E972" s="4">
        <f>478.555329456614 * CHOOSE(CONTROL!$C$9, $C$13, 100%, $E$13) + CHOOSE(CONTROL!$C$28, 0.0021, 0)</f>
        <v>478.55742945661399</v>
      </c>
    </row>
    <row r="973" spans="1:5" ht="15">
      <c r="A973" s="13">
        <v>71132</v>
      </c>
      <c r="B973" s="4">
        <f>64.0589 * CHOOSE(CONTROL!$C$9, $C$13, 100%, $E$13) + CHOOSE(CONTROL!$C$28, 0.0415, 0)</f>
        <v>64.100399999999993</v>
      </c>
      <c r="C973" s="4">
        <f>63.6956 * CHOOSE(CONTROL!$C$9, $C$13, 100%, $E$13) + CHOOSE(CONTROL!$C$28, 0.0415, 0)</f>
        <v>63.737099999999998</v>
      </c>
      <c r="D973" s="4">
        <f>94.8676 * CHOOSE(CONTROL!$C$9, $C$13, 100%, $E$13) + CHOOSE(CONTROL!$C$28, 0.0021, 0)</f>
        <v>94.869699999999995</v>
      </c>
      <c r="E973" s="4">
        <f>459.484492510196 * CHOOSE(CONTROL!$C$9, $C$13, 100%, $E$13) + CHOOSE(CONTROL!$C$28, 0.0021, 0)</f>
        <v>459.48659251019598</v>
      </c>
    </row>
    <row r="974" spans="1:5" ht="15">
      <c r="A974" s="13">
        <v>71163</v>
      </c>
      <c r="B974" s="4">
        <f>61.9562 * CHOOSE(CONTROL!$C$9, $C$13, 100%, $E$13) + CHOOSE(CONTROL!$C$28, 0.0211, 0)</f>
        <v>61.9773</v>
      </c>
      <c r="C974" s="4">
        <f>61.5929 * CHOOSE(CONTROL!$C$9, $C$13, 100%, $E$13) + CHOOSE(CONTROL!$C$28, 0.0211, 0)</f>
        <v>61.613999999999997</v>
      </c>
      <c r="D974" s="4">
        <f>93.586 * CHOOSE(CONTROL!$C$9, $C$13, 100%, $E$13) + CHOOSE(CONTROL!$C$28, 0.0021, 0)</f>
        <v>93.588099999999997</v>
      </c>
      <c r="E974" s="4">
        <f>444.217909587527 * CHOOSE(CONTROL!$C$9, $C$13, 100%, $E$13) + CHOOSE(CONTROL!$C$28, 0.0021, 0)</f>
        <v>444.22000958752699</v>
      </c>
    </row>
    <row r="975" spans="1:5" ht="15">
      <c r="A975" s="13">
        <v>71193</v>
      </c>
      <c r="B975" s="4">
        <f>60.6019 * CHOOSE(CONTROL!$C$9, $C$13, 100%, $E$13) + CHOOSE(CONTROL!$C$28, 0.0211, 0)</f>
        <v>60.622999999999998</v>
      </c>
      <c r="C975" s="4">
        <f>60.2386 * CHOOSE(CONTROL!$C$9, $C$13, 100%, $E$13) + CHOOSE(CONTROL!$C$28, 0.0211, 0)</f>
        <v>60.259699999999995</v>
      </c>
      <c r="D975" s="4">
        <f>93.1453 * CHOOSE(CONTROL!$C$9, $C$13, 100%, $E$13) + CHOOSE(CONTROL!$C$28, 0.0021, 0)</f>
        <v>93.147400000000005</v>
      </c>
      <c r="E975" s="4">
        <f>434.385090148292 * CHOOSE(CONTROL!$C$9, $C$13, 100%, $E$13) + CHOOSE(CONTROL!$C$28, 0.0021, 0)</f>
        <v>434.38719014829201</v>
      </c>
    </row>
    <row r="976" spans="1:5" ht="15">
      <c r="A976" s="13">
        <v>71224</v>
      </c>
      <c r="B976" s="4">
        <f>59.6649 * CHOOSE(CONTROL!$C$9, $C$13, 100%, $E$13) + CHOOSE(CONTROL!$C$28, 0.0211, 0)</f>
        <v>59.686</v>
      </c>
      <c r="C976" s="4">
        <f>59.3016 * CHOOSE(CONTROL!$C$9, $C$13, 100%, $E$13) + CHOOSE(CONTROL!$C$28, 0.0211, 0)</f>
        <v>59.322699999999998</v>
      </c>
      <c r="D976" s="4">
        <f>89.9013 * CHOOSE(CONTROL!$C$9, $C$13, 100%, $E$13) + CHOOSE(CONTROL!$C$28, 0.0021, 0)</f>
        <v>89.903400000000005</v>
      </c>
      <c r="E976" s="4">
        <f>427.582043050446 * CHOOSE(CONTROL!$C$9, $C$13, 100%, $E$13) + CHOOSE(CONTROL!$C$28, 0.0021, 0)</f>
        <v>427.58414305044596</v>
      </c>
    </row>
    <row r="977" spans="1:5" ht="15">
      <c r="A977" s="13">
        <v>71255</v>
      </c>
      <c r="B977" s="4">
        <f>57.1013 * CHOOSE(CONTROL!$C$9, $C$13, 100%, $E$13) + CHOOSE(CONTROL!$C$28, 0.0211, 0)</f>
        <v>57.122399999999999</v>
      </c>
      <c r="C977" s="4">
        <f>56.738 * CHOOSE(CONTROL!$C$9, $C$13, 100%, $E$13) + CHOOSE(CONTROL!$C$28, 0.0211, 0)</f>
        <v>56.759099999999997</v>
      </c>
      <c r="D977" s="4">
        <f>86.3278 * CHOOSE(CONTROL!$C$9, $C$13, 100%, $E$13) + CHOOSE(CONTROL!$C$28, 0.0021, 0)</f>
        <v>86.329899999999995</v>
      </c>
      <c r="E977" s="4">
        <f>409.771513516194 * CHOOSE(CONTROL!$C$9, $C$13, 100%, $E$13) + CHOOSE(CONTROL!$C$28, 0.0021, 0)</f>
        <v>409.77361351619396</v>
      </c>
    </row>
    <row r="978" spans="1:5" ht="15">
      <c r="A978" s="13">
        <v>71283</v>
      </c>
      <c r="B978" s="4">
        <f>58.4388 * CHOOSE(CONTROL!$C$9, $C$13, 100%, $E$13) + CHOOSE(CONTROL!$C$28, 0.0211, 0)</f>
        <v>58.459899999999998</v>
      </c>
      <c r="C978" s="4">
        <f>58.0755 * CHOOSE(CONTROL!$C$9, $C$13, 100%, $E$13) + CHOOSE(CONTROL!$C$28, 0.0211, 0)</f>
        <v>58.096599999999995</v>
      </c>
      <c r="D978" s="4">
        <f>89.3093 * CHOOSE(CONTROL!$C$9, $C$13, 100%, $E$13) + CHOOSE(CONTROL!$C$28, 0.0021, 0)</f>
        <v>89.311399999999992</v>
      </c>
      <c r="E978" s="4">
        <f>419.501104119495 * CHOOSE(CONTROL!$C$9, $C$13, 100%, $E$13) + CHOOSE(CONTROL!$C$28, 0.0021, 0)</f>
        <v>419.50320411949497</v>
      </c>
    </row>
    <row r="979" spans="1:5" ht="15">
      <c r="A979" s="13">
        <v>71314</v>
      </c>
      <c r="B979" s="4">
        <f>61.951 * CHOOSE(CONTROL!$C$9, $C$13, 100%, $E$13) + CHOOSE(CONTROL!$C$28, 0.0211, 0)</f>
        <v>61.972099999999998</v>
      </c>
      <c r="C979" s="4">
        <f>61.5877 * CHOOSE(CONTROL!$C$9, $C$13, 100%, $E$13) + CHOOSE(CONTROL!$C$28, 0.0211, 0)</f>
        <v>61.608799999999995</v>
      </c>
      <c r="D979" s="4">
        <f>93.9766 * CHOOSE(CONTROL!$C$9, $C$13, 100%, $E$13) + CHOOSE(CONTROL!$C$28, 0.0021, 0)</f>
        <v>93.978700000000003</v>
      </c>
      <c r="E979" s="4">
        <f>445.051526105609 * CHOOSE(CONTROL!$C$9, $C$13, 100%, $E$13) + CHOOSE(CONTROL!$C$28, 0.0021, 0)</f>
        <v>445.053626105609</v>
      </c>
    </row>
    <row r="980" spans="1:5" ht="15">
      <c r="A980" s="13">
        <v>71344</v>
      </c>
      <c r="B980" s="4">
        <f>64.4464 * CHOOSE(CONTROL!$C$9, $C$13, 100%, $E$13) + CHOOSE(CONTROL!$C$28, 0.0211, 0)</f>
        <v>64.467500000000001</v>
      </c>
      <c r="C980" s="4">
        <f>64.0831 * CHOOSE(CONTROL!$C$9, $C$13, 100%, $E$13) + CHOOSE(CONTROL!$C$28, 0.0211, 0)</f>
        <v>64.104200000000006</v>
      </c>
      <c r="D980" s="4">
        <f>96.6651 * CHOOSE(CONTROL!$C$9, $C$13, 100%, $E$13) + CHOOSE(CONTROL!$C$28, 0.0021, 0)</f>
        <v>96.667199999999994</v>
      </c>
      <c r="E980" s="4">
        <f>463.205441430886 * CHOOSE(CONTROL!$C$9, $C$13, 100%, $E$13) + CHOOSE(CONTROL!$C$28, 0.0021, 0)</f>
        <v>463.20754143088601</v>
      </c>
    </row>
    <row r="981" spans="1:5" ht="15">
      <c r="A981" s="13">
        <v>71375</v>
      </c>
      <c r="B981" s="4">
        <f>65.9711 * CHOOSE(CONTROL!$C$9, $C$13, 100%, $E$13) + CHOOSE(CONTROL!$C$28, 0.0415, 0)</f>
        <v>66.012600000000006</v>
      </c>
      <c r="C981" s="4">
        <f>65.6078 * CHOOSE(CONTROL!$C$9, $C$13, 100%, $E$13) + CHOOSE(CONTROL!$C$28, 0.0415, 0)</f>
        <v>65.649299999999997</v>
      </c>
      <c r="D981" s="4">
        <f>95.6028 * CHOOSE(CONTROL!$C$9, $C$13, 100%, $E$13) + CHOOSE(CONTROL!$C$28, 0.0021, 0)</f>
        <v>95.604900000000001</v>
      </c>
      <c r="E981" s="4">
        <f>474.297048606003 * CHOOSE(CONTROL!$C$9, $C$13, 100%, $E$13) + CHOOSE(CONTROL!$C$28, 0.0021, 0)</f>
        <v>474.29914860600297</v>
      </c>
    </row>
    <row r="982" spans="1:5" ht="15">
      <c r="A982" s="13">
        <v>71405</v>
      </c>
      <c r="B982" s="4">
        <f>66.1774 * CHOOSE(CONTROL!$C$9, $C$13, 100%, $E$13) + CHOOSE(CONTROL!$C$28, 0.0415, 0)</f>
        <v>66.218900000000005</v>
      </c>
      <c r="C982" s="4">
        <f>65.8141 * CHOOSE(CONTROL!$C$9, $C$13, 100%, $E$13) + CHOOSE(CONTROL!$C$28, 0.0415, 0)</f>
        <v>65.855599999999995</v>
      </c>
      <c r="D982" s="4">
        <f>96.468 * CHOOSE(CONTROL!$C$9, $C$13, 100%, $E$13) + CHOOSE(CONTROL!$C$28, 0.0021, 0)</f>
        <v>96.470100000000002</v>
      </c>
      <c r="E982" s="4">
        <f>475.797789087912 * CHOOSE(CONTROL!$C$9, $C$13, 100%, $E$13) + CHOOSE(CONTROL!$C$28, 0.0021, 0)</f>
        <v>475.79988908791199</v>
      </c>
    </row>
    <row r="983" spans="1:5" ht="15">
      <c r="A983" s="13">
        <v>71436</v>
      </c>
      <c r="B983" s="4">
        <f>66.1566 * CHOOSE(CONTROL!$C$9, $C$13, 100%, $E$13) + CHOOSE(CONTROL!$C$28, 0.0415, 0)</f>
        <v>66.198099999999997</v>
      </c>
      <c r="C983" s="4">
        <f>65.7933 * CHOOSE(CONTROL!$C$9, $C$13, 100%, $E$13) + CHOOSE(CONTROL!$C$28, 0.0415, 0)</f>
        <v>65.834800000000001</v>
      </c>
      <c r="D983" s="4">
        <f>98.0292 * CHOOSE(CONTROL!$C$9, $C$13, 100%, $E$13) + CHOOSE(CONTROL!$C$28, 0.0021, 0)</f>
        <v>98.031300000000002</v>
      </c>
      <c r="E983" s="4">
        <f>475.646453913266 * CHOOSE(CONTROL!$C$9, $C$13, 100%, $E$13) + CHOOSE(CONTROL!$C$28, 0.0021, 0)</f>
        <v>475.64855391326597</v>
      </c>
    </row>
    <row r="984" spans="1:5" ht="15">
      <c r="A984" s="13">
        <v>71467</v>
      </c>
      <c r="B984" s="4">
        <f>67.722 * CHOOSE(CONTROL!$C$9, $C$13, 100%, $E$13) + CHOOSE(CONTROL!$C$28, 0.0415, 0)</f>
        <v>67.763499999999993</v>
      </c>
      <c r="C984" s="4">
        <f>67.3587 * CHOOSE(CONTROL!$C$9, $C$13, 100%, $E$13) + CHOOSE(CONTROL!$C$28, 0.0415, 0)</f>
        <v>67.400199999999998</v>
      </c>
      <c r="D984" s="4">
        <f>96.9982 * CHOOSE(CONTROL!$C$9, $C$13, 100%, $E$13) + CHOOSE(CONTROL!$C$28, 0.0021, 0)</f>
        <v>97.000299999999996</v>
      </c>
      <c r="E984" s="4">
        <f>487.034425805398 * CHOOSE(CONTROL!$C$9, $C$13, 100%, $E$13) + CHOOSE(CONTROL!$C$28, 0.0021, 0)</f>
        <v>487.03652580539796</v>
      </c>
    </row>
    <row r="985" spans="1:5" ht="15">
      <c r="A985" s="13">
        <v>71497</v>
      </c>
      <c r="B985" s="4">
        <f>65.054 * CHOOSE(CONTROL!$C$9, $C$13, 100%, $E$13) + CHOOSE(CONTROL!$C$28, 0.0415, 0)</f>
        <v>65.095500000000001</v>
      </c>
      <c r="C985" s="4">
        <f>64.6908 * CHOOSE(CONTROL!$C$9, $C$13, 100%, $E$13) + CHOOSE(CONTROL!$C$28, 0.0415, 0)</f>
        <v>64.732299999999995</v>
      </c>
      <c r="D985" s="4">
        <f>96.511 * CHOOSE(CONTROL!$C$9, $C$13, 100%, $E$13) + CHOOSE(CONTROL!$C$28, 0.0021, 0)</f>
        <v>96.513099999999994</v>
      </c>
      <c r="E985" s="4">
        <f>467.625689657013 * CHOOSE(CONTROL!$C$9, $C$13, 100%, $E$13) + CHOOSE(CONTROL!$C$28, 0.0021, 0)</f>
        <v>467.62778965701301</v>
      </c>
    </row>
    <row r="986" spans="1:5" ht="15">
      <c r="A986" s="13">
        <v>71528</v>
      </c>
      <c r="B986" s="4">
        <f>62.9183 * CHOOSE(CONTROL!$C$9, $C$13, 100%, $E$13) + CHOOSE(CONTROL!$C$28, 0.0211, 0)</f>
        <v>62.939399999999999</v>
      </c>
      <c r="C986" s="4">
        <f>62.555 * CHOOSE(CONTROL!$C$9, $C$13, 100%, $E$13) + CHOOSE(CONTROL!$C$28, 0.0211, 0)</f>
        <v>62.576099999999997</v>
      </c>
      <c r="D986" s="4">
        <f>95.2067 * CHOOSE(CONTROL!$C$9, $C$13, 100%, $E$13) + CHOOSE(CONTROL!$C$28, 0.0021, 0)</f>
        <v>95.208799999999997</v>
      </c>
      <c r="E986" s="4">
        <f>452.088611726661 * CHOOSE(CONTROL!$C$9, $C$13, 100%, $E$13) + CHOOSE(CONTROL!$C$28, 0.0021, 0)</f>
        <v>452.09071172666097</v>
      </c>
    </row>
    <row r="987" spans="1:5" ht="15">
      <c r="A987" s="13">
        <v>71558</v>
      </c>
      <c r="B987" s="4">
        <f>61.5427 * CHOOSE(CONTROL!$C$9, $C$13, 100%, $E$13) + CHOOSE(CONTROL!$C$28, 0.0211, 0)</f>
        <v>61.563800000000001</v>
      </c>
      <c r="C987" s="4">
        <f>61.1794 * CHOOSE(CONTROL!$C$9, $C$13, 100%, $E$13) + CHOOSE(CONTROL!$C$28, 0.0211, 0)</f>
        <v>61.200499999999998</v>
      </c>
      <c r="D987" s="4">
        <f>94.7583 * CHOOSE(CONTROL!$C$9, $C$13, 100%, $E$13) + CHOOSE(CONTROL!$C$28, 0.0021, 0)</f>
        <v>94.760400000000004</v>
      </c>
      <c r="E987" s="4">
        <f>442.081573303175 * CHOOSE(CONTROL!$C$9, $C$13, 100%, $E$13) + CHOOSE(CONTROL!$C$28, 0.0021, 0)</f>
        <v>442.08367330317498</v>
      </c>
    </row>
    <row r="988" spans="1:5" ht="15">
      <c r="A988" s="13">
        <v>71589</v>
      </c>
      <c r="B988" s="4">
        <f>60.591 * CHOOSE(CONTROL!$C$9, $C$13, 100%, $E$13) + CHOOSE(CONTROL!$C$28, 0.0211, 0)</f>
        <v>60.612099999999998</v>
      </c>
      <c r="C988" s="4">
        <f>60.2277 * CHOOSE(CONTROL!$C$9, $C$13, 100%, $E$13) + CHOOSE(CONTROL!$C$28, 0.0211, 0)</f>
        <v>60.248799999999996</v>
      </c>
      <c r="D988" s="4">
        <f>91.457 * CHOOSE(CONTROL!$C$9, $C$13, 100%, $E$13) + CHOOSE(CONTROL!$C$28, 0.0021, 0)</f>
        <v>91.459099999999992</v>
      </c>
      <c r="E988" s="4">
        <f>435.157989063108 * CHOOSE(CONTROL!$C$9, $C$13, 100%, $E$13) + CHOOSE(CONTROL!$C$28, 0.0021, 0)</f>
        <v>435.16008906310799</v>
      </c>
    </row>
    <row r="989" spans="1:5" ht="15">
      <c r="A989" s="13">
        <v>71620</v>
      </c>
      <c r="B989" s="4">
        <f>57.9871 * CHOOSE(CONTROL!$C$9, $C$13, 100%, $E$13) + CHOOSE(CONTROL!$C$28, 0.0211, 0)</f>
        <v>58.008199999999995</v>
      </c>
      <c r="C989" s="4">
        <f>57.6238 * CHOOSE(CONTROL!$C$9, $C$13, 100%, $E$13) + CHOOSE(CONTROL!$C$28, 0.0211, 0)</f>
        <v>57.6449</v>
      </c>
      <c r="D989" s="4">
        <f>87.8204 * CHOOSE(CONTROL!$C$9, $C$13, 100%, $E$13) + CHOOSE(CONTROL!$C$28, 0.0021, 0)</f>
        <v>87.822500000000005</v>
      </c>
      <c r="E989" s="4">
        <f>417.031890593253 * CHOOSE(CONTROL!$C$9, $C$13, 100%, $E$13) + CHOOSE(CONTROL!$C$28, 0.0021, 0)</f>
        <v>417.03399059325301</v>
      </c>
    </row>
    <row r="990" spans="1:5" ht="15">
      <c r="A990" s="13">
        <v>71649</v>
      </c>
      <c r="B990" s="4">
        <f>59.3455 * CHOOSE(CONTROL!$C$9, $C$13, 100%, $E$13) + CHOOSE(CONTROL!$C$28, 0.0211, 0)</f>
        <v>59.366599999999998</v>
      </c>
      <c r="C990" s="4">
        <f>58.9823 * CHOOSE(CONTROL!$C$9, $C$13, 100%, $E$13) + CHOOSE(CONTROL!$C$28, 0.0211, 0)</f>
        <v>59.003399999999999</v>
      </c>
      <c r="D990" s="4">
        <f>90.8546 * CHOOSE(CONTROL!$C$9, $C$13, 100%, $E$13) + CHOOSE(CONTROL!$C$28, 0.0021, 0)</f>
        <v>90.856700000000004</v>
      </c>
      <c r="E990" s="4">
        <f>426.933871160851 * CHOOSE(CONTROL!$C$9, $C$13, 100%, $E$13) + CHOOSE(CONTROL!$C$28, 0.0021, 0)</f>
        <v>426.93597116085101</v>
      </c>
    </row>
    <row r="991" spans="1:5" ht="15">
      <c r="A991" s="13">
        <v>71680</v>
      </c>
      <c r="B991" s="4">
        <f>62.913 * CHOOSE(CONTROL!$C$9, $C$13, 100%, $E$13) + CHOOSE(CONTROL!$C$28, 0.0211, 0)</f>
        <v>62.934099999999994</v>
      </c>
      <c r="C991" s="4">
        <f>62.5497 * CHOOSE(CONTROL!$C$9, $C$13, 100%, $E$13) + CHOOSE(CONTROL!$C$28, 0.0211, 0)</f>
        <v>62.570799999999998</v>
      </c>
      <c r="D991" s="4">
        <f>95.6043 * CHOOSE(CONTROL!$C$9, $C$13, 100%, $E$13) + CHOOSE(CONTROL!$C$28, 0.0021, 0)</f>
        <v>95.606399999999994</v>
      </c>
      <c r="E991" s="4">
        <f>452.936998354571 * CHOOSE(CONTROL!$C$9, $C$13, 100%, $E$13) + CHOOSE(CONTROL!$C$28, 0.0021, 0)</f>
        <v>452.939098354571</v>
      </c>
    </row>
    <row r="992" spans="1:5" ht="15">
      <c r="A992" s="13">
        <v>71710</v>
      </c>
      <c r="B992" s="4">
        <f>65.4477 * CHOOSE(CONTROL!$C$9, $C$13, 100%, $E$13) + CHOOSE(CONTROL!$C$28, 0.0211, 0)</f>
        <v>65.468800000000002</v>
      </c>
      <c r="C992" s="4">
        <f>65.0844 * CHOOSE(CONTROL!$C$9, $C$13, 100%, $E$13) + CHOOSE(CONTROL!$C$28, 0.0211, 0)</f>
        <v>65.105500000000006</v>
      </c>
      <c r="D992" s="4">
        <f>98.3403 * CHOOSE(CONTROL!$C$9, $C$13, 100%, $E$13) + CHOOSE(CONTROL!$C$28, 0.0021, 0)</f>
        <v>98.342399999999998</v>
      </c>
      <c r="E992" s="4">
        <f>471.412566762942 * CHOOSE(CONTROL!$C$9, $C$13, 100%, $E$13) + CHOOSE(CONTROL!$C$28, 0.0021, 0)</f>
        <v>471.41466676294198</v>
      </c>
    </row>
    <row r="993" spans="1:5" ht="15">
      <c r="A993" s="13">
        <v>71741</v>
      </c>
      <c r="B993" s="4">
        <f>66.9963 * CHOOSE(CONTROL!$C$9, $C$13, 100%, $E$13) + CHOOSE(CONTROL!$C$28, 0.0415, 0)</f>
        <v>67.037800000000004</v>
      </c>
      <c r="C993" s="4">
        <f>66.633 * CHOOSE(CONTROL!$C$9, $C$13, 100%, $E$13) + CHOOSE(CONTROL!$C$28, 0.0415, 0)</f>
        <v>66.674499999999995</v>
      </c>
      <c r="D993" s="4">
        <f>97.2592 * CHOOSE(CONTROL!$C$9, $C$13, 100%, $E$13) + CHOOSE(CONTROL!$C$28, 0.0021, 0)</f>
        <v>97.261300000000006</v>
      </c>
      <c r="E993" s="4">
        <f>482.700696262881 * CHOOSE(CONTROL!$C$9, $C$13, 100%, $E$13) + CHOOSE(CONTROL!$C$28, 0.0021, 0)</f>
        <v>482.70279626288101</v>
      </c>
    </row>
    <row r="994" spans="1:5" ht="15">
      <c r="A994" s="13">
        <v>71771</v>
      </c>
      <c r="B994" s="4">
        <f>67.2059 * CHOOSE(CONTROL!$C$9, $C$13, 100%, $E$13) + CHOOSE(CONTROL!$C$28, 0.0415, 0)</f>
        <v>67.247399999999999</v>
      </c>
      <c r="C994" s="4">
        <f>66.8426 * CHOOSE(CONTROL!$C$9, $C$13, 100%, $E$13) + CHOOSE(CONTROL!$C$28, 0.0415, 0)</f>
        <v>66.884100000000004</v>
      </c>
      <c r="D994" s="4">
        <f>98.1397 * CHOOSE(CONTROL!$C$9, $C$13, 100%, $E$13) + CHOOSE(CONTROL!$C$28, 0.0021, 0)</f>
        <v>98.141800000000003</v>
      </c>
      <c r="E994" s="4">
        <f>484.228027030922 * CHOOSE(CONTROL!$C$9, $C$13, 100%, $E$13) + CHOOSE(CONTROL!$C$28, 0.0021, 0)</f>
        <v>484.23012703092201</v>
      </c>
    </row>
    <row r="995" spans="1:5" ht="15">
      <c r="A995" s="13">
        <v>71802</v>
      </c>
      <c r="B995" s="4">
        <f>67.1847 * CHOOSE(CONTROL!$C$9, $C$13, 100%, $E$13) + CHOOSE(CONTROL!$C$28, 0.0415, 0)</f>
        <v>67.226200000000006</v>
      </c>
      <c r="C995" s="4">
        <f>66.8214 * CHOOSE(CONTROL!$C$9, $C$13, 100%, $E$13) + CHOOSE(CONTROL!$C$28, 0.0415, 0)</f>
        <v>66.862899999999996</v>
      </c>
      <c r="D995" s="4">
        <f>99.7285 * CHOOSE(CONTROL!$C$9, $C$13, 100%, $E$13) + CHOOSE(CONTROL!$C$28, 0.0021, 0)</f>
        <v>99.730599999999995</v>
      </c>
      <c r="E995" s="4">
        <f>484.074010482884 * CHOOSE(CONTROL!$C$9, $C$13, 100%, $E$13) + CHOOSE(CONTROL!$C$28, 0.0021, 0)</f>
        <v>484.07611048288396</v>
      </c>
    </row>
    <row r="996" spans="1:5" ht="15">
      <c r="A996" s="13">
        <v>71833</v>
      </c>
      <c r="B996" s="4">
        <f>68.7748 * CHOOSE(CONTROL!$C$9, $C$13, 100%, $E$13) + CHOOSE(CONTROL!$C$28, 0.0415, 0)</f>
        <v>68.816299999999998</v>
      </c>
      <c r="C996" s="4">
        <f>68.4115 * CHOOSE(CONTROL!$C$9, $C$13, 100%, $E$13) + CHOOSE(CONTROL!$C$28, 0.0415, 0)</f>
        <v>68.453000000000003</v>
      </c>
      <c r="D996" s="4">
        <f>98.6792 * CHOOSE(CONTROL!$C$9, $C$13, 100%, $E$13) + CHOOSE(CONTROL!$C$28, 0.0021, 0)</f>
        <v>98.681299999999993</v>
      </c>
      <c r="E996" s="4">
        <f>495.663755722731 * CHOOSE(CONTROL!$C$9, $C$13, 100%, $E$13) + CHOOSE(CONTROL!$C$28, 0.0021, 0)</f>
        <v>495.66585572273101</v>
      </c>
    </row>
    <row r="997" spans="1:5" ht="15">
      <c r="A997" s="13">
        <v>71863</v>
      </c>
      <c r="B997" s="4">
        <f>66.0648 * CHOOSE(CONTROL!$C$9, $C$13, 100%, $E$13) + CHOOSE(CONTROL!$C$28, 0.0415, 0)</f>
        <v>66.106300000000005</v>
      </c>
      <c r="C997" s="4">
        <f>65.7016 * CHOOSE(CONTROL!$C$9, $C$13, 100%, $E$13) + CHOOSE(CONTROL!$C$28, 0.0415, 0)</f>
        <v>65.743099999999998</v>
      </c>
      <c r="D997" s="4">
        <f>98.1835 * CHOOSE(CONTROL!$C$9, $C$13, 100%, $E$13) + CHOOSE(CONTROL!$C$28, 0.0021, 0)</f>
        <v>98.185599999999994</v>
      </c>
      <c r="E997" s="4">
        <f>475.91113343688 * CHOOSE(CONTROL!$C$9, $C$13, 100%, $E$13) + CHOOSE(CONTROL!$C$28, 0.0021, 0)</f>
        <v>475.91323343687998</v>
      </c>
    </row>
    <row r="998" spans="1:5" ht="15">
      <c r="A998" s="13">
        <v>71894</v>
      </c>
      <c r="B998" s="4">
        <f>63.8955 * CHOOSE(CONTROL!$C$9, $C$13, 100%, $E$13) + CHOOSE(CONTROL!$C$28, 0.0211, 0)</f>
        <v>63.916599999999995</v>
      </c>
      <c r="C998" s="4">
        <f>63.5322 * CHOOSE(CONTROL!$C$9, $C$13, 100%, $E$13) + CHOOSE(CONTROL!$C$28, 0.0211, 0)</f>
        <v>63.5533</v>
      </c>
      <c r="D998" s="4">
        <f>96.8562 * CHOOSE(CONTROL!$C$9, $C$13, 100%, $E$13) + CHOOSE(CONTROL!$C$28, 0.0021, 0)</f>
        <v>96.8583</v>
      </c>
      <c r="E998" s="4">
        <f>460.09876783833 * CHOOSE(CONTROL!$C$9, $C$13, 100%, $E$13) + CHOOSE(CONTROL!$C$28, 0.0021, 0)</f>
        <v>460.10086783832998</v>
      </c>
    </row>
    <row r="999" spans="1:5" ht="15">
      <c r="A999" s="13">
        <v>71924</v>
      </c>
      <c r="B999" s="4">
        <f>62.4983 * CHOOSE(CONTROL!$C$9, $C$13, 100%, $E$13) + CHOOSE(CONTROL!$C$28, 0.0211, 0)</f>
        <v>62.519399999999997</v>
      </c>
      <c r="C999" s="4">
        <f>62.135 * CHOOSE(CONTROL!$C$9, $C$13, 100%, $E$13) + CHOOSE(CONTROL!$C$28, 0.0211, 0)</f>
        <v>62.156099999999995</v>
      </c>
      <c r="D999" s="4">
        <f>96.3998 * CHOOSE(CONTROL!$C$9, $C$13, 100%, $E$13) + CHOOSE(CONTROL!$C$28, 0.0021, 0)</f>
        <v>96.401899999999998</v>
      </c>
      <c r="E999" s="4">
        <f>449.914423599328 * CHOOSE(CONTROL!$C$9, $C$13, 100%, $E$13) + CHOOSE(CONTROL!$C$28, 0.0021, 0)</f>
        <v>449.916523599328</v>
      </c>
    </row>
    <row r="1000" spans="1:5" ht="15">
      <c r="A1000" s="13">
        <v>71955</v>
      </c>
      <c r="B1000" s="4">
        <f>61.5316 * CHOOSE(CONTROL!$C$9, $C$13, 100%, $E$13) + CHOOSE(CONTROL!$C$28, 0.0211, 0)</f>
        <v>61.552699999999994</v>
      </c>
      <c r="C1000" s="4">
        <f>61.1683 * CHOOSE(CONTROL!$C$9, $C$13, 100%, $E$13) + CHOOSE(CONTROL!$C$28, 0.0211, 0)</f>
        <v>61.189399999999999</v>
      </c>
      <c r="D1000" s="4">
        <f>93.0402 * CHOOSE(CONTROL!$C$9, $C$13, 100%, $E$13) + CHOOSE(CONTROL!$C$28, 0.0021, 0)</f>
        <v>93.042299999999997</v>
      </c>
      <c r="E1000" s="4">
        <f>442.868166526598 * CHOOSE(CONTROL!$C$9, $C$13, 100%, $E$13) + CHOOSE(CONTROL!$C$28, 0.0021, 0)</f>
        <v>442.87026652659796</v>
      </c>
    </row>
    <row r="1001" spans="1:5" ht="15">
      <c r="A1001" s="13">
        <v>71986</v>
      </c>
      <c r="B1001" s="4">
        <f>58.8867 * CHOOSE(CONTROL!$C$9, $C$13, 100%, $E$13) + CHOOSE(CONTROL!$C$28, 0.0211, 0)</f>
        <v>58.907799999999995</v>
      </c>
      <c r="C1001" s="4">
        <f>58.5235 * CHOOSE(CONTROL!$C$9, $C$13, 100%, $E$13) + CHOOSE(CONTROL!$C$28, 0.0211, 0)</f>
        <v>58.544599999999996</v>
      </c>
      <c r="D1001" s="4">
        <f>89.3393 * CHOOSE(CONTROL!$C$9, $C$13, 100%, $E$13) + CHOOSE(CONTROL!$C$28, 0.0021, 0)</f>
        <v>89.341399999999993</v>
      </c>
      <c r="E1001" s="4">
        <f>424.420907835775 * CHOOSE(CONTROL!$C$9, $C$13, 100%, $E$13) + CHOOSE(CONTROL!$C$28, 0.0021, 0)</f>
        <v>424.42300783577497</v>
      </c>
    </row>
    <row r="1002" spans="1:5" ht="15">
      <c r="A1002" s="13">
        <v>72014</v>
      </c>
      <c r="B1002" s="4">
        <f>60.2666 * CHOOSE(CONTROL!$C$9, $C$13, 100%, $E$13) + CHOOSE(CONTROL!$C$28, 0.0211, 0)</f>
        <v>60.287699999999994</v>
      </c>
      <c r="C1002" s="4">
        <f>59.9033 * CHOOSE(CONTROL!$C$9, $C$13, 100%, $E$13) + CHOOSE(CONTROL!$C$28, 0.0211, 0)</f>
        <v>59.924399999999999</v>
      </c>
      <c r="D1002" s="4">
        <f>92.4271 * CHOOSE(CONTROL!$C$9, $C$13, 100%, $E$13) + CHOOSE(CONTROL!$C$28, 0.0021, 0)</f>
        <v>92.429199999999994</v>
      </c>
      <c r="E1002" s="4">
        <f>434.498332792159 * CHOOSE(CONTROL!$C$9, $C$13, 100%, $E$13) + CHOOSE(CONTROL!$C$28, 0.0021, 0)</f>
        <v>434.50043279215896</v>
      </c>
    </row>
    <row r="1003" spans="1:5" ht="15">
      <c r="A1003" s="13">
        <v>72045</v>
      </c>
      <c r="B1003" s="4">
        <f>63.8901 * CHOOSE(CONTROL!$C$9, $C$13, 100%, $E$13) + CHOOSE(CONTROL!$C$28, 0.0211, 0)</f>
        <v>63.911199999999994</v>
      </c>
      <c r="C1003" s="4">
        <f>63.5268 * CHOOSE(CONTROL!$C$9, $C$13, 100%, $E$13) + CHOOSE(CONTROL!$C$28, 0.0211, 0)</f>
        <v>63.547899999999998</v>
      </c>
      <c r="D1003" s="4">
        <f>97.2608 * CHOOSE(CONTROL!$C$9, $C$13, 100%, $E$13) + CHOOSE(CONTROL!$C$28, 0.0021, 0)</f>
        <v>97.262900000000002</v>
      </c>
      <c r="E1003" s="4">
        <f>460.96218627451 * CHOOSE(CONTROL!$C$9, $C$13, 100%, $E$13) + CHOOSE(CONTROL!$C$28, 0.0021, 0)</f>
        <v>460.96428627450996</v>
      </c>
    </row>
    <row r="1004" spans="1:5" ht="15">
      <c r="A1004" s="13">
        <v>72075</v>
      </c>
      <c r="B1004" s="4">
        <f>66.4647 * CHOOSE(CONTROL!$C$9, $C$13, 100%, $E$13) + CHOOSE(CONTROL!$C$28, 0.0211, 0)</f>
        <v>66.485799999999998</v>
      </c>
      <c r="C1004" s="4">
        <f>66.1014 * CHOOSE(CONTROL!$C$9, $C$13, 100%, $E$13) + CHOOSE(CONTROL!$C$28, 0.0211, 0)</f>
        <v>66.122500000000002</v>
      </c>
      <c r="D1004" s="4">
        <f>100.0451 * CHOOSE(CONTROL!$C$9, $C$13, 100%, $E$13) + CHOOSE(CONTROL!$C$28, 0.0021, 0)</f>
        <v>100.0472</v>
      </c>
      <c r="E1004" s="4">
        <f>479.765106850938 * CHOOSE(CONTROL!$C$9, $C$13, 100%, $E$13) + CHOOSE(CONTROL!$C$28, 0.0021, 0)</f>
        <v>479.76720685093801</v>
      </c>
    </row>
    <row r="1005" spans="1:5" ht="15">
      <c r="A1005" s="13">
        <v>72106</v>
      </c>
      <c r="B1005" s="4">
        <f>68.0377 * CHOOSE(CONTROL!$C$9, $C$13, 100%, $E$13) + CHOOSE(CONTROL!$C$28, 0.0415, 0)</f>
        <v>68.0792</v>
      </c>
      <c r="C1005" s="4">
        <f>67.6744 * CHOOSE(CONTROL!$C$9, $C$13, 100%, $E$13) + CHOOSE(CONTROL!$C$28, 0.0415, 0)</f>
        <v>67.715900000000005</v>
      </c>
      <c r="D1005" s="4">
        <f>98.9449 * CHOOSE(CONTROL!$C$9, $C$13, 100%, $E$13) + CHOOSE(CONTROL!$C$28, 0.0021, 0)</f>
        <v>98.947000000000003</v>
      </c>
      <c r="E1005" s="4">
        <f>491.253240680024 * CHOOSE(CONTROL!$C$9, $C$13, 100%, $E$13) + CHOOSE(CONTROL!$C$28, 0.0021, 0)</f>
        <v>491.25534068002401</v>
      </c>
    </row>
    <row r="1006" spans="1:5" ht="15">
      <c r="A1006" s="13">
        <v>72136</v>
      </c>
      <c r="B1006" s="4">
        <f>68.2505 * CHOOSE(CONTROL!$C$9, $C$13, 100%, $E$13) + CHOOSE(CONTROL!$C$28, 0.0415, 0)</f>
        <v>68.292000000000002</v>
      </c>
      <c r="C1006" s="4">
        <f>67.8872 * CHOOSE(CONTROL!$C$9, $C$13, 100%, $E$13) + CHOOSE(CONTROL!$C$28, 0.0415, 0)</f>
        <v>67.928700000000006</v>
      </c>
      <c r="D1006" s="4">
        <f>99.8409 * CHOOSE(CONTROL!$C$9, $C$13, 100%, $E$13) + CHOOSE(CONTROL!$C$28, 0.0021, 0)</f>
        <v>99.843000000000004</v>
      </c>
      <c r="E1006" s="4">
        <f>492.807632863834 * CHOOSE(CONTROL!$C$9, $C$13, 100%, $E$13) + CHOOSE(CONTROL!$C$28, 0.0021, 0)</f>
        <v>492.80973286383397</v>
      </c>
    </row>
    <row r="1007" spans="1:5" ht="15">
      <c r="A1007" s="13">
        <v>72167</v>
      </c>
      <c r="B1007" s="4">
        <f>68.229 * CHOOSE(CONTROL!$C$9, $C$13, 100%, $E$13) + CHOOSE(CONTROL!$C$28, 0.0415, 0)</f>
        <v>68.270499999999998</v>
      </c>
      <c r="C1007" s="4">
        <f>67.8658 * CHOOSE(CONTROL!$C$9, $C$13, 100%, $E$13) + CHOOSE(CONTROL!$C$28, 0.0415, 0)</f>
        <v>67.907299999999992</v>
      </c>
      <c r="D1007" s="4">
        <f>101.4578 * CHOOSE(CONTROL!$C$9, $C$13, 100%, $E$13) + CHOOSE(CONTROL!$C$28, 0.0021, 0)</f>
        <v>101.4599</v>
      </c>
      <c r="E1007" s="4">
        <f>492.650887433534 * CHOOSE(CONTROL!$C$9, $C$13, 100%, $E$13) + CHOOSE(CONTROL!$C$28, 0.0021, 0)</f>
        <v>492.65298743353401</v>
      </c>
    </row>
    <row r="1008" spans="1:5" ht="15">
      <c r="A1008" s="13">
        <v>72198</v>
      </c>
      <c r="B1008" s="4">
        <f>69.8441 * CHOOSE(CONTROL!$C$9, $C$13, 100%, $E$13) + CHOOSE(CONTROL!$C$28, 0.0415, 0)</f>
        <v>69.885599999999997</v>
      </c>
      <c r="C1008" s="4">
        <f>69.4808 * CHOOSE(CONTROL!$C$9, $C$13, 100%, $E$13) + CHOOSE(CONTROL!$C$28, 0.0415, 0)</f>
        <v>69.522300000000001</v>
      </c>
      <c r="D1008" s="4">
        <f>100.39 * CHOOSE(CONTROL!$C$9, $C$13, 100%, $E$13) + CHOOSE(CONTROL!$C$28, 0.0021, 0)</f>
        <v>100.3921</v>
      </c>
      <c r="E1008" s="4">
        <f>504.445981063624 * CHOOSE(CONTROL!$C$9, $C$13, 100%, $E$13) + CHOOSE(CONTROL!$C$28, 0.0021, 0)</f>
        <v>504.44808106362399</v>
      </c>
    </row>
    <row r="1009" spans="1:5" ht="15">
      <c r="A1009" s="13">
        <v>72228</v>
      </c>
      <c r="B1009" s="4">
        <f>67.0915 * CHOOSE(CONTROL!$C$9, $C$13, 100%, $E$13) + CHOOSE(CONTROL!$C$28, 0.0415, 0)</f>
        <v>67.132999999999996</v>
      </c>
      <c r="C1009" s="4">
        <f>66.7283 * CHOOSE(CONTROL!$C$9, $C$13, 100%, $E$13) + CHOOSE(CONTROL!$C$28, 0.0415, 0)</f>
        <v>66.769800000000004</v>
      </c>
      <c r="D1009" s="4">
        <f>99.8855 * CHOOSE(CONTROL!$C$9, $C$13, 100%, $E$13) + CHOOSE(CONTROL!$C$28, 0.0021, 0)</f>
        <v>99.887599999999992</v>
      </c>
      <c r="E1009" s="4">
        <f>484.343379627623 * CHOOSE(CONTROL!$C$9, $C$13, 100%, $E$13) + CHOOSE(CONTROL!$C$28, 0.0021, 0)</f>
        <v>484.34547962762298</v>
      </c>
    </row>
    <row r="1010" spans="1:5" ht="15">
      <c r="A1010" s="13">
        <v>72259</v>
      </c>
      <c r="B1010" s="4">
        <f>64.8881 * CHOOSE(CONTROL!$C$9, $C$13, 100%, $E$13) + CHOOSE(CONTROL!$C$28, 0.0211, 0)</f>
        <v>64.909199999999998</v>
      </c>
      <c r="C1010" s="4">
        <f>64.5248 * CHOOSE(CONTROL!$C$9, $C$13, 100%, $E$13) + CHOOSE(CONTROL!$C$28, 0.0211, 0)</f>
        <v>64.545900000000003</v>
      </c>
      <c r="D1010" s="4">
        <f>98.5347 * CHOOSE(CONTROL!$C$9, $C$13, 100%, $E$13) + CHOOSE(CONTROL!$C$28, 0.0021, 0)</f>
        <v>98.536799999999999</v>
      </c>
      <c r="E1010" s="4">
        <f>468.250848783469 * CHOOSE(CONTROL!$C$9, $C$13, 100%, $E$13) + CHOOSE(CONTROL!$C$28, 0.0021, 0)</f>
        <v>468.25294878346898</v>
      </c>
    </row>
    <row r="1011" spans="1:5" ht="15">
      <c r="A1011" s="13">
        <v>72289</v>
      </c>
      <c r="B1011" s="4">
        <f>63.4689 * CHOOSE(CONTROL!$C$9, $C$13, 100%, $E$13) + CHOOSE(CONTROL!$C$28, 0.0211, 0)</f>
        <v>63.489999999999995</v>
      </c>
      <c r="C1011" s="4">
        <f>63.1056 * CHOOSE(CONTROL!$C$9, $C$13, 100%, $E$13) + CHOOSE(CONTROL!$C$28, 0.0211, 0)</f>
        <v>63.1267</v>
      </c>
      <c r="D1011" s="4">
        <f>98.0703 * CHOOSE(CONTROL!$C$9, $C$13, 100%, $E$13) + CHOOSE(CONTROL!$C$28, 0.0021, 0)</f>
        <v>98.072400000000002</v>
      </c>
      <c r="E1011" s="4">
        <f>457.886057204868 * CHOOSE(CONTROL!$C$9, $C$13, 100%, $E$13) + CHOOSE(CONTROL!$C$28, 0.0021, 0)</f>
        <v>457.88815720486798</v>
      </c>
    </row>
    <row r="1012" spans="1:5" ht="15">
      <c r="A1012" s="13">
        <v>72320</v>
      </c>
      <c r="B1012" s="4">
        <f>62.487 * CHOOSE(CONTROL!$C$9, $C$13, 100%, $E$13) + CHOOSE(CONTROL!$C$28, 0.0211, 0)</f>
        <v>62.508099999999999</v>
      </c>
      <c r="C1012" s="4">
        <f>62.1237 * CHOOSE(CONTROL!$C$9, $C$13, 100%, $E$13) + CHOOSE(CONTROL!$C$28, 0.0211, 0)</f>
        <v>62.144799999999996</v>
      </c>
      <c r="D1012" s="4">
        <f>94.6513 * CHOOSE(CONTROL!$C$9, $C$13, 100%, $E$13) + CHOOSE(CONTROL!$C$28, 0.0021, 0)</f>
        <v>94.653400000000005</v>
      </c>
      <c r="E1012" s="4">
        <f>450.714953768634 * CHOOSE(CONTROL!$C$9, $C$13, 100%, $E$13) + CHOOSE(CONTROL!$C$28, 0.0021, 0)</f>
        <v>450.717053768634</v>
      </c>
    </row>
    <row r="1013" spans="1:5" ht="15">
      <c r="A1013" s="13">
        <v>72351</v>
      </c>
      <c r="B1013" s="4">
        <f>59.8006 * CHOOSE(CONTROL!$C$9, $C$13, 100%, $E$13) + CHOOSE(CONTROL!$C$28, 0.0211, 0)</f>
        <v>59.8217</v>
      </c>
      <c r="C1013" s="4">
        <f>59.4373 * CHOOSE(CONTROL!$C$9, $C$13, 100%, $E$13) + CHOOSE(CONTROL!$C$28, 0.0211, 0)</f>
        <v>59.458399999999997</v>
      </c>
      <c r="D1013" s="4">
        <f>90.8851 * CHOOSE(CONTROL!$C$9, $C$13, 100%, $E$13) + CHOOSE(CONTROL!$C$28, 0.0021, 0)</f>
        <v>90.887199999999993</v>
      </c>
      <c r="E1013" s="4">
        <f>431.940844504466 * CHOOSE(CONTROL!$C$9, $C$13, 100%, $E$13) + CHOOSE(CONTROL!$C$28, 0.0021, 0)</f>
        <v>431.94294450446597</v>
      </c>
    </row>
    <row r="1014" spans="1:5" ht="15">
      <c r="A1014" s="13">
        <v>72379</v>
      </c>
      <c r="B1014" s="4">
        <f>61.2021 * CHOOSE(CONTROL!$C$9, $C$13, 100%, $E$13) + CHOOSE(CONTROL!$C$28, 0.0211, 0)</f>
        <v>61.223199999999999</v>
      </c>
      <c r="C1014" s="4">
        <f>60.8388 * CHOOSE(CONTROL!$C$9, $C$13, 100%, $E$13) + CHOOSE(CONTROL!$C$28, 0.0211, 0)</f>
        <v>60.859899999999996</v>
      </c>
      <c r="D1014" s="4">
        <f>94.0274 * CHOOSE(CONTROL!$C$9, $C$13, 100%, $E$13) + CHOOSE(CONTROL!$C$28, 0.0021, 0)</f>
        <v>94.029499999999999</v>
      </c>
      <c r="E1014" s="4">
        <f>442.196822392754 * CHOOSE(CONTROL!$C$9, $C$13, 100%, $E$13) + CHOOSE(CONTROL!$C$28, 0.0021, 0)</f>
        <v>442.19892239275396</v>
      </c>
    </row>
    <row r="1015" spans="1:5" ht="15">
      <c r="A1015" s="13">
        <v>72410</v>
      </c>
      <c r="B1015" s="4">
        <f>64.8826 * CHOOSE(CONTROL!$C$9, $C$13, 100%, $E$13) + CHOOSE(CONTROL!$C$28, 0.0211, 0)</f>
        <v>64.903700000000001</v>
      </c>
      <c r="C1015" s="4">
        <f>64.5193 * CHOOSE(CONTROL!$C$9, $C$13, 100%, $E$13) + CHOOSE(CONTROL!$C$28, 0.0211, 0)</f>
        <v>64.540400000000005</v>
      </c>
      <c r="D1015" s="4">
        <f>98.9465 * CHOOSE(CONTROL!$C$9, $C$13, 100%, $E$13) + CHOOSE(CONTROL!$C$28, 0.0021, 0)</f>
        <v>98.948599999999999</v>
      </c>
      <c r="E1015" s="4">
        <f>469.129565363164 * CHOOSE(CONTROL!$C$9, $C$13, 100%, $E$13) + CHOOSE(CONTROL!$C$28, 0.0021, 0)</f>
        <v>469.13166536316396</v>
      </c>
    </row>
    <row r="1016" spans="1:5" ht="15">
      <c r="A1016" s="13">
        <v>72440</v>
      </c>
      <c r="B1016" s="4">
        <f>67.4977 * CHOOSE(CONTROL!$C$9, $C$13, 100%, $E$13) + CHOOSE(CONTROL!$C$28, 0.0211, 0)</f>
        <v>67.518799999999999</v>
      </c>
      <c r="C1016" s="4">
        <f>67.1344 * CHOOSE(CONTROL!$C$9, $C$13, 100%, $E$13) + CHOOSE(CONTROL!$C$28, 0.0211, 0)</f>
        <v>67.155500000000004</v>
      </c>
      <c r="D1016" s="4">
        <f>101.78 * CHOOSE(CONTROL!$C$9, $C$13, 100%, $E$13) + CHOOSE(CONTROL!$C$28, 0.0021, 0)</f>
        <v>101.7821</v>
      </c>
      <c r="E1016" s="4">
        <f>488.265638169632 * CHOOSE(CONTROL!$C$9, $C$13, 100%, $E$13) + CHOOSE(CONTROL!$C$28, 0.0021, 0)</f>
        <v>488.26773816963197</v>
      </c>
    </row>
    <row r="1017" spans="1:5" ht="15">
      <c r="A1017" s="13">
        <v>72471</v>
      </c>
      <c r="B1017" s="4">
        <f>69.0954 * CHOOSE(CONTROL!$C$9, $C$13, 100%, $E$13) + CHOOSE(CONTROL!$C$28, 0.0415, 0)</f>
        <v>69.136899999999997</v>
      </c>
      <c r="C1017" s="4">
        <f>68.7321 * CHOOSE(CONTROL!$C$9, $C$13, 100%, $E$13) + CHOOSE(CONTROL!$C$28, 0.0415, 0)</f>
        <v>68.773600000000002</v>
      </c>
      <c r="D1017" s="4">
        <f>100.6604 * CHOOSE(CONTROL!$C$9, $C$13, 100%, $E$13) + CHOOSE(CONTROL!$C$28, 0.0021, 0)</f>
        <v>100.66249999999999</v>
      </c>
      <c r="E1017" s="4">
        <f>499.957320026728 * CHOOSE(CONTROL!$C$9, $C$13, 100%, $E$13) + CHOOSE(CONTROL!$C$28, 0.0021, 0)</f>
        <v>499.95942002672797</v>
      </c>
    </row>
    <row r="1018" spans="1:5" ht="15">
      <c r="A1018" s="13">
        <v>72501</v>
      </c>
      <c r="B1018" s="4">
        <f>69.3116 * CHOOSE(CONTROL!$C$9, $C$13, 100%, $E$13) + CHOOSE(CONTROL!$C$28, 0.0415, 0)</f>
        <v>69.353099999999998</v>
      </c>
      <c r="C1018" s="4">
        <f>68.9483 * CHOOSE(CONTROL!$C$9, $C$13, 100%, $E$13) + CHOOSE(CONTROL!$C$28, 0.0415, 0)</f>
        <v>68.989800000000002</v>
      </c>
      <c r="D1018" s="4">
        <f>101.5722 * CHOOSE(CONTROL!$C$9, $C$13, 100%, $E$13) + CHOOSE(CONTROL!$C$28, 0.0021, 0)</f>
        <v>101.57429999999999</v>
      </c>
      <c r="E1018" s="4">
        <f>501.539253103469 * CHOOSE(CONTROL!$C$9, $C$13, 100%, $E$13) + CHOOSE(CONTROL!$C$28, 0.0021, 0)</f>
        <v>501.54135310346896</v>
      </c>
    </row>
    <row r="1019" spans="1:5" ht="15">
      <c r="A1019" s="13">
        <v>72532</v>
      </c>
      <c r="B1019" s="4">
        <f>69.2898 * CHOOSE(CONTROL!$C$9, $C$13, 100%, $E$13) + CHOOSE(CONTROL!$C$28, 0.0415, 0)</f>
        <v>69.331299999999999</v>
      </c>
      <c r="C1019" s="4">
        <f>68.9265 * CHOOSE(CONTROL!$C$9, $C$13, 100%, $E$13) + CHOOSE(CONTROL!$C$28, 0.0415, 0)</f>
        <v>68.968000000000004</v>
      </c>
      <c r="D1019" s="4">
        <f>103.2176 * CHOOSE(CONTROL!$C$9, $C$13, 100%, $E$13) + CHOOSE(CONTROL!$C$28, 0.0021, 0)</f>
        <v>103.2197</v>
      </c>
      <c r="E1019" s="4">
        <f>501.379730440269 * CHOOSE(CONTROL!$C$9, $C$13, 100%, $E$13) + CHOOSE(CONTROL!$C$28, 0.0021, 0)</f>
        <v>501.38183044026897</v>
      </c>
    </row>
    <row r="1020" spans="1:5" ht="15">
      <c r="A1020" s="13">
        <v>72563</v>
      </c>
      <c r="B1020" s="4">
        <f>70.9302 * CHOOSE(CONTROL!$C$9, $C$13, 100%, $E$13) + CHOOSE(CONTROL!$C$28, 0.0415, 0)</f>
        <v>70.971699999999998</v>
      </c>
      <c r="C1020" s="4">
        <f>70.5669 * CHOOSE(CONTROL!$C$9, $C$13, 100%, $E$13) + CHOOSE(CONTROL!$C$28, 0.0415, 0)</f>
        <v>70.608400000000003</v>
      </c>
      <c r="D1020" s="4">
        <f>102.131 * CHOOSE(CONTROL!$C$9, $C$13, 100%, $E$13) + CHOOSE(CONTROL!$C$28, 0.0021, 0)</f>
        <v>102.1331</v>
      </c>
      <c r="E1020" s="4">
        <f>513.383810846133 * CHOOSE(CONTROL!$C$9, $C$13, 100%, $E$13) + CHOOSE(CONTROL!$C$28, 0.0021, 0)</f>
        <v>513.38591084613302</v>
      </c>
    </row>
    <row r="1021" spans="1:5" ht="15">
      <c r="A1021" s="13">
        <v>72593</v>
      </c>
      <c r="B1021" s="4">
        <f>68.1344 * CHOOSE(CONTROL!$C$9, $C$13, 100%, $E$13) + CHOOSE(CONTROL!$C$28, 0.0415, 0)</f>
        <v>68.175899999999999</v>
      </c>
      <c r="C1021" s="4">
        <f>67.7711 * CHOOSE(CONTROL!$C$9, $C$13, 100%, $E$13) + CHOOSE(CONTROL!$C$28, 0.0415, 0)</f>
        <v>67.812600000000003</v>
      </c>
      <c r="D1021" s="4">
        <f>101.6176 * CHOOSE(CONTROL!$C$9, $C$13, 100%, $E$13) + CHOOSE(CONTROL!$C$28, 0.0021, 0)</f>
        <v>101.61969999999999</v>
      </c>
      <c r="E1021" s="4">
        <f>492.925029290624 * CHOOSE(CONTROL!$C$9, $C$13, 100%, $E$13) + CHOOSE(CONTROL!$C$28, 0.0021, 0)</f>
        <v>492.92712929062401</v>
      </c>
    </row>
    <row r="1022" spans="1:5" ht="15">
      <c r="A1022" s="13">
        <v>72624</v>
      </c>
      <c r="B1022" s="4">
        <f>65.8963 * CHOOSE(CONTROL!$C$9, $C$13, 100%, $E$13) + CHOOSE(CONTROL!$C$28, 0.0211, 0)</f>
        <v>65.917400000000001</v>
      </c>
      <c r="C1022" s="4">
        <f>65.533 * CHOOSE(CONTROL!$C$9, $C$13, 100%, $E$13) + CHOOSE(CONTROL!$C$28, 0.0211, 0)</f>
        <v>65.554100000000005</v>
      </c>
      <c r="D1022" s="4">
        <f>100.2429 * CHOOSE(CONTROL!$C$9, $C$13, 100%, $E$13) + CHOOSE(CONTROL!$C$28, 0.0021, 0)</f>
        <v>100.245</v>
      </c>
      <c r="E1022" s="4">
        <f>476.547369202003 * CHOOSE(CONTROL!$C$9, $C$13, 100%, $E$13) + CHOOSE(CONTROL!$C$28, 0.0021, 0)</f>
        <v>476.54946920200297</v>
      </c>
    </row>
    <row r="1023" spans="1:5" ht="15">
      <c r="A1023" s="13">
        <v>72654</v>
      </c>
      <c r="B1023" s="4">
        <f>64.4548 * CHOOSE(CONTROL!$C$9, $C$13, 100%, $E$13) + CHOOSE(CONTROL!$C$28, 0.0211, 0)</f>
        <v>64.47590000000001</v>
      </c>
      <c r="C1023" s="4">
        <f>64.0915 * CHOOSE(CONTROL!$C$9, $C$13, 100%, $E$13) + CHOOSE(CONTROL!$C$28, 0.0211, 0)</f>
        <v>64.1126</v>
      </c>
      <c r="D1023" s="4">
        <f>99.7703 * CHOOSE(CONTROL!$C$9, $C$13, 100%, $E$13) + CHOOSE(CONTROL!$C$28, 0.0021, 0)</f>
        <v>99.772400000000005</v>
      </c>
      <c r="E1023" s="4">
        <f>465.998933097847 * CHOOSE(CONTROL!$C$9, $C$13, 100%, $E$13) + CHOOSE(CONTROL!$C$28, 0.0021, 0)</f>
        <v>466.00103309784697</v>
      </c>
    </row>
    <row r="1024" spans="1:5" ht="15">
      <c r="A1024" s="13">
        <v>72685</v>
      </c>
      <c r="B1024" s="4">
        <f>63.4575 * CHOOSE(CONTROL!$C$9, $C$13, 100%, $E$13) + CHOOSE(CONTROL!$C$28, 0.0211, 0)</f>
        <v>63.4786</v>
      </c>
      <c r="C1024" s="4">
        <f>63.0942 * CHOOSE(CONTROL!$C$9, $C$13, 100%, $E$13) + CHOOSE(CONTROL!$C$28, 0.0211, 0)</f>
        <v>63.115299999999998</v>
      </c>
      <c r="D1024" s="4">
        <f>96.2909 * CHOOSE(CONTROL!$C$9, $C$13, 100%, $E$13) + CHOOSE(CONTROL!$C$28, 0.0021, 0)</f>
        <v>96.292999999999992</v>
      </c>
      <c r="E1024" s="4">
        <f>458.700771256408 * CHOOSE(CONTROL!$C$9, $C$13, 100%, $E$13) + CHOOSE(CONTROL!$C$28, 0.0021, 0)</f>
        <v>458.702871256408</v>
      </c>
    </row>
    <row r="1025" spans="1:5" ht="15">
      <c r="A1025" s="13">
        <v>72716</v>
      </c>
      <c r="B1025" s="4">
        <f>60.7288 * CHOOSE(CONTROL!$C$9, $C$13, 100%, $E$13) + CHOOSE(CONTROL!$C$28, 0.0211, 0)</f>
        <v>60.749899999999997</v>
      </c>
      <c r="C1025" s="4">
        <f>60.3655 * CHOOSE(CONTROL!$C$9, $C$13, 100%, $E$13) + CHOOSE(CONTROL!$C$28, 0.0211, 0)</f>
        <v>60.386599999999994</v>
      </c>
      <c r="D1025" s="4">
        <f>92.4581 * CHOOSE(CONTROL!$C$9, $C$13, 100%, $E$13) + CHOOSE(CONTROL!$C$28, 0.0021, 0)</f>
        <v>92.4602</v>
      </c>
      <c r="E1025" s="4">
        <f>439.594020244223 * CHOOSE(CONTROL!$C$9, $C$13, 100%, $E$13) + CHOOSE(CONTROL!$C$28, 0.0021, 0)</f>
        <v>439.59612024422296</v>
      </c>
    </row>
    <row r="1026" spans="1:5" ht="15">
      <c r="A1026" s="13">
        <v>72744</v>
      </c>
      <c r="B1026" s="4">
        <f>62.1523 * CHOOSE(CONTROL!$C$9, $C$13, 100%, $E$13) + CHOOSE(CONTROL!$C$28, 0.0211, 0)</f>
        <v>62.173399999999994</v>
      </c>
      <c r="C1026" s="4">
        <f>61.7891 * CHOOSE(CONTROL!$C$9, $C$13, 100%, $E$13) + CHOOSE(CONTROL!$C$28, 0.0211, 0)</f>
        <v>61.810199999999995</v>
      </c>
      <c r="D1026" s="4">
        <f>95.656 * CHOOSE(CONTROL!$C$9, $C$13, 100%, $E$13) + CHOOSE(CONTROL!$C$28, 0.0021, 0)</f>
        <v>95.658100000000005</v>
      </c>
      <c r="E1026" s="4">
        <f>450.031714685045 * CHOOSE(CONTROL!$C$9, $C$13, 100%, $E$13) + CHOOSE(CONTROL!$C$28, 0.0021, 0)</f>
        <v>450.033814685045</v>
      </c>
    </row>
    <row r="1027" spans="1:5" ht="15">
      <c r="A1027" s="13">
        <v>72775</v>
      </c>
      <c r="B1027" s="4">
        <f>65.8907 * CHOOSE(CONTROL!$C$9, $C$13, 100%, $E$13) + CHOOSE(CONTROL!$C$28, 0.0211, 0)</f>
        <v>65.911799999999999</v>
      </c>
      <c r="C1027" s="4">
        <f>65.5274 * CHOOSE(CONTROL!$C$9, $C$13, 100%, $E$13) + CHOOSE(CONTROL!$C$28, 0.0211, 0)</f>
        <v>65.548500000000004</v>
      </c>
      <c r="D1027" s="4">
        <f>100.662 * CHOOSE(CONTROL!$C$9, $C$13, 100%, $E$13) + CHOOSE(CONTROL!$C$28, 0.0021, 0)</f>
        <v>100.6641</v>
      </c>
      <c r="E1027" s="4">
        <f>477.441654979414 * CHOOSE(CONTROL!$C$9, $C$13, 100%, $E$13) + CHOOSE(CONTROL!$C$28, 0.0021, 0)</f>
        <v>477.443754979414</v>
      </c>
    </row>
    <row r="1028" spans="1:5" ht="15">
      <c r="A1028" s="13">
        <v>72805</v>
      </c>
      <c r="B1028" s="4">
        <f>68.5469 * CHOOSE(CONTROL!$C$9, $C$13, 100%, $E$13) + CHOOSE(CONTROL!$C$28, 0.0211, 0)</f>
        <v>68.567999999999998</v>
      </c>
      <c r="C1028" s="4">
        <f>68.1836 * CHOOSE(CONTROL!$C$9, $C$13, 100%, $E$13) + CHOOSE(CONTROL!$C$28, 0.0211, 0)</f>
        <v>68.204700000000003</v>
      </c>
      <c r="D1028" s="4">
        <f>103.5456 * CHOOSE(CONTROL!$C$9, $C$13, 100%, $E$13) + CHOOSE(CONTROL!$C$28, 0.0021, 0)</f>
        <v>103.54769999999999</v>
      </c>
      <c r="E1028" s="4">
        <f>496.916782844046 * CHOOSE(CONTROL!$C$9, $C$13, 100%, $E$13) + CHOOSE(CONTROL!$C$28, 0.0021, 0)</f>
        <v>496.91888284404598</v>
      </c>
    </row>
    <row r="1029" spans="1:5" ht="15">
      <c r="A1029" s="13">
        <v>72836</v>
      </c>
      <c r="B1029" s="4">
        <f>70.1698 * CHOOSE(CONTROL!$C$9, $C$13, 100%, $E$13) + CHOOSE(CONTROL!$C$28, 0.0415, 0)</f>
        <v>70.211299999999994</v>
      </c>
      <c r="C1029" s="4">
        <f>69.8065 * CHOOSE(CONTROL!$C$9, $C$13, 100%, $E$13) + CHOOSE(CONTROL!$C$28, 0.0415, 0)</f>
        <v>69.847999999999999</v>
      </c>
      <c r="D1029" s="4">
        <f>102.4061 * CHOOSE(CONTROL!$C$9, $C$13, 100%, $E$13) + CHOOSE(CONTROL!$C$28, 0.0021, 0)</f>
        <v>102.40819999999999</v>
      </c>
      <c r="E1029" s="4">
        <f>508.815619215664 * CHOOSE(CONTROL!$C$9, $C$13, 100%, $E$13) + CHOOSE(CONTROL!$C$28, 0.0021, 0)</f>
        <v>508.817719215664</v>
      </c>
    </row>
    <row r="1030" spans="1:5" ht="15">
      <c r="A1030" s="13">
        <v>72866</v>
      </c>
      <c r="B1030" s="4">
        <f>70.3893 * CHOOSE(CONTROL!$C$9, $C$13, 100%, $E$13) + CHOOSE(CONTROL!$C$28, 0.0415, 0)</f>
        <v>70.430800000000005</v>
      </c>
      <c r="C1030" s="4">
        <f>70.0261 * CHOOSE(CONTROL!$C$9, $C$13, 100%, $E$13) + CHOOSE(CONTROL!$C$28, 0.0415, 0)</f>
        <v>70.067599999999999</v>
      </c>
      <c r="D1030" s="4">
        <f>103.3341 * CHOOSE(CONTROL!$C$9, $C$13, 100%, $E$13) + CHOOSE(CONTROL!$C$28, 0.0021, 0)</f>
        <v>103.33620000000001</v>
      </c>
      <c r="E1030" s="4">
        <f>510.42558115793 * CHOOSE(CONTROL!$C$9, $C$13, 100%, $E$13) + CHOOSE(CONTROL!$C$28, 0.0021, 0)</f>
        <v>510.42768115793001</v>
      </c>
    </row>
    <row r="1031" spans="1:5" ht="15">
      <c r="A1031" s="13">
        <v>72897</v>
      </c>
      <c r="B1031" s="4">
        <f>70.3672 * CHOOSE(CONTROL!$C$9, $C$13, 100%, $E$13) + CHOOSE(CONTROL!$C$28, 0.0415, 0)</f>
        <v>70.408699999999996</v>
      </c>
      <c r="C1031" s="4">
        <f>70.0039 * CHOOSE(CONTROL!$C$9, $C$13, 100%, $E$13) + CHOOSE(CONTROL!$C$28, 0.0415, 0)</f>
        <v>70.045400000000001</v>
      </c>
      <c r="D1031" s="4">
        <f>105.0086 * CHOOSE(CONTROL!$C$9, $C$13, 100%, $E$13) + CHOOSE(CONTROL!$C$28, 0.0021, 0)</f>
        <v>105.0107</v>
      </c>
      <c r="E1031" s="4">
        <f>510.263232054508 * CHOOSE(CONTROL!$C$9, $C$13, 100%, $E$13) + CHOOSE(CONTROL!$C$28, 0.0021, 0)</f>
        <v>510.26533205450801</v>
      </c>
    </row>
    <row r="1032" spans="1:5" ht="15">
      <c r="A1032" s="13">
        <v>72928</v>
      </c>
      <c r="B1032" s="4">
        <f>72.0334 * CHOOSE(CONTROL!$C$9, $C$13, 100%, $E$13) + CHOOSE(CONTROL!$C$28, 0.0415, 0)</f>
        <v>72.0749</v>
      </c>
      <c r="C1032" s="4">
        <f>71.6701 * CHOOSE(CONTROL!$C$9, $C$13, 100%, $E$13) + CHOOSE(CONTROL!$C$28, 0.0415, 0)</f>
        <v>71.711600000000004</v>
      </c>
      <c r="D1032" s="4">
        <f>103.9028 * CHOOSE(CONTROL!$C$9, $C$13, 100%, $E$13) + CHOOSE(CONTROL!$C$28, 0.0021, 0)</f>
        <v>103.9049</v>
      </c>
      <c r="E1032" s="4">
        <f>522.480002086993 * CHOOSE(CONTROL!$C$9, $C$13, 100%, $E$13) + CHOOSE(CONTROL!$C$28, 0.0021, 0)</f>
        <v>522.482102086993</v>
      </c>
    </row>
    <row r="1033" spans="1:5" ht="15">
      <c r="A1033" s="13">
        <v>72958</v>
      </c>
      <c r="B1033" s="4">
        <f>69.1936 * CHOOSE(CONTROL!$C$9, $C$13, 100%, $E$13) + CHOOSE(CONTROL!$C$28, 0.0415, 0)</f>
        <v>69.235100000000003</v>
      </c>
      <c r="C1033" s="4">
        <f>68.8304 * CHOOSE(CONTROL!$C$9, $C$13, 100%, $E$13) + CHOOSE(CONTROL!$C$28, 0.0415, 0)</f>
        <v>68.871899999999997</v>
      </c>
      <c r="D1033" s="4">
        <f>103.3803 * CHOOSE(CONTROL!$C$9, $C$13, 100%, $E$13) + CHOOSE(CONTROL!$C$28, 0.0021, 0)</f>
        <v>103.3824</v>
      </c>
      <c r="E1033" s="4">
        <f>501.658729573156 * CHOOSE(CONTROL!$C$9, $C$13, 100%, $E$13) + CHOOSE(CONTROL!$C$28, 0.0021, 0)</f>
        <v>501.66082957315598</v>
      </c>
    </row>
    <row r="1034" spans="1:5" ht="15">
      <c r="A1034" s="13">
        <v>72989</v>
      </c>
      <c r="B1034" s="4">
        <f>66.9203 * CHOOSE(CONTROL!$C$9, $C$13, 100%, $E$13) + CHOOSE(CONTROL!$C$28, 0.0211, 0)</f>
        <v>66.941400000000002</v>
      </c>
      <c r="C1034" s="4">
        <f>66.5571 * CHOOSE(CONTROL!$C$9, $C$13, 100%, $E$13) + CHOOSE(CONTROL!$C$28, 0.0211, 0)</f>
        <v>66.57820000000001</v>
      </c>
      <c r="D1034" s="4">
        <f>101.9813 * CHOOSE(CONTROL!$C$9, $C$13, 100%, $E$13) + CHOOSE(CONTROL!$C$28, 0.0021, 0)</f>
        <v>101.9834</v>
      </c>
      <c r="E1034" s="4">
        <f>484.990888288525 * CHOOSE(CONTROL!$C$9, $C$13, 100%, $E$13) + CHOOSE(CONTROL!$C$28, 0.0021, 0)</f>
        <v>484.992988288525</v>
      </c>
    </row>
    <row r="1035" spans="1:5" ht="15">
      <c r="A1035" s="13">
        <v>73019</v>
      </c>
      <c r="B1035" s="4">
        <f>65.4562 * CHOOSE(CONTROL!$C$9, $C$13, 100%, $E$13) + CHOOSE(CONTROL!$C$28, 0.0211, 0)</f>
        <v>65.4773</v>
      </c>
      <c r="C1035" s="4">
        <f>65.0929 * CHOOSE(CONTROL!$C$9, $C$13, 100%, $E$13) + CHOOSE(CONTROL!$C$28, 0.0211, 0)</f>
        <v>65.114000000000004</v>
      </c>
      <c r="D1035" s="4">
        <f>101.5004 * CHOOSE(CONTROL!$C$9, $C$13, 100%, $E$13) + CHOOSE(CONTROL!$C$28, 0.0021, 0)</f>
        <v>101.5025</v>
      </c>
      <c r="E1035" s="4">
        <f>474.255553824763 * CHOOSE(CONTROL!$C$9, $C$13, 100%, $E$13) + CHOOSE(CONTROL!$C$28, 0.0021, 0)</f>
        <v>474.257653824763</v>
      </c>
    </row>
    <row r="1036" spans="1:5" ht="15">
      <c r="A1036" s="13">
        <v>73050</v>
      </c>
      <c r="B1036" s="4">
        <f>64.4432 * CHOOSE(CONTROL!$C$9, $C$13, 100%, $E$13) + CHOOSE(CONTROL!$C$28, 0.0211, 0)</f>
        <v>64.464300000000009</v>
      </c>
      <c r="C1036" s="4">
        <f>64.0799 * CHOOSE(CONTROL!$C$9, $C$13, 100%, $E$13) + CHOOSE(CONTROL!$C$28, 0.0211, 0)</f>
        <v>64.100999999999999</v>
      </c>
      <c r="D1036" s="4">
        <f>97.9595 * CHOOSE(CONTROL!$C$9, $C$13, 100%, $E$13) + CHOOSE(CONTROL!$C$28, 0.0021, 0)</f>
        <v>97.961600000000004</v>
      </c>
      <c r="E1036" s="4">
        <f>466.828082343218 * CHOOSE(CONTROL!$C$9, $C$13, 100%, $E$13) + CHOOSE(CONTROL!$C$28, 0.0021, 0)</f>
        <v>466.83018234321798</v>
      </c>
    </row>
    <row r="1037" spans="1:5" ht="15">
      <c r="A1037" s="13">
        <v>73081</v>
      </c>
      <c r="B1037" s="4">
        <f>61.6716 * CHOOSE(CONTROL!$C$9, $C$13, 100%, $E$13) + CHOOSE(CONTROL!$C$28, 0.0211, 0)</f>
        <v>61.692699999999995</v>
      </c>
      <c r="C1037" s="4">
        <f>61.3083 * CHOOSE(CONTROL!$C$9, $C$13, 100%, $E$13) + CHOOSE(CONTROL!$C$28, 0.0211, 0)</f>
        <v>61.3294</v>
      </c>
      <c r="D1037" s="4">
        <f>94.059 * CHOOSE(CONTROL!$C$9, $C$13, 100%, $E$13) + CHOOSE(CONTROL!$C$28, 0.0021, 0)</f>
        <v>94.061099999999996</v>
      </c>
      <c r="E1037" s="4">
        <f>447.382795799669 * CHOOSE(CONTROL!$C$9, $C$13, 100%, $E$13) + CHOOSE(CONTROL!$C$28, 0.0021, 0)</f>
        <v>447.38489579966898</v>
      </c>
    </row>
    <row r="1038" spans="1:5" ht="15">
      <c r="A1038" s="13">
        <v>73109</v>
      </c>
      <c r="B1038" s="4">
        <f>63.1175 * CHOOSE(CONTROL!$C$9, $C$13, 100%, $E$13) + CHOOSE(CONTROL!$C$28, 0.0211, 0)</f>
        <v>63.138599999999997</v>
      </c>
      <c r="C1038" s="4">
        <f>62.7542 * CHOOSE(CONTROL!$C$9, $C$13, 100%, $E$13) + CHOOSE(CONTROL!$C$28, 0.0211, 0)</f>
        <v>62.775299999999994</v>
      </c>
      <c r="D1038" s="4">
        <f>97.3133 * CHOOSE(CONTROL!$C$9, $C$13, 100%, $E$13) + CHOOSE(CONTROL!$C$28, 0.0021, 0)</f>
        <v>97.315399999999997</v>
      </c>
      <c r="E1038" s="4">
        <f>458.005426467037 * CHOOSE(CONTROL!$C$9, $C$13, 100%, $E$13) + CHOOSE(CONTROL!$C$28, 0.0021, 0)</f>
        <v>458.007526467037</v>
      </c>
    </row>
    <row r="1039" spans="1:5" ht="15">
      <c r="A1039" s="13">
        <v>73140</v>
      </c>
      <c r="B1039" s="4">
        <f>66.9147 * CHOOSE(CONTROL!$C$9, $C$13, 100%, $E$13) + CHOOSE(CONTROL!$C$28, 0.0211, 0)</f>
        <v>66.9358</v>
      </c>
      <c r="C1039" s="4">
        <f>66.5514 * CHOOSE(CONTROL!$C$9, $C$13, 100%, $E$13) + CHOOSE(CONTROL!$C$28, 0.0211, 0)</f>
        <v>66.572500000000005</v>
      </c>
      <c r="D1039" s="4">
        <f>102.4078 * CHOOSE(CONTROL!$C$9, $C$13, 100%, $E$13) + CHOOSE(CONTROL!$C$28, 0.0021, 0)</f>
        <v>102.40989999999999</v>
      </c>
      <c r="E1039" s="4">
        <f>485.901019120422 * CHOOSE(CONTROL!$C$9, $C$13, 100%, $E$13) + CHOOSE(CONTROL!$C$28, 0.0021, 0)</f>
        <v>485.90311912042199</v>
      </c>
    </row>
    <row r="1040" spans="1:5" ht="15">
      <c r="A1040" s="13">
        <v>73170</v>
      </c>
      <c r="B1040" s="4">
        <f>69.6126 * CHOOSE(CONTROL!$C$9, $C$13, 100%, $E$13) + CHOOSE(CONTROL!$C$28, 0.0211, 0)</f>
        <v>69.633700000000005</v>
      </c>
      <c r="C1040" s="4">
        <f>69.2493 * CHOOSE(CONTROL!$C$9, $C$13, 100%, $E$13) + CHOOSE(CONTROL!$C$28, 0.0211, 0)</f>
        <v>69.270400000000009</v>
      </c>
      <c r="D1040" s="4">
        <f>105.3423 * CHOOSE(CONTROL!$C$9, $C$13, 100%, $E$13) + CHOOSE(CONTROL!$C$28, 0.0021, 0)</f>
        <v>105.34439999999999</v>
      </c>
      <c r="E1040" s="4">
        <f>505.721209458304 * CHOOSE(CONTROL!$C$9, $C$13, 100%, $E$13) + CHOOSE(CONTROL!$C$28, 0.0021, 0)</f>
        <v>505.72330945830396</v>
      </c>
    </row>
    <row r="1041" spans="1:5" ht="15">
      <c r="A1041" s="13">
        <v>73201</v>
      </c>
      <c r="B1041" s="4">
        <f>71.261 * CHOOSE(CONTROL!$C$9, $C$13, 100%, $E$13) + CHOOSE(CONTROL!$C$28, 0.0415, 0)</f>
        <v>71.302499999999995</v>
      </c>
      <c r="C1041" s="4">
        <f>70.8977 * CHOOSE(CONTROL!$C$9, $C$13, 100%, $E$13) + CHOOSE(CONTROL!$C$28, 0.0415, 0)</f>
        <v>70.9392</v>
      </c>
      <c r="D1041" s="4">
        <f>104.1828 * CHOOSE(CONTROL!$C$9, $C$13, 100%, $E$13) + CHOOSE(CONTROL!$C$28, 0.0021, 0)</f>
        <v>104.1849</v>
      </c>
      <c r="E1041" s="4">
        <f>517.830870731084 * CHOOSE(CONTROL!$C$9, $C$13, 100%, $E$13) + CHOOSE(CONTROL!$C$28, 0.0021, 0)</f>
        <v>517.83297073108406</v>
      </c>
    </row>
    <row r="1042" spans="1:5" ht="15">
      <c r="A1042" s="13">
        <v>73231</v>
      </c>
      <c r="B1042" s="4">
        <f>71.484 * CHOOSE(CONTROL!$C$9, $C$13, 100%, $E$13) + CHOOSE(CONTROL!$C$28, 0.0415, 0)</f>
        <v>71.525499999999994</v>
      </c>
      <c r="C1042" s="4">
        <f>71.1208 * CHOOSE(CONTROL!$C$9, $C$13, 100%, $E$13) + CHOOSE(CONTROL!$C$28, 0.0415, 0)</f>
        <v>71.162300000000002</v>
      </c>
      <c r="D1042" s="4">
        <f>105.1272 * CHOOSE(CONTROL!$C$9, $C$13, 100%, $E$13) + CHOOSE(CONTROL!$C$28, 0.0021, 0)</f>
        <v>105.1293</v>
      </c>
      <c r="E1042" s="4">
        <f>519.469358157418 * CHOOSE(CONTROL!$C$9, $C$13, 100%, $E$13) + CHOOSE(CONTROL!$C$28, 0.0021, 0)</f>
        <v>519.47145815741806</v>
      </c>
    </row>
    <row r="1043" spans="1:5" ht="15">
      <c r="A1043" s="13">
        <v>73262</v>
      </c>
      <c r="B1043" s="4">
        <f>71.4615 * CHOOSE(CONTROL!$C$9, $C$13, 100%, $E$13) + CHOOSE(CONTROL!$C$28, 0.0415, 0)</f>
        <v>71.503</v>
      </c>
      <c r="C1043" s="4">
        <f>71.0983 * CHOOSE(CONTROL!$C$9, $C$13, 100%, $E$13) + CHOOSE(CONTROL!$C$28, 0.0415, 0)</f>
        <v>71.139799999999994</v>
      </c>
      <c r="D1043" s="4">
        <f>106.8312 * CHOOSE(CONTROL!$C$9, $C$13, 100%, $E$13) + CHOOSE(CONTROL!$C$28, 0.0021, 0)</f>
        <v>106.83329999999999</v>
      </c>
      <c r="E1043" s="4">
        <f>519.304132534595 * CHOOSE(CONTROL!$C$9, $C$13, 100%, $E$13) + CHOOSE(CONTROL!$C$28, 0.0021, 0)</f>
        <v>519.3062325345951</v>
      </c>
    </row>
    <row r="1044" spans="1:5" ht="15">
      <c r="A1044" s="13">
        <v>73293</v>
      </c>
      <c r="B1044" s="4">
        <f>73.154 * CHOOSE(CONTROL!$C$9, $C$13, 100%, $E$13) + CHOOSE(CONTROL!$C$28, 0.0415, 0)</f>
        <v>73.195499999999996</v>
      </c>
      <c r="C1044" s="4">
        <f>72.7907 * CHOOSE(CONTROL!$C$9, $C$13, 100%, $E$13) + CHOOSE(CONTROL!$C$28, 0.0415, 0)</f>
        <v>72.8322</v>
      </c>
      <c r="D1044" s="4">
        <f>105.7058 * CHOOSE(CONTROL!$C$9, $C$13, 100%, $E$13) + CHOOSE(CONTROL!$C$28, 0.0021, 0)</f>
        <v>105.7079</v>
      </c>
      <c r="E1044" s="4">
        <f>531.737360652071 * CHOOSE(CONTROL!$C$9, $C$13, 100%, $E$13) + CHOOSE(CONTROL!$C$28, 0.0021, 0)</f>
        <v>531.73946065207099</v>
      </c>
    </row>
    <row r="1045" spans="1:5" ht="15">
      <c r="A1045" s="13">
        <v>73323</v>
      </c>
      <c r="B1045" s="4">
        <f>70.2695 * CHOOSE(CONTROL!$C$9, $C$13, 100%, $E$13) + CHOOSE(CONTROL!$C$28, 0.0415, 0)</f>
        <v>70.310999999999993</v>
      </c>
      <c r="C1045" s="4">
        <f>69.9063 * CHOOSE(CONTROL!$C$9, $C$13, 100%, $E$13) + CHOOSE(CONTROL!$C$28, 0.0415, 0)</f>
        <v>69.947800000000001</v>
      </c>
      <c r="D1045" s="4">
        <f>105.1741 * CHOOSE(CONTROL!$C$9, $C$13, 100%, $E$13) + CHOOSE(CONTROL!$C$28, 0.0021, 0)</f>
        <v>105.17619999999999</v>
      </c>
      <c r="E1045" s="4">
        <f>510.547174524944 * CHOOSE(CONTROL!$C$9, $C$13, 100%, $E$13) + CHOOSE(CONTROL!$C$28, 0.0021, 0)</f>
        <v>510.549274524944</v>
      </c>
    </row>
    <row r="1046" spans="1:5" ht="15">
      <c r="A1046" s="13">
        <v>73354</v>
      </c>
      <c r="B1046" s="4">
        <f>67.9605 * CHOOSE(CONTROL!$C$9, $C$13, 100%, $E$13) + CHOOSE(CONTROL!$C$28, 0.0211, 0)</f>
        <v>67.9816</v>
      </c>
      <c r="C1046" s="4">
        <f>67.5972 * CHOOSE(CONTROL!$C$9, $C$13, 100%, $E$13) + CHOOSE(CONTROL!$C$28, 0.0211, 0)</f>
        <v>67.618300000000005</v>
      </c>
      <c r="D1046" s="4">
        <f>103.7505 * CHOOSE(CONTROL!$C$9, $C$13, 100%, $E$13) + CHOOSE(CONTROL!$C$28, 0.0021, 0)</f>
        <v>103.7526</v>
      </c>
      <c r="E1046" s="4">
        <f>493.58401058172 * CHOOSE(CONTROL!$C$9, $C$13, 100%, $E$13) + CHOOSE(CONTROL!$C$28, 0.0021, 0)</f>
        <v>493.58611058171999</v>
      </c>
    </row>
    <row r="1047" spans="1:5" ht="15">
      <c r="A1047" s="13">
        <v>73384</v>
      </c>
      <c r="B1047" s="4">
        <f>66.4733 * CHOOSE(CONTROL!$C$9, $C$13, 100%, $E$13) + CHOOSE(CONTROL!$C$28, 0.0211, 0)</f>
        <v>66.494399999999999</v>
      </c>
      <c r="C1047" s="4">
        <f>66.11 * CHOOSE(CONTROL!$C$9, $C$13, 100%, $E$13) + CHOOSE(CONTROL!$C$28, 0.0211, 0)</f>
        <v>66.131100000000004</v>
      </c>
      <c r="D1047" s="4">
        <f>103.261 * CHOOSE(CONTROL!$C$9, $C$13, 100%, $E$13) + CHOOSE(CONTROL!$C$28, 0.0021, 0)</f>
        <v>103.26309999999999</v>
      </c>
      <c r="E1047" s="4">
        <f>482.658466272509 * CHOOSE(CONTROL!$C$9, $C$13, 100%, $E$13) + CHOOSE(CONTROL!$C$28, 0.0021, 0)</f>
        <v>482.66056627250896</v>
      </c>
    </row>
    <row r="1048" spans="1:5" ht="15">
      <c r="A1048" s="13">
        <v>73415</v>
      </c>
      <c r="B1048" s="4">
        <f>65.4444 * CHOOSE(CONTROL!$C$9, $C$13, 100%, $E$13) + CHOOSE(CONTROL!$C$28, 0.0211, 0)</f>
        <v>65.465500000000006</v>
      </c>
      <c r="C1048" s="4">
        <f>65.0811 * CHOOSE(CONTROL!$C$9, $C$13, 100%, $E$13) + CHOOSE(CONTROL!$C$28, 0.0211, 0)</f>
        <v>65.102200000000011</v>
      </c>
      <c r="D1048" s="4">
        <f>99.6576 * CHOOSE(CONTROL!$C$9, $C$13, 100%, $E$13) + CHOOSE(CONTROL!$C$28, 0.0021, 0)</f>
        <v>99.659700000000001</v>
      </c>
      <c r="E1048" s="4">
        <f>475.099394028329 * CHOOSE(CONTROL!$C$9, $C$13, 100%, $E$13) + CHOOSE(CONTROL!$C$28, 0.0021, 0)</f>
        <v>475.101494028329</v>
      </c>
    </row>
    <row r="1049" spans="1:5" ht="15">
      <c r="A1049" s="10"/>
      <c r="B1049" s="4"/>
      <c r="C1049" s="4"/>
      <c r="D1049" s="4"/>
      <c r="E1049" s="4"/>
    </row>
    <row r="1050" spans="1:5" ht="15">
      <c r="A1050" s="3">
        <v>2015</v>
      </c>
      <c r="B1050" s="4">
        <f>AVERAGE(B17:B28)</f>
        <v>9.3608499999999992</v>
      </c>
      <c r="C1050" s="4">
        <f>AVERAGE(C17:C28)</f>
        <v>8.9975749999999994</v>
      </c>
      <c r="D1050" s="4">
        <f>AVERAGE(D17:D28)</f>
        <v>15.6126</v>
      </c>
      <c r="E1050" s="4">
        <f>AVERAGE(E17:E28)</f>
        <v>54.063766666666659</v>
      </c>
    </row>
    <row r="1051" spans="1:5" ht="15">
      <c r="A1051" s="3">
        <v>2016</v>
      </c>
      <c r="B1051" s="4">
        <f>AVERAGE(B29:B40)</f>
        <v>10.150691666666667</v>
      </c>
      <c r="C1051" s="4">
        <f>AVERAGE(C29:C40)</f>
        <v>9.7874083333333317</v>
      </c>
      <c r="D1051" s="4">
        <f>AVERAGE(D29:D40)</f>
        <v>16.333416666666661</v>
      </c>
      <c r="E1051" s="4">
        <f>AVERAGE(E29:E40)</f>
        <v>61.600433333333314</v>
      </c>
    </row>
    <row r="1052" spans="1:5" ht="15">
      <c r="A1052" s="3">
        <v>2017</v>
      </c>
      <c r="B1052" s="4">
        <f>AVERAGE(B41:B52)</f>
        <v>10.613466666666666</v>
      </c>
      <c r="C1052" s="4">
        <f>AVERAGE(C41:C52)</f>
        <v>10.250175</v>
      </c>
      <c r="D1052" s="4">
        <f>AVERAGE(D41:D52)</f>
        <v>16.944241666666667</v>
      </c>
      <c r="E1052" s="4">
        <f>AVERAGE(E41:E52)</f>
        <v>64.562099999999987</v>
      </c>
    </row>
    <row r="1053" spans="1:5" ht="15">
      <c r="A1053" s="3">
        <v>2018</v>
      </c>
      <c r="B1053" s="4">
        <f>AVERAGE(B53:B64)</f>
        <v>11.894966666666667</v>
      </c>
      <c r="C1053" s="4">
        <f>AVERAGE(C53:C64)</f>
        <v>11.531675</v>
      </c>
      <c r="D1053" s="4">
        <f>AVERAGE(D53:D64)</f>
        <v>18.214708333333331</v>
      </c>
      <c r="E1053" s="4">
        <f>AVERAGE(E53:E64)</f>
        <v>74.032099999999971</v>
      </c>
    </row>
    <row r="1054" spans="1:5" ht="15">
      <c r="A1054" s="3">
        <v>2019</v>
      </c>
      <c r="B1054" s="4">
        <f>AVERAGE(B65:B76)</f>
        <v>12.346016666666666</v>
      </c>
      <c r="C1054" s="4">
        <f>AVERAGE(C65:C76)</f>
        <v>11.982716666666667</v>
      </c>
      <c r="D1054" s="4">
        <f>AVERAGE(D65:D76)</f>
        <v>18.827108333333332</v>
      </c>
      <c r="E1054" s="4">
        <f>AVERAGE(E65:E76)</f>
        <v>77.309600915527355</v>
      </c>
    </row>
    <row r="1055" spans="1:5" ht="15">
      <c r="A1055" s="3">
        <v>2020</v>
      </c>
      <c r="B1055" s="4">
        <f>AVERAGE(B77:B88)</f>
        <v>14.134933333333336</v>
      </c>
      <c r="C1055" s="4">
        <f>AVERAGE(C77:C88)</f>
        <v>13.771658333333335</v>
      </c>
      <c r="D1055" s="4">
        <f>AVERAGE(D77:D88)</f>
        <v>20.877716666666661</v>
      </c>
      <c r="E1055" s="4">
        <f>AVERAGE(E77:E88)</f>
        <v>90.84909249267578</v>
      </c>
    </row>
    <row r="1056" spans="1:5" ht="15">
      <c r="A1056" s="3">
        <v>2021</v>
      </c>
      <c r="B1056" s="4">
        <f>AVERAGE(B89:B100)</f>
        <v>14.774916666666664</v>
      </c>
      <c r="C1056" s="4">
        <f>AVERAGE(C89:C100)</f>
        <v>14.411641666666668</v>
      </c>
      <c r="D1056" s="4">
        <f>AVERAGE(D89:D100)</f>
        <v>21.726874999999996</v>
      </c>
      <c r="E1056" s="4">
        <f>AVERAGE(E89:E100)</f>
        <v>94.620691308593749</v>
      </c>
    </row>
    <row r="1057" spans="1:5" ht="15">
      <c r="A1057" s="3">
        <v>2022</v>
      </c>
      <c r="B1057" s="4">
        <f>AVERAGE(B101:B112)</f>
        <v>15.528408333333333</v>
      </c>
      <c r="C1057" s="4">
        <f>AVERAGE(C101:C112)</f>
        <v>15.165150000000002</v>
      </c>
      <c r="D1057" s="4">
        <f>AVERAGE(D101:D112)</f>
        <v>22.797891666666668</v>
      </c>
      <c r="E1057" s="4">
        <f>AVERAGE(E101:E112)</f>
        <v>99.391878137206845</v>
      </c>
    </row>
    <row r="1058" spans="1:5" ht="15">
      <c r="A1058" s="3">
        <v>2023</v>
      </c>
      <c r="B1058" s="4">
        <f>AVERAGE(B113:B124)</f>
        <v>16.332991666666665</v>
      </c>
      <c r="C1058" s="4">
        <f>AVERAGE(C113:C124)</f>
        <v>15.969716666666665</v>
      </c>
      <c r="D1058" s="4">
        <f>AVERAGE(D113:D124)</f>
        <v>23.842141666666663</v>
      </c>
      <c r="E1058" s="4">
        <f>AVERAGE(E113:E124)</f>
        <v>104.16264534912108</v>
      </c>
    </row>
    <row r="1059" spans="1:5" ht="15">
      <c r="A1059" s="3">
        <v>2024</v>
      </c>
      <c r="B1059" s="4">
        <f>AVERAGE(B125:B136)</f>
        <v>17.16671666666667</v>
      </c>
      <c r="C1059" s="4">
        <f>AVERAGE(C125:C136)</f>
        <v>16.803425000000001</v>
      </c>
      <c r="D1059" s="4">
        <f>AVERAGE(D125:D136)</f>
        <v>25.215308333333326</v>
      </c>
      <c r="E1059" s="4">
        <f>AVERAGE(E125:E136)</f>
        <v>108.9330005737304</v>
      </c>
    </row>
    <row r="1060" spans="1:5" ht="15">
      <c r="A1060" s="3">
        <v>2025</v>
      </c>
      <c r="B1060" s="4">
        <f>AVERAGE(B137:B148)</f>
        <v>18.52804166666667</v>
      </c>
      <c r="C1060" s="4">
        <f>AVERAGE(C137:C148)</f>
        <v>18.164758333333332</v>
      </c>
      <c r="D1060" s="4">
        <f>AVERAGE(D137:D148)</f>
        <v>26.553558333333338</v>
      </c>
      <c r="E1060" s="4">
        <f>AVERAGE(E137:E148)</f>
        <v>114.7029361816405</v>
      </c>
    </row>
    <row r="1061" spans="1:5" ht="15">
      <c r="A1061" s="3">
        <v>2026</v>
      </c>
      <c r="B1061" s="4">
        <f>AVERAGE(B149:B160)</f>
        <v>19.107724999999999</v>
      </c>
      <c r="C1061" s="4">
        <f>AVERAGE(C149:C160)</f>
        <v>18.74444166666667</v>
      </c>
      <c r="D1061" s="4">
        <f>AVERAGE(D149:D160)</f>
        <v>27.304483333333327</v>
      </c>
      <c r="E1061" s="4">
        <f>AVERAGE(E149:E160)</f>
        <v>118.55994606933581</v>
      </c>
    </row>
    <row r="1062" spans="1:5" ht="15">
      <c r="A1062" s="3">
        <v>2027</v>
      </c>
      <c r="B1062" s="4">
        <f>AVERAGE(B161:B172)</f>
        <v>19.701475000000002</v>
      </c>
      <c r="C1062" s="4">
        <f>AVERAGE(C161:C172)</f>
        <v>19.338200000000001</v>
      </c>
      <c r="D1062" s="4">
        <f>AVERAGE(D161:D172)</f>
        <v>28.053008333333334</v>
      </c>
      <c r="E1062" s="4">
        <f>AVERAGE(E161:E172)</f>
        <v>122.41652108154308</v>
      </c>
    </row>
    <row r="1063" spans="1:5" ht="15">
      <c r="A1063" s="3">
        <v>2028</v>
      </c>
      <c r="B1063" s="4">
        <f>AVERAGE(B173:B184)</f>
        <v>20.256158333333332</v>
      </c>
      <c r="C1063" s="4">
        <f>AVERAGE(C173:C184)</f>
        <v>19.892883333333337</v>
      </c>
      <c r="D1063" s="4">
        <f>AVERAGE(D173:D184)</f>
        <v>28.742466666666662</v>
      </c>
      <c r="E1063" s="4">
        <f>AVERAGE(E173:E184)</f>
        <v>126.27266884765628</v>
      </c>
    </row>
    <row r="1064" spans="1:5" ht="15">
      <c r="A1064" s="3">
        <v>2029</v>
      </c>
      <c r="B1064" s="4">
        <f>AVERAGE(B185:B196)</f>
        <v>20.857724999999999</v>
      </c>
      <c r="C1064" s="4">
        <f>AVERAGE(C185:C196)</f>
        <v>20.494433333333333</v>
      </c>
      <c r="D1064" s="4">
        <f>AVERAGE(D185:D196)</f>
        <v>29.381450000000001</v>
      </c>
      <c r="E1064" s="4">
        <f>AVERAGE(E185:E196)</f>
        <v>130.1283664794922</v>
      </c>
    </row>
    <row r="1065" spans="1:5" ht="15">
      <c r="A1065" s="3">
        <v>2030</v>
      </c>
      <c r="B1065" s="4">
        <f>AVERAGE(B197:B208)</f>
        <v>21.459283333333335</v>
      </c>
      <c r="C1065" s="4">
        <f>AVERAGE(C197:C208)</f>
        <v>21.095991666666666</v>
      </c>
      <c r="D1065" s="4">
        <f>AVERAGE(D197:D208)</f>
        <v>30.028158333333334</v>
      </c>
      <c r="E1065" s="4">
        <f>AVERAGE(E197:E208)</f>
        <v>133.98363686523433</v>
      </c>
    </row>
    <row r="1066" spans="1:5" ht="15">
      <c r="A1066" s="3">
        <v>2031</v>
      </c>
      <c r="B1066" s="4">
        <f>AVERAGE(B209:B220)</f>
        <v>22.209283333333335</v>
      </c>
      <c r="C1066" s="4">
        <f>AVERAGE(C209:C220)</f>
        <v>21.846008333333334</v>
      </c>
      <c r="D1066" s="4">
        <f>AVERAGE(D209:D220)</f>
        <v>30.850908333333333</v>
      </c>
      <c r="E1066" s="4">
        <f>AVERAGE(E209:E220)</f>
        <v>138.83844948730479</v>
      </c>
    </row>
    <row r="1067" spans="1:5" ht="15">
      <c r="A1067" s="3">
        <v>2032</v>
      </c>
      <c r="B1067" s="4">
        <f>AVERAGE(B221:B232)</f>
        <v>22.974924999999999</v>
      </c>
      <c r="C1067" s="4">
        <f>AVERAGE(C221:C232)</f>
        <v>22.611633333333334</v>
      </c>
      <c r="D1067" s="4">
        <f>AVERAGE(D221:D232)</f>
        <v>31.673658333333332</v>
      </c>
      <c r="E1067" s="4">
        <f>AVERAGE(E221:E232)</f>
        <v>143.6928196044922</v>
      </c>
    </row>
    <row r="1068" spans="1:5" ht="15">
      <c r="A1068" s="3">
        <v>2033</v>
      </c>
      <c r="B1068" s="4">
        <f>AVERAGE(B233:B244)</f>
        <v>23.740549999999999</v>
      </c>
      <c r="C1068" s="4">
        <f>AVERAGE(C233:C244)</f>
        <v>23.377250000000004</v>
      </c>
      <c r="D1068" s="4">
        <f>AVERAGE(D233:D244)</f>
        <v>32.496424999999995</v>
      </c>
      <c r="E1068" s="4">
        <f>AVERAGE(E233:E244)</f>
        <v>148.54671669921876</v>
      </c>
    </row>
    <row r="1069" spans="1:5" ht="15">
      <c r="A1069" s="3">
        <v>2034</v>
      </c>
      <c r="B1069" s="4">
        <f>AVERAGE(B245:B256)</f>
        <v>24.506158333333332</v>
      </c>
      <c r="C1069" s="4">
        <f>AVERAGE(C245:C256)</f>
        <v>24.142875000000004</v>
      </c>
      <c r="D1069" s="4">
        <f>AVERAGE(D245:D256)</f>
        <v>33.319175000000001</v>
      </c>
      <c r="E1069" s="4">
        <f>AVERAGE(E245:E256)</f>
        <v>153.4001712890626</v>
      </c>
    </row>
    <row r="1070" spans="1:5" ht="15">
      <c r="A1070" s="3">
        <v>2035</v>
      </c>
      <c r="B1070" s="4">
        <f>AVERAGE(B257:B268)</f>
        <v>25.271799999999999</v>
      </c>
      <c r="C1070" s="4">
        <f>AVERAGE(C257:C268)</f>
        <v>24.9085</v>
      </c>
      <c r="D1070" s="4">
        <f>AVERAGE(D257:D268)</f>
        <v>34.169383333333329</v>
      </c>
      <c r="E1070" s="4">
        <f>AVERAGE(E257:E268)</f>
        <v>158.25315285644541</v>
      </c>
    </row>
    <row r="1071" spans="1:5" ht="15">
      <c r="A1071" s="3">
        <v>2036</v>
      </c>
      <c r="B1071" s="4">
        <f>AVERAGE(B269:B280)</f>
        <v>25.656558333333333</v>
      </c>
      <c r="C1071" s="4">
        <f>AVERAGE(C269:C280)</f>
        <v>25.293266666666668</v>
      </c>
      <c r="D1071" s="4">
        <f>AVERAGE(D269:D280)</f>
        <v>34.740333333333332</v>
      </c>
      <c r="E1071" s="4">
        <f>AVERAGE(E269:E280)</f>
        <v>161.05706254435952</v>
      </c>
    </row>
    <row r="1072" spans="1:5" ht="15">
      <c r="A1072" s="3">
        <v>2037</v>
      </c>
      <c r="B1072" s="4">
        <f>AVERAGE(B281:B292)</f>
        <v>26.047383333333332</v>
      </c>
      <c r="C1072" s="4">
        <f>AVERAGE(C281:C292)</f>
        <v>25.684091666666664</v>
      </c>
      <c r="D1072" s="4">
        <f>AVERAGE(D281:D292)</f>
        <v>35.321391666666663</v>
      </c>
      <c r="E1072" s="4">
        <f>AVERAGE(E281:E292)</f>
        <v>163.910652214783</v>
      </c>
    </row>
    <row r="1073" spans="1:5" ht="15">
      <c r="A1073" s="3">
        <f t="shared" ref="A1073:A1104" si="0">A1072+1</f>
        <v>2038</v>
      </c>
      <c r="B1073" s="4">
        <f>AVERAGE(B293:B304)</f>
        <v>26.44434166666667</v>
      </c>
      <c r="C1073" s="4">
        <f>AVERAGE(C293:C304)</f>
        <v>26.081050000000001</v>
      </c>
      <c r="D1073" s="4">
        <f>AVERAGE(D293:D304)</f>
        <v>35.912691666666667</v>
      </c>
      <c r="E1073" s="4">
        <f>AVERAGE(E293:E304)</f>
        <v>166.81480210315002</v>
      </c>
    </row>
    <row r="1074" spans="1:5" ht="15">
      <c r="A1074" s="3">
        <f t="shared" si="0"/>
        <v>2039</v>
      </c>
      <c r="B1074" s="4">
        <f>AVERAGE(B305:B316)</f>
        <v>26.847541666666661</v>
      </c>
      <c r="C1074" s="4">
        <f>AVERAGE(C305:C316)</f>
        <v>26.48426666666667</v>
      </c>
      <c r="D1074" s="4">
        <f>AVERAGE(D305:D316)</f>
        <v>36.514450000000004</v>
      </c>
      <c r="E1074" s="4">
        <f>AVERAGE(E305:E316)</f>
        <v>169.77040804100426</v>
      </c>
    </row>
    <row r="1075" spans="1:5" ht="15">
      <c r="A1075" s="3">
        <f t="shared" si="0"/>
        <v>2040</v>
      </c>
      <c r="B1075" s="4">
        <f>AVERAGE(B317:B328)</f>
        <v>27.257091666666668</v>
      </c>
      <c r="C1075" s="4">
        <f>AVERAGE(C317:C328)</f>
        <v>26.893816666666662</v>
      </c>
      <c r="D1075" s="4">
        <f>AVERAGE(D317:D328)</f>
        <v>37.126858333333331</v>
      </c>
      <c r="E1075" s="4">
        <f>AVERAGE(E317:E328)</f>
        <v>172.7783817323311</v>
      </c>
    </row>
    <row r="1076" spans="1:5" ht="15">
      <c r="A1076" s="3">
        <f t="shared" si="0"/>
        <v>2041</v>
      </c>
      <c r="B1076" s="4">
        <f>AVERAGE(B329:B340)</f>
        <v>27.673091666666668</v>
      </c>
      <c r="C1076" s="4">
        <f>AVERAGE(C329:C340)</f>
        <v>27.309808333333326</v>
      </c>
      <c r="D1076" s="4">
        <f>AVERAGE(D329:D340)</f>
        <v>37.750058333333335</v>
      </c>
      <c r="E1076" s="4">
        <f>AVERAGE(E329:E340)</f>
        <v>175.83965103478909</v>
      </c>
    </row>
    <row r="1077" spans="1:5" ht="15">
      <c r="A1077" s="3">
        <f t="shared" si="0"/>
        <v>2042</v>
      </c>
      <c r="B1077" s="4">
        <f>AVERAGE(B341:B352)</f>
        <v>28.095616666666668</v>
      </c>
      <c r="C1077" s="4">
        <f>AVERAGE(C341:C352)</f>
        <v>27.732333333333333</v>
      </c>
      <c r="D1077" s="4">
        <f>AVERAGE(D341:D352)</f>
        <v>38.384274999999995</v>
      </c>
      <c r="E1077" s="4">
        <f>AVERAGE(E341:E352)</f>
        <v>178.95516024592075</v>
      </c>
    </row>
    <row r="1078" spans="1:5" ht="15">
      <c r="A1078" s="3">
        <f t="shared" si="0"/>
        <v>2043</v>
      </c>
      <c r="B1078" s="4">
        <f>AVERAGE(B353:B364)</f>
        <v>28.524791666666662</v>
      </c>
      <c r="C1078" s="4">
        <f>AVERAGE(C353:C364)</f>
        <v>28.161516666666667</v>
      </c>
      <c r="D1078" s="4">
        <f>AVERAGE(D353:D364)</f>
        <v>39.029716666666666</v>
      </c>
      <c r="E1078" s="4">
        <f>AVERAGE(E353:E364)</f>
        <v>182.12587039443778</v>
      </c>
    </row>
    <row r="1079" spans="1:5" ht="15">
      <c r="A1079" s="3">
        <f t="shared" si="0"/>
        <v>2044</v>
      </c>
      <c r="B1079" s="4">
        <f>AVERAGE(B365:B376)</f>
        <v>28.960733333333334</v>
      </c>
      <c r="C1079" s="4">
        <f>AVERAGE(C365:C376)</f>
        <v>28.597449999999995</v>
      </c>
      <c r="D1079" s="4">
        <f>AVERAGE(D365:D376)</f>
        <v>39.686550000000004</v>
      </c>
      <c r="E1079" s="4">
        <f>AVERAGE(E365:E376)</f>
        <v>185.35275953666439</v>
      </c>
    </row>
    <row r="1080" spans="1:5" ht="15">
      <c r="A1080" s="3">
        <f t="shared" si="0"/>
        <v>2045</v>
      </c>
      <c r="B1080" s="4">
        <f>AVERAGE(B377:B388)</f>
        <v>29.403508333333335</v>
      </c>
      <c r="C1080" s="4">
        <f>AVERAGE(C377:C388)</f>
        <v>29.040216666666666</v>
      </c>
      <c r="D1080" s="4">
        <f>AVERAGE(D377:D388)</f>
        <v>40.35498333333333</v>
      </c>
      <c r="E1080" s="4">
        <f>AVERAGE(E377:E388)</f>
        <v>188.63682305823613</v>
      </c>
    </row>
    <row r="1081" spans="1:5" ht="15">
      <c r="A1081" s="3">
        <f t="shared" si="0"/>
        <v>2046</v>
      </c>
      <c r="B1081" s="4">
        <f>AVERAGE(B389:B400)</f>
        <v>29.853224999999998</v>
      </c>
      <c r="C1081" s="4">
        <f>AVERAGE(C389:C400)</f>
        <v>29.48995833333333</v>
      </c>
      <c r="D1081" s="4">
        <f>AVERAGE(D389:D400)</f>
        <v>41.035233333333331</v>
      </c>
      <c r="E1081" s="4">
        <f>AVERAGE(E389:E400)</f>
        <v>191.97907398114023</v>
      </c>
    </row>
    <row r="1082" spans="1:5" ht="15">
      <c r="A1082" s="3">
        <f t="shared" si="0"/>
        <v>2047</v>
      </c>
      <c r="B1082" s="4">
        <f>AVERAGE(B401:B412)</f>
        <v>30.310041666666667</v>
      </c>
      <c r="C1082" s="4">
        <f>AVERAGE(C401:C412)</f>
        <v>29.946749999999998</v>
      </c>
      <c r="D1082" s="4">
        <f>AVERAGE(D401:D412)</f>
        <v>41.727499999999999</v>
      </c>
      <c r="E1082" s="4">
        <f>AVERAGE(E401:E412)</f>
        <v>195.3805432762006</v>
      </c>
    </row>
    <row r="1083" spans="1:5" ht="15">
      <c r="A1083" s="3">
        <f t="shared" si="0"/>
        <v>2048</v>
      </c>
      <c r="B1083" s="4">
        <f>AVERAGE(B413:B424)</f>
        <v>30.774033333333335</v>
      </c>
      <c r="C1083" s="4">
        <f>AVERAGE(C413:C424)</f>
        <v>30.410749999999997</v>
      </c>
      <c r="D1083" s="4">
        <f>AVERAGE(D413:D424)</f>
        <v>42.431991666666669</v>
      </c>
      <c r="E1083" s="4">
        <f>AVERAGE(E413:E424)</f>
        <v>198.84228018109616</v>
      </c>
    </row>
    <row r="1084" spans="1:5" ht="15">
      <c r="A1084" s="3">
        <f t="shared" si="0"/>
        <v>2049</v>
      </c>
      <c r="B1084" s="4">
        <f>AVERAGE(B425:B436)</f>
        <v>31.245324999999998</v>
      </c>
      <c r="C1084" s="4">
        <f>AVERAGE(C425:C436)</f>
        <v>30.882058333333333</v>
      </c>
      <c r="D1084" s="4">
        <f>AVERAGE(D425:D436)</f>
        <v>43.148950000000006</v>
      </c>
      <c r="E1084" s="4">
        <f>AVERAGE(E425:E436)</f>
        <v>202.36535252401538</v>
      </c>
    </row>
    <row r="1085" spans="1:5" ht="15">
      <c r="A1085" s="3">
        <f t="shared" si="0"/>
        <v>2050</v>
      </c>
      <c r="B1085" s="4">
        <f>AVERAGE(B437:B448)</f>
        <v>31.724024999999997</v>
      </c>
      <c r="C1085" s="4">
        <f>AVERAGE(C437:C448)</f>
        <v>31.360758333333333</v>
      </c>
      <c r="D1085" s="4">
        <f>AVERAGE(D437:D448)</f>
        <v>43.878558333333331</v>
      </c>
      <c r="E1085" s="4">
        <f>AVERAGE(E437:E448)</f>
        <v>205.95084705304461</v>
      </c>
    </row>
    <row r="1086" spans="1:5" ht="15">
      <c r="A1086" s="3">
        <f t="shared" si="0"/>
        <v>2051</v>
      </c>
      <c r="B1086" s="4">
        <f>AVERAGE(B449:B460)</f>
        <v>32.210258333333336</v>
      </c>
      <c r="C1086" s="4">
        <f>AVERAGE(C449:C460)</f>
        <v>31.846975000000004</v>
      </c>
      <c r="D1086" s="4">
        <f>AVERAGE(D449:D460)</f>
        <v>44.621049999999997</v>
      </c>
      <c r="E1086" s="4">
        <f>AVERAGE(E449:E460)</f>
        <v>209.59986977139383</v>
      </c>
    </row>
    <row r="1087" spans="1:5" ht="15">
      <c r="A1087" s="3">
        <f t="shared" si="0"/>
        <v>2052</v>
      </c>
      <c r="B1087" s="4">
        <f>AVERAGE(B461:B472)</f>
        <v>32.704133333333338</v>
      </c>
      <c r="C1087" s="4">
        <f>AVERAGE(C461:C472)</f>
        <v>32.340849999999996</v>
      </c>
      <c r="D1087" s="4">
        <f>AVERAGE(D461:D472)</f>
        <v>45.376666666666665</v>
      </c>
      <c r="E1087" s="4">
        <f>AVERAGE(E461:E472)</f>
        <v>213.31354627855933</v>
      </c>
    </row>
    <row r="1088" spans="1:5" ht="15">
      <c r="A1088" s="3">
        <f t="shared" si="0"/>
        <v>2053</v>
      </c>
      <c r="B1088" s="4">
        <f>AVERAGE(B473:B484)</f>
        <v>33.205758333333328</v>
      </c>
      <c r="C1088" s="4">
        <f>AVERAGE(C473:C484)</f>
        <v>32.842499999999994</v>
      </c>
      <c r="D1088" s="4">
        <f>AVERAGE(D473:D484)</f>
        <v>46.145658333333323</v>
      </c>
      <c r="E1088" s="4">
        <f>AVERAGE(E473:E484)</f>
        <v>217.0930221175355</v>
      </c>
    </row>
    <row r="1089" spans="1:5" ht="15">
      <c r="A1089" s="3">
        <f t="shared" si="0"/>
        <v>2054</v>
      </c>
      <c r="B1089" s="4">
        <f>AVERAGE(B485:B496)</f>
        <v>33.715316666666659</v>
      </c>
      <c r="C1089" s="4">
        <f>AVERAGE(C485:C496)</f>
        <v>33.352025000000005</v>
      </c>
      <c r="D1089" s="4">
        <f>AVERAGE(D485:D496)</f>
        <v>46.928216666666664</v>
      </c>
      <c r="E1089" s="4">
        <f>AVERAGE(E485:E496)</f>
        <v>220.93946312817289</v>
      </c>
    </row>
    <row r="1090" spans="1:5" ht="15">
      <c r="A1090" s="3">
        <f t="shared" si="0"/>
        <v>2055</v>
      </c>
      <c r="B1090" s="4">
        <f>AVERAGE(B497:B508)</f>
        <v>34.232849999999999</v>
      </c>
      <c r="C1090" s="4">
        <f>AVERAGE(C497:C508)</f>
        <v>33.86957499999999</v>
      </c>
      <c r="D1090" s="4">
        <f>AVERAGE(D497:D508)</f>
        <v>47.724608333333329</v>
      </c>
      <c r="E1090" s="4">
        <f>AVERAGE(E497:E508)</f>
        <v>224.85405580680262</v>
      </c>
    </row>
    <row r="1091" spans="1:5" ht="15">
      <c r="A1091" s="3">
        <f t="shared" si="0"/>
        <v>2056</v>
      </c>
      <c r="B1091" s="4">
        <f>AVERAGE(B509:B520)</f>
        <v>34.758541666666666</v>
      </c>
      <c r="C1091" s="4">
        <f>AVERAGE(C509:C520)</f>
        <v>34.395258333333324</v>
      </c>
      <c r="D1091" s="4">
        <f>AVERAGE(D509:D520)</f>
        <v>48.535050000000005</v>
      </c>
      <c r="E1091" s="4">
        <f>AVERAGE(E509:E520)</f>
        <v>228.83800767222922</v>
      </c>
    </row>
    <row r="1092" spans="1:5" ht="15">
      <c r="A1092" s="3">
        <f t="shared" si="0"/>
        <v>2057</v>
      </c>
      <c r="B1092" s="4">
        <f>AVERAGE(B521:B532)</f>
        <v>35.292474999999996</v>
      </c>
      <c r="C1092" s="4">
        <f>AVERAGE(C521:C532)</f>
        <v>34.929200000000002</v>
      </c>
      <c r="D1092" s="4">
        <f>AVERAGE(D521:D532)</f>
        <v>49.359825000000001</v>
      </c>
      <c r="E1092" s="4">
        <f>AVERAGE(E521:E532)</f>
        <v>232.89254763820892</v>
      </c>
    </row>
    <row r="1093" spans="1:5" ht="15">
      <c r="A1093" s="3">
        <f t="shared" si="0"/>
        <v>2058</v>
      </c>
      <c r="B1093" s="4">
        <f>AVERAGE(B533:B544)</f>
        <v>35.834825000000002</v>
      </c>
      <c r="C1093" s="4">
        <f>AVERAGE(C533:C544)</f>
        <v>35.471533333333326</v>
      </c>
      <c r="D1093" s="4">
        <f>AVERAGE(D533:D544)</f>
        <v>50.199200000000012</v>
      </c>
      <c r="E1093" s="4">
        <f>AVERAGE(E533:E544)</f>
        <v>237.01892639252802</v>
      </c>
    </row>
    <row r="1094" spans="1:5" ht="15">
      <c r="A1094" s="3">
        <f t="shared" si="0"/>
        <v>2059</v>
      </c>
      <c r="B1094" s="4">
        <f>AVERAGE(B545:B556)</f>
        <v>36.385699999999993</v>
      </c>
      <c r="C1094" s="4">
        <f>AVERAGE(C545:C556)</f>
        <v>36.022399999999998</v>
      </c>
      <c r="D1094" s="4">
        <f>AVERAGE(D545:D556)</f>
        <v>51.053358333333335</v>
      </c>
      <c r="E1094" s="4">
        <f>AVERAGE(E545:E556)</f>
        <v>241.21841678279759</v>
      </c>
    </row>
    <row r="1095" spans="1:5" ht="15">
      <c r="A1095" s="3">
        <f t="shared" si="0"/>
        <v>2060</v>
      </c>
      <c r="B1095" s="4">
        <f>AVERAGE(B557:B568)</f>
        <v>36.945241666666668</v>
      </c>
      <c r="C1095" s="4">
        <f>AVERAGE(C557:C568)</f>
        <v>36.581941666666665</v>
      </c>
      <c r="D1095" s="4">
        <f>AVERAGE(D557:D568)</f>
        <v>51.92263333333333</v>
      </c>
      <c r="E1095" s="4">
        <f>AVERAGE(E557:E568)</f>
        <v>245.4923142090839</v>
      </c>
    </row>
    <row r="1096" spans="1:5" ht="15">
      <c r="A1096" s="3">
        <f t="shared" si="0"/>
        <v>2061</v>
      </c>
      <c r="B1096" s="4">
        <f>AVERAGE(B569:B580)</f>
        <v>37.513566666666669</v>
      </c>
      <c r="C1096" s="4">
        <f>AVERAGE(C569:C580)</f>
        <v>37.150283333333327</v>
      </c>
      <c r="D1096" s="4">
        <f>AVERAGE(D569:D580)</f>
        <v>52.807258333333344</v>
      </c>
      <c r="E1096" s="4">
        <f>AVERAGE(E569:E580)</f>
        <v>249.84193702349512</v>
      </c>
    </row>
    <row r="1097" spans="1:5" ht="15">
      <c r="A1097" s="3">
        <f t="shared" si="0"/>
        <v>2062</v>
      </c>
      <c r="B1097" s="4">
        <f t="shared" ref="B1097:E1116" ca="1" si="1">AVERAGE(OFFSET(B$581,($A1097-$A$1097)*12,0,12,1))</f>
        <v>38.090858333333337</v>
      </c>
      <c r="C1097" s="4">
        <f t="shared" ca="1" si="1"/>
        <v>37.727566666666668</v>
      </c>
      <c r="D1097" s="4">
        <f t="shared" ca="1" si="1"/>
        <v>53.707508333333344</v>
      </c>
      <c r="E1097" s="4">
        <f t="shared" ca="1" si="1"/>
        <v>254.26862693684791</v>
      </c>
    </row>
    <row r="1098" spans="1:5" ht="15">
      <c r="A1098" s="3">
        <f t="shared" si="0"/>
        <v>2063</v>
      </c>
      <c r="B1098" s="4">
        <f t="shared" ca="1" si="1"/>
        <v>38.677183333333339</v>
      </c>
      <c r="C1098" s="4">
        <f t="shared" ca="1" si="1"/>
        <v>38.313899999999997</v>
      </c>
      <c r="D1098" s="4">
        <f t="shared" ca="1" si="1"/>
        <v>54.623674999999999</v>
      </c>
      <c r="E1098" s="4">
        <f t="shared" ca="1" si="1"/>
        <v>258.77374943253994</v>
      </c>
    </row>
    <row r="1099" spans="1:5" ht="15">
      <c r="A1099" s="3">
        <f t="shared" si="0"/>
        <v>2064</v>
      </c>
      <c r="B1099" s="4">
        <f t="shared" ca="1" si="1"/>
        <v>39.272741666666668</v>
      </c>
      <c r="C1099" s="4">
        <f t="shared" ca="1" si="1"/>
        <v>38.909474999999993</v>
      </c>
      <c r="D1099" s="4">
        <f t="shared" ca="1" si="1"/>
        <v>55.556041666666658</v>
      </c>
      <c r="E1099" s="4">
        <f t="shared" ca="1" si="1"/>
        <v>263.35869418775502</v>
      </c>
    </row>
    <row r="1100" spans="1:5" ht="15">
      <c r="A1100" s="3">
        <f t="shared" si="0"/>
        <v>2065</v>
      </c>
      <c r="B1100" s="4">
        <f t="shared" ca="1" si="1"/>
        <v>39.877691666666657</v>
      </c>
      <c r="C1100" s="4">
        <f t="shared" ca="1" si="1"/>
        <v>39.514408333333328</v>
      </c>
      <c r="D1100" s="4">
        <f t="shared" ca="1" si="1"/>
        <v>56.504858333333324</v>
      </c>
      <c r="E1100" s="4">
        <f t="shared" ca="1" si="1"/>
        <v>268.02487550213158</v>
      </c>
    </row>
    <row r="1101" spans="1:5" ht="15">
      <c r="A1101" s="3">
        <f t="shared" si="0"/>
        <v>2066</v>
      </c>
      <c r="B1101" s="4">
        <f t="shared" ca="1" si="1"/>
        <v>40.492133333333328</v>
      </c>
      <c r="C1101" s="4">
        <f t="shared" ca="1" si="1"/>
        <v>40.12885</v>
      </c>
      <c r="D1101" s="4">
        <f t="shared" ca="1" si="1"/>
        <v>57.470441666666666</v>
      </c>
      <c r="E1101" s="4">
        <f t="shared" ca="1" si="1"/>
        <v>272.77373273402503</v>
      </c>
    </row>
    <row r="1102" spans="1:5" ht="15">
      <c r="A1102" s="3">
        <f t="shared" si="0"/>
        <v>2067</v>
      </c>
      <c r="B1102" s="4">
        <f t="shared" ca="1" si="1"/>
        <v>41.116241666666667</v>
      </c>
      <c r="C1102" s="4">
        <f t="shared" ca="1" si="1"/>
        <v>40.752966666666659</v>
      </c>
      <c r="D1102" s="4">
        <f t="shared" ca="1" si="1"/>
        <v>58.45310833333334</v>
      </c>
      <c r="E1102" s="4">
        <f t="shared" ca="1" si="1"/>
        <v>277.60673074450199</v>
      </c>
    </row>
    <row r="1103" spans="1:5" ht="15">
      <c r="A1103" s="3">
        <f t="shared" si="0"/>
        <v>2068</v>
      </c>
      <c r="B1103" s="4">
        <f t="shared" ca="1" si="1"/>
        <v>41.750149999999998</v>
      </c>
      <c r="C1103" s="4">
        <f t="shared" ca="1" si="1"/>
        <v>41.386874999999996</v>
      </c>
      <c r="D1103" s="4">
        <f t="shared" ca="1" si="1"/>
        <v>59.453108333333326</v>
      </c>
      <c r="E1103" s="4">
        <f t="shared" ca="1" si="1"/>
        <v>282.52536034920018</v>
      </c>
    </row>
    <row r="1104" spans="1:5" ht="15">
      <c r="A1104" s="3">
        <f t="shared" si="0"/>
        <v>2069</v>
      </c>
      <c r="B1104" s="4">
        <f t="shared" ca="1" si="1"/>
        <v>42.394049999999986</v>
      </c>
      <c r="C1104" s="4">
        <f t="shared" ca="1" si="1"/>
        <v>42.030758333333331</v>
      </c>
      <c r="D1104" s="4">
        <f t="shared" ca="1" si="1"/>
        <v>60.470775000000003</v>
      </c>
      <c r="E1104" s="4">
        <f t="shared" ca="1" si="1"/>
        <v>287.53113877819322</v>
      </c>
    </row>
    <row r="1105" spans="1:5" ht="15">
      <c r="A1105" s="3">
        <f t="shared" ref="A1105:A1135" si="2">A1104+1</f>
        <v>2070</v>
      </c>
      <c r="B1105" s="4">
        <f t="shared" ca="1" si="1"/>
        <v>43.04805833333333</v>
      </c>
      <c r="C1105" s="4">
        <f t="shared" ca="1" si="1"/>
        <v>42.684783333333336</v>
      </c>
      <c r="D1105" s="4">
        <f t="shared" ca="1" si="1"/>
        <v>61.506441666666667</v>
      </c>
      <c r="E1105" s="4">
        <f t="shared" ca="1" si="1"/>
        <v>292.62561014400558</v>
      </c>
    </row>
    <row r="1106" spans="1:5" ht="15">
      <c r="A1106" s="3">
        <f t="shared" si="2"/>
        <v>2071</v>
      </c>
      <c r="B1106" s="4">
        <f t="shared" ca="1" si="1"/>
        <v>43.712358333333334</v>
      </c>
      <c r="C1106" s="4">
        <f t="shared" ca="1" si="1"/>
        <v>43.34908333333334</v>
      </c>
      <c r="D1106" s="4">
        <f t="shared" ca="1" si="1"/>
        <v>62.560416666666661</v>
      </c>
      <c r="E1106" s="4">
        <f t="shared" ca="1" si="1"/>
        <v>297.81034591791899</v>
      </c>
    </row>
    <row r="1107" spans="1:5" ht="15">
      <c r="A1107" s="3">
        <f t="shared" si="2"/>
        <v>2072</v>
      </c>
      <c r="B1107" s="4">
        <f t="shared" ca="1" si="1"/>
        <v>44.387116666666664</v>
      </c>
      <c r="C1107" s="4">
        <f t="shared" ca="1" si="1"/>
        <v>44.023816666666654</v>
      </c>
      <c r="D1107" s="4">
        <f t="shared" ca="1" si="1"/>
        <v>63.632991666666662</v>
      </c>
      <c r="E1107" s="4">
        <f t="shared" ca="1" si="1"/>
        <v>303.08694541471635</v>
      </c>
    </row>
    <row r="1108" spans="1:5" ht="15">
      <c r="A1108" s="3">
        <f t="shared" si="2"/>
        <v>2073</v>
      </c>
      <c r="B1108" s="4">
        <f t="shared" ca="1" si="1"/>
        <v>45.072474999999997</v>
      </c>
      <c r="C1108" s="4">
        <f t="shared" ca="1" si="1"/>
        <v>44.709183333333335</v>
      </c>
      <c r="D1108" s="4">
        <f t="shared" ca="1" si="1"/>
        <v>64.724508333333333</v>
      </c>
      <c r="E1108" s="4">
        <f t="shared" ca="1" si="1"/>
        <v>308.45703628601825</v>
      </c>
    </row>
    <row r="1109" spans="1:5" ht="15">
      <c r="A1109" s="3">
        <f t="shared" si="2"/>
        <v>2074</v>
      </c>
      <c r="B1109" s="4">
        <f t="shared" ca="1" si="1"/>
        <v>45.768599999999999</v>
      </c>
      <c r="C1109" s="4">
        <f t="shared" ca="1" si="1"/>
        <v>45.405324999999998</v>
      </c>
      <c r="D1109" s="4">
        <f t="shared" ca="1" si="1"/>
        <v>65.835324999999997</v>
      </c>
      <c r="E1109" s="4">
        <f t="shared" ca="1" si="1"/>
        <v>313.92227502235625</v>
      </c>
    </row>
    <row r="1110" spans="1:5" ht="15">
      <c r="A1110" s="3">
        <f t="shared" si="2"/>
        <v>2075</v>
      </c>
      <c r="B1110" s="4">
        <f t="shared" ca="1" si="1"/>
        <v>46.475683333333329</v>
      </c>
      <c r="C1110" s="4">
        <f t="shared" ca="1" si="1"/>
        <v>46.112400000000001</v>
      </c>
      <c r="D1110" s="4">
        <f t="shared" ca="1" si="1"/>
        <v>66.965766666666667</v>
      </c>
      <c r="E1110" s="4">
        <f t="shared" ca="1" si="1"/>
        <v>319.48434746414517</v>
      </c>
    </row>
    <row r="1111" spans="1:5" ht="15">
      <c r="A1111" s="3">
        <f t="shared" si="2"/>
        <v>2076</v>
      </c>
      <c r="B1111" s="4">
        <f t="shared" ca="1" si="1"/>
        <v>47.193891666666673</v>
      </c>
      <c r="C1111" s="4">
        <f t="shared" ca="1" si="1"/>
        <v>46.830599999999997</v>
      </c>
      <c r="D1111" s="4">
        <f t="shared" ca="1" si="1"/>
        <v>68.116199999999992</v>
      </c>
      <c r="E1111" s="4">
        <f t="shared" ca="1" si="1"/>
        <v>325.14496932170647</v>
      </c>
    </row>
    <row r="1112" spans="1:5" ht="15">
      <c r="A1112" s="3">
        <f t="shared" si="2"/>
        <v>2077</v>
      </c>
      <c r="B1112" s="4">
        <f t="shared" ca="1" si="1"/>
        <v>47.923383333333327</v>
      </c>
      <c r="C1112" s="4">
        <f t="shared" ca="1" si="1"/>
        <v>47.560091666666658</v>
      </c>
      <c r="D1112" s="4">
        <f t="shared" ca="1" si="1"/>
        <v>69.28691666666667</v>
      </c>
      <c r="E1112" s="4">
        <f t="shared" ca="1" si="1"/>
        <v>330.90588670450819</v>
      </c>
    </row>
    <row r="1113" spans="1:5" ht="15">
      <c r="A1113" s="3">
        <f t="shared" si="2"/>
        <v>2078</v>
      </c>
      <c r="B1113" s="4">
        <f t="shared" ca="1" si="1"/>
        <v>48.664341666666665</v>
      </c>
      <c r="C1113" s="4">
        <f t="shared" ca="1" si="1"/>
        <v>48.301050000000004</v>
      </c>
      <c r="D1113" s="4">
        <f t="shared" ca="1" si="1"/>
        <v>70.478358333333333</v>
      </c>
      <c r="E1113" s="4">
        <f t="shared" ca="1" si="1"/>
        <v>336.76887665977841</v>
      </c>
    </row>
    <row r="1114" spans="1:5" ht="15">
      <c r="A1114" s="3">
        <f t="shared" si="2"/>
        <v>2079</v>
      </c>
      <c r="B1114" s="4">
        <f t="shared" ca="1" si="1"/>
        <v>49.416958333333334</v>
      </c>
      <c r="C1114" s="4">
        <f t="shared" ca="1" si="1"/>
        <v>49.053683333333339</v>
      </c>
      <c r="D1114" s="4">
        <f t="shared" ca="1" si="1"/>
        <v>71.690825000000004</v>
      </c>
      <c r="E1114" s="4">
        <f t="shared" ca="1" si="1"/>
        <v>342.73574772066536</v>
      </c>
    </row>
    <row r="1115" spans="1:5" ht="15">
      <c r="A1115" s="3">
        <f t="shared" si="2"/>
        <v>2080</v>
      </c>
      <c r="B1115" s="4">
        <f t="shared" ca="1" si="1"/>
        <v>50.181399999999996</v>
      </c>
      <c r="C1115" s="4">
        <f t="shared" ca="1" si="1"/>
        <v>49.818116666666661</v>
      </c>
      <c r="D1115" s="4">
        <f t="shared" ca="1" si="1"/>
        <v>72.924725000000009</v>
      </c>
      <c r="E1115" s="4">
        <f t="shared" ca="1" si="1"/>
        <v>348.80834046410763</v>
      </c>
    </row>
    <row r="1116" spans="1:5" ht="15">
      <c r="A1116" s="3">
        <f t="shared" si="2"/>
        <v>2081</v>
      </c>
      <c r="B1116" s="4">
        <f t="shared" ca="1" si="1"/>
        <v>50.957883333333342</v>
      </c>
      <c r="C1116" s="4">
        <f t="shared" ca="1" si="1"/>
        <v>50.594591666666666</v>
      </c>
      <c r="D1116" s="4">
        <f t="shared" ca="1" si="1"/>
        <v>74.180441666666667</v>
      </c>
      <c r="E1116" s="4">
        <f t="shared" ca="1" si="1"/>
        <v>354.98852807859021</v>
      </c>
    </row>
    <row r="1117" spans="1:5" ht="15">
      <c r="A1117" s="3">
        <f t="shared" si="2"/>
        <v>2082</v>
      </c>
      <c r="B1117" s="4">
        <f t="shared" ref="B1117:E1135" ca="1" si="3">AVERAGE(OFFSET(B$581,($A1117-$A$1097)*12,0,12,1))</f>
        <v>51.746549999999992</v>
      </c>
      <c r="C1117" s="4">
        <f t="shared" ca="1" si="3"/>
        <v>51.383274999999998</v>
      </c>
      <c r="D1117" s="4">
        <f t="shared" ca="1" si="3"/>
        <v>75.458324999999988</v>
      </c>
      <c r="E1117" s="4">
        <f t="shared" ca="1" si="3"/>
        <v>361.27821694195944</v>
      </c>
    </row>
    <row r="1118" spans="1:5" ht="15">
      <c r="A1118" s="3">
        <f t="shared" si="2"/>
        <v>2083</v>
      </c>
      <c r="B1118" s="4">
        <f t="shared" ca="1" si="3"/>
        <v>52.547641666666664</v>
      </c>
      <c r="C1118" s="4">
        <f t="shared" ca="1" si="3"/>
        <v>52.184366666666676</v>
      </c>
      <c r="D1118" s="4">
        <f t="shared" ca="1" si="3"/>
        <v>76.758783333333326</v>
      </c>
      <c r="E1118" s="4">
        <f t="shared" ca="1" si="3"/>
        <v>367.679347209475</v>
      </c>
    </row>
    <row r="1119" spans="1:5" ht="15">
      <c r="A1119" s="3">
        <f t="shared" si="2"/>
        <v>2084</v>
      </c>
      <c r="B1119" s="4">
        <f t="shared" ca="1" si="3"/>
        <v>53.361333333333334</v>
      </c>
      <c r="C1119" s="4">
        <f t="shared" ca="1" si="3"/>
        <v>52.998033333333346</v>
      </c>
      <c r="D1119" s="4">
        <f t="shared" ca="1" si="3"/>
        <v>78.0822</v>
      </c>
      <c r="E1119" s="4">
        <f t="shared" ca="1" si="3"/>
        <v>374.19389341228248</v>
      </c>
    </row>
    <row r="1120" spans="1:5" ht="15">
      <c r="A1120" s="3">
        <f t="shared" si="2"/>
        <v>2085</v>
      </c>
      <c r="B1120" s="4">
        <f t="shared" ca="1" si="3"/>
        <v>54.187808333333329</v>
      </c>
      <c r="C1120" s="4">
        <f t="shared" ca="1" si="3"/>
        <v>53.824516666666661</v>
      </c>
      <c r="D1120" s="4">
        <f t="shared" ca="1" si="3"/>
        <v>79.429058333333344</v>
      </c>
      <c r="E1120" s="4">
        <f t="shared" ca="1" si="3"/>
        <v>380.82386506648982</v>
      </c>
    </row>
    <row r="1121" spans="1:5" ht="15">
      <c r="A1121" s="3">
        <f t="shared" si="2"/>
        <v>2086</v>
      </c>
      <c r="B1121" s="4">
        <f t="shared" ca="1" si="3"/>
        <v>55.027258333333329</v>
      </c>
      <c r="C1121" s="4">
        <f t="shared" ca="1" si="3"/>
        <v>54.663983333333334</v>
      </c>
      <c r="D1121" s="4">
        <f t="shared" ca="1" si="3"/>
        <v>80.799658333333326</v>
      </c>
      <c r="E1121" s="4">
        <f t="shared" ca="1" si="3"/>
        <v>387.57130729303316</v>
      </c>
    </row>
    <row r="1122" spans="1:5" ht="15">
      <c r="A1122" s="3">
        <f t="shared" si="2"/>
        <v>2087</v>
      </c>
      <c r="B1122" s="4">
        <f t="shared" ca="1" si="3"/>
        <v>55.879916666666674</v>
      </c>
      <c r="C1122" s="4">
        <f t="shared" ca="1" si="3"/>
        <v>55.516658333333332</v>
      </c>
      <c r="D1122" s="4">
        <f t="shared" ca="1" si="3"/>
        <v>82.194491666666664</v>
      </c>
      <c r="E1122" s="4">
        <f t="shared" ca="1" si="3"/>
        <v>394.43830144852836</v>
      </c>
    </row>
    <row r="1123" spans="1:5" ht="15">
      <c r="A1123" s="3">
        <f t="shared" si="2"/>
        <v>2088</v>
      </c>
      <c r="B1123" s="4">
        <f t="shared" ca="1" si="3"/>
        <v>56.746016666666662</v>
      </c>
      <c r="C1123" s="4">
        <f t="shared" ca="1" si="3"/>
        <v>56.382733333333334</v>
      </c>
      <c r="D1123" s="4">
        <f t="shared" ca="1" si="3"/>
        <v>83.613983333333337</v>
      </c>
      <c r="E1123" s="4">
        <f t="shared" ca="1" si="3"/>
        <v>401.4269657672981</v>
      </c>
    </row>
    <row r="1124" spans="1:5" ht="15">
      <c r="A1124" s="3">
        <f t="shared" si="2"/>
        <v>2089</v>
      </c>
      <c r="B1124" s="4">
        <f t="shared" ca="1" si="3"/>
        <v>57.62572500000001</v>
      </c>
      <c r="C1124" s="4">
        <f t="shared" ca="1" si="3"/>
        <v>57.26243333333332</v>
      </c>
      <c r="D1124" s="4">
        <f t="shared" ca="1" si="3"/>
        <v>85.058549999999983</v>
      </c>
      <c r="E1124" s="4">
        <f t="shared" ca="1" si="3"/>
        <v>408.53945601477608</v>
      </c>
    </row>
    <row r="1125" spans="1:5" ht="15">
      <c r="A1125" s="3">
        <f t="shared" si="2"/>
        <v>2090</v>
      </c>
      <c r="B1125" s="4">
        <f t="shared" ca="1" si="3"/>
        <v>58.519233333333318</v>
      </c>
      <c r="C1125" s="4">
        <f t="shared" ca="1" si="3"/>
        <v>58.155966666666664</v>
      </c>
      <c r="D1125" s="4">
        <f t="shared" ca="1" si="3"/>
        <v>86.528616666666679</v>
      </c>
      <c r="E1125" s="4">
        <f t="shared" ca="1" si="3"/>
        <v>415.7779661524865</v>
      </c>
    </row>
    <row r="1126" spans="1:5" ht="15">
      <c r="A1126" s="3">
        <f t="shared" si="2"/>
        <v>2091</v>
      </c>
      <c r="B1126" s="4">
        <f t="shared" ca="1" si="3"/>
        <v>59.426833333333342</v>
      </c>
      <c r="C1126" s="4">
        <f t="shared" ca="1" si="3"/>
        <v>59.063549999999999</v>
      </c>
      <c r="D1126" s="4">
        <f t="shared" ca="1" si="3"/>
        <v>88.024675000000002</v>
      </c>
      <c r="E1126" s="4">
        <f t="shared" ca="1" si="3"/>
        <v>423.14472901480639</v>
      </c>
    </row>
    <row r="1127" spans="1:5" ht="15">
      <c r="A1127" s="3">
        <f t="shared" si="2"/>
        <v>2092</v>
      </c>
      <c r="B1127" s="4">
        <f t="shared" ca="1" si="3"/>
        <v>60.348700000000001</v>
      </c>
      <c r="C1127" s="4">
        <f t="shared" ca="1" si="3"/>
        <v>59.985408333333332</v>
      </c>
      <c r="D1127" s="4">
        <f t="shared" ca="1" si="3"/>
        <v>89.547166666666669</v>
      </c>
      <c r="E1127" s="4">
        <f t="shared" ca="1" si="3"/>
        <v>430.64201699772025</v>
      </c>
    </row>
    <row r="1128" spans="1:5" ht="15">
      <c r="A1128" s="3">
        <f t="shared" si="2"/>
        <v>2093</v>
      </c>
      <c r="B1128" s="4">
        <f t="shared" ca="1" si="3"/>
        <v>61.285041666666665</v>
      </c>
      <c r="C1128" s="4">
        <f t="shared" ca="1" si="3"/>
        <v>60.921741666666662</v>
      </c>
      <c r="D1128" s="4">
        <f t="shared" ca="1" si="3"/>
        <v>91.096549999999993</v>
      </c>
      <c r="E1128" s="4">
        <f t="shared" ca="1" si="3"/>
        <v>438.27214275977627</v>
      </c>
    </row>
    <row r="1129" spans="1:5" ht="15">
      <c r="A1129" s="3">
        <f t="shared" si="2"/>
        <v>2094</v>
      </c>
      <c r="B1129" s="4">
        <f t="shared" ca="1" si="3"/>
        <v>62.236108333333341</v>
      </c>
      <c r="C1129" s="4">
        <f t="shared" ca="1" si="3"/>
        <v>61.872833333333325</v>
      </c>
      <c r="D1129" s="4">
        <f t="shared" ca="1" si="3"/>
        <v>92.673316666666651</v>
      </c>
      <c r="E1129" s="4">
        <f t="shared" ca="1" si="3"/>
        <v>446.03745993546357</v>
      </c>
    </row>
    <row r="1130" spans="1:5" ht="15">
      <c r="A1130" s="3">
        <f t="shared" si="2"/>
        <v>2095</v>
      </c>
      <c r="B1130" s="4">
        <f t="shared" ca="1" si="3"/>
        <v>63.202149999999996</v>
      </c>
      <c r="C1130" s="4">
        <f t="shared" ca="1" si="3"/>
        <v>62.83885833333332</v>
      </c>
      <c r="D1130" s="4">
        <f t="shared" ca="1" si="3"/>
        <v>94.277933333333337</v>
      </c>
      <c r="E1130" s="4">
        <f t="shared" ca="1" si="3"/>
        <v>453.94036386122661</v>
      </c>
    </row>
    <row r="1131" spans="1:5" ht="15">
      <c r="A1131" s="3">
        <f t="shared" si="2"/>
        <v>2096</v>
      </c>
      <c r="B1131" s="4">
        <f t="shared" ca="1" si="3"/>
        <v>64.183366666666672</v>
      </c>
      <c r="C1131" s="4">
        <f t="shared" ca="1" si="3"/>
        <v>63.820083333333336</v>
      </c>
      <c r="D1131" s="4">
        <f t="shared" ca="1" si="3"/>
        <v>95.910925000000006</v>
      </c>
      <c r="E1131" s="4">
        <f t="shared" ca="1" si="3"/>
        <v>461.98329231434758</v>
      </c>
    </row>
    <row r="1132" spans="1:5" ht="15">
      <c r="A1132" s="3">
        <f t="shared" si="2"/>
        <v>2097</v>
      </c>
      <c r="B1132" s="4">
        <f t="shared" ca="1" si="3"/>
        <v>65.180008333333333</v>
      </c>
      <c r="C1132" s="4">
        <f t="shared" ca="1" si="3"/>
        <v>64.816733333333332</v>
      </c>
      <c r="D1132" s="4">
        <f t="shared" ca="1" si="3"/>
        <v>97.572741666666658</v>
      </c>
      <c r="E1132" s="4">
        <f t="shared" ca="1" si="3"/>
        <v>470.16872626491596</v>
      </c>
    </row>
    <row r="1133" spans="1:5" ht="15">
      <c r="A1133" s="3">
        <f t="shared" si="2"/>
        <v>2098</v>
      </c>
      <c r="B1133" s="4">
        <f t="shared" ca="1" si="3"/>
        <v>66.19234999999999</v>
      </c>
      <c r="C1133" s="4">
        <f t="shared" ca="1" si="3"/>
        <v>65.829050000000009</v>
      </c>
      <c r="D1133" s="4">
        <f t="shared" ca="1" si="3"/>
        <v>99.263924999999986</v>
      </c>
      <c r="E1133" s="4">
        <f t="shared" ca="1" si="3"/>
        <v>478.49919064112464</v>
      </c>
    </row>
    <row r="1134" spans="1:5" ht="15">
      <c r="A1134" s="3">
        <f t="shared" si="2"/>
        <v>2099</v>
      </c>
      <c r="B1134" s="4">
        <f t="shared" ca="1" si="3"/>
        <v>67.220575000000011</v>
      </c>
      <c r="C1134" s="4">
        <f t="shared" ca="1" si="3"/>
        <v>66.857308333333336</v>
      </c>
      <c r="D1134" s="4">
        <f t="shared" ca="1" si="3"/>
        <v>100.985</v>
      </c>
      <c r="E1134" s="4">
        <f t="shared" ca="1" si="3"/>
        <v>486.9772551081237</v>
      </c>
    </row>
    <row r="1135" spans="1:5" ht="15">
      <c r="A1135" s="3">
        <f t="shared" si="2"/>
        <v>2100</v>
      </c>
      <c r="B1135" s="4">
        <f t="shared" ca="1" si="3"/>
        <v>68.264983333333333</v>
      </c>
      <c r="C1135" s="4">
        <f t="shared" ca="1" si="3"/>
        <v>67.901708333333332</v>
      </c>
      <c r="D1135" s="4">
        <f t="shared" ca="1" si="3"/>
        <v>102.73648333333331</v>
      </c>
      <c r="E1135" s="4">
        <f t="shared" ca="1" si="3"/>
        <v>495.60553486067528</v>
      </c>
    </row>
    <row r="1136" spans="1:5">
      <c r="A1136" s="32"/>
    </row>
    <row r="1137" spans="1:1">
      <c r="A1137" s="32"/>
    </row>
    <row r="1138" spans="1:1">
      <c r="A1138" s="32"/>
    </row>
    <row r="1139" spans="1:1">
      <c r="A1139" s="32"/>
    </row>
    <row r="1140" spans="1:1">
      <c r="A1140" s="32"/>
    </row>
    <row r="1141" spans="1:1">
      <c r="A1141" s="32"/>
    </row>
    <row r="1142" spans="1:1">
      <c r="A1142" s="32"/>
    </row>
    <row r="1143" spans="1:1">
      <c r="A1143" s="32"/>
    </row>
    <row r="1144" spans="1:1">
      <c r="A1144" s="32"/>
    </row>
    <row r="1145" spans="1:1">
      <c r="A1145" s="32"/>
    </row>
    <row r="1146" spans="1:1">
      <c r="A1146" s="32"/>
    </row>
    <row r="1147" spans="1:1">
      <c r="A1147" s="32"/>
    </row>
    <row r="1148" spans="1:1">
      <c r="A1148" s="32"/>
    </row>
    <row r="1149" spans="1:1">
      <c r="A1149" s="32"/>
    </row>
    <row r="1150" spans="1:1">
      <c r="A1150" s="32"/>
    </row>
    <row r="1151" spans="1:1">
      <c r="A1151" s="32"/>
    </row>
    <row r="1152" spans="1:1">
      <c r="A1152" s="32"/>
    </row>
    <row r="1153" spans="1:1">
      <c r="A1153" s="32"/>
    </row>
    <row r="1154" spans="1:1">
      <c r="A1154" s="32"/>
    </row>
    <row r="1155" spans="1:1">
      <c r="A1155" s="32"/>
    </row>
  </sheetData>
  <mergeCells count="1">
    <mergeCell ref="B14:C14"/>
  </mergeCells>
  <pageMargins left="0.25" right="0.25" top="0.5" bottom="0.5" header="0.25" footer="0.25"/>
  <pageSetup orientation="portrait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9</xdr:row>
                    <xdr:rowOff>171450</xdr:rowOff>
                  </from>
                  <to>
                    <xdr:col>2</xdr:col>
                    <xdr:colOff>666750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9</xdr:row>
                    <xdr:rowOff>171450</xdr:rowOff>
                  </from>
                  <to>
                    <xdr:col>4</xdr:col>
                    <xdr:colOff>371475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35"/>
  <sheetViews>
    <sheetView zoomScale="70" zoomScaleNormal="70" workbookViewId="0">
      <pane xSplit="1" ySplit="16" topLeftCell="B17" activePane="bottomRight" state="frozen"/>
      <selection activeCell="K30" sqref="K30"/>
      <selection pane="topRight" activeCell="K30" sqref="K30"/>
      <selection pane="bottomLeft" activeCell="K30" sqref="K30"/>
      <selection pane="bottomRight" activeCell="B17" sqref="B17"/>
    </sheetView>
  </sheetViews>
  <sheetFormatPr defaultColWidth="7.109375" defaultRowHeight="12.75"/>
  <cols>
    <col min="1" max="1" width="14.5546875" style="32" customWidth="1"/>
    <col min="2" max="2" width="19" style="32" customWidth="1"/>
    <col min="3" max="3" width="16.109375" style="32" customWidth="1"/>
    <col min="4" max="4" width="20.21875" style="32" customWidth="1"/>
    <col min="5" max="5" width="20.6640625" style="32" customWidth="1"/>
    <col min="6" max="6" width="16.109375" style="32" customWidth="1"/>
    <col min="7" max="9" width="20" style="32" customWidth="1"/>
    <col min="10" max="11" width="19.109375" style="32" customWidth="1"/>
    <col min="12" max="12" width="16.109375" style="32" customWidth="1"/>
    <col min="13" max="15" width="17.6640625" style="32" customWidth="1"/>
    <col min="16" max="16384" width="7.109375" style="32"/>
  </cols>
  <sheetData>
    <row r="1" spans="1:15" ht="15.75">
      <c r="A1" s="84" t="s">
        <v>64</v>
      </c>
    </row>
    <row r="2" spans="1:15" ht="15.75">
      <c r="A2" s="84" t="s">
        <v>65</v>
      </c>
    </row>
    <row r="3" spans="1:15" ht="15.75">
      <c r="A3" s="84" t="s">
        <v>66</v>
      </c>
    </row>
    <row r="4" spans="1:15" ht="15.75">
      <c r="A4" s="84" t="s">
        <v>67</v>
      </c>
    </row>
    <row r="5" spans="1:15" ht="15.75">
      <c r="A5" s="84" t="s">
        <v>69</v>
      </c>
    </row>
    <row r="6" spans="1:15" ht="15.75">
      <c r="A6" s="84" t="s">
        <v>72</v>
      </c>
    </row>
    <row r="9" spans="1:15" ht="15" customHeight="1">
      <c r="A9" s="74" t="s">
        <v>25</v>
      </c>
    </row>
    <row r="10" spans="1:15" ht="15" customHeight="1">
      <c r="A10" s="75"/>
    </row>
    <row r="11" spans="1:15" ht="15" customHeight="1">
      <c r="A11" s="75"/>
    </row>
    <row r="12" spans="1:15" ht="15" customHeight="1">
      <c r="B12" s="74"/>
      <c r="H12" s="71" t="s">
        <v>51</v>
      </c>
    </row>
    <row r="13" spans="1:15" ht="15" customHeight="1">
      <c r="A13" s="74"/>
      <c r="B13" s="73" t="s">
        <v>24</v>
      </c>
      <c r="C13" s="72">
        <f>1-0.141</f>
        <v>0.85899999999999999</v>
      </c>
      <c r="D13" s="73" t="s">
        <v>23</v>
      </c>
      <c r="E13" s="72">
        <f>1+0.141</f>
        <v>1.141</v>
      </c>
      <c r="H13" s="71"/>
      <c r="L13" s="89"/>
      <c r="M13" s="89"/>
      <c r="N13" s="89"/>
      <c r="O13" s="89"/>
    </row>
    <row r="14" spans="1:15" ht="15" customHeight="1">
      <c r="B14" s="88" t="s">
        <v>50</v>
      </c>
      <c r="C14" s="88"/>
      <c r="D14" s="88"/>
      <c r="E14" s="90" t="s">
        <v>49</v>
      </c>
      <c r="F14" s="90"/>
      <c r="G14" s="91"/>
      <c r="H14" s="92" t="s">
        <v>48</v>
      </c>
      <c r="I14" s="92"/>
      <c r="J14" s="91" t="s">
        <v>47</v>
      </c>
      <c r="K14" s="91"/>
      <c r="L14" s="89"/>
      <c r="M14" s="89"/>
      <c r="N14" s="89"/>
      <c r="O14" s="89"/>
    </row>
    <row r="15" spans="1:15" ht="63">
      <c r="B15" s="70" t="s">
        <v>46</v>
      </c>
      <c r="C15" s="69" t="s">
        <v>45</v>
      </c>
      <c r="D15" s="68" t="s">
        <v>44</v>
      </c>
      <c r="E15" s="70" t="s">
        <v>46</v>
      </c>
      <c r="F15" s="69" t="s">
        <v>45</v>
      </c>
      <c r="G15" s="68" t="s">
        <v>44</v>
      </c>
      <c r="H15" s="69" t="s">
        <v>45</v>
      </c>
      <c r="I15" s="68" t="s">
        <v>44</v>
      </c>
      <c r="J15" s="69" t="s">
        <v>45</v>
      </c>
      <c r="K15" s="68" t="s">
        <v>44</v>
      </c>
      <c r="L15" s="60"/>
      <c r="M15" s="67"/>
      <c r="N15" s="67"/>
      <c r="O15" s="67"/>
    </row>
    <row r="16" spans="1:15" ht="20.25">
      <c r="A16" s="24" t="s">
        <v>2</v>
      </c>
      <c r="B16" s="66" t="s">
        <v>1</v>
      </c>
      <c r="C16" s="66" t="s">
        <v>1</v>
      </c>
      <c r="D16" s="66" t="s">
        <v>1</v>
      </c>
      <c r="E16" s="66" t="s">
        <v>1</v>
      </c>
      <c r="F16" s="66" t="s">
        <v>1</v>
      </c>
      <c r="G16" s="66" t="s">
        <v>1</v>
      </c>
      <c r="H16" s="66" t="s">
        <v>1</v>
      </c>
      <c r="I16" s="66" t="s">
        <v>1</v>
      </c>
      <c r="J16" s="66" t="s">
        <v>1</v>
      </c>
      <c r="K16" s="66" t="s">
        <v>1</v>
      </c>
      <c r="L16" s="65"/>
      <c r="M16" s="65"/>
      <c r="N16" s="65"/>
      <c r="O16" s="65"/>
    </row>
    <row r="17" spans="1:14" ht="15">
      <c r="A17" s="13">
        <v>42005</v>
      </c>
      <c r="B17" s="63">
        <f>2.4907 * CHOOSE(CONTROL!$C$22, $C$13, 100%, $E$13)</f>
        <v>2.4906999999999999</v>
      </c>
      <c r="C17" s="63">
        <f>2.5129 * CHOOSE(CONTROL!$C$22, $C$13, 100%, $E$13)</f>
        <v>2.5129000000000001</v>
      </c>
      <c r="D17" s="63">
        <f>2.5129 * CHOOSE(CONTROL!$C$22, $C$13, 100%, $E$13)</f>
        <v>2.5129000000000001</v>
      </c>
      <c r="E17" s="64">
        <f>3.1876 * CHOOSE(CONTROL!$C$22, $C$13, 100%, $E$13)</f>
        <v>3.1876000000000002</v>
      </c>
      <c r="F17" s="64">
        <f>3.254 * CHOOSE(CONTROL!$C$22, $C$13, 100%, $E$13)</f>
        <v>3.254</v>
      </c>
      <c r="G17" s="64">
        <f>3.2541 * CHOOSE(CONTROL!$C$22, $C$13, 100%, $E$13)</f>
        <v>3.2541000000000002</v>
      </c>
      <c r="H17" s="64">
        <f>5.613* CHOOSE(CONTROL!$C$22, $C$13, 100%, $E$13)</f>
        <v>5.6130000000000004</v>
      </c>
      <c r="I17" s="64">
        <f>5.6131 * CHOOSE(CONTROL!$C$22, $C$13, 100%, $E$13)</f>
        <v>5.6131000000000002</v>
      </c>
      <c r="J17" s="64">
        <f>3.1876 * CHOOSE(CONTROL!$C$22, $C$13, 100%, $E$13)</f>
        <v>3.1876000000000002</v>
      </c>
      <c r="K17" s="64">
        <f>3.1877 * CHOOSE(CONTROL!$C$22, $C$13, 100%, $E$13)</f>
        <v>3.1877</v>
      </c>
      <c r="L17" s="4"/>
      <c r="M17" s="64"/>
      <c r="N17" s="64"/>
    </row>
    <row r="18" spans="1:14" ht="15">
      <c r="A18" s="13">
        <v>42036</v>
      </c>
      <c r="B18" s="63">
        <f>2.4906 * CHOOSE(CONTROL!$C$22, $C$13, 100%, $E$13)</f>
        <v>2.4906000000000001</v>
      </c>
      <c r="C18" s="63">
        <f>2.5152 * CHOOSE(CONTROL!$C$22, $C$13, 100%, $E$13)</f>
        <v>2.5152000000000001</v>
      </c>
      <c r="D18" s="63">
        <f>2.5152 * CHOOSE(CONTROL!$C$22, $C$13, 100%, $E$13)</f>
        <v>2.5152000000000001</v>
      </c>
      <c r="E18" s="64">
        <f>3.1987 * CHOOSE(CONTROL!$C$22, $C$13, 100%, $E$13)</f>
        <v>3.1987000000000001</v>
      </c>
      <c r="F18" s="64">
        <f>3.254 * CHOOSE(CONTROL!$C$22, $C$13, 100%, $E$13)</f>
        <v>3.254</v>
      </c>
      <c r="G18" s="64">
        <f>3.2541 * CHOOSE(CONTROL!$C$22, $C$13, 100%, $E$13)</f>
        <v>3.2541000000000002</v>
      </c>
      <c r="H18" s="64">
        <f>5.613* CHOOSE(CONTROL!$C$22, $C$13, 100%, $E$13)</f>
        <v>5.6130000000000004</v>
      </c>
      <c r="I18" s="64">
        <f>5.6131 * CHOOSE(CONTROL!$C$22, $C$13, 100%, $E$13)</f>
        <v>5.6131000000000002</v>
      </c>
      <c r="J18" s="64">
        <f>3.1987 * CHOOSE(CONTROL!$C$22, $C$13, 100%, $E$13)</f>
        <v>3.1987000000000001</v>
      </c>
      <c r="K18" s="64">
        <f>3.1987 * CHOOSE(CONTROL!$C$22, $C$13, 100%, $E$13)</f>
        <v>3.1987000000000001</v>
      </c>
      <c r="L18" s="4"/>
      <c r="M18" s="64"/>
      <c r="N18" s="64"/>
    </row>
    <row r="19" spans="1:14" ht="15">
      <c r="A19" s="13">
        <v>42064</v>
      </c>
      <c r="B19" s="63">
        <f>2.4913 * CHOOSE(CONTROL!$C$22, $C$13, 100%, $E$13)</f>
        <v>2.4912999999999998</v>
      </c>
      <c r="C19" s="63">
        <f>2.5122 * CHOOSE(CONTROL!$C$22, $C$13, 100%, $E$13)</f>
        <v>2.5122</v>
      </c>
      <c r="D19" s="63">
        <f>2.5122 * CHOOSE(CONTROL!$C$22, $C$13, 100%, $E$13)</f>
        <v>2.5122</v>
      </c>
      <c r="E19" s="64">
        <f>3.1433 * CHOOSE(CONTROL!$C$22, $C$13, 100%, $E$13)</f>
        <v>3.1433</v>
      </c>
      <c r="F19" s="64">
        <f>3.254 * CHOOSE(CONTROL!$C$22, $C$13, 100%, $E$13)</f>
        <v>3.254</v>
      </c>
      <c r="G19" s="64">
        <f>3.2541 * CHOOSE(CONTROL!$C$22, $C$13, 100%, $E$13)</f>
        <v>3.2541000000000002</v>
      </c>
      <c r="H19" s="64">
        <f>5.613* CHOOSE(CONTROL!$C$22, $C$13, 100%, $E$13)</f>
        <v>5.6130000000000004</v>
      </c>
      <c r="I19" s="64">
        <f>5.6131 * CHOOSE(CONTROL!$C$22, $C$13, 100%, $E$13)</f>
        <v>5.6131000000000002</v>
      </c>
      <c r="J19" s="64">
        <f>3.1433 * CHOOSE(CONTROL!$C$22, $C$13, 100%, $E$13)</f>
        <v>3.1433</v>
      </c>
      <c r="K19" s="64">
        <f>3.1434 * CHOOSE(CONTROL!$C$22, $C$13, 100%, $E$13)</f>
        <v>3.1434000000000002</v>
      </c>
      <c r="L19" s="4"/>
      <c r="M19" s="64"/>
      <c r="N19" s="64"/>
    </row>
    <row r="20" spans="1:14" ht="15">
      <c r="A20" s="13">
        <v>42095</v>
      </c>
      <c r="B20" s="63">
        <f>2.489 * CHOOSE(CONTROL!$C$22, $C$13, 100%, $E$13)</f>
        <v>2.4889999999999999</v>
      </c>
      <c r="C20" s="63">
        <f>2.5091 * CHOOSE(CONTROL!$C$22, $C$13, 100%, $E$13)</f>
        <v>2.5091000000000001</v>
      </c>
      <c r="D20" s="63">
        <f>2.5091 * CHOOSE(CONTROL!$C$22, $C$13, 100%, $E$13)</f>
        <v>2.5091000000000001</v>
      </c>
      <c r="E20" s="64">
        <f>3.186 * CHOOSE(CONTROL!$C$22, $C$13, 100%, $E$13)</f>
        <v>3.1859999999999999</v>
      </c>
      <c r="F20" s="64">
        <f>3.254 * CHOOSE(CONTROL!$C$22, $C$13, 100%, $E$13)</f>
        <v>3.254</v>
      </c>
      <c r="G20" s="64">
        <f>3.2541 * CHOOSE(CONTROL!$C$22, $C$13, 100%, $E$13)</f>
        <v>3.2541000000000002</v>
      </c>
      <c r="H20" s="64">
        <f>5.6247* CHOOSE(CONTROL!$C$22, $C$13, 100%, $E$13)</f>
        <v>5.6246999999999998</v>
      </c>
      <c r="I20" s="64">
        <f>5.6248 * CHOOSE(CONTROL!$C$22, $C$13, 100%, $E$13)</f>
        <v>5.6247999999999996</v>
      </c>
      <c r="J20" s="64">
        <f>3.186 * CHOOSE(CONTROL!$C$22, $C$13, 100%, $E$13)</f>
        <v>3.1859999999999999</v>
      </c>
      <c r="K20" s="64">
        <f>3.1861 * CHOOSE(CONTROL!$C$22, $C$13, 100%, $E$13)</f>
        <v>3.1861000000000002</v>
      </c>
      <c r="L20" s="4"/>
      <c r="M20" s="64"/>
      <c r="N20" s="64"/>
    </row>
    <row r="21" spans="1:14" ht="15">
      <c r="A21" s="13">
        <v>42125</v>
      </c>
      <c r="B21" s="63">
        <f>2.4919 * CHOOSE(CONTROL!$C$22, $C$13, 100%, $E$13)</f>
        <v>2.4918999999999998</v>
      </c>
      <c r="C21" s="63">
        <f>2.5114 * CHOOSE(CONTROL!$C$22, $C$13, 100%, $E$13)</f>
        <v>2.5114000000000001</v>
      </c>
      <c r="D21" s="63">
        <f>2.5244 * CHOOSE(CONTROL!$C$22, $C$13, 100%, $E$13)</f>
        <v>2.5244</v>
      </c>
      <c r="E21" s="64">
        <f>3.186 * CHOOSE(CONTROL!$C$22, $C$13, 100%, $E$13)</f>
        <v>3.1859999999999999</v>
      </c>
      <c r="F21" s="64">
        <f>3.254 * CHOOSE(CONTROL!$C$22, $C$13, 100%, $E$13)</f>
        <v>3.254</v>
      </c>
      <c r="G21" s="64">
        <f>3.2697 * CHOOSE(CONTROL!$C$22, $C$13, 100%, $E$13)</f>
        <v>3.2696999999999998</v>
      </c>
      <c r="H21" s="64">
        <f>5.6364* CHOOSE(CONTROL!$C$22, $C$13, 100%, $E$13)</f>
        <v>5.6364000000000001</v>
      </c>
      <c r="I21" s="64">
        <f>5.6521 * CHOOSE(CONTROL!$C$22, $C$13, 100%, $E$13)</f>
        <v>5.6520999999999999</v>
      </c>
      <c r="J21" s="64">
        <f>3.186 * CHOOSE(CONTROL!$C$22, $C$13, 100%, $E$13)</f>
        <v>3.1859999999999999</v>
      </c>
      <c r="K21" s="64">
        <f>3.2017 * CHOOSE(CONTROL!$C$22, $C$13, 100%, $E$13)</f>
        <v>3.2017000000000002</v>
      </c>
      <c r="L21" s="4"/>
      <c r="M21" s="64"/>
      <c r="N21" s="64"/>
    </row>
    <row r="22" spans="1:14" ht="15">
      <c r="A22" s="13">
        <v>42156</v>
      </c>
      <c r="B22" s="63">
        <f>2.4945 * CHOOSE(CONTROL!$C$22, $C$13, 100%, $E$13)</f>
        <v>2.4944999999999999</v>
      </c>
      <c r="C22" s="63">
        <f>2.5175 * CHOOSE(CONTROL!$C$22, $C$13, 100%, $E$13)</f>
        <v>2.5175000000000001</v>
      </c>
      <c r="D22" s="63">
        <f>2.5305 * CHOOSE(CONTROL!$C$22, $C$13, 100%, $E$13)</f>
        <v>2.5305</v>
      </c>
      <c r="E22" s="64">
        <f>3.2268 * CHOOSE(CONTROL!$C$22, $C$13, 100%, $E$13)</f>
        <v>3.2267999999999999</v>
      </c>
      <c r="F22" s="64">
        <f>3.254 * CHOOSE(CONTROL!$C$22, $C$13, 100%, $E$13)</f>
        <v>3.254</v>
      </c>
      <c r="G22" s="64">
        <f>3.2697 * CHOOSE(CONTROL!$C$22, $C$13, 100%, $E$13)</f>
        <v>3.2696999999999998</v>
      </c>
      <c r="H22" s="64">
        <f>5.6482* CHOOSE(CONTROL!$C$22, $C$13, 100%, $E$13)</f>
        <v>5.6482000000000001</v>
      </c>
      <c r="I22" s="64">
        <f>5.6638 * CHOOSE(CONTROL!$C$22, $C$13, 100%, $E$13)</f>
        <v>5.6638000000000002</v>
      </c>
      <c r="J22" s="64">
        <f>3.2268 * CHOOSE(CONTROL!$C$22, $C$13, 100%, $E$13)</f>
        <v>3.2267999999999999</v>
      </c>
      <c r="K22" s="64">
        <f>3.2425 * CHOOSE(CONTROL!$C$22, $C$13, 100%, $E$13)</f>
        <v>3.2425000000000002</v>
      </c>
      <c r="L22" s="4"/>
      <c r="M22" s="64"/>
      <c r="N22" s="64"/>
    </row>
    <row r="23" spans="1:14" ht="15">
      <c r="A23" s="13">
        <v>42186</v>
      </c>
      <c r="B23" s="63">
        <f>2.5054 * CHOOSE(CONTROL!$C$22, $C$13, 100%, $E$13)</f>
        <v>2.5053999999999998</v>
      </c>
      <c r="C23" s="63">
        <f>2.5357 * CHOOSE(CONTROL!$C$22, $C$13, 100%, $E$13)</f>
        <v>2.5356999999999998</v>
      </c>
      <c r="D23" s="63">
        <f>2.5487 * CHOOSE(CONTROL!$C$22, $C$13, 100%, $E$13)</f>
        <v>2.5487000000000002</v>
      </c>
      <c r="E23" s="64">
        <f>3.2136 * CHOOSE(CONTROL!$C$22, $C$13, 100%, $E$13)</f>
        <v>3.2136</v>
      </c>
      <c r="F23" s="64">
        <f>3.254 * CHOOSE(CONTROL!$C$22, $C$13, 100%, $E$13)</f>
        <v>3.254</v>
      </c>
      <c r="G23" s="64">
        <f>3.2697 * CHOOSE(CONTROL!$C$22, $C$13, 100%, $E$13)</f>
        <v>3.2696999999999998</v>
      </c>
      <c r="H23" s="64">
        <f>5.6599* CHOOSE(CONTROL!$C$22, $C$13, 100%, $E$13)</f>
        <v>5.6599000000000004</v>
      </c>
      <c r="I23" s="64">
        <f>5.6756 * CHOOSE(CONTROL!$C$22, $C$13, 100%, $E$13)</f>
        <v>5.6756000000000002</v>
      </c>
      <c r="J23" s="64">
        <f>3.2136 * CHOOSE(CONTROL!$C$22, $C$13, 100%, $E$13)</f>
        <v>3.2136</v>
      </c>
      <c r="K23" s="64">
        <f>3.2293 * CHOOSE(CONTROL!$C$22, $C$13, 100%, $E$13)</f>
        <v>3.2292999999999998</v>
      </c>
      <c r="L23" s="4"/>
      <c r="M23" s="64"/>
      <c r="N23" s="64"/>
    </row>
    <row r="24" spans="1:14" ht="15">
      <c r="A24" s="13">
        <v>42217</v>
      </c>
      <c r="B24" s="63">
        <f>2.5144 * CHOOSE(CONTROL!$C$22, $C$13, 100%, $E$13)</f>
        <v>2.5144000000000002</v>
      </c>
      <c r="C24" s="63">
        <f>2.5502 * CHOOSE(CONTROL!$C$22, $C$13, 100%, $E$13)</f>
        <v>2.5501999999999998</v>
      </c>
      <c r="D24" s="63">
        <f>2.5631 * CHOOSE(CONTROL!$C$22, $C$13, 100%, $E$13)</f>
        <v>2.5630999999999999</v>
      </c>
      <c r="E24" s="64">
        <f>3.2338 * CHOOSE(CONTROL!$C$22, $C$13, 100%, $E$13)</f>
        <v>3.2338</v>
      </c>
      <c r="F24" s="64">
        <f>3.254 * CHOOSE(CONTROL!$C$22, $C$13, 100%, $E$13)</f>
        <v>3.254</v>
      </c>
      <c r="G24" s="64">
        <f>3.2697 * CHOOSE(CONTROL!$C$22, $C$13, 100%, $E$13)</f>
        <v>3.2696999999999998</v>
      </c>
      <c r="H24" s="64">
        <f>5.6717* CHOOSE(CONTROL!$C$22, $C$13, 100%, $E$13)</f>
        <v>5.6717000000000004</v>
      </c>
      <c r="I24" s="64">
        <f>5.6874 * CHOOSE(CONTROL!$C$22, $C$13, 100%, $E$13)</f>
        <v>5.6874000000000002</v>
      </c>
      <c r="J24" s="64">
        <f>3.2338 * CHOOSE(CONTROL!$C$22, $C$13, 100%, $E$13)</f>
        <v>3.2338</v>
      </c>
      <c r="K24" s="64">
        <f>3.2495 * CHOOSE(CONTROL!$C$22, $C$13, 100%, $E$13)</f>
        <v>3.2494999999999998</v>
      </c>
      <c r="L24" s="4"/>
      <c r="M24" s="64"/>
      <c r="N24" s="64"/>
    </row>
    <row r="25" spans="1:14" ht="15">
      <c r="A25" s="13">
        <v>42248</v>
      </c>
      <c r="B25" s="63">
        <f>2.5116 * CHOOSE(CONTROL!$C$22, $C$13, 100%, $E$13)</f>
        <v>2.5116000000000001</v>
      </c>
      <c r="C25" s="63">
        <f>2.5471 * CHOOSE(CONTROL!$C$22, $C$13, 100%, $E$13)</f>
        <v>2.5470999999999999</v>
      </c>
      <c r="D25" s="63">
        <f>2.5601 * CHOOSE(CONTROL!$C$22, $C$13, 100%, $E$13)</f>
        <v>2.5600999999999998</v>
      </c>
      <c r="E25" s="64">
        <f>3.2287 * CHOOSE(CONTROL!$C$22, $C$13, 100%, $E$13)</f>
        <v>3.2286999999999999</v>
      </c>
      <c r="F25" s="64">
        <f>3.254 * CHOOSE(CONTROL!$C$22, $C$13, 100%, $E$13)</f>
        <v>3.254</v>
      </c>
      <c r="G25" s="64">
        <f>3.2697 * CHOOSE(CONTROL!$C$22, $C$13, 100%, $E$13)</f>
        <v>3.2696999999999998</v>
      </c>
      <c r="H25" s="64">
        <f>5.6835* CHOOSE(CONTROL!$C$22, $C$13, 100%, $E$13)</f>
        <v>5.6835000000000004</v>
      </c>
      <c r="I25" s="64">
        <f>5.6992 * CHOOSE(CONTROL!$C$22, $C$13, 100%, $E$13)</f>
        <v>5.6992000000000003</v>
      </c>
      <c r="J25" s="64">
        <f>3.2287 * CHOOSE(CONTROL!$C$22, $C$13, 100%, $E$13)</f>
        <v>3.2286999999999999</v>
      </c>
      <c r="K25" s="64">
        <f>3.2444 * CHOOSE(CONTROL!$C$22, $C$13, 100%, $E$13)</f>
        <v>3.2444000000000002</v>
      </c>
      <c r="L25" s="4"/>
      <c r="M25" s="64"/>
      <c r="N25" s="64"/>
    </row>
    <row r="26" spans="1:14" ht="15">
      <c r="A26" s="13">
        <v>42278</v>
      </c>
      <c r="B26" s="63">
        <f>2.5077 * CHOOSE(CONTROL!$C$22, $C$13, 100%, $E$13)</f>
        <v>2.5076999999999998</v>
      </c>
      <c r="C26" s="63">
        <f>2.538 * CHOOSE(CONTROL!$C$22, $C$13, 100%, $E$13)</f>
        <v>2.5379999999999998</v>
      </c>
      <c r="D26" s="63">
        <f>2.538 * CHOOSE(CONTROL!$C$22, $C$13, 100%, $E$13)</f>
        <v>2.5379999999999998</v>
      </c>
      <c r="E26" s="64">
        <f>3.2365 * CHOOSE(CONTROL!$C$22, $C$13, 100%, $E$13)</f>
        <v>3.2364999999999999</v>
      </c>
      <c r="F26" s="64">
        <f>3.254 * CHOOSE(CONTROL!$C$22, $C$13, 100%, $E$13)</f>
        <v>3.254</v>
      </c>
      <c r="G26" s="64">
        <f>3.2541 * CHOOSE(CONTROL!$C$22, $C$13, 100%, $E$13)</f>
        <v>3.2541000000000002</v>
      </c>
      <c r="H26" s="64">
        <f>5.6954* CHOOSE(CONTROL!$C$22, $C$13, 100%, $E$13)</f>
        <v>5.6954000000000002</v>
      </c>
      <c r="I26" s="64">
        <f>5.6954 * CHOOSE(CONTROL!$C$22, $C$13, 100%, $E$13)</f>
        <v>5.6954000000000002</v>
      </c>
      <c r="J26" s="64">
        <f>3.2365 * CHOOSE(CONTROL!$C$22, $C$13, 100%, $E$13)</f>
        <v>3.2364999999999999</v>
      </c>
      <c r="K26" s="64">
        <f>3.2366 * CHOOSE(CONTROL!$C$22, $C$13, 100%, $E$13)</f>
        <v>3.2366000000000001</v>
      </c>
      <c r="L26" s="4"/>
      <c r="M26" s="64"/>
      <c r="N26" s="64"/>
    </row>
    <row r="27" spans="1:14" ht="15">
      <c r="A27" s="13">
        <v>42309</v>
      </c>
      <c r="B27" s="63">
        <f>2.5106 * CHOOSE(CONTROL!$C$22, $C$13, 100%, $E$13)</f>
        <v>2.5106000000000002</v>
      </c>
      <c r="C27" s="63">
        <f>2.5433 * CHOOSE(CONTROL!$C$22, $C$13, 100%, $E$13)</f>
        <v>2.5432999999999999</v>
      </c>
      <c r="D27" s="63">
        <f>2.5433 * CHOOSE(CONTROL!$C$22, $C$13, 100%, $E$13)</f>
        <v>2.5432999999999999</v>
      </c>
      <c r="E27" s="64">
        <f>3.2365 * CHOOSE(CONTROL!$C$22, $C$13, 100%, $E$13)</f>
        <v>3.2364999999999999</v>
      </c>
      <c r="F27" s="64">
        <f>3.254 * CHOOSE(CONTROL!$C$22, $C$13, 100%, $E$13)</f>
        <v>3.254</v>
      </c>
      <c r="G27" s="64">
        <f>3.2541 * CHOOSE(CONTROL!$C$22, $C$13, 100%, $E$13)</f>
        <v>3.2541000000000002</v>
      </c>
      <c r="H27" s="64">
        <f>5.7072* CHOOSE(CONTROL!$C$22, $C$13, 100%, $E$13)</f>
        <v>5.7072000000000003</v>
      </c>
      <c r="I27" s="64">
        <f>5.7073 * CHOOSE(CONTROL!$C$22, $C$13, 100%, $E$13)</f>
        <v>5.7073</v>
      </c>
      <c r="J27" s="64">
        <f>3.2365 * CHOOSE(CONTROL!$C$22, $C$13, 100%, $E$13)</f>
        <v>3.2364999999999999</v>
      </c>
      <c r="K27" s="64">
        <f>3.2366 * CHOOSE(CONTROL!$C$22, $C$13, 100%, $E$13)</f>
        <v>3.2366000000000001</v>
      </c>
      <c r="L27" s="4"/>
      <c r="M27" s="64"/>
      <c r="N27" s="64"/>
    </row>
    <row r="28" spans="1:14" ht="15">
      <c r="A28" s="13">
        <v>42339</v>
      </c>
      <c r="B28" s="63">
        <f>2.5133 * CHOOSE(CONTROL!$C$22, $C$13, 100%, $E$13)</f>
        <v>2.5133000000000001</v>
      </c>
      <c r="C28" s="63">
        <f>2.5463 * CHOOSE(CONTROL!$C$22, $C$13, 100%, $E$13)</f>
        <v>2.5463</v>
      </c>
      <c r="D28" s="63">
        <f>2.5464 * CHOOSE(CONTROL!$C$22, $C$13, 100%, $E$13)</f>
        <v>2.5464000000000002</v>
      </c>
      <c r="E28" s="64">
        <f>3.2307 * CHOOSE(CONTROL!$C$22, $C$13, 100%, $E$13)</f>
        <v>3.2307000000000001</v>
      </c>
      <c r="F28" s="64">
        <f>3.254 * CHOOSE(CONTROL!$C$22, $C$13, 100%, $E$13)</f>
        <v>3.254</v>
      </c>
      <c r="G28" s="64">
        <f>3.2541 * CHOOSE(CONTROL!$C$22, $C$13, 100%, $E$13)</f>
        <v>3.2541000000000002</v>
      </c>
      <c r="H28" s="64">
        <f>5.7191* CHOOSE(CONTROL!$C$22, $C$13, 100%, $E$13)</f>
        <v>5.7191000000000001</v>
      </c>
      <c r="I28" s="64">
        <f>5.7192 * CHOOSE(CONTROL!$C$22, $C$13, 100%, $E$13)</f>
        <v>5.7191999999999998</v>
      </c>
      <c r="J28" s="64">
        <f>3.2307 * CHOOSE(CONTROL!$C$22, $C$13, 100%, $E$13)</f>
        <v>3.2307000000000001</v>
      </c>
      <c r="K28" s="64">
        <f>3.2307 * CHOOSE(CONTROL!$C$22, $C$13, 100%, $E$13)</f>
        <v>3.2307000000000001</v>
      </c>
      <c r="L28" s="4"/>
      <c r="M28" s="64"/>
      <c r="N28" s="64"/>
    </row>
    <row r="29" spans="1:14" ht="15">
      <c r="A29" s="13">
        <v>42370</v>
      </c>
      <c r="B29" s="63">
        <f>2.8414 * CHOOSE(CONTROL!$C$22, $C$13, 100%, $E$13)</f>
        <v>2.8414000000000001</v>
      </c>
      <c r="C29" s="63">
        <f>2.8414 * CHOOSE(CONTROL!$C$22, $C$13, 100%, $E$13)</f>
        <v>2.8414000000000001</v>
      </c>
      <c r="D29" s="63">
        <f>2.8414 * CHOOSE(CONTROL!$C$22, $C$13, 100%, $E$13)</f>
        <v>2.8414000000000001</v>
      </c>
      <c r="E29" s="64">
        <f>3.358 * CHOOSE(CONTROL!$C$22, $C$13, 100%, $E$13)</f>
        <v>3.3580000000000001</v>
      </c>
      <c r="F29" s="64">
        <f>3.446 * CHOOSE(CONTROL!$C$22, $C$13, 100%, $E$13)</f>
        <v>3.4460000000000002</v>
      </c>
      <c r="G29" s="64">
        <f>3.4461 * CHOOSE(CONTROL!$C$22, $C$13, 100%, $E$13)</f>
        <v>3.4460999999999999</v>
      </c>
      <c r="H29" s="64">
        <f>5.731* CHOOSE(CONTROL!$C$22, $C$13, 100%, $E$13)</f>
        <v>5.7309999999999999</v>
      </c>
      <c r="I29" s="64">
        <f>5.7311 * CHOOSE(CONTROL!$C$22, $C$13, 100%, $E$13)</f>
        <v>5.7310999999999996</v>
      </c>
      <c r="J29" s="64">
        <f>3.358 * CHOOSE(CONTROL!$C$22, $C$13, 100%, $E$13)</f>
        <v>3.3580000000000001</v>
      </c>
      <c r="K29" s="64">
        <f>3.3581 * CHOOSE(CONTROL!$C$22, $C$13, 100%, $E$13)</f>
        <v>3.3580999999999999</v>
      </c>
      <c r="L29" s="4"/>
      <c r="M29" s="64"/>
      <c r="N29" s="64"/>
    </row>
    <row r="30" spans="1:14" ht="15">
      <c r="A30" s="13">
        <v>42401</v>
      </c>
      <c r="B30" s="63">
        <f>2.8414 * CHOOSE(CONTROL!$C$22, $C$13, 100%, $E$13)</f>
        <v>2.8414000000000001</v>
      </c>
      <c r="C30" s="63">
        <f>2.8414 * CHOOSE(CONTROL!$C$22, $C$13, 100%, $E$13)</f>
        <v>2.8414000000000001</v>
      </c>
      <c r="D30" s="63">
        <f>2.8414 * CHOOSE(CONTROL!$C$22, $C$13, 100%, $E$13)</f>
        <v>2.8414000000000001</v>
      </c>
      <c r="E30" s="64">
        <f>3.402 * CHOOSE(CONTROL!$C$22, $C$13, 100%, $E$13)</f>
        <v>3.4020000000000001</v>
      </c>
      <c r="F30" s="64">
        <f>3.446 * CHOOSE(CONTROL!$C$22, $C$13, 100%, $E$13)</f>
        <v>3.4460000000000002</v>
      </c>
      <c r="G30" s="64">
        <f>3.4461 * CHOOSE(CONTROL!$C$22, $C$13, 100%, $E$13)</f>
        <v>3.4460999999999999</v>
      </c>
      <c r="H30" s="64">
        <f>5.743* CHOOSE(CONTROL!$C$22, $C$13, 100%, $E$13)</f>
        <v>5.7430000000000003</v>
      </c>
      <c r="I30" s="64">
        <f>5.7431 * CHOOSE(CONTROL!$C$22, $C$13, 100%, $E$13)</f>
        <v>5.7431000000000001</v>
      </c>
      <c r="J30" s="64">
        <f>3.402 * CHOOSE(CONTROL!$C$22, $C$13, 100%, $E$13)</f>
        <v>3.4020000000000001</v>
      </c>
      <c r="K30" s="64">
        <f>3.4021 * CHOOSE(CONTROL!$C$22, $C$13, 100%, $E$13)</f>
        <v>3.4020999999999999</v>
      </c>
      <c r="L30" s="4"/>
      <c r="M30" s="64"/>
      <c r="N30" s="64"/>
    </row>
    <row r="31" spans="1:14" ht="15">
      <c r="A31" s="13">
        <v>42430</v>
      </c>
      <c r="B31" s="63">
        <f>2.8384 * CHOOSE(CONTROL!$C$22, $C$13, 100%, $E$13)</f>
        <v>2.8384</v>
      </c>
      <c r="C31" s="63">
        <f>2.8384 * CHOOSE(CONTROL!$C$22, $C$13, 100%, $E$13)</f>
        <v>2.8384</v>
      </c>
      <c r="D31" s="63">
        <f>2.8384 * CHOOSE(CONTROL!$C$22, $C$13, 100%, $E$13)</f>
        <v>2.8384</v>
      </c>
      <c r="E31" s="64">
        <f>3.358 * CHOOSE(CONTROL!$C$22, $C$13, 100%, $E$13)</f>
        <v>3.3580000000000001</v>
      </c>
      <c r="F31" s="64">
        <f>3.446 * CHOOSE(CONTROL!$C$22, $C$13, 100%, $E$13)</f>
        <v>3.4460000000000002</v>
      </c>
      <c r="G31" s="64">
        <f>3.4461 * CHOOSE(CONTROL!$C$22, $C$13, 100%, $E$13)</f>
        <v>3.4460999999999999</v>
      </c>
      <c r="H31" s="64">
        <f>5.7549* CHOOSE(CONTROL!$C$22, $C$13, 100%, $E$13)</f>
        <v>5.7549000000000001</v>
      </c>
      <c r="I31" s="64">
        <f>5.755 * CHOOSE(CONTROL!$C$22, $C$13, 100%, $E$13)</f>
        <v>5.7549999999999999</v>
      </c>
      <c r="J31" s="64">
        <f>3.358 * CHOOSE(CONTROL!$C$22, $C$13, 100%, $E$13)</f>
        <v>3.3580000000000001</v>
      </c>
      <c r="K31" s="64">
        <f>3.3581 * CHOOSE(CONTROL!$C$22, $C$13, 100%, $E$13)</f>
        <v>3.3580999999999999</v>
      </c>
      <c r="L31" s="4"/>
      <c r="M31" s="64"/>
      <c r="N31" s="64"/>
    </row>
    <row r="32" spans="1:14" ht="15">
      <c r="A32" s="13">
        <v>42461</v>
      </c>
      <c r="B32" s="63">
        <f>2.8276 * CHOOSE(CONTROL!$C$22, $C$13, 100%, $E$13)</f>
        <v>2.8275999999999999</v>
      </c>
      <c r="C32" s="63">
        <f>2.8276 * CHOOSE(CONTROL!$C$22, $C$13, 100%, $E$13)</f>
        <v>2.8275999999999999</v>
      </c>
      <c r="D32" s="63">
        <f>2.8276 * CHOOSE(CONTROL!$C$22, $C$13, 100%, $E$13)</f>
        <v>2.8275999999999999</v>
      </c>
      <c r="E32" s="64">
        <f>3.402 * CHOOSE(CONTROL!$C$22, $C$13, 100%, $E$13)</f>
        <v>3.4020000000000001</v>
      </c>
      <c r="F32" s="64">
        <f>3.446 * CHOOSE(CONTROL!$C$22, $C$13, 100%, $E$13)</f>
        <v>3.4460000000000002</v>
      </c>
      <c r="G32" s="64">
        <f>3.4461 * CHOOSE(CONTROL!$C$22, $C$13, 100%, $E$13)</f>
        <v>3.4460999999999999</v>
      </c>
      <c r="H32" s="64">
        <f>5.7669* CHOOSE(CONTROL!$C$22, $C$13, 100%, $E$13)</f>
        <v>5.7668999999999997</v>
      </c>
      <c r="I32" s="64">
        <f>5.767 * CHOOSE(CONTROL!$C$22, $C$13, 100%, $E$13)</f>
        <v>5.7670000000000003</v>
      </c>
      <c r="J32" s="64">
        <f>3.402 * CHOOSE(CONTROL!$C$22, $C$13, 100%, $E$13)</f>
        <v>3.4020000000000001</v>
      </c>
      <c r="K32" s="64">
        <f>3.4021 * CHOOSE(CONTROL!$C$22, $C$13, 100%, $E$13)</f>
        <v>3.4020999999999999</v>
      </c>
      <c r="L32" s="4"/>
      <c r="M32" s="64"/>
      <c r="N32" s="64"/>
    </row>
    <row r="33" spans="1:14" ht="15">
      <c r="A33" s="13">
        <v>42491</v>
      </c>
      <c r="B33" s="63">
        <f>2.8307 * CHOOSE(CONTROL!$C$22, $C$13, 100%, $E$13)</f>
        <v>2.8307000000000002</v>
      </c>
      <c r="C33" s="63">
        <f>2.8307 * CHOOSE(CONTROL!$C$22, $C$13, 100%, $E$13)</f>
        <v>2.8307000000000002</v>
      </c>
      <c r="D33" s="63">
        <f>2.8437 * CHOOSE(CONTROL!$C$22, $C$13, 100%, $E$13)</f>
        <v>2.8437000000000001</v>
      </c>
      <c r="E33" s="64">
        <f>3.358 * CHOOSE(CONTROL!$C$22, $C$13, 100%, $E$13)</f>
        <v>3.3580000000000001</v>
      </c>
      <c r="F33" s="64">
        <f>3.446 * CHOOSE(CONTROL!$C$22, $C$13, 100%, $E$13)</f>
        <v>3.4460000000000002</v>
      </c>
      <c r="G33" s="64">
        <f>3.4617 * CHOOSE(CONTROL!$C$22, $C$13, 100%, $E$13)</f>
        <v>3.4617</v>
      </c>
      <c r="H33" s="64">
        <f>5.7789* CHOOSE(CONTROL!$C$22, $C$13, 100%, $E$13)</f>
        <v>5.7789000000000001</v>
      </c>
      <c r="I33" s="64">
        <f>5.7946 * CHOOSE(CONTROL!$C$22, $C$13, 100%, $E$13)</f>
        <v>5.7946</v>
      </c>
      <c r="J33" s="64">
        <f>3.358 * CHOOSE(CONTROL!$C$22, $C$13, 100%, $E$13)</f>
        <v>3.3580000000000001</v>
      </c>
      <c r="K33" s="64">
        <f>3.3737 * CHOOSE(CONTROL!$C$22, $C$13, 100%, $E$13)</f>
        <v>3.3736999999999999</v>
      </c>
      <c r="L33" s="4"/>
      <c r="M33" s="64"/>
      <c r="N33" s="64"/>
    </row>
    <row r="34" spans="1:14" ht="15">
      <c r="A34" s="13">
        <v>42522</v>
      </c>
      <c r="B34" s="63">
        <f>2.8398 * CHOOSE(CONTROL!$C$22, $C$13, 100%, $E$13)</f>
        <v>2.8397999999999999</v>
      </c>
      <c r="C34" s="63">
        <f>2.8398 * CHOOSE(CONTROL!$C$22, $C$13, 100%, $E$13)</f>
        <v>2.8397999999999999</v>
      </c>
      <c r="D34" s="63">
        <f>2.8528 * CHOOSE(CONTROL!$C$22, $C$13, 100%, $E$13)</f>
        <v>2.8527999999999998</v>
      </c>
      <c r="E34" s="64">
        <f>3.402 * CHOOSE(CONTROL!$C$22, $C$13, 100%, $E$13)</f>
        <v>3.4020000000000001</v>
      </c>
      <c r="F34" s="64">
        <f>3.446 * CHOOSE(CONTROL!$C$22, $C$13, 100%, $E$13)</f>
        <v>3.4460000000000002</v>
      </c>
      <c r="G34" s="64">
        <f>3.4617 * CHOOSE(CONTROL!$C$22, $C$13, 100%, $E$13)</f>
        <v>3.4617</v>
      </c>
      <c r="H34" s="64">
        <f>5.791* CHOOSE(CONTROL!$C$22, $C$13, 100%, $E$13)</f>
        <v>5.7910000000000004</v>
      </c>
      <c r="I34" s="64">
        <f>5.8067 * CHOOSE(CONTROL!$C$22, $C$13, 100%, $E$13)</f>
        <v>5.8067000000000002</v>
      </c>
      <c r="J34" s="64">
        <f>3.402 * CHOOSE(CONTROL!$C$22, $C$13, 100%, $E$13)</f>
        <v>3.4020000000000001</v>
      </c>
      <c r="K34" s="64">
        <f>3.4177 * CHOOSE(CONTROL!$C$22, $C$13, 100%, $E$13)</f>
        <v>3.4177</v>
      </c>
      <c r="L34" s="4"/>
      <c r="M34" s="64"/>
      <c r="N34" s="64"/>
    </row>
    <row r="35" spans="1:14" ht="15">
      <c r="A35" s="13">
        <v>42552</v>
      </c>
      <c r="B35" s="63">
        <f>2.8772 * CHOOSE(CONTROL!$C$22, $C$13, 100%, $E$13)</f>
        <v>2.8772000000000002</v>
      </c>
      <c r="C35" s="63">
        <f>2.8772 * CHOOSE(CONTROL!$C$22, $C$13, 100%, $E$13)</f>
        <v>2.8772000000000002</v>
      </c>
      <c r="D35" s="63">
        <f>2.8902 * CHOOSE(CONTROL!$C$22, $C$13, 100%, $E$13)</f>
        <v>2.8902000000000001</v>
      </c>
      <c r="E35" s="64">
        <f>3.3756 * CHOOSE(CONTROL!$C$22, $C$13, 100%, $E$13)</f>
        <v>3.3755999999999999</v>
      </c>
      <c r="F35" s="64">
        <f>3.446 * CHOOSE(CONTROL!$C$22, $C$13, 100%, $E$13)</f>
        <v>3.4460000000000002</v>
      </c>
      <c r="G35" s="64">
        <f>3.4617 * CHOOSE(CONTROL!$C$22, $C$13, 100%, $E$13)</f>
        <v>3.4617</v>
      </c>
      <c r="H35" s="64">
        <f>5.8031* CHOOSE(CONTROL!$C$22, $C$13, 100%, $E$13)</f>
        <v>5.8030999999999997</v>
      </c>
      <c r="I35" s="64">
        <f>5.8187 * CHOOSE(CONTROL!$C$22, $C$13, 100%, $E$13)</f>
        <v>5.8186999999999998</v>
      </c>
      <c r="J35" s="64">
        <f>3.3756 * CHOOSE(CONTROL!$C$22, $C$13, 100%, $E$13)</f>
        <v>3.3755999999999999</v>
      </c>
      <c r="K35" s="64">
        <f>3.3913 * CHOOSE(CONTROL!$C$22, $C$13, 100%, $E$13)</f>
        <v>3.3913000000000002</v>
      </c>
      <c r="L35" s="4"/>
      <c r="M35" s="4"/>
      <c r="N35" s="4"/>
    </row>
    <row r="36" spans="1:14" ht="15">
      <c r="A36" s="13">
        <v>42583</v>
      </c>
      <c r="B36" s="63">
        <f>2.9046 * CHOOSE(CONTROL!$C$22, $C$13, 100%, $E$13)</f>
        <v>2.9045999999999998</v>
      </c>
      <c r="C36" s="63">
        <f>2.9046 * CHOOSE(CONTROL!$C$22, $C$13, 100%, $E$13)</f>
        <v>2.9045999999999998</v>
      </c>
      <c r="D36" s="63">
        <f>2.9175 * CHOOSE(CONTROL!$C$22, $C$13, 100%, $E$13)</f>
        <v>2.9175</v>
      </c>
      <c r="E36" s="64">
        <f>3.4108 * CHOOSE(CONTROL!$C$22, $C$13, 100%, $E$13)</f>
        <v>3.4108000000000001</v>
      </c>
      <c r="F36" s="64">
        <f>3.446 * CHOOSE(CONTROL!$C$22, $C$13, 100%, $E$13)</f>
        <v>3.4460000000000002</v>
      </c>
      <c r="G36" s="64">
        <f>3.4617 * CHOOSE(CONTROL!$C$22, $C$13, 100%, $E$13)</f>
        <v>3.4617</v>
      </c>
      <c r="H36" s="64">
        <f>5.8151* CHOOSE(CONTROL!$C$22, $C$13, 100%, $E$13)</f>
        <v>5.8151000000000002</v>
      </c>
      <c r="I36" s="64">
        <f>5.8308 * CHOOSE(CONTROL!$C$22, $C$13, 100%, $E$13)</f>
        <v>5.8308</v>
      </c>
      <c r="J36" s="64">
        <f>3.4108 * CHOOSE(CONTROL!$C$22, $C$13, 100%, $E$13)</f>
        <v>3.4108000000000001</v>
      </c>
      <c r="K36" s="64">
        <f>3.4265 * CHOOSE(CONTROL!$C$22, $C$13, 100%, $E$13)</f>
        <v>3.4264999999999999</v>
      </c>
      <c r="L36" s="4"/>
      <c r="M36" s="4"/>
      <c r="N36" s="4"/>
    </row>
    <row r="37" spans="1:14" ht="15">
      <c r="A37" s="13">
        <v>42614</v>
      </c>
      <c r="B37" s="63">
        <f>2.8985 * CHOOSE(CONTROL!$C$22, $C$13, 100%, $E$13)</f>
        <v>2.8984999999999999</v>
      </c>
      <c r="C37" s="63">
        <f>2.8985 * CHOOSE(CONTROL!$C$22, $C$13, 100%, $E$13)</f>
        <v>2.8984999999999999</v>
      </c>
      <c r="D37" s="63">
        <f>2.9115 * CHOOSE(CONTROL!$C$22, $C$13, 100%, $E$13)</f>
        <v>2.9115000000000002</v>
      </c>
      <c r="E37" s="64">
        <f>3.358 * CHOOSE(CONTROL!$C$22, $C$13, 100%, $E$13)</f>
        <v>3.3580000000000001</v>
      </c>
      <c r="F37" s="64">
        <f>3.446 * CHOOSE(CONTROL!$C$22, $C$13, 100%, $E$13)</f>
        <v>3.4460000000000002</v>
      </c>
      <c r="G37" s="64">
        <f>3.4617 * CHOOSE(CONTROL!$C$22, $C$13, 100%, $E$13)</f>
        <v>3.4617</v>
      </c>
      <c r="H37" s="64">
        <f>5.8273* CHOOSE(CONTROL!$C$22, $C$13, 100%, $E$13)</f>
        <v>5.8273000000000001</v>
      </c>
      <c r="I37" s="64">
        <f>5.8429 * CHOOSE(CONTROL!$C$22, $C$13, 100%, $E$13)</f>
        <v>5.8429000000000002</v>
      </c>
      <c r="J37" s="64">
        <f>3.358 * CHOOSE(CONTROL!$C$22, $C$13, 100%, $E$13)</f>
        <v>3.3580000000000001</v>
      </c>
      <c r="K37" s="64">
        <f>3.3737 * CHOOSE(CONTROL!$C$22, $C$13, 100%, $E$13)</f>
        <v>3.3736999999999999</v>
      </c>
      <c r="L37" s="4"/>
      <c r="M37" s="4"/>
      <c r="N37" s="4"/>
    </row>
    <row r="38" spans="1:14" ht="15">
      <c r="A38" s="13">
        <v>42644</v>
      </c>
      <c r="B38" s="63">
        <f>2.9149 * CHOOSE(CONTROL!$C$22, $C$13, 100%, $E$13)</f>
        <v>2.9148999999999998</v>
      </c>
      <c r="C38" s="63">
        <f>2.9149 * CHOOSE(CONTROL!$C$22, $C$13, 100%, $E$13)</f>
        <v>2.9148999999999998</v>
      </c>
      <c r="D38" s="63">
        <f>2.9149 * CHOOSE(CONTROL!$C$22, $C$13, 100%, $E$13)</f>
        <v>2.9148999999999998</v>
      </c>
      <c r="E38" s="64">
        <f>3.3756 * CHOOSE(CONTROL!$C$22, $C$13, 100%, $E$13)</f>
        <v>3.3755999999999999</v>
      </c>
      <c r="F38" s="64">
        <f>3.446 * CHOOSE(CONTROL!$C$22, $C$13, 100%, $E$13)</f>
        <v>3.4460000000000002</v>
      </c>
      <c r="G38" s="64">
        <f>3.4461 * CHOOSE(CONTROL!$C$22, $C$13, 100%, $E$13)</f>
        <v>3.4460999999999999</v>
      </c>
      <c r="H38" s="64">
        <f>5.8394* CHOOSE(CONTROL!$C$22, $C$13, 100%, $E$13)</f>
        <v>5.8394000000000004</v>
      </c>
      <c r="I38" s="64">
        <f>5.8395 * CHOOSE(CONTROL!$C$22, $C$13, 100%, $E$13)</f>
        <v>5.8395000000000001</v>
      </c>
      <c r="J38" s="64">
        <f>3.3756 * CHOOSE(CONTROL!$C$22, $C$13, 100%, $E$13)</f>
        <v>3.3755999999999999</v>
      </c>
      <c r="K38" s="64">
        <f>3.3757 * CHOOSE(CONTROL!$C$22, $C$13, 100%, $E$13)</f>
        <v>3.3757000000000001</v>
      </c>
      <c r="L38" s="4"/>
      <c r="M38" s="4"/>
      <c r="N38" s="4"/>
    </row>
    <row r="39" spans="1:14" ht="15">
      <c r="A39" s="13">
        <v>42675</v>
      </c>
      <c r="B39" s="63">
        <f>2.918 * CHOOSE(CONTROL!$C$22, $C$13, 100%, $E$13)</f>
        <v>2.9180000000000001</v>
      </c>
      <c r="C39" s="63">
        <f>2.918 * CHOOSE(CONTROL!$C$22, $C$13, 100%, $E$13)</f>
        <v>2.9180000000000001</v>
      </c>
      <c r="D39" s="63">
        <f>2.918 * CHOOSE(CONTROL!$C$22, $C$13, 100%, $E$13)</f>
        <v>2.9180000000000001</v>
      </c>
      <c r="E39" s="64">
        <f>3.402 * CHOOSE(CONTROL!$C$22, $C$13, 100%, $E$13)</f>
        <v>3.4020000000000001</v>
      </c>
      <c r="F39" s="64">
        <f>3.446 * CHOOSE(CONTROL!$C$22, $C$13, 100%, $E$13)</f>
        <v>3.4460000000000002</v>
      </c>
      <c r="G39" s="64">
        <f>3.4461 * CHOOSE(CONTROL!$C$22, $C$13, 100%, $E$13)</f>
        <v>3.4460999999999999</v>
      </c>
      <c r="H39" s="64">
        <f>5.8516* CHOOSE(CONTROL!$C$22, $C$13, 100%, $E$13)</f>
        <v>5.8516000000000004</v>
      </c>
      <c r="I39" s="64">
        <f>5.8516 * CHOOSE(CONTROL!$C$22, $C$13, 100%, $E$13)</f>
        <v>5.8516000000000004</v>
      </c>
      <c r="J39" s="64">
        <f>3.402 * CHOOSE(CONTROL!$C$22, $C$13, 100%, $E$13)</f>
        <v>3.4020000000000001</v>
      </c>
      <c r="K39" s="64">
        <f>3.4021 * CHOOSE(CONTROL!$C$22, $C$13, 100%, $E$13)</f>
        <v>3.4020999999999999</v>
      </c>
      <c r="L39" s="4"/>
      <c r="M39" s="4"/>
      <c r="N39" s="4"/>
    </row>
    <row r="40" spans="1:14" ht="15">
      <c r="A40" s="13">
        <v>42705</v>
      </c>
      <c r="B40" s="63">
        <f>2.921 * CHOOSE(CONTROL!$C$22, $C$13, 100%, $E$13)</f>
        <v>2.9209999999999998</v>
      </c>
      <c r="C40" s="63">
        <f>2.921 * CHOOSE(CONTROL!$C$22, $C$13, 100%, $E$13)</f>
        <v>2.9209999999999998</v>
      </c>
      <c r="D40" s="63">
        <f>2.921 * CHOOSE(CONTROL!$C$22, $C$13, 100%, $E$13)</f>
        <v>2.9209999999999998</v>
      </c>
      <c r="E40" s="64">
        <f>3.446 * CHOOSE(CONTROL!$C$22, $C$13, 100%, $E$13)</f>
        <v>3.4460000000000002</v>
      </c>
      <c r="F40" s="64">
        <f>3.446 * CHOOSE(CONTROL!$C$22, $C$13, 100%, $E$13)</f>
        <v>3.4460000000000002</v>
      </c>
      <c r="G40" s="64">
        <f>3.4461 * CHOOSE(CONTROL!$C$22, $C$13, 100%, $E$13)</f>
        <v>3.4460999999999999</v>
      </c>
      <c r="H40" s="64">
        <f>5.8638* CHOOSE(CONTROL!$C$22, $C$13, 100%, $E$13)</f>
        <v>5.8638000000000003</v>
      </c>
      <c r="I40" s="64">
        <f>5.8638 * CHOOSE(CONTROL!$C$22, $C$13, 100%, $E$13)</f>
        <v>5.8638000000000003</v>
      </c>
      <c r="J40" s="64">
        <f>3.446 * CHOOSE(CONTROL!$C$22, $C$13, 100%, $E$13)</f>
        <v>3.4460000000000002</v>
      </c>
      <c r="K40" s="64">
        <f>3.4461 * CHOOSE(CONTROL!$C$22, $C$13, 100%, $E$13)</f>
        <v>3.4460999999999999</v>
      </c>
      <c r="L40" s="4"/>
      <c r="M40" s="4"/>
      <c r="N40" s="4"/>
    </row>
    <row r="41" spans="1:14" ht="15">
      <c r="A41" s="13">
        <v>42736</v>
      </c>
      <c r="B41" s="63">
        <f>2.9632 * CHOOSE(CONTROL!$C$22, $C$13, 100%, $E$13)</f>
        <v>2.9632000000000001</v>
      </c>
      <c r="C41" s="63">
        <f>2.9632 * CHOOSE(CONTROL!$C$22, $C$13, 100%, $E$13)</f>
        <v>2.9632000000000001</v>
      </c>
      <c r="D41" s="63">
        <f>2.9632 * CHOOSE(CONTROL!$C$22, $C$13, 100%, $E$13)</f>
        <v>2.9632000000000001</v>
      </c>
      <c r="E41" s="64">
        <f>3.5517 * CHOOSE(CONTROL!$C$22, $C$13, 100%, $E$13)</f>
        <v>3.5516999999999999</v>
      </c>
      <c r="F41" s="64">
        <f>3.5517 * CHOOSE(CONTROL!$C$22, $C$13, 100%, $E$13)</f>
        <v>3.5516999999999999</v>
      </c>
      <c r="G41" s="64">
        <f>3.5517 * CHOOSE(CONTROL!$C$22, $C$13, 100%, $E$13)</f>
        <v>3.5516999999999999</v>
      </c>
      <c r="H41" s="64">
        <f>5.876* CHOOSE(CONTROL!$C$22, $C$13, 100%, $E$13)</f>
        <v>5.8760000000000003</v>
      </c>
      <c r="I41" s="64">
        <f>5.876 * CHOOSE(CONTROL!$C$22, $C$13, 100%, $E$13)</f>
        <v>5.8760000000000003</v>
      </c>
      <c r="J41" s="64">
        <f>3.5517 * CHOOSE(CONTROL!$C$22, $C$13, 100%, $E$13)</f>
        <v>3.5516999999999999</v>
      </c>
      <c r="K41" s="64">
        <f>3.5517 * CHOOSE(CONTROL!$C$22, $C$13, 100%, $E$13)</f>
        <v>3.5516999999999999</v>
      </c>
      <c r="L41" s="4"/>
      <c r="M41" s="4"/>
      <c r="N41" s="4"/>
    </row>
    <row r="42" spans="1:14" ht="15">
      <c r="A42" s="13">
        <v>42767</v>
      </c>
      <c r="B42" s="63">
        <f>2.9601 * CHOOSE(CONTROL!$C$22, $C$13, 100%, $E$13)</f>
        <v>2.9601000000000002</v>
      </c>
      <c r="C42" s="63">
        <f>2.9601 * CHOOSE(CONTROL!$C$22, $C$13, 100%, $E$13)</f>
        <v>2.9601000000000002</v>
      </c>
      <c r="D42" s="63">
        <f>2.9602 * CHOOSE(CONTROL!$C$22, $C$13, 100%, $E$13)</f>
        <v>2.9601999999999999</v>
      </c>
      <c r="E42" s="64">
        <f>3.521 * CHOOSE(CONTROL!$C$22, $C$13, 100%, $E$13)</f>
        <v>3.5209999999999999</v>
      </c>
      <c r="F42" s="64">
        <f>3.521 * CHOOSE(CONTROL!$C$22, $C$13, 100%, $E$13)</f>
        <v>3.5209999999999999</v>
      </c>
      <c r="G42" s="64">
        <f>3.5211 * CHOOSE(CONTROL!$C$22, $C$13, 100%, $E$13)</f>
        <v>3.5211000000000001</v>
      </c>
      <c r="H42" s="64">
        <f>5.8882* CHOOSE(CONTROL!$C$22, $C$13, 100%, $E$13)</f>
        <v>5.8882000000000003</v>
      </c>
      <c r="I42" s="64">
        <f>5.8883 * CHOOSE(CONTROL!$C$22, $C$13, 100%, $E$13)</f>
        <v>5.8883000000000001</v>
      </c>
      <c r="J42" s="64">
        <f>3.521 * CHOOSE(CONTROL!$C$22, $C$13, 100%, $E$13)</f>
        <v>3.5209999999999999</v>
      </c>
      <c r="K42" s="64">
        <f>3.5211 * CHOOSE(CONTROL!$C$22, $C$13, 100%, $E$13)</f>
        <v>3.5211000000000001</v>
      </c>
      <c r="L42" s="4"/>
      <c r="M42" s="4"/>
      <c r="N42" s="4"/>
    </row>
    <row r="43" spans="1:14" ht="15">
      <c r="A43" s="13">
        <v>42795</v>
      </c>
      <c r="B43" s="63">
        <f>2.9571 * CHOOSE(CONTROL!$C$22, $C$13, 100%, $E$13)</f>
        <v>2.9571000000000001</v>
      </c>
      <c r="C43" s="63">
        <f>2.9571 * CHOOSE(CONTROL!$C$22, $C$13, 100%, $E$13)</f>
        <v>2.9571000000000001</v>
      </c>
      <c r="D43" s="63">
        <f>2.9571 * CHOOSE(CONTROL!$C$22, $C$13, 100%, $E$13)</f>
        <v>2.9571000000000001</v>
      </c>
      <c r="E43" s="64">
        <f>3.5414 * CHOOSE(CONTROL!$C$22, $C$13, 100%, $E$13)</f>
        <v>3.5413999999999999</v>
      </c>
      <c r="F43" s="64">
        <f>3.5414 * CHOOSE(CONTROL!$C$22, $C$13, 100%, $E$13)</f>
        <v>3.5413999999999999</v>
      </c>
      <c r="G43" s="64">
        <f>3.5415 * CHOOSE(CONTROL!$C$22, $C$13, 100%, $E$13)</f>
        <v>3.5415000000000001</v>
      </c>
      <c r="H43" s="64">
        <f>5.9005* CHOOSE(CONTROL!$C$22, $C$13, 100%, $E$13)</f>
        <v>5.9005000000000001</v>
      </c>
      <c r="I43" s="64">
        <f>5.9006 * CHOOSE(CONTROL!$C$22, $C$13, 100%, $E$13)</f>
        <v>5.9005999999999998</v>
      </c>
      <c r="J43" s="64">
        <f>3.5414 * CHOOSE(CONTROL!$C$22, $C$13, 100%, $E$13)</f>
        <v>3.5413999999999999</v>
      </c>
      <c r="K43" s="64">
        <f>3.5415 * CHOOSE(CONTROL!$C$22, $C$13, 100%, $E$13)</f>
        <v>3.5415000000000001</v>
      </c>
      <c r="L43" s="4"/>
      <c r="M43" s="4"/>
      <c r="N43" s="4"/>
    </row>
    <row r="44" spans="1:14" ht="15">
      <c r="A44" s="13">
        <v>42826</v>
      </c>
      <c r="B44" s="63">
        <f>2.9537 * CHOOSE(CONTROL!$C$22, $C$13, 100%, $E$13)</f>
        <v>2.9537</v>
      </c>
      <c r="C44" s="63">
        <f>2.9537 * CHOOSE(CONTROL!$C$22, $C$13, 100%, $E$13)</f>
        <v>2.9537</v>
      </c>
      <c r="D44" s="63">
        <f>2.9537 * CHOOSE(CONTROL!$C$22, $C$13, 100%, $E$13)</f>
        <v>2.9537</v>
      </c>
      <c r="E44" s="64">
        <f>3.5613 * CHOOSE(CONTROL!$C$22, $C$13, 100%, $E$13)</f>
        <v>3.5613000000000001</v>
      </c>
      <c r="F44" s="64">
        <f>3.5613 * CHOOSE(CONTROL!$C$22, $C$13, 100%, $E$13)</f>
        <v>3.5613000000000001</v>
      </c>
      <c r="G44" s="64">
        <f>3.5614 * CHOOSE(CONTROL!$C$22, $C$13, 100%, $E$13)</f>
        <v>3.5613999999999999</v>
      </c>
      <c r="H44" s="64">
        <f>5.9128* CHOOSE(CONTROL!$C$22, $C$13, 100%, $E$13)</f>
        <v>5.9127999999999998</v>
      </c>
      <c r="I44" s="64">
        <f>5.9129 * CHOOSE(CONTROL!$C$22, $C$13, 100%, $E$13)</f>
        <v>5.9128999999999996</v>
      </c>
      <c r="J44" s="64">
        <f>3.5613 * CHOOSE(CONTROL!$C$22, $C$13, 100%, $E$13)</f>
        <v>3.5613000000000001</v>
      </c>
      <c r="K44" s="64">
        <f>3.5614 * CHOOSE(CONTROL!$C$22, $C$13, 100%, $E$13)</f>
        <v>3.5613999999999999</v>
      </c>
      <c r="L44" s="4"/>
      <c r="M44" s="4"/>
      <c r="N44" s="4"/>
    </row>
    <row r="45" spans="1:14" ht="15">
      <c r="A45" s="13">
        <v>42856</v>
      </c>
      <c r="B45" s="63">
        <f>2.9537 * CHOOSE(CONTROL!$C$22, $C$13, 100%, $E$13)</f>
        <v>2.9537</v>
      </c>
      <c r="C45" s="63">
        <f>2.9537 * CHOOSE(CONTROL!$C$22, $C$13, 100%, $E$13)</f>
        <v>2.9537</v>
      </c>
      <c r="D45" s="63">
        <f>2.9667 * CHOOSE(CONTROL!$C$22, $C$13, 100%, $E$13)</f>
        <v>2.9666999999999999</v>
      </c>
      <c r="E45" s="64">
        <f>3.5704 * CHOOSE(CONTROL!$C$22, $C$13, 100%, $E$13)</f>
        <v>3.5703999999999998</v>
      </c>
      <c r="F45" s="64">
        <f>3.5704 * CHOOSE(CONTROL!$C$22, $C$13, 100%, $E$13)</f>
        <v>3.5703999999999998</v>
      </c>
      <c r="G45" s="64">
        <f>3.5861 * CHOOSE(CONTROL!$C$22, $C$13, 100%, $E$13)</f>
        <v>3.5861000000000001</v>
      </c>
      <c r="H45" s="64">
        <f>5.9251* CHOOSE(CONTROL!$C$22, $C$13, 100%, $E$13)</f>
        <v>5.9250999999999996</v>
      </c>
      <c r="I45" s="64">
        <f>5.9408 * CHOOSE(CONTROL!$C$22, $C$13, 100%, $E$13)</f>
        <v>5.9408000000000003</v>
      </c>
      <c r="J45" s="64">
        <f>3.5704 * CHOOSE(CONTROL!$C$22, $C$13, 100%, $E$13)</f>
        <v>3.5703999999999998</v>
      </c>
      <c r="K45" s="64">
        <f>3.5861 * CHOOSE(CONTROL!$C$22, $C$13, 100%, $E$13)</f>
        <v>3.5861000000000001</v>
      </c>
      <c r="L45" s="4"/>
      <c r="M45" s="4"/>
      <c r="N45" s="4"/>
    </row>
    <row r="46" spans="1:14" ht="15">
      <c r="A46" s="13">
        <v>42887</v>
      </c>
      <c r="B46" s="63">
        <f>2.9598 * CHOOSE(CONTROL!$C$22, $C$13, 100%, $E$13)</f>
        <v>2.9598</v>
      </c>
      <c r="C46" s="63">
        <f>2.9598 * CHOOSE(CONTROL!$C$22, $C$13, 100%, $E$13)</f>
        <v>2.9598</v>
      </c>
      <c r="D46" s="63">
        <f>2.9727 * CHOOSE(CONTROL!$C$22, $C$13, 100%, $E$13)</f>
        <v>2.9727000000000001</v>
      </c>
      <c r="E46" s="64">
        <f>3.5655 * CHOOSE(CONTROL!$C$22, $C$13, 100%, $E$13)</f>
        <v>3.5655000000000001</v>
      </c>
      <c r="F46" s="64">
        <f>3.5655 * CHOOSE(CONTROL!$C$22, $C$13, 100%, $E$13)</f>
        <v>3.5655000000000001</v>
      </c>
      <c r="G46" s="64">
        <f>3.5812 * CHOOSE(CONTROL!$C$22, $C$13, 100%, $E$13)</f>
        <v>3.5811999999999999</v>
      </c>
      <c r="H46" s="64">
        <f>5.9374* CHOOSE(CONTROL!$C$22, $C$13, 100%, $E$13)</f>
        <v>5.9374000000000002</v>
      </c>
      <c r="I46" s="64">
        <f>5.9531 * CHOOSE(CONTROL!$C$22, $C$13, 100%, $E$13)</f>
        <v>5.9531000000000001</v>
      </c>
      <c r="J46" s="64">
        <f>3.5655 * CHOOSE(CONTROL!$C$22, $C$13, 100%, $E$13)</f>
        <v>3.5655000000000001</v>
      </c>
      <c r="K46" s="64">
        <f>3.5812 * CHOOSE(CONTROL!$C$22, $C$13, 100%, $E$13)</f>
        <v>3.5811999999999999</v>
      </c>
      <c r="L46" s="4"/>
      <c r="M46" s="4"/>
      <c r="N46" s="4"/>
    </row>
    <row r="47" spans="1:14" ht="15">
      <c r="A47" s="13">
        <v>42917</v>
      </c>
      <c r="B47" s="63">
        <f>3.0475 * CHOOSE(CONTROL!$C$22, $C$13, 100%, $E$13)</f>
        <v>3.0474999999999999</v>
      </c>
      <c r="C47" s="63">
        <f>3.0475 * CHOOSE(CONTROL!$C$22, $C$13, 100%, $E$13)</f>
        <v>3.0474999999999999</v>
      </c>
      <c r="D47" s="63">
        <f>3.0605 * CHOOSE(CONTROL!$C$22, $C$13, 100%, $E$13)</f>
        <v>3.0605000000000002</v>
      </c>
      <c r="E47" s="64">
        <f>3.6468 * CHOOSE(CONTROL!$C$22, $C$13, 100%, $E$13)</f>
        <v>3.6467999999999998</v>
      </c>
      <c r="F47" s="64">
        <f>3.6468 * CHOOSE(CONTROL!$C$22, $C$13, 100%, $E$13)</f>
        <v>3.6467999999999998</v>
      </c>
      <c r="G47" s="64">
        <f>3.6624 * CHOOSE(CONTROL!$C$22, $C$13, 100%, $E$13)</f>
        <v>3.6623999999999999</v>
      </c>
      <c r="H47" s="64">
        <f>5.9498* CHOOSE(CONTROL!$C$22, $C$13, 100%, $E$13)</f>
        <v>5.9497999999999998</v>
      </c>
      <c r="I47" s="64">
        <f>5.9655 * CHOOSE(CONTROL!$C$22, $C$13, 100%, $E$13)</f>
        <v>5.9654999999999996</v>
      </c>
      <c r="J47" s="64">
        <f>3.6468 * CHOOSE(CONTROL!$C$22, $C$13, 100%, $E$13)</f>
        <v>3.6467999999999998</v>
      </c>
      <c r="K47" s="64">
        <f>3.6624 * CHOOSE(CONTROL!$C$22, $C$13, 100%, $E$13)</f>
        <v>3.6623999999999999</v>
      </c>
      <c r="L47" s="4"/>
      <c r="M47" s="4"/>
      <c r="N47" s="4"/>
    </row>
    <row r="48" spans="1:14" ht="15">
      <c r="A48" s="13">
        <v>42948</v>
      </c>
      <c r="B48" s="63">
        <f>3.0542 * CHOOSE(CONTROL!$C$22, $C$13, 100%, $E$13)</f>
        <v>3.0541999999999998</v>
      </c>
      <c r="C48" s="63">
        <f>3.0542 * CHOOSE(CONTROL!$C$22, $C$13, 100%, $E$13)</f>
        <v>3.0541999999999998</v>
      </c>
      <c r="D48" s="63">
        <f>3.0672 * CHOOSE(CONTROL!$C$22, $C$13, 100%, $E$13)</f>
        <v>3.0672000000000001</v>
      </c>
      <c r="E48" s="64">
        <f>3.6242 * CHOOSE(CONTROL!$C$22, $C$13, 100%, $E$13)</f>
        <v>3.6242000000000001</v>
      </c>
      <c r="F48" s="64">
        <f>3.6242 * CHOOSE(CONTROL!$C$22, $C$13, 100%, $E$13)</f>
        <v>3.6242000000000001</v>
      </c>
      <c r="G48" s="64">
        <f>3.6399 * CHOOSE(CONTROL!$C$22, $C$13, 100%, $E$13)</f>
        <v>3.6398999999999999</v>
      </c>
      <c r="H48" s="64">
        <f>5.9622* CHOOSE(CONTROL!$C$22, $C$13, 100%, $E$13)</f>
        <v>5.9622000000000002</v>
      </c>
      <c r="I48" s="64">
        <f>5.9779 * CHOOSE(CONTROL!$C$22, $C$13, 100%, $E$13)</f>
        <v>5.9779</v>
      </c>
      <c r="J48" s="64">
        <f>3.6242 * CHOOSE(CONTROL!$C$22, $C$13, 100%, $E$13)</f>
        <v>3.6242000000000001</v>
      </c>
      <c r="K48" s="64">
        <f>3.6399 * CHOOSE(CONTROL!$C$22, $C$13, 100%, $E$13)</f>
        <v>3.6398999999999999</v>
      </c>
      <c r="L48" s="4"/>
      <c r="M48" s="4"/>
      <c r="N48" s="4"/>
    </row>
    <row r="49" spans="1:14" ht="15">
      <c r="A49" s="13">
        <v>42979</v>
      </c>
      <c r="B49" s="63">
        <f>3.0512 * CHOOSE(CONTROL!$C$22, $C$13, 100%, $E$13)</f>
        <v>3.0512000000000001</v>
      </c>
      <c r="C49" s="63">
        <f>3.0512 * CHOOSE(CONTROL!$C$22, $C$13, 100%, $E$13)</f>
        <v>3.0512000000000001</v>
      </c>
      <c r="D49" s="63">
        <f>3.0642 * CHOOSE(CONTROL!$C$22, $C$13, 100%, $E$13)</f>
        <v>3.0642</v>
      </c>
      <c r="E49" s="64">
        <f>3.6191 * CHOOSE(CONTROL!$C$22, $C$13, 100%, $E$13)</f>
        <v>3.6191</v>
      </c>
      <c r="F49" s="64">
        <f>3.6191 * CHOOSE(CONTROL!$C$22, $C$13, 100%, $E$13)</f>
        <v>3.6191</v>
      </c>
      <c r="G49" s="64">
        <f>3.6348 * CHOOSE(CONTROL!$C$22, $C$13, 100%, $E$13)</f>
        <v>3.6347999999999998</v>
      </c>
      <c r="H49" s="64">
        <f>5.9746* CHOOSE(CONTROL!$C$22, $C$13, 100%, $E$13)</f>
        <v>5.9745999999999997</v>
      </c>
      <c r="I49" s="64">
        <f>5.9903 * CHOOSE(CONTROL!$C$22, $C$13, 100%, $E$13)</f>
        <v>5.9903000000000004</v>
      </c>
      <c r="J49" s="64">
        <f>3.6191 * CHOOSE(CONTROL!$C$22, $C$13, 100%, $E$13)</f>
        <v>3.6191</v>
      </c>
      <c r="K49" s="64">
        <f>3.6348 * CHOOSE(CONTROL!$C$22, $C$13, 100%, $E$13)</f>
        <v>3.6347999999999998</v>
      </c>
      <c r="L49" s="4"/>
      <c r="M49" s="4"/>
      <c r="N49" s="4"/>
    </row>
    <row r="50" spans="1:14" ht="15">
      <c r="A50" s="13">
        <v>43009</v>
      </c>
      <c r="B50" s="63">
        <f>3.0423 * CHOOSE(CONTROL!$C$22, $C$13, 100%, $E$13)</f>
        <v>3.0423</v>
      </c>
      <c r="C50" s="63">
        <f>3.0423 * CHOOSE(CONTROL!$C$22, $C$13, 100%, $E$13)</f>
        <v>3.0423</v>
      </c>
      <c r="D50" s="63">
        <f>3.0423 * CHOOSE(CONTROL!$C$22, $C$13, 100%, $E$13)</f>
        <v>3.0423</v>
      </c>
      <c r="E50" s="64">
        <f>3.6178 * CHOOSE(CONTROL!$C$22, $C$13, 100%, $E$13)</f>
        <v>3.6177999999999999</v>
      </c>
      <c r="F50" s="64">
        <f>3.6178 * CHOOSE(CONTROL!$C$22, $C$13, 100%, $E$13)</f>
        <v>3.6177999999999999</v>
      </c>
      <c r="G50" s="64">
        <f>3.6178 * CHOOSE(CONTROL!$C$22, $C$13, 100%, $E$13)</f>
        <v>3.6177999999999999</v>
      </c>
      <c r="H50" s="64">
        <f>5.9871* CHOOSE(CONTROL!$C$22, $C$13, 100%, $E$13)</f>
        <v>5.9870999999999999</v>
      </c>
      <c r="I50" s="64">
        <f>5.9871 * CHOOSE(CONTROL!$C$22, $C$13, 100%, $E$13)</f>
        <v>5.9870999999999999</v>
      </c>
      <c r="J50" s="64">
        <f>3.6178 * CHOOSE(CONTROL!$C$22, $C$13, 100%, $E$13)</f>
        <v>3.6177999999999999</v>
      </c>
      <c r="K50" s="64">
        <f>3.6178 * CHOOSE(CONTROL!$C$22, $C$13, 100%, $E$13)</f>
        <v>3.6177999999999999</v>
      </c>
      <c r="L50" s="4"/>
      <c r="M50" s="4"/>
      <c r="N50" s="4"/>
    </row>
    <row r="51" spans="1:14" ht="15">
      <c r="A51" s="13">
        <v>43040</v>
      </c>
      <c r="B51" s="63">
        <f>3.0454 * CHOOSE(CONTROL!$C$22, $C$13, 100%, $E$13)</f>
        <v>3.0453999999999999</v>
      </c>
      <c r="C51" s="63">
        <f>3.0454 * CHOOSE(CONTROL!$C$22, $C$13, 100%, $E$13)</f>
        <v>3.0453999999999999</v>
      </c>
      <c r="D51" s="63">
        <f>3.0454 * CHOOSE(CONTROL!$C$22, $C$13, 100%, $E$13)</f>
        <v>3.0453999999999999</v>
      </c>
      <c r="E51" s="64">
        <f>3.6259 * CHOOSE(CONTROL!$C$22, $C$13, 100%, $E$13)</f>
        <v>3.6259000000000001</v>
      </c>
      <c r="F51" s="64">
        <f>3.6259 * CHOOSE(CONTROL!$C$22, $C$13, 100%, $E$13)</f>
        <v>3.6259000000000001</v>
      </c>
      <c r="G51" s="64">
        <f>3.626 * CHOOSE(CONTROL!$C$22, $C$13, 100%, $E$13)</f>
        <v>3.6259999999999999</v>
      </c>
      <c r="H51" s="64">
        <f>5.9995* CHOOSE(CONTROL!$C$22, $C$13, 100%, $E$13)</f>
        <v>5.9995000000000003</v>
      </c>
      <c r="I51" s="64">
        <f>5.9996 * CHOOSE(CONTROL!$C$22, $C$13, 100%, $E$13)</f>
        <v>5.9996</v>
      </c>
      <c r="J51" s="64">
        <f>3.6259 * CHOOSE(CONTROL!$C$22, $C$13, 100%, $E$13)</f>
        <v>3.6259000000000001</v>
      </c>
      <c r="K51" s="64">
        <f>3.626 * CHOOSE(CONTROL!$C$22, $C$13, 100%, $E$13)</f>
        <v>3.6259999999999999</v>
      </c>
      <c r="L51" s="4"/>
      <c r="M51" s="4"/>
      <c r="N51" s="4"/>
    </row>
    <row r="52" spans="1:14" ht="15">
      <c r="A52" s="13">
        <v>43070</v>
      </c>
      <c r="B52" s="63">
        <f>3.0454 * CHOOSE(CONTROL!$C$22, $C$13, 100%, $E$13)</f>
        <v>3.0453999999999999</v>
      </c>
      <c r="C52" s="63">
        <f>3.0454 * CHOOSE(CONTROL!$C$22, $C$13, 100%, $E$13)</f>
        <v>3.0453999999999999</v>
      </c>
      <c r="D52" s="63">
        <f>3.0454 * CHOOSE(CONTROL!$C$22, $C$13, 100%, $E$13)</f>
        <v>3.0453999999999999</v>
      </c>
      <c r="E52" s="64">
        <f>3.6108 * CHOOSE(CONTROL!$C$22, $C$13, 100%, $E$13)</f>
        <v>3.6107999999999998</v>
      </c>
      <c r="F52" s="64">
        <f>3.6108 * CHOOSE(CONTROL!$C$22, $C$13, 100%, $E$13)</f>
        <v>3.6107999999999998</v>
      </c>
      <c r="G52" s="64">
        <f>3.6109 * CHOOSE(CONTROL!$C$22, $C$13, 100%, $E$13)</f>
        <v>3.6109</v>
      </c>
      <c r="H52" s="64">
        <f>6.012* CHOOSE(CONTROL!$C$22, $C$13, 100%, $E$13)</f>
        <v>6.0119999999999996</v>
      </c>
      <c r="I52" s="64">
        <f>6.0121 * CHOOSE(CONTROL!$C$22, $C$13, 100%, $E$13)</f>
        <v>6.0121000000000002</v>
      </c>
      <c r="J52" s="64">
        <f>3.6108 * CHOOSE(CONTROL!$C$22, $C$13, 100%, $E$13)</f>
        <v>3.6107999999999998</v>
      </c>
      <c r="K52" s="64">
        <f>3.6109 * CHOOSE(CONTROL!$C$22, $C$13, 100%, $E$13)</f>
        <v>3.6109</v>
      </c>
      <c r="L52" s="4"/>
      <c r="M52" s="4"/>
      <c r="N52" s="4"/>
    </row>
    <row r="53" spans="1:14" ht="15">
      <c r="A53" s="13">
        <v>43101</v>
      </c>
      <c r="B53" s="63">
        <f>3.0799 * CHOOSE(CONTROL!$C$22, $C$13, 100%, $E$13)</f>
        <v>3.0798999999999999</v>
      </c>
      <c r="C53" s="63">
        <f>3.0799 * CHOOSE(CONTROL!$C$22, $C$13, 100%, $E$13)</f>
        <v>3.0798999999999999</v>
      </c>
      <c r="D53" s="63">
        <f>3.0799 * CHOOSE(CONTROL!$C$22, $C$13, 100%, $E$13)</f>
        <v>3.0798999999999999</v>
      </c>
      <c r="E53" s="64">
        <f>3.7211 * CHOOSE(CONTROL!$C$22, $C$13, 100%, $E$13)</f>
        <v>3.7210999999999999</v>
      </c>
      <c r="F53" s="64">
        <f>3.7211 * CHOOSE(CONTROL!$C$22, $C$13, 100%, $E$13)</f>
        <v>3.7210999999999999</v>
      </c>
      <c r="G53" s="64">
        <f>3.7212 * CHOOSE(CONTROL!$C$22, $C$13, 100%, $E$13)</f>
        <v>3.7212000000000001</v>
      </c>
      <c r="H53" s="64">
        <f>6.0246* CHOOSE(CONTROL!$C$22, $C$13, 100%, $E$13)</f>
        <v>6.0246000000000004</v>
      </c>
      <c r="I53" s="64">
        <f>6.0246 * CHOOSE(CONTROL!$C$22, $C$13, 100%, $E$13)</f>
        <v>6.0246000000000004</v>
      </c>
      <c r="J53" s="64">
        <f>3.7211 * CHOOSE(CONTROL!$C$22, $C$13, 100%, $E$13)</f>
        <v>3.7210999999999999</v>
      </c>
      <c r="K53" s="64">
        <f>3.7212 * CHOOSE(CONTROL!$C$22, $C$13, 100%, $E$13)</f>
        <v>3.7212000000000001</v>
      </c>
      <c r="L53" s="4"/>
      <c r="M53" s="4"/>
      <c r="N53" s="4"/>
    </row>
    <row r="54" spans="1:14" ht="15">
      <c r="A54" s="13">
        <v>43132</v>
      </c>
      <c r="B54" s="63">
        <f>3.0769 * CHOOSE(CONTROL!$C$22, $C$13, 100%, $E$13)</f>
        <v>3.0769000000000002</v>
      </c>
      <c r="C54" s="63">
        <f>3.0769 * CHOOSE(CONTROL!$C$22, $C$13, 100%, $E$13)</f>
        <v>3.0769000000000002</v>
      </c>
      <c r="D54" s="63">
        <f>3.0769 * CHOOSE(CONTROL!$C$22, $C$13, 100%, $E$13)</f>
        <v>3.0769000000000002</v>
      </c>
      <c r="E54" s="64">
        <f>3.6823 * CHOOSE(CONTROL!$C$22, $C$13, 100%, $E$13)</f>
        <v>3.6823000000000001</v>
      </c>
      <c r="F54" s="64">
        <f>3.6823 * CHOOSE(CONTROL!$C$22, $C$13, 100%, $E$13)</f>
        <v>3.6823000000000001</v>
      </c>
      <c r="G54" s="64">
        <f>3.6823 * CHOOSE(CONTROL!$C$22, $C$13, 100%, $E$13)</f>
        <v>3.6823000000000001</v>
      </c>
      <c r="H54" s="64">
        <f>6.0371* CHOOSE(CONTROL!$C$22, $C$13, 100%, $E$13)</f>
        <v>6.0370999999999997</v>
      </c>
      <c r="I54" s="64">
        <f>6.0372 * CHOOSE(CONTROL!$C$22, $C$13, 100%, $E$13)</f>
        <v>6.0372000000000003</v>
      </c>
      <c r="J54" s="64">
        <f>3.6823 * CHOOSE(CONTROL!$C$22, $C$13, 100%, $E$13)</f>
        <v>3.6823000000000001</v>
      </c>
      <c r="K54" s="64">
        <f>3.6823 * CHOOSE(CONTROL!$C$22, $C$13, 100%, $E$13)</f>
        <v>3.6823000000000001</v>
      </c>
      <c r="L54" s="4"/>
      <c r="M54" s="4"/>
      <c r="N54" s="4"/>
    </row>
    <row r="55" spans="1:14" ht="15">
      <c r="A55" s="13">
        <v>43160</v>
      </c>
      <c r="B55" s="63">
        <f>3.0739 * CHOOSE(CONTROL!$C$22, $C$13, 100%, $E$13)</f>
        <v>3.0739000000000001</v>
      </c>
      <c r="C55" s="63">
        <f>3.0739 * CHOOSE(CONTROL!$C$22, $C$13, 100%, $E$13)</f>
        <v>3.0739000000000001</v>
      </c>
      <c r="D55" s="63">
        <f>3.0739 * CHOOSE(CONTROL!$C$22, $C$13, 100%, $E$13)</f>
        <v>3.0739000000000001</v>
      </c>
      <c r="E55" s="64">
        <f>3.7091 * CHOOSE(CONTROL!$C$22, $C$13, 100%, $E$13)</f>
        <v>3.7090999999999998</v>
      </c>
      <c r="F55" s="64">
        <f>3.7091 * CHOOSE(CONTROL!$C$22, $C$13, 100%, $E$13)</f>
        <v>3.7090999999999998</v>
      </c>
      <c r="G55" s="64">
        <f>3.7092 * CHOOSE(CONTROL!$C$22, $C$13, 100%, $E$13)</f>
        <v>3.7092000000000001</v>
      </c>
      <c r="H55" s="64">
        <f>6.0497* CHOOSE(CONTROL!$C$22, $C$13, 100%, $E$13)</f>
        <v>6.0496999999999996</v>
      </c>
      <c r="I55" s="64">
        <f>6.0498 * CHOOSE(CONTROL!$C$22, $C$13, 100%, $E$13)</f>
        <v>6.0498000000000003</v>
      </c>
      <c r="J55" s="64">
        <f>3.7091 * CHOOSE(CONTROL!$C$22, $C$13, 100%, $E$13)</f>
        <v>3.7090999999999998</v>
      </c>
      <c r="K55" s="64">
        <f>3.7092 * CHOOSE(CONTROL!$C$22, $C$13, 100%, $E$13)</f>
        <v>3.7092000000000001</v>
      </c>
      <c r="L55" s="4"/>
      <c r="M55" s="4"/>
      <c r="N55" s="4"/>
    </row>
    <row r="56" spans="1:14" ht="15">
      <c r="A56" s="13">
        <v>43191</v>
      </c>
      <c r="B56" s="63">
        <f>3.0705 * CHOOSE(CONTROL!$C$22, $C$13, 100%, $E$13)</f>
        <v>3.0705</v>
      </c>
      <c r="C56" s="63">
        <f>3.0705 * CHOOSE(CONTROL!$C$22, $C$13, 100%, $E$13)</f>
        <v>3.0705</v>
      </c>
      <c r="D56" s="63">
        <f>3.0705 * CHOOSE(CONTROL!$C$22, $C$13, 100%, $E$13)</f>
        <v>3.0705</v>
      </c>
      <c r="E56" s="64">
        <f>3.7359 * CHOOSE(CONTROL!$C$22, $C$13, 100%, $E$13)</f>
        <v>3.7359</v>
      </c>
      <c r="F56" s="64">
        <f>3.7359 * CHOOSE(CONTROL!$C$22, $C$13, 100%, $E$13)</f>
        <v>3.7359</v>
      </c>
      <c r="G56" s="64">
        <f>3.736 * CHOOSE(CONTROL!$C$22, $C$13, 100%, $E$13)</f>
        <v>3.7360000000000002</v>
      </c>
      <c r="H56" s="64">
        <f>6.0623* CHOOSE(CONTROL!$C$22, $C$13, 100%, $E$13)</f>
        <v>6.0622999999999996</v>
      </c>
      <c r="I56" s="64">
        <f>6.0624 * CHOOSE(CONTROL!$C$22, $C$13, 100%, $E$13)</f>
        <v>6.0624000000000002</v>
      </c>
      <c r="J56" s="64">
        <f>3.7359 * CHOOSE(CONTROL!$C$22, $C$13, 100%, $E$13)</f>
        <v>3.7359</v>
      </c>
      <c r="K56" s="64">
        <f>3.736 * CHOOSE(CONTROL!$C$22, $C$13, 100%, $E$13)</f>
        <v>3.7360000000000002</v>
      </c>
      <c r="L56" s="4"/>
      <c r="M56" s="4"/>
      <c r="N56" s="4"/>
    </row>
    <row r="57" spans="1:14" ht="15">
      <c r="A57" s="13">
        <v>43221</v>
      </c>
      <c r="B57" s="63">
        <f>3.0705 * CHOOSE(CONTROL!$C$22, $C$13, 100%, $E$13)</f>
        <v>3.0705</v>
      </c>
      <c r="C57" s="63">
        <f>3.0705 * CHOOSE(CONTROL!$C$22, $C$13, 100%, $E$13)</f>
        <v>3.0705</v>
      </c>
      <c r="D57" s="63">
        <f>3.0835 * CHOOSE(CONTROL!$C$22, $C$13, 100%, $E$13)</f>
        <v>3.0834999999999999</v>
      </c>
      <c r="E57" s="64">
        <f>3.7476 * CHOOSE(CONTROL!$C$22, $C$13, 100%, $E$13)</f>
        <v>3.7475999999999998</v>
      </c>
      <c r="F57" s="64">
        <f>3.7476 * CHOOSE(CONTROL!$C$22, $C$13, 100%, $E$13)</f>
        <v>3.7475999999999998</v>
      </c>
      <c r="G57" s="64">
        <f>3.7633 * CHOOSE(CONTROL!$C$22, $C$13, 100%, $E$13)</f>
        <v>3.7633000000000001</v>
      </c>
      <c r="H57" s="64">
        <f>6.0749* CHOOSE(CONTROL!$C$22, $C$13, 100%, $E$13)</f>
        <v>6.0749000000000004</v>
      </c>
      <c r="I57" s="64">
        <f>6.0906 * CHOOSE(CONTROL!$C$22, $C$13, 100%, $E$13)</f>
        <v>6.0906000000000002</v>
      </c>
      <c r="J57" s="64">
        <f>3.7476 * CHOOSE(CONTROL!$C$22, $C$13, 100%, $E$13)</f>
        <v>3.7475999999999998</v>
      </c>
      <c r="K57" s="64">
        <f>3.7633 * CHOOSE(CONTROL!$C$22, $C$13, 100%, $E$13)</f>
        <v>3.7633000000000001</v>
      </c>
      <c r="L57" s="4"/>
      <c r="M57" s="4"/>
      <c r="N57" s="4"/>
    </row>
    <row r="58" spans="1:14" ht="15">
      <c r="A58" s="13">
        <v>43252</v>
      </c>
      <c r="B58" s="63">
        <f>3.0766 * CHOOSE(CONTROL!$C$22, $C$13, 100%, $E$13)</f>
        <v>3.0766</v>
      </c>
      <c r="C58" s="63">
        <f>3.0766 * CHOOSE(CONTROL!$C$22, $C$13, 100%, $E$13)</f>
        <v>3.0766</v>
      </c>
      <c r="D58" s="63">
        <f>3.0896 * CHOOSE(CONTROL!$C$22, $C$13, 100%, $E$13)</f>
        <v>3.0895999999999999</v>
      </c>
      <c r="E58" s="64">
        <f>3.7402 * CHOOSE(CONTROL!$C$22, $C$13, 100%, $E$13)</f>
        <v>3.7402000000000002</v>
      </c>
      <c r="F58" s="64">
        <f>3.7402 * CHOOSE(CONTROL!$C$22, $C$13, 100%, $E$13)</f>
        <v>3.7402000000000002</v>
      </c>
      <c r="G58" s="64">
        <f>3.7558 * CHOOSE(CONTROL!$C$22, $C$13, 100%, $E$13)</f>
        <v>3.7557999999999998</v>
      </c>
      <c r="H58" s="64">
        <f>6.0876* CHOOSE(CONTROL!$C$22, $C$13, 100%, $E$13)</f>
        <v>6.0876000000000001</v>
      </c>
      <c r="I58" s="64">
        <f>6.1033 * CHOOSE(CONTROL!$C$22, $C$13, 100%, $E$13)</f>
        <v>6.1032999999999999</v>
      </c>
      <c r="J58" s="64">
        <f>3.7402 * CHOOSE(CONTROL!$C$22, $C$13, 100%, $E$13)</f>
        <v>3.7402000000000002</v>
      </c>
      <c r="K58" s="64">
        <f>3.7558 * CHOOSE(CONTROL!$C$22, $C$13, 100%, $E$13)</f>
        <v>3.7557999999999998</v>
      </c>
      <c r="L58" s="4"/>
      <c r="M58" s="4"/>
      <c r="N58" s="4"/>
    </row>
    <row r="59" spans="1:14" ht="15">
      <c r="A59" s="13">
        <v>43282</v>
      </c>
      <c r="B59" s="63">
        <f>3.1468 * CHOOSE(CONTROL!$C$22, $C$13, 100%, $E$13)</f>
        <v>3.1467999999999998</v>
      </c>
      <c r="C59" s="63">
        <f>3.1468 * CHOOSE(CONTROL!$C$22, $C$13, 100%, $E$13)</f>
        <v>3.1467999999999998</v>
      </c>
      <c r="D59" s="63">
        <f>3.1598 * CHOOSE(CONTROL!$C$22, $C$13, 100%, $E$13)</f>
        <v>3.1598000000000002</v>
      </c>
      <c r="E59" s="64">
        <f>3.7912 * CHOOSE(CONTROL!$C$22, $C$13, 100%, $E$13)</f>
        <v>3.7911999999999999</v>
      </c>
      <c r="F59" s="64">
        <f>3.7912 * CHOOSE(CONTROL!$C$22, $C$13, 100%, $E$13)</f>
        <v>3.7911999999999999</v>
      </c>
      <c r="G59" s="64">
        <f>3.8069 * CHOOSE(CONTROL!$C$22, $C$13, 100%, $E$13)</f>
        <v>3.8069000000000002</v>
      </c>
      <c r="H59" s="64">
        <f>6.1003* CHOOSE(CONTROL!$C$22, $C$13, 100%, $E$13)</f>
        <v>6.1002999999999998</v>
      </c>
      <c r="I59" s="64">
        <f>6.1159 * CHOOSE(CONTROL!$C$22, $C$13, 100%, $E$13)</f>
        <v>6.1158999999999999</v>
      </c>
      <c r="J59" s="64">
        <f>3.7912 * CHOOSE(CONTROL!$C$22, $C$13, 100%, $E$13)</f>
        <v>3.7911999999999999</v>
      </c>
      <c r="K59" s="64">
        <f>3.8069 * CHOOSE(CONTROL!$C$22, $C$13, 100%, $E$13)</f>
        <v>3.8069000000000002</v>
      </c>
      <c r="L59" s="4"/>
      <c r="M59" s="4"/>
      <c r="N59" s="4"/>
    </row>
    <row r="60" spans="1:14" ht="15">
      <c r="A60" s="13">
        <v>43313</v>
      </c>
      <c r="B60" s="63">
        <f>3.1535 * CHOOSE(CONTROL!$C$22, $C$13, 100%, $E$13)</f>
        <v>3.1535000000000002</v>
      </c>
      <c r="C60" s="63">
        <f>3.1535 * CHOOSE(CONTROL!$C$22, $C$13, 100%, $E$13)</f>
        <v>3.1535000000000002</v>
      </c>
      <c r="D60" s="63">
        <f>3.1665 * CHOOSE(CONTROL!$C$22, $C$13, 100%, $E$13)</f>
        <v>3.1665000000000001</v>
      </c>
      <c r="E60" s="64">
        <f>3.7609 * CHOOSE(CONTROL!$C$22, $C$13, 100%, $E$13)</f>
        <v>3.7608999999999999</v>
      </c>
      <c r="F60" s="64">
        <f>3.7609 * CHOOSE(CONTROL!$C$22, $C$13, 100%, $E$13)</f>
        <v>3.7608999999999999</v>
      </c>
      <c r="G60" s="64">
        <f>3.7766 * CHOOSE(CONTROL!$C$22, $C$13, 100%, $E$13)</f>
        <v>3.7766000000000002</v>
      </c>
      <c r="H60" s="64">
        <f>6.113* CHOOSE(CONTROL!$C$22, $C$13, 100%, $E$13)</f>
        <v>6.1130000000000004</v>
      </c>
      <c r="I60" s="64">
        <f>6.1287 * CHOOSE(CONTROL!$C$22, $C$13, 100%, $E$13)</f>
        <v>6.1287000000000003</v>
      </c>
      <c r="J60" s="64">
        <f>3.7609 * CHOOSE(CONTROL!$C$22, $C$13, 100%, $E$13)</f>
        <v>3.7608999999999999</v>
      </c>
      <c r="K60" s="64">
        <f>3.7766 * CHOOSE(CONTROL!$C$22, $C$13, 100%, $E$13)</f>
        <v>3.7766000000000002</v>
      </c>
      <c r="L60" s="4"/>
      <c r="M60" s="4"/>
      <c r="N60" s="4"/>
    </row>
    <row r="61" spans="1:14" ht="15">
      <c r="A61" s="13">
        <v>43344</v>
      </c>
      <c r="B61" s="63">
        <f>3.1505 * CHOOSE(CONTROL!$C$22, $C$13, 100%, $E$13)</f>
        <v>3.1505000000000001</v>
      </c>
      <c r="C61" s="63">
        <f>3.1505 * CHOOSE(CONTROL!$C$22, $C$13, 100%, $E$13)</f>
        <v>3.1505000000000001</v>
      </c>
      <c r="D61" s="63">
        <f>3.1634 * CHOOSE(CONTROL!$C$22, $C$13, 100%, $E$13)</f>
        <v>3.1634000000000002</v>
      </c>
      <c r="E61" s="64">
        <f>3.7549 * CHOOSE(CONTROL!$C$22, $C$13, 100%, $E$13)</f>
        <v>3.7549000000000001</v>
      </c>
      <c r="F61" s="64">
        <f>3.7549 * CHOOSE(CONTROL!$C$22, $C$13, 100%, $E$13)</f>
        <v>3.7549000000000001</v>
      </c>
      <c r="G61" s="64">
        <f>3.7706 * CHOOSE(CONTROL!$C$22, $C$13, 100%, $E$13)</f>
        <v>3.7706</v>
      </c>
      <c r="H61" s="64">
        <f>6.1257* CHOOSE(CONTROL!$C$22, $C$13, 100%, $E$13)</f>
        <v>6.1257000000000001</v>
      </c>
      <c r="I61" s="64">
        <f>6.1414 * CHOOSE(CONTROL!$C$22, $C$13, 100%, $E$13)</f>
        <v>6.1414</v>
      </c>
      <c r="J61" s="64">
        <f>3.7549 * CHOOSE(CONTROL!$C$22, $C$13, 100%, $E$13)</f>
        <v>3.7549000000000001</v>
      </c>
      <c r="K61" s="64">
        <f>3.7706 * CHOOSE(CONTROL!$C$22, $C$13, 100%, $E$13)</f>
        <v>3.7706</v>
      </c>
      <c r="L61" s="4"/>
      <c r="M61" s="4"/>
      <c r="N61" s="4"/>
    </row>
    <row r="62" spans="1:14" ht="15">
      <c r="A62" s="13">
        <v>43374</v>
      </c>
      <c r="B62" s="63">
        <f>3.1419 * CHOOSE(CONTROL!$C$22, $C$13, 100%, $E$13)</f>
        <v>3.1419000000000001</v>
      </c>
      <c r="C62" s="63">
        <f>3.1419 * CHOOSE(CONTROL!$C$22, $C$13, 100%, $E$13)</f>
        <v>3.1419000000000001</v>
      </c>
      <c r="D62" s="63">
        <f>3.1419 * CHOOSE(CONTROL!$C$22, $C$13, 100%, $E$13)</f>
        <v>3.1419000000000001</v>
      </c>
      <c r="E62" s="64">
        <f>3.7571 * CHOOSE(CONTROL!$C$22, $C$13, 100%, $E$13)</f>
        <v>3.7570999999999999</v>
      </c>
      <c r="F62" s="64">
        <f>3.7571 * CHOOSE(CONTROL!$C$22, $C$13, 100%, $E$13)</f>
        <v>3.7570999999999999</v>
      </c>
      <c r="G62" s="64">
        <f>3.7571 * CHOOSE(CONTROL!$C$22, $C$13, 100%, $E$13)</f>
        <v>3.7570999999999999</v>
      </c>
      <c r="H62" s="64">
        <f>6.1385* CHOOSE(CONTROL!$C$22, $C$13, 100%, $E$13)</f>
        <v>6.1384999999999996</v>
      </c>
      <c r="I62" s="64">
        <f>6.1385 * CHOOSE(CONTROL!$C$22, $C$13, 100%, $E$13)</f>
        <v>6.1384999999999996</v>
      </c>
      <c r="J62" s="64">
        <f>3.7571 * CHOOSE(CONTROL!$C$22, $C$13, 100%, $E$13)</f>
        <v>3.7570999999999999</v>
      </c>
      <c r="K62" s="64">
        <f>3.7571 * CHOOSE(CONTROL!$C$22, $C$13, 100%, $E$13)</f>
        <v>3.7570999999999999</v>
      </c>
      <c r="L62" s="4"/>
      <c r="M62" s="4"/>
      <c r="N62" s="4"/>
    </row>
    <row r="63" spans="1:14" ht="15">
      <c r="A63" s="13">
        <v>43405</v>
      </c>
      <c r="B63" s="63">
        <f>3.1449 * CHOOSE(CONTROL!$C$22, $C$13, 100%, $E$13)</f>
        <v>3.1448999999999998</v>
      </c>
      <c r="C63" s="63">
        <f>3.1449 * CHOOSE(CONTROL!$C$22, $C$13, 100%, $E$13)</f>
        <v>3.1448999999999998</v>
      </c>
      <c r="D63" s="63">
        <f>3.1449 * CHOOSE(CONTROL!$C$22, $C$13, 100%, $E$13)</f>
        <v>3.1448999999999998</v>
      </c>
      <c r="E63" s="64">
        <f>3.767 * CHOOSE(CONTROL!$C$22, $C$13, 100%, $E$13)</f>
        <v>3.7669999999999999</v>
      </c>
      <c r="F63" s="64">
        <f>3.767 * CHOOSE(CONTROL!$C$22, $C$13, 100%, $E$13)</f>
        <v>3.7669999999999999</v>
      </c>
      <c r="G63" s="64">
        <f>3.767 * CHOOSE(CONTROL!$C$22, $C$13, 100%, $E$13)</f>
        <v>3.7669999999999999</v>
      </c>
      <c r="H63" s="64">
        <f>6.1513* CHOOSE(CONTROL!$C$22, $C$13, 100%, $E$13)</f>
        <v>6.1513</v>
      </c>
      <c r="I63" s="64">
        <f>6.1513 * CHOOSE(CONTROL!$C$22, $C$13, 100%, $E$13)</f>
        <v>6.1513</v>
      </c>
      <c r="J63" s="64">
        <f>3.767 * CHOOSE(CONTROL!$C$22, $C$13, 100%, $E$13)</f>
        <v>3.7669999999999999</v>
      </c>
      <c r="K63" s="64">
        <f>3.767 * CHOOSE(CONTROL!$C$22, $C$13, 100%, $E$13)</f>
        <v>3.7669999999999999</v>
      </c>
      <c r="L63" s="4"/>
      <c r="M63" s="4"/>
      <c r="N63" s="4"/>
    </row>
    <row r="64" spans="1:14" ht="15">
      <c r="A64" s="13">
        <v>43435</v>
      </c>
      <c r="B64" s="63">
        <f>3.1449 * CHOOSE(CONTROL!$C$22, $C$13, 100%, $E$13)</f>
        <v>3.1448999999999998</v>
      </c>
      <c r="C64" s="63">
        <f>3.1449 * CHOOSE(CONTROL!$C$22, $C$13, 100%, $E$13)</f>
        <v>3.1448999999999998</v>
      </c>
      <c r="D64" s="63">
        <f>3.1449 * CHOOSE(CONTROL!$C$22, $C$13, 100%, $E$13)</f>
        <v>3.1448999999999998</v>
      </c>
      <c r="E64" s="64">
        <f>3.7475 * CHOOSE(CONTROL!$C$22, $C$13, 100%, $E$13)</f>
        <v>3.7475000000000001</v>
      </c>
      <c r="F64" s="64">
        <f>3.7475 * CHOOSE(CONTROL!$C$22, $C$13, 100%, $E$13)</f>
        <v>3.7475000000000001</v>
      </c>
      <c r="G64" s="64">
        <f>3.7476 * CHOOSE(CONTROL!$C$22, $C$13, 100%, $E$13)</f>
        <v>3.7475999999999998</v>
      </c>
      <c r="H64" s="64">
        <f>6.1641* CHOOSE(CONTROL!$C$22, $C$13, 100%, $E$13)</f>
        <v>6.1641000000000004</v>
      </c>
      <c r="I64" s="64">
        <f>6.1642 * CHOOSE(CONTROL!$C$22, $C$13, 100%, $E$13)</f>
        <v>6.1642000000000001</v>
      </c>
      <c r="J64" s="64">
        <f>3.7475 * CHOOSE(CONTROL!$C$22, $C$13, 100%, $E$13)</f>
        <v>3.7475000000000001</v>
      </c>
      <c r="K64" s="64">
        <f>3.7476 * CHOOSE(CONTROL!$C$22, $C$13, 100%, $E$13)</f>
        <v>3.7475999999999998</v>
      </c>
      <c r="L64" s="4"/>
      <c r="M64" s="4"/>
      <c r="N64" s="4"/>
    </row>
    <row r="65" spans="1:14" ht="15">
      <c r="A65" s="13">
        <v>43466</v>
      </c>
      <c r="B65" s="63">
        <f>3.1467 * CHOOSE(CONTROL!$C$22, $C$13, 100%, $E$13)</f>
        <v>3.1467000000000001</v>
      </c>
      <c r="C65" s="63">
        <f>3.1467 * CHOOSE(CONTROL!$C$22, $C$13, 100%, $E$13)</f>
        <v>3.1467000000000001</v>
      </c>
      <c r="D65" s="63">
        <f>3.1467 * CHOOSE(CONTROL!$C$22, $C$13, 100%, $E$13)</f>
        <v>3.1467000000000001</v>
      </c>
      <c r="E65" s="64">
        <f>3.844 * CHOOSE(CONTROL!$C$22, $C$13, 100%, $E$13)</f>
        <v>3.8439999999999999</v>
      </c>
      <c r="F65" s="64">
        <f>3.844 * CHOOSE(CONTROL!$C$22, $C$13, 100%, $E$13)</f>
        <v>3.8439999999999999</v>
      </c>
      <c r="G65" s="64">
        <f>3.8441 * CHOOSE(CONTROL!$C$22, $C$13, 100%, $E$13)</f>
        <v>3.8441000000000001</v>
      </c>
      <c r="H65" s="64">
        <f>6.1769* CHOOSE(CONTROL!$C$22, $C$13, 100%, $E$13)</f>
        <v>6.1768999999999998</v>
      </c>
      <c r="I65" s="64">
        <f>6.177 * CHOOSE(CONTROL!$C$22, $C$13, 100%, $E$13)</f>
        <v>6.1769999999999996</v>
      </c>
      <c r="J65" s="64">
        <f>3.844 * CHOOSE(CONTROL!$C$22, $C$13, 100%, $E$13)</f>
        <v>3.8439999999999999</v>
      </c>
      <c r="K65" s="64">
        <f>3.8441 * CHOOSE(CONTROL!$C$22, $C$13, 100%, $E$13)</f>
        <v>3.8441000000000001</v>
      </c>
      <c r="L65" s="4"/>
      <c r="M65" s="4"/>
      <c r="N65" s="4"/>
    </row>
    <row r="66" spans="1:14" ht="15">
      <c r="A66" s="13">
        <v>43497</v>
      </c>
      <c r="B66" s="63">
        <f>3.1437 * CHOOSE(CONTROL!$C$22, $C$13, 100%, $E$13)</f>
        <v>3.1436999999999999</v>
      </c>
      <c r="C66" s="63">
        <f>3.1437 * CHOOSE(CONTROL!$C$22, $C$13, 100%, $E$13)</f>
        <v>3.1436999999999999</v>
      </c>
      <c r="D66" s="63">
        <f>3.1437 * CHOOSE(CONTROL!$C$22, $C$13, 100%, $E$13)</f>
        <v>3.1436999999999999</v>
      </c>
      <c r="E66" s="64">
        <f>3.7978 * CHOOSE(CONTROL!$C$22, $C$13, 100%, $E$13)</f>
        <v>3.7978000000000001</v>
      </c>
      <c r="F66" s="64">
        <f>3.7978 * CHOOSE(CONTROL!$C$22, $C$13, 100%, $E$13)</f>
        <v>3.7978000000000001</v>
      </c>
      <c r="G66" s="64">
        <f>3.7979 * CHOOSE(CONTROL!$C$22, $C$13, 100%, $E$13)</f>
        <v>3.7978999999999998</v>
      </c>
      <c r="H66" s="64">
        <f>6.1898* CHOOSE(CONTROL!$C$22, $C$13, 100%, $E$13)</f>
        <v>6.1898</v>
      </c>
      <c r="I66" s="64">
        <f>6.1899 * CHOOSE(CONTROL!$C$22, $C$13, 100%, $E$13)</f>
        <v>6.1898999999999997</v>
      </c>
      <c r="J66" s="64">
        <f>3.7978 * CHOOSE(CONTROL!$C$22, $C$13, 100%, $E$13)</f>
        <v>3.7978000000000001</v>
      </c>
      <c r="K66" s="64">
        <f>3.7979 * CHOOSE(CONTROL!$C$22, $C$13, 100%, $E$13)</f>
        <v>3.7978999999999998</v>
      </c>
      <c r="L66" s="4"/>
      <c r="M66" s="4"/>
      <c r="N66" s="4"/>
    </row>
    <row r="67" spans="1:14" ht="15">
      <c r="A67" s="13">
        <v>43525</v>
      </c>
      <c r="B67" s="63">
        <f>3.1407 * CHOOSE(CONTROL!$C$22, $C$13, 100%, $E$13)</f>
        <v>3.1406999999999998</v>
      </c>
      <c r="C67" s="63">
        <f>3.1407 * CHOOSE(CONTROL!$C$22, $C$13, 100%, $E$13)</f>
        <v>3.1406999999999998</v>
      </c>
      <c r="D67" s="63">
        <f>3.1407 * CHOOSE(CONTROL!$C$22, $C$13, 100%, $E$13)</f>
        <v>3.1406999999999998</v>
      </c>
      <c r="E67" s="64">
        <f>3.8304 * CHOOSE(CONTROL!$C$22, $C$13, 100%, $E$13)</f>
        <v>3.8304</v>
      </c>
      <c r="F67" s="64">
        <f>3.8304 * CHOOSE(CONTROL!$C$22, $C$13, 100%, $E$13)</f>
        <v>3.8304</v>
      </c>
      <c r="G67" s="64">
        <f>3.8305 * CHOOSE(CONTROL!$C$22, $C$13, 100%, $E$13)</f>
        <v>3.8304999999999998</v>
      </c>
      <c r="H67" s="64">
        <f>6.2027* CHOOSE(CONTROL!$C$22, $C$13, 100%, $E$13)</f>
        <v>6.2027000000000001</v>
      </c>
      <c r="I67" s="64">
        <f>6.2028 * CHOOSE(CONTROL!$C$22, $C$13, 100%, $E$13)</f>
        <v>6.2027999999999999</v>
      </c>
      <c r="J67" s="64">
        <f>3.8304 * CHOOSE(CONTROL!$C$22, $C$13, 100%, $E$13)</f>
        <v>3.8304</v>
      </c>
      <c r="K67" s="64">
        <f>3.8305 * CHOOSE(CONTROL!$C$22, $C$13, 100%, $E$13)</f>
        <v>3.8304999999999998</v>
      </c>
      <c r="L67" s="4"/>
      <c r="M67" s="4"/>
      <c r="N67" s="4"/>
    </row>
    <row r="68" spans="1:14" ht="15">
      <c r="A68" s="13">
        <v>43556</v>
      </c>
      <c r="B68" s="63">
        <f>3.1374 * CHOOSE(CONTROL!$C$22, $C$13, 100%, $E$13)</f>
        <v>3.1374</v>
      </c>
      <c r="C68" s="63">
        <f>3.1374 * CHOOSE(CONTROL!$C$22, $C$13, 100%, $E$13)</f>
        <v>3.1374</v>
      </c>
      <c r="D68" s="63">
        <f>3.1374 * CHOOSE(CONTROL!$C$22, $C$13, 100%, $E$13)</f>
        <v>3.1374</v>
      </c>
      <c r="E68" s="64">
        <f>3.8635 * CHOOSE(CONTROL!$C$22, $C$13, 100%, $E$13)</f>
        <v>3.8635000000000002</v>
      </c>
      <c r="F68" s="64">
        <f>3.8635 * CHOOSE(CONTROL!$C$22, $C$13, 100%, $E$13)</f>
        <v>3.8635000000000002</v>
      </c>
      <c r="G68" s="64">
        <f>3.8636 * CHOOSE(CONTROL!$C$22, $C$13, 100%, $E$13)</f>
        <v>3.8635999999999999</v>
      </c>
      <c r="H68" s="64">
        <f>6.2156* CHOOSE(CONTROL!$C$22, $C$13, 100%, $E$13)</f>
        <v>6.2156000000000002</v>
      </c>
      <c r="I68" s="64">
        <f>6.2157 * CHOOSE(CONTROL!$C$22, $C$13, 100%, $E$13)</f>
        <v>6.2157</v>
      </c>
      <c r="J68" s="64">
        <f>3.8635 * CHOOSE(CONTROL!$C$22, $C$13, 100%, $E$13)</f>
        <v>3.8635000000000002</v>
      </c>
      <c r="K68" s="64">
        <f>3.8636 * CHOOSE(CONTROL!$C$22, $C$13, 100%, $E$13)</f>
        <v>3.8635999999999999</v>
      </c>
      <c r="L68" s="4"/>
      <c r="M68" s="4"/>
      <c r="N68" s="4"/>
    </row>
    <row r="69" spans="1:14" ht="15">
      <c r="A69" s="13">
        <v>43586</v>
      </c>
      <c r="B69" s="63">
        <f>3.1374 * CHOOSE(CONTROL!$C$22, $C$13, 100%, $E$13)</f>
        <v>3.1374</v>
      </c>
      <c r="C69" s="63">
        <f>3.1374 * CHOOSE(CONTROL!$C$22, $C$13, 100%, $E$13)</f>
        <v>3.1374</v>
      </c>
      <c r="D69" s="63">
        <f>3.1504 * CHOOSE(CONTROL!$C$22, $C$13, 100%, $E$13)</f>
        <v>3.1503999999999999</v>
      </c>
      <c r="E69" s="64">
        <f>3.8775 * CHOOSE(CONTROL!$C$22, $C$13, 100%, $E$13)</f>
        <v>3.8774999999999999</v>
      </c>
      <c r="F69" s="64">
        <f>3.8775 * CHOOSE(CONTROL!$C$22, $C$13, 100%, $E$13)</f>
        <v>3.8774999999999999</v>
      </c>
      <c r="G69" s="64">
        <f>3.8932 * CHOOSE(CONTROL!$C$22, $C$13, 100%, $E$13)</f>
        <v>3.8932000000000002</v>
      </c>
      <c r="H69" s="64">
        <f>6.2286* CHOOSE(CONTROL!$C$22, $C$13, 100%, $E$13)</f>
        <v>6.2286000000000001</v>
      </c>
      <c r="I69" s="64">
        <f>6.2442 * CHOOSE(CONTROL!$C$22, $C$13, 100%, $E$13)</f>
        <v>6.2442000000000002</v>
      </c>
      <c r="J69" s="64">
        <f>3.8775 * CHOOSE(CONTROL!$C$22, $C$13, 100%, $E$13)</f>
        <v>3.8774999999999999</v>
      </c>
      <c r="K69" s="64">
        <f>3.8932 * CHOOSE(CONTROL!$C$22, $C$13, 100%, $E$13)</f>
        <v>3.8932000000000002</v>
      </c>
      <c r="L69" s="4"/>
      <c r="M69" s="4"/>
      <c r="N69" s="4"/>
    </row>
    <row r="70" spans="1:14" ht="15">
      <c r="A70" s="13">
        <v>43617</v>
      </c>
      <c r="B70" s="63">
        <f>3.1435 * CHOOSE(CONTROL!$C$22, $C$13, 100%, $E$13)</f>
        <v>3.1435</v>
      </c>
      <c r="C70" s="63">
        <f>3.1435 * CHOOSE(CONTROL!$C$22, $C$13, 100%, $E$13)</f>
        <v>3.1435</v>
      </c>
      <c r="D70" s="63">
        <f>3.1564 * CHOOSE(CONTROL!$C$22, $C$13, 100%, $E$13)</f>
        <v>3.1564000000000001</v>
      </c>
      <c r="E70" s="64">
        <f>3.8678 * CHOOSE(CONTROL!$C$22, $C$13, 100%, $E$13)</f>
        <v>3.8677999999999999</v>
      </c>
      <c r="F70" s="64">
        <f>3.8678 * CHOOSE(CONTROL!$C$22, $C$13, 100%, $E$13)</f>
        <v>3.8677999999999999</v>
      </c>
      <c r="G70" s="64">
        <f>3.8835 * CHOOSE(CONTROL!$C$22, $C$13, 100%, $E$13)</f>
        <v>3.8835000000000002</v>
      </c>
      <c r="H70" s="64">
        <f>6.2415* CHOOSE(CONTROL!$C$22, $C$13, 100%, $E$13)</f>
        <v>6.2415000000000003</v>
      </c>
      <c r="I70" s="64">
        <f>6.2572 * CHOOSE(CONTROL!$C$22, $C$13, 100%, $E$13)</f>
        <v>6.2572000000000001</v>
      </c>
      <c r="J70" s="64">
        <f>3.8678 * CHOOSE(CONTROL!$C$22, $C$13, 100%, $E$13)</f>
        <v>3.8677999999999999</v>
      </c>
      <c r="K70" s="64">
        <f>3.8835 * CHOOSE(CONTROL!$C$22, $C$13, 100%, $E$13)</f>
        <v>3.8835000000000002</v>
      </c>
      <c r="L70" s="4"/>
      <c r="M70" s="4"/>
      <c r="N70" s="4"/>
    </row>
    <row r="71" spans="1:14" ht="15">
      <c r="A71" s="13">
        <v>43647</v>
      </c>
      <c r="B71" s="63">
        <f>3.1331 * CHOOSE(CONTROL!$C$22, $C$13, 100%, $E$13)</f>
        <v>3.1331000000000002</v>
      </c>
      <c r="C71" s="63">
        <f>3.1331 * CHOOSE(CONTROL!$C$22, $C$13, 100%, $E$13)</f>
        <v>3.1331000000000002</v>
      </c>
      <c r="D71" s="63">
        <f>3.146 * CHOOSE(CONTROL!$C$22, $C$13, 100%, $E$13)</f>
        <v>3.1459999999999999</v>
      </c>
      <c r="E71" s="64">
        <f>3.901 * CHOOSE(CONTROL!$C$22, $C$13, 100%, $E$13)</f>
        <v>3.9009999999999998</v>
      </c>
      <c r="F71" s="64">
        <f>3.901 * CHOOSE(CONTROL!$C$22, $C$13, 100%, $E$13)</f>
        <v>3.9009999999999998</v>
      </c>
      <c r="G71" s="64">
        <f>3.9167 * CHOOSE(CONTROL!$C$22, $C$13, 100%, $E$13)</f>
        <v>3.9167000000000001</v>
      </c>
      <c r="H71" s="64">
        <f>6.2545* CHOOSE(CONTROL!$C$22, $C$13, 100%, $E$13)</f>
        <v>6.2545000000000002</v>
      </c>
      <c r="I71" s="64">
        <f>6.2702 * CHOOSE(CONTROL!$C$22, $C$13, 100%, $E$13)</f>
        <v>6.2702</v>
      </c>
      <c r="J71" s="64">
        <f>3.901 * CHOOSE(CONTROL!$C$22, $C$13, 100%, $E$13)</f>
        <v>3.9009999999999998</v>
      </c>
      <c r="K71" s="64">
        <f>3.9167 * CHOOSE(CONTROL!$C$22, $C$13, 100%, $E$13)</f>
        <v>3.9167000000000001</v>
      </c>
      <c r="L71" s="4"/>
      <c r="M71" s="4"/>
      <c r="N71" s="4"/>
    </row>
    <row r="72" spans="1:14" ht="15">
      <c r="A72" s="13">
        <v>43678</v>
      </c>
      <c r="B72" s="63">
        <f>3.1398 * CHOOSE(CONTROL!$C$22, $C$13, 100%, $E$13)</f>
        <v>3.1398000000000001</v>
      </c>
      <c r="C72" s="63">
        <f>3.1398 * CHOOSE(CONTROL!$C$22, $C$13, 100%, $E$13)</f>
        <v>3.1398000000000001</v>
      </c>
      <c r="D72" s="63">
        <f>3.1527 * CHOOSE(CONTROL!$C$22, $C$13, 100%, $E$13)</f>
        <v>3.1526999999999998</v>
      </c>
      <c r="E72" s="64">
        <f>3.8637 * CHOOSE(CONTROL!$C$22, $C$13, 100%, $E$13)</f>
        <v>3.8637000000000001</v>
      </c>
      <c r="F72" s="64">
        <f>3.8637 * CHOOSE(CONTROL!$C$22, $C$13, 100%, $E$13)</f>
        <v>3.8637000000000001</v>
      </c>
      <c r="G72" s="64">
        <f>3.8794 * CHOOSE(CONTROL!$C$22, $C$13, 100%, $E$13)</f>
        <v>3.8794</v>
      </c>
      <c r="H72" s="64">
        <f>6.2676* CHOOSE(CONTROL!$C$22, $C$13, 100%, $E$13)</f>
        <v>6.2675999999999998</v>
      </c>
      <c r="I72" s="64">
        <f>6.2832 * CHOOSE(CONTROL!$C$22, $C$13, 100%, $E$13)</f>
        <v>6.2831999999999999</v>
      </c>
      <c r="J72" s="64">
        <f>3.8637 * CHOOSE(CONTROL!$C$22, $C$13, 100%, $E$13)</f>
        <v>3.8637000000000001</v>
      </c>
      <c r="K72" s="64">
        <f>3.8794 * CHOOSE(CONTROL!$C$22, $C$13, 100%, $E$13)</f>
        <v>3.8794</v>
      </c>
      <c r="L72" s="4"/>
      <c r="M72" s="4"/>
      <c r="N72" s="4"/>
    </row>
    <row r="73" spans="1:14" ht="15">
      <c r="A73" s="13">
        <v>43709</v>
      </c>
      <c r="B73" s="63">
        <f>3.1367 * CHOOSE(CONTROL!$C$22, $C$13, 100%, $E$13)</f>
        <v>3.1366999999999998</v>
      </c>
      <c r="C73" s="63">
        <f>3.1367 * CHOOSE(CONTROL!$C$22, $C$13, 100%, $E$13)</f>
        <v>3.1366999999999998</v>
      </c>
      <c r="D73" s="63">
        <f>3.1497 * CHOOSE(CONTROL!$C$22, $C$13, 100%, $E$13)</f>
        <v>3.1497000000000002</v>
      </c>
      <c r="E73" s="64">
        <f>3.8569 * CHOOSE(CONTROL!$C$22, $C$13, 100%, $E$13)</f>
        <v>3.8569</v>
      </c>
      <c r="F73" s="64">
        <f>3.8569 * CHOOSE(CONTROL!$C$22, $C$13, 100%, $E$13)</f>
        <v>3.8569</v>
      </c>
      <c r="G73" s="64">
        <f>3.8726 * CHOOSE(CONTROL!$C$22, $C$13, 100%, $E$13)</f>
        <v>3.8725999999999998</v>
      </c>
      <c r="H73" s="64">
        <f>6.2806* CHOOSE(CONTROL!$C$22, $C$13, 100%, $E$13)</f>
        <v>6.2805999999999997</v>
      </c>
      <c r="I73" s="64">
        <f>6.2963 * CHOOSE(CONTROL!$C$22, $C$13, 100%, $E$13)</f>
        <v>6.2962999999999996</v>
      </c>
      <c r="J73" s="64">
        <f>3.8569 * CHOOSE(CONTROL!$C$22, $C$13, 100%, $E$13)</f>
        <v>3.8569</v>
      </c>
      <c r="K73" s="64">
        <f>3.8726 * CHOOSE(CONTROL!$C$22, $C$13, 100%, $E$13)</f>
        <v>3.8725999999999998</v>
      </c>
      <c r="L73" s="4"/>
      <c r="M73" s="4"/>
      <c r="N73" s="4"/>
    </row>
    <row r="74" spans="1:14" ht="15">
      <c r="A74" s="13">
        <v>43739</v>
      </c>
      <c r="B74" s="63">
        <f>3.1284 * CHOOSE(CONTROL!$C$22, $C$13, 100%, $E$13)</f>
        <v>3.1284000000000001</v>
      </c>
      <c r="C74" s="63">
        <f>3.1284 * CHOOSE(CONTROL!$C$22, $C$13, 100%, $E$13)</f>
        <v>3.1284000000000001</v>
      </c>
      <c r="D74" s="63">
        <f>3.1284 * CHOOSE(CONTROL!$C$22, $C$13, 100%, $E$13)</f>
        <v>3.1284000000000001</v>
      </c>
      <c r="E74" s="64">
        <f>3.8621 * CHOOSE(CONTROL!$C$22, $C$13, 100%, $E$13)</f>
        <v>3.8620999999999999</v>
      </c>
      <c r="F74" s="64">
        <f>3.8621 * CHOOSE(CONTROL!$C$22, $C$13, 100%, $E$13)</f>
        <v>3.8620999999999999</v>
      </c>
      <c r="G74" s="64">
        <f>3.8622 * CHOOSE(CONTROL!$C$22, $C$13, 100%, $E$13)</f>
        <v>3.8622000000000001</v>
      </c>
      <c r="H74" s="64">
        <f>6.2937* CHOOSE(CONTROL!$C$22, $C$13, 100%, $E$13)</f>
        <v>6.2937000000000003</v>
      </c>
      <c r="I74" s="64">
        <f>6.2938 * CHOOSE(CONTROL!$C$22, $C$13, 100%, $E$13)</f>
        <v>6.2938000000000001</v>
      </c>
      <c r="J74" s="64">
        <f>3.8621 * CHOOSE(CONTROL!$C$22, $C$13, 100%, $E$13)</f>
        <v>3.8620999999999999</v>
      </c>
      <c r="K74" s="64">
        <f>3.8622 * CHOOSE(CONTROL!$C$22, $C$13, 100%, $E$13)</f>
        <v>3.8622000000000001</v>
      </c>
      <c r="L74" s="4"/>
      <c r="M74" s="4"/>
      <c r="N74" s="4"/>
    </row>
    <row r="75" spans="1:14" ht="15">
      <c r="A75" s="13">
        <v>43770</v>
      </c>
      <c r="B75" s="63">
        <f>3.1314 * CHOOSE(CONTROL!$C$22, $C$13, 100%, $E$13)</f>
        <v>3.1314000000000002</v>
      </c>
      <c r="C75" s="63">
        <f>3.1314 * CHOOSE(CONTROL!$C$22, $C$13, 100%, $E$13)</f>
        <v>3.1314000000000002</v>
      </c>
      <c r="D75" s="63">
        <f>3.1314 * CHOOSE(CONTROL!$C$22, $C$13, 100%, $E$13)</f>
        <v>3.1314000000000002</v>
      </c>
      <c r="E75" s="64">
        <f>3.8736 * CHOOSE(CONTROL!$C$22, $C$13, 100%, $E$13)</f>
        <v>3.8736000000000002</v>
      </c>
      <c r="F75" s="64">
        <f>3.8736 * CHOOSE(CONTROL!$C$22, $C$13, 100%, $E$13)</f>
        <v>3.8736000000000002</v>
      </c>
      <c r="G75" s="64">
        <f>3.8737 * CHOOSE(CONTROL!$C$22, $C$13, 100%, $E$13)</f>
        <v>3.8736999999999999</v>
      </c>
      <c r="H75" s="64">
        <f>6.3068* CHOOSE(CONTROL!$C$22, $C$13, 100%, $E$13)</f>
        <v>6.3068</v>
      </c>
      <c r="I75" s="64">
        <f>6.3069 * CHOOSE(CONTROL!$C$22, $C$13, 100%, $E$13)</f>
        <v>6.3068999999999997</v>
      </c>
      <c r="J75" s="64">
        <f>3.8736 * CHOOSE(CONTROL!$C$22, $C$13, 100%, $E$13)</f>
        <v>3.8736000000000002</v>
      </c>
      <c r="K75" s="64">
        <f>3.8737 * CHOOSE(CONTROL!$C$22, $C$13, 100%, $E$13)</f>
        <v>3.8736999999999999</v>
      </c>
      <c r="L75" s="4"/>
      <c r="M75" s="4"/>
      <c r="N75" s="4"/>
    </row>
    <row r="76" spans="1:14" ht="15">
      <c r="A76" s="13">
        <v>43800</v>
      </c>
      <c r="B76" s="63">
        <f>3.1314 * CHOOSE(CONTROL!$C$22, $C$13, 100%, $E$13)</f>
        <v>3.1314000000000002</v>
      </c>
      <c r="C76" s="63">
        <f>3.1314 * CHOOSE(CONTROL!$C$22, $C$13, 100%, $E$13)</f>
        <v>3.1314000000000002</v>
      </c>
      <c r="D76" s="63">
        <f>3.1314 * CHOOSE(CONTROL!$C$22, $C$13, 100%, $E$13)</f>
        <v>3.1314000000000002</v>
      </c>
      <c r="E76" s="64">
        <f>3.8503 * CHOOSE(CONTROL!$C$22, $C$13, 100%, $E$13)</f>
        <v>3.8502999999999998</v>
      </c>
      <c r="F76" s="64">
        <f>3.8503 * CHOOSE(CONTROL!$C$22, $C$13, 100%, $E$13)</f>
        <v>3.8502999999999998</v>
      </c>
      <c r="G76" s="64">
        <f>3.8503 * CHOOSE(CONTROL!$C$22, $C$13, 100%, $E$13)</f>
        <v>3.8502999999999998</v>
      </c>
      <c r="H76" s="64">
        <f>6.32* CHOOSE(CONTROL!$C$22, $C$13, 100%, $E$13)</f>
        <v>6.32</v>
      </c>
      <c r="I76" s="64">
        <f>6.32 * CHOOSE(CONTROL!$C$22, $C$13, 100%, $E$13)</f>
        <v>6.32</v>
      </c>
      <c r="J76" s="64">
        <f>3.8503 * CHOOSE(CONTROL!$C$22, $C$13, 100%, $E$13)</f>
        <v>3.8502999999999998</v>
      </c>
      <c r="K76" s="64">
        <f>3.8503 * CHOOSE(CONTROL!$C$22, $C$13, 100%, $E$13)</f>
        <v>3.8502999999999998</v>
      </c>
      <c r="L76" s="4"/>
      <c r="M76" s="4"/>
      <c r="N76" s="4"/>
    </row>
    <row r="77" spans="1:14" ht="15">
      <c r="A77" s="13">
        <v>43831</v>
      </c>
      <c r="B77" s="63">
        <f>3.167 * CHOOSE(CONTROL!$C$22, $C$13, 100%, $E$13)</f>
        <v>3.1669999999999998</v>
      </c>
      <c r="C77" s="63">
        <f>3.167 * CHOOSE(CONTROL!$C$22, $C$13, 100%, $E$13)</f>
        <v>3.1669999999999998</v>
      </c>
      <c r="D77" s="63">
        <f>3.167 * CHOOSE(CONTROL!$C$22, $C$13, 100%, $E$13)</f>
        <v>3.1669999999999998</v>
      </c>
      <c r="E77" s="64">
        <f>3.8608 * CHOOSE(CONTROL!$C$22, $C$13, 100%, $E$13)</f>
        <v>3.8607999999999998</v>
      </c>
      <c r="F77" s="64">
        <f>3.8608 * CHOOSE(CONTROL!$C$22, $C$13, 100%, $E$13)</f>
        <v>3.8607999999999998</v>
      </c>
      <c r="G77" s="64">
        <f>3.8609 * CHOOSE(CONTROL!$C$22, $C$13, 100%, $E$13)</f>
        <v>3.8609</v>
      </c>
      <c r="H77" s="64">
        <f>6.3331* CHOOSE(CONTROL!$C$22, $C$13, 100%, $E$13)</f>
        <v>6.3331</v>
      </c>
      <c r="I77" s="64">
        <f>6.3332 * CHOOSE(CONTROL!$C$22, $C$13, 100%, $E$13)</f>
        <v>6.3331999999999997</v>
      </c>
      <c r="J77" s="64">
        <f>3.8608 * CHOOSE(CONTROL!$C$22, $C$13, 100%, $E$13)</f>
        <v>3.8607999999999998</v>
      </c>
      <c r="K77" s="64">
        <f>3.8609 * CHOOSE(CONTROL!$C$22, $C$13, 100%, $E$13)</f>
        <v>3.8609</v>
      </c>
      <c r="L77" s="4"/>
      <c r="M77" s="4"/>
      <c r="N77" s="4"/>
    </row>
    <row r="78" spans="1:14" ht="15">
      <c r="A78" s="13">
        <v>43862</v>
      </c>
      <c r="B78" s="63">
        <f>3.164 * CHOOSE(CONTROL!$C$22, $C$13, 100%, $E$13)</f>
        <v>3.1640000000000001</v>
      </c>
      <c r="C78" s="63">
        <f>3.164 * CHOOSE(CONTROL!$C$22, $C$13, 100%, $E$13)</f>
        <v>3.1640000000000001</v>
      </c>
      <c r="D78" s="63">
        <f>3.164 * CHOOSE(CONTROL!$C$22, $C$13, 100%, $E$13)</f>
        <v>3.1640000000000001</v>
      </c>
      <c r="E78" s="64">
        <f>3.8041 * CHOOSE(CONTROL!$C$22, $C$13, 100%, $E$13)</f>
        <v>3.8041</v>
      </c>
      <c r="F78" s="64">
        <f>3.8041 * CHOOSE(CONTROL!$C$22, $C$13, 100%, $E$13)</f>
        <v>3.8041</v>
      </c>
      <c r="G78" s="64">
        <f>3.8041 * CHOOSE(CONTROL!$C$22, $C$13, 100%, $E$13)</f>
        <v>3.8041</v>
      </c>
      <c r="H78" s="64">
        <f>6.3463* CHOOSE(CONTROL!$C$22, $C$13, 100%, $E$13)</f>
        <v>6.3463000000000003</v>
      </c>
      <c r="I78" s="64">
        <f>6.3464 * CHOOSE(CONTROL!$C$22, $C$13, 100%, $E$13)</f>
        <v>6.3464</v>
      </c>
      <c r="J78" s="64">
        <f>3.8041 * CHOOSE(CONTROL!$C$22, $C$13, 100%, $E$13)</f>
        <v>3.8041</v>
      </c>
      <c r="K78" s="64">
        <f>3.8041 * CHOOSE(CONTROL!$C$22, $C$13, 100%, $E$13)</f>
        <v>3.8041</v>
      </c>
      <c r="L78" s="4"/>
      <c r="M78" s="4"/>
      <c r="N78" s="4"/>
    </row>
    <row r="79" spans="1:14" ht="15">
      <c r="A79" s="13">
        <v>43891</v>
      </c>
      <c r="B79" s="63">
        <f>3.1609 * CHOOSE(CONTROL!$C$22, $C$13, 100%, $E$13)</f>
        <v>3.1608999999999998</v>
      </c>
      <c r="C79" s="63">
        <f>3.1609 * CHOOSE(CONTROL!$C$22, $C$13, 100%, $E$13)</f>
        <v>3.1608999999999998</v>
      </c>
      <c r="D79" s="63">
        <f>3.1609 * CHOOSE(CONTROL!$C$22, $C$13, 100%, $E$13)</f>
        <v>3.1608999999999998</v>
      </c>
      <c r="E79" s="64">
        <f>3.845 * CHOOSE(CONTROL!$C$22, $C$13, 100%, $E$13)</f>
        <v>3.8450000000000002</v>
      </c>
      <c r="F79" s="64">
        <f>3.845 * CHOOSE(CONTROL!$C$22, $C$13, 100%, $E$13)</f>
        <v>3.8450000000000002</v>
      </c>
      <c r="G79" s="64">
        <f>3.8451 * CHOOSE(CONTROL!$C$22, $C$13, 100%, $E$13)</f>
        <v>3.8451</v>
      </c>
      <c r="H79" s="64">
        <f>6.3595* CHOOSE(CONTROL!$C$22, $C$13, 100%, $E$13)</f>
        <v>6.3594999999999997</v>
      </c>
      <c r="I79" s="64">
        <f>6.3596 * CHOOSE(CONTROL!$C$22, $C$13, 100%, $E$13)</f>
        <v>6.3596000000000004</v>
      </c>
      <c r="J79" s="64">
        <f>3.845 * CHOOSE(CONTROL!$C$22, $C$13, 100%, $E$13)</f>
        <v>3.8450000000000002</v>
      </c>
      <c r="K79" s="64">
        <f>3.8451 * CHOOSE(CONTROL!$C$22, $C$13, 100%, $E$13)</f>
        <v>3.8451</v>
      </c>
      <c r="L79" s="4"/>
      <c r="M79" s="4"/>
      <c r="N79" s="4"/>
    </row>
    <row r="80" spans="1:14" ht="15">
      <c r="A80" s="13">
        <v>43922</v>
      </c>
      <c r="B80" s="63">
        <f>3.1577 * CHOOSE(CONTROL!$C$22, $C$13, 100%, $E$13)</f>
        <v>3.1577000000000002</v>
      </c>
      <c r="C80" s="63">
        <f>3.1577 * CHOOSE(CONTROL!$C$22, $C$13, 100%, $E$13)</f>
        <v>3.1577000000000002</v>
      </c>
      <c r="D80" s="63">
        <f>3.1577 * CHOOSE(CONTROL!$C$22, $C$13, 100%, $E$13)</f>
        <v>3.1577000000000002</v>
      </c>
      <c r="E80" s="64">
        <f>3.8871 * CHOOSE(CONTROL!$C$22, $C$13, 100%, $E$13)</f>
        <v>3.8871000000000002</v>
      </c>
      <c r="F80" s="64">
        <f>3.8871 * CHOOSE(CONTROL!$C$22, $C$13, 100%, $E$13)</f>
        <v>3.8871000000000002</v>
      </c>
      <c r="G80" s="64">
        <f>3.8872 * CHOOSE(CONTROL!$C$22, $C$13, 100%, $E$13)</f>
        <v>3.8872</v>
      </c>
      <c r="H80" s="64">
        <f>6.3728* CHOOSE(CONTROL!$C$22, $C$13, 100%, $E$13)</f>
        <v>6.3727999999999998</v>
      </c>
      <c r="I80" s="64">
        <f>6.3729 * CHOOSE(CONTROL!$C$22, $C$13, 100%, $E$13)</f>
        <v>6.3728999999999996</v>
      </c>
      <c r="J80" s="64">
        <f>3.8871 * CHOOSE(CONTROL!$C$22, $C$13, 100%, $E$13)</f>
        <v>3.8871000000000002</v>
      </c>
      <c r="K80" s="64">
        <f>3.8872 * CHOOSE(CONTROL!$C$22, $C$13, 100%, $E$13)</f>
        <v>3.8872</v>
      </c>
      <c r="L80" s="4"/>
      <c r="M80" s="4"/>
      <c r="N80" s="4"/>
    </row>
    <row r="81" spans="1:14" ht="15">
      <c r="A81" s="13">
        <v>43952</v>
      </c>
      <c r="B81" s="63">
        <f>3.1577 * CHOOSE(CONTROL!$C$22, $C$13, 100%, $E$13)</f>
        <v>3.1577000000000002</v>
      </c>
      <c r="C81" s="63">
        <f>3.1577 * CHOOSE(CONTROL!$C$22, $C$13, 100%, $E$13)</f>
        <v>3.1577000000000002</v>
      </c>
      <c r="D81" s="63">
        <f>3.1707 * CHOOSE(CONTROL!$C$22, $C$13, 100%, $E$13)</f>
        <v>3.1707000000000001</v>
      </c>
      <c r="E81" s="64">
        <f>3.9044 * CHOOSE(CONTROL!$C$22, $C$13, 100%, $E$13)</f>
        <v>3.9043999999999999</v>
      </c>
      <c r="F81" s="64">
        <f>3.9044 * CHOOSE(CONTROL!$C$22, $C$13, 100%, $E$13)</f>
        <v>3.9043999999999999</v>
      </c>
      <c r="G81" s="64">
        <f>3.9201 * CHOOSE(CONTROL!$C$22, $C$13, 100%, $E$13)</f>
        <v>3.9201000000000001</v>
      </c>
      <c r="H81" s="64">
        <f>6.3861* CHOOSE(CONTROL!$C$22, $C$13, 100%, $E$13)</f>
        <v>6.3860999999999999</v>
      </c>
      <c r="I81" s="64">
        <f>6.4017 * CHOOSE(CONTROL!$C$22, $C$13, 100%, $E$13)</f>
        <v>6.4016999999999999</v>
      </c>
      <c r="J81" s="64">
        <f>3.9044 * CHOOSE(CONTROL!$C$22, $C$13, 100%, $E$13)</f>
        <v>3.9043999999999999</v>
      </c>
      <c r="K81" s="64">
        <f>3.9201 * CHOOSE(CONTROL!$C$22, $C$13, 100%, $E$13)</f>
        <v>3.9201000000000001</v>
      </c>
      <c r="L81" s="4"/>
      <c r="M81" s="4"/>
      <c r="N81" s="4"/>
    </row>
    <row r="82" spans="1:14" ht="15">
      <c r="A82" s="13">
        <v>43983</v>
      </c>
      <c r="B82" s="63">
        <f>3.1638 * CHOOSE(CONTROL!$C$22, $C$13, 100%, $E$13)</f>
        <v>3.1638000000000002</v>
      </c>
      <c r="C82" s="63">
        <f>3.1638 * CHOOSE(CONTROL!$C$22, $C$13, 100%, $E$13)</f>
        <v>3.1638000000000002</v>
      </c>
      <c r="D82" s="63">
        <f>3.1768 * CHOOSE(CONTROL!$C$22, $C$13, 100%, $E$13)</f>
        <v>3.1768000000000001</v>
      </c>
      <c r="E82" s="64">
        <f>3.8913 * CHOOSE(CONTROL!$C$22, $C$13, 100%, $E$13)</f>
        <v>3.8913000000000002</v>
      </c>
      <c r="F82" s="64">
        <f>3.8913 * CHOOSE(CONTROL!$C$22, $C$13, 100%, $E$13)</f>
        <v>3.8913000000000002</v>
      </c>
      <c r="G82" s="64">
        <f>3.907 * CHOOSE(CONTROL!$C$22, $C$13, 100%, $E$13)</f>
        <v>3.907</v>
      </c>
      <c r="H82" s="64">
        <f>6.3994* CHOOSE(CONTROL!$C$22, $C$13, 100%, $E$13)</f>
        <v>6.3994</v>
      </c>
      <c r="I82" s="64">
        <f>6.415 * CHOOSE(CONTROL!$C$22, $C$13, 100%, $E$13)</f>
        <v>6.415</v>
      </c>
      <c r="J82" s="64">
        <f>3.8913 * CHOOSE(CONTROL!$C$22, $C$13, 100%, $E$13)</f>
        <v>3.8913000000000002</v>
      </c>
      <c r="K82" s="64">
        <f>3.907 * CHOOSE(CONTROL!$C$22, $C$13, 100%, $E$13)</f>
        <v>3.907</v>
      </c>
      <c r="L82" s="4"/>
      <c r="M82" s="4"/>
      <c r="N82" s="4"/>
    </row>
    <row r="83" spans="1:14" ht="15">
      <c r="A83" s="13">
        <v>44013</v>
      </c>
      <c r="B83" s="63">
        <f>3.2348 * CHOOSE(CONTROL!$C$22, $C$13, 100%, $E$13)</f>
        <v>3.2347999999999999</v>
      </c>
      <c r="C83" s="63">
        <f>3.2348 * CHOOSE(CONTROL!$C$22, $C$13, 100%, $E$13)</f>
        <v>3.2347999999999999</v>
      </c>
      <c r="D83" s="63">
        <f>3.2478 * CHOOSE(CONTROL!$C$22, $C$13, 100%, $E$13)</f>
        <v>3.2477999999999998</v>
      </c>
      <c r="E83" s="64">
        <f>3.6313 * CHOOSE(CONTROL!$C$22, $C$13, 100%, $E$13)</f>
        <v>3.6313</v>
      </c>
      <c r="F83" s="64">
        <f>3.6313 * CHOOSE(CONTROL!$C$22, $C$13, 100%, $E$13)</f>
        <v>3.6313</v>
      </c>
      <c r="G83" s="64">
        <f>3.647 * CHOOSE(CONTROL!$C$22, $C$13, 100%, $E$13)</f>
        <v>3.6469999999999998</v>
      </c>
      <c r="H83" s="64">
        <f>6.4127* CHOOSE(CONTROL!$C$22, $C$13, 100%, $E$13)</f>
        <v>6.4127000000000001</v>
      </c>
      <c r="I83" s="64">
        <f>6.4284 * CHOOSE(CONTROL!$C$22, $C$13, 100%, $E$13)</f>
        <v>6.4283999999999999</v>
      </c>
      <c r="J83" s="64">
        <f>3.6313 * CHOOSE(CONTROL!$C$22, $C$13, 100%, $E$13)</f>
        <v>3.6313</v>
      </c>
      <c r="K83" s="64">
        <f>3.647 * CHOOSE(CONTROL!$C$22, $C$13, 100%, $E$13)</f>
        <v>3.6469999999999998</v>
      </c>
      <c r="L83" s="4"/>
      <c r="M83" s="4"/>
      <c r="N83" s="4"/>
    </row>
    <row r="84" spans="1:14" ht="15">
      <c r="A84" s="13">
        <v>44044</v>
      </c>
      <c r="B84" s="63">
        <f>3.2415 * CHOOSE(CONTROL!$C$22, $C$13, 100%, $E$13)</f>
        <v>3.2414999999999998</v>
      </c>
      <c r="C84" s="63">
        <f>3.2415 * CHOOSE(CONTROL!$C$22, $C$13, 100%, $E$13)</f>
        <v>3.2414999999999998</v>
      </c>
      <c r="D84" s="63">
        <f>3.2545 * CHOOSE(CONTROL!$C$22, $C$13, 100%, $E$13)</f>
        <v>3.2545000000000002</v>
      </c>
      <c r="E84" s="64">
        <f>3.5839 * CHOOSE(CONTROL!$C$22, $C$13, 100%, $E$13)</f>
        <v>3.5838999999999999</v>
      </c>
      <c r="F84" s="64">
        <f>3.5839 * CHOOSE(CONTROL!$C$22, $C$13, 100%, $E$13)</f>
        <v>3.5838999999999999</v>
      </c>
      <c r="G84" s="64">
        <f>3.5995 * CHOOSE(CONTROL!$C$22, $C$13, 100%, $E$13)</f>
        <v>3.5994999999999999</v>
      </c>
      <c r="H84" s="64">
        <f>6.4261* CHOOSE(CONTROL!$C$22, $C$13, 100%, $E$13)</f>
        <v>6.4260999999999999</v>
      </c>
      <c r="I84" s="64">
        <f>6.4417 * CHOOSE(CONTROL!$C$22, $C$13, 100%, $E$13)</f>
        <v>6.4417</v>
      </c>
      <c r="J84" s="64">
        <f>3.5839 * CHOOSE(CONTROL!$C$22, $C$13, 100%, $E$13)</f>
        <v>3.5838999999999999</v>
      </c>
      <c r="K84" s="64">
        <f>3.5995 * CHOOSE(CONTROL!$C$22, $C$13, 100%, $E$13)</f>
        <v>3.5994999999999999</v>
      </c>
      <c r="L84" s="4"/>
      <c r="M84" s="4"/>
      <c r="N84" s="4"/>
    </row>
    <row r="85" spans="1:14" ht="15">
      <c r="A85" s="13">
        <v>44075</v>
      </c>
      <c r="B85" s="63">
        <f>3.2384 * CHOOSE(CONTROL!$C$22, $C$13, 100%, $E$13)</f>
        <v>3.2383999999999999</v>
      </c>
      <c r="C85" s="63">
        <f>3.2384 * CHOOSE(CONTROL!$C$22, $C$13, 100%, $E$13)</f>
        <v>3.2383999999999999</v>
      </c>
      <c r="D85" s="63">
        <f>3.2514 * CHOOSE(CONTROL!$C$22, $C$13, 100%, $E$13)</f>
        <v>3.2513999999999998</v>
      </c>
      <c r="E85" s="64">
        <f>3.576 * CHOOSE(CONTROL!$C$22, $C$13, 100%, $E$13)</f>
        <v>3.5760000000000001</v>
      </c>
      <c r="F85" s="64">
        <f>3.576 * CHOOSE(CONTROL!$C$22, $C$13, 100%, $E$13)</f>
        <v>3.5760000000000001</v>
      </c>
      <c r="G85" s="64">
        <f>3.5916 * CHOOSE(CONTROL!$C$22, $C$13, 100%, $E$13)</f>
        <v>3.5916000000000001</v>
      </c>
      <c r="H85" s="64">
        <f>6.4394* CHOOSE(CONTROL!$C$22, $C$13, 100%, $E$13)</f>
        <v>6.4394</v>
      </c>
      <c r="I85" s="64">
        <f>6.4551 * CHOOSE(CONTROL!$C$22, $C$13, 100%, $E$13)</f>
        <v>6.4550999999999998</v>
      </c>
      <c r="J85" s="64">
        <f>3.576 * CHOOSE(CONTROL!$C$22, $C$13, 100%, $E$13)</f>
        <v>3.5760000000000001</v>
      </c>
      <c r="K85" s="64">
        <f>3.5916 * CHOOSE(CONTROL!$C$22, $C$13, 100%, $E$13)</f>
        <v>3.5916000000000001</v>
      </c>
      <c r="L85" s="4"/>
      <c r="M85" s="4"/>
      <c r="N85" s="4"/>
    </row>
    <row r="86" spans="1:14" ht="15">
      <c r="A86" s="13">
        <v>44105</v>
      </c>
      <c r="B86" s="63">
        <f>3.2304 * CHOOSE(CONTROL!$C$22, $C$13, 100%, $E$13)</f>
        <v>3.2303999999999999</v>
      </c>
      <c r="C86" s="63">
        <f>3.2304 * CHOOSE(CONTROL!$C$22, $C$13, 100%, $E$13)</f>
        <v>3.2303999999999999</v>
      </c>
      <c r="D86" s="63">
        <f>3.2304 * CHOOSE(CONTROL!$C$22, $C$13, 100%, $E$13)</f>
        <v>3.2303999999999999</v>
      </c>
      <c r="E86" s="64">
        <f>3.5857 * CHOOSE(CONTROL!$C$22, $C$13, 100%, $E$13)</f>
        <v>3.5857000000000001</v>
      </c>
      <c r="F86" s="64">
        <f>3.5857 * CHOOSE(CONTROL!$C$22, $C$13, 100%, $E$13)</f>
        <v>3.5857000000000001</v>
      </c>
      <c r="G86" s="64">
        <f>3.5858 * CHOOSE(CONTROL!$C$22, $C$13, 100%, $E$13)</f>
        <v>3.5857999999999999</v>
      </c>
      <c r="H86" s="64">
        <f>6.4529* CHOOSE(CONTROL!$C$22, $C$13, 100%, $E$13)</f>
        <v>6.4528999999999996</v>
      </c>
      <c r="I86" s="64">
        <f>6.4529 * CHOOSE(CONTROL!$C$22, $C$13, 100%, $E$13)</f>
        <v>6.4528999999999996</v>
      </c>
      <c r="J86" s="64">
        <f>3.5857 * CHOOSE(CONTROL!$C$22, $C$13, 100%, $E$13)</f>
        <v>3.5857000000000001</v>
      </c>
      <c r="K86" s="64">
        <f>3.5858 * CHOOSE(CONTROL!$C$22, $C$13, 100%, $E$13)</f>
        <v>3.5857999999999999</v>
      </c>
      <c r="L86" s="4"/>
      <c r="M86" s="4"/>
      <c r="N86" s="4"/>
    </row>
    <row r="87" spans="1:14" ht="15">
      <c r="A87" s="13">
        <v>44136</v>
      </c>
      <c r="B87" s="63">
        <f>3.2335 * CHOOSE(CONTROL!$C$22, $C$13, 100%, $E$13)</f>
        <v>3.2334999999999998</v>
      </c>
      <c r="C87" s="63">
        <f>3.2335 * CHOOSE(CONTROL!$C$22, $C$13, 100%, $E$13)</f>
        <v>3.2334999999999998</v>
      </c>
      <c r="D87" s="63">
        <f>3.2335 * CHOOSE(CONTROL!$C$22, $C$13, 100%, $E$13)</f>
        <v>3.2334999999999998</v>
      </c>
      <c r="E87" s="64">
        <f>3.5994 * CHOOSE(CONTROL!$C$22, $C$13, 100%, $E$13)</f>
        <v>3.5994000000000002</v>
      </c>
      <c r="F87" s="64">
        <f>3.5994 * CHOOSE(CONTROL!$C$22, $C$13, 100%, $E$13)</f>
        <v>3.5994000000000002</v>
      </c>
      <c r="G87" s="64">
        <f>3.5995 * CHOOSE(CONTROL!$C$22, $C$13, 100%, $E$13)</f>
        <v>3.5994999999999999</v>
      </c>
      <c r="H87" s="64">
        <f>6.4663* CHOOSE(CONTROL!$C$22, $C$13, 100%, $E$13)</f>
        <v>6.4663000000000004</v>
      </c>
      <c r="I87" s="64">
        <f>6.4664 * CHOOSE(CONTROL!$C$22, $C$13, 100%, $E$13)</f>
        <v>6.4664000000000001</v>
      </c>
      <c r="J87" s="64">
        <f>3.5994 * CHOOSE(CONTROL!$C$22, $C$13, 100%, $E$13)</f>
        <v>3.5994000000000002</v>
      </c>
      <c r="K87" s="64">
        <f>3.5995 * CHOOSE(CONTROL!$C$22, $C$13, 100%, $E$13)</f>
        <v>3.5994999999999999</v>
      </c>
      <c r="L87" s="4"/>
      <c r="M87" s="4"/>
      <c r="N87" s="4"/>
    </row>
    <row r="88" spans="1:14" ht="15">
      <c r="A88" s="13">
        <v>44166</v>
      </c>
      <c r="B88" s="63">
        <f>3.2335 * CHOOSE(CONTROL!$C$22, $C$13, 100%, $E$13)</f>
        <v>3.2334999999999998</v>
      </c>
      <c r="C88" s="63">
        <f>3.2335 * CHOOSE(CONTROL!$C$22, $C$13, 100%, $E$13)</f>
        <v>3.2334999999999998</v>
      </c>
      <c r="D88" s="63">
        <f>3.2335 * CHOOSE(CONTROL!$C$22, $C$13, 100%, $E$13)</f>
        <v>3.2334999999999998</v>
      </c>
      <c r="E88" s="64">
        <f>3.5704 * CHOOSE(CONTROL!$C$22, $C$13, 100%, $E$13)</f>
        <v>3.5703999999999998</v>
      </c>
      <c r="F88" s="64">
        <f>3.5704 * CHOOSE(CONTROL!$C$22, $C$13, 100%, $E$13)</f>
        <v>3.5703999999999998</v>
      </c>
      <c r="G88" s="64">
        <f>3.5705 * CHOOSE(CONTROL!$C$22, $C$13, 100%, $E$13)</f>
        <v>3.5705</v>
      </c>
      <c r="H88" s="64">
        <f>6.4798* CHOOSE(CONTROL!$C$22, $C$13, 100%, $E$13)</f>
        <v>6.4798</v>
      </c>
      <c r="I88" s="64">
        <f>6.4799 * CHOOSE(CONTROL!$C$22, $C$13, 100%, $E$13)</f>
        <v>6.4798999999999998</v>
      </c>
      <c r="J88" s="64">
        <f>3.5704 * CHOOSE(CONTROL!$C$22, $C$13, 100%, $E$13)</f>
        <v>3.5703999999999998</v>
      </c>
      <c r="K88" s="64">
        <f>3.5705 * CHOOSE(CONTROL!$C$22, $C$13, 100%, $E$13)</f>
        <v>3.5705</v>
      </c>
      <c r="L88" s="4"/>
      <c r="M88" s="4"/>
      <c r="N88" s="4"/>
    </row>
    <row r="89" spans="1:14" ht="15">
      <c r="A89" s="13">
        <v>44197</v>
      </c>
      <c r="B89" s="63">
        <f>3.2543 * CHOOSE(CONTROL!$C$22, $C$13, 100%, $E$13)</f>
        <v>3.2543000000000002</v>
      </c>
      <c r="C89" s="63">
        <f>3.2543 * CHOOSE(CONTROL!$C$22, $C$13, 100%, $E$13)</f>
        <v>3.2543000000000002</v>
      </c>
      <c r="D89" s="63">
        <f>3.2543 * CHOOSE(CONTROL!$C$22, $C$13, 100%, $E$13)</f>
        <v>3.2543000000000002</v>
      </c>
      <c r="E89" s="64">
        <f>3.6909 * CHOOSE(CONTROL!$C$22, $C$13, 100%, $E$13)</f>
        <v>3.6909000000000001</v>
      </c>
      <c r="F89" s="64">
        <f>3.6909 * CHOOSE(CONTROL!$C$22, $C$13, 100%, $E$13)</f>
        <v>3.6909000000000001</v>
      </c>
      <c r="G89" s="64">
        <f>3.6909 * CHOOSE(CONTROL!$C$22, $C$13, 100%, $E$13)</f>
        <v>3.6909000000000001</v>
      </c>
      <c r="H89" s="64">
        <f>6.4933* CHOOSE(CONTROL!$C$22, $C$13, 100%, $E$13)</f>
        <v>6.4932999999999996</v>
      </c>
      <c r="I89" s="64">
        <f>6.4934 * CHOOSE(CONTROL!$C$22, $C$13, 100%, $E$13)</f>
        <v>6.4934000000000003</v>
      </c>
      <c r="J89" s="64">
        <f>3.6909 * CHOOSE(CONTROL!$C$22, $C$13, 100%, $E$13)</f>
        <v>3.6909000000000001</v>
      </c>
      <c r="K89" s="64">
        <f>3.6909 * CHOOSE(CONTROL!$C$22, $C$13, 100%, $E$13)</f>
        <v>3.6909000000000001</v>
      </c>
      <c r="L89" s="4"/>
      <c r="M89" s="4"/>
      <c r="N89" s="4"/>
    </row>
    <row r="90" spans="1:14" ht="15">
      <c r="A90" s="13">
        <v>44228</v>
      </c>
      <c r="B90" s="63">
        <f>3.2513 * CHOOSE(CONTROL!$C$22, $C$13, 100%, $E$13)</f>
        <v>3.2513000000000001</v>
      </c>
      <c r="C90" s="63">
        <f>3.2513 * CHOOSE(CONTROL!$C$22, $C$13, 100%, $E$13)</f>
        <v>3.2513000000000001</v>
      </c>
      <c r="D90" s="63">
        <f>3.2513 * CHOOSE(CONTROL!$C$22, $C$13, 100%, $E$13)</f>
        <v>3.2513000000000001</v>
      </c>
      <c r="E90" s="64">
        <f>3.6298 * CHOOSE(CONTROL!$C$22, $C$13, 100%, $E$13)</f>
        <v>3.6297999999999999</v>
      </c>
      <c r="F90" s="64">
        <f>3.6298 * CHOOSE(CONTROL!$C$22, $C$13, 100%, $E$13)</f>
        <v>3.6297999999999999</v>
      </c>
      <c r="G90" s="64">
        <f>3.6299 * CHOOSE(CONTROL!$C$22, $C$13, 100%, $E$13)</f>
        <v>3.6299000000000001</v>
      </c>
      <c r="H90" s="64">
        <f>6.5068* CHOOSE(CONTROL!$C$22, $C$13, 100%, $E$13)</f>
        <v>6.5068000000000001</v>
      </c>
      <c r="I90" s="64">
        <f>6.5069 * CHOOSE(CONTROL!$C$22, $C$13, 100%, $E$13)</f>
        <v>6.5068999999999999</v>
      </c>
      <c r="J90" s="64">
        <f>3.6298 * CHOOSE(CONTROL!$C$22, $C$13, 100%, $E$13)</f>
        <v>3.6297999999999999</v>
      </c>
      <c r="K90" s="64">
        <f>3.6299 * CHOOSE(CONTROL!$C$22, $C$13, 100%, $E$13)</f>
        <v>3.6299000000000001</v>
      </c>
      <c r="L90" s="4"/>
      <c r="M90" s="4"/>
      <c r="N90" s="4"/>
    </row>
    <row r="91" spans="1:14" ht="15">
      <c r="A91" s="13">
        <v>44256</v>
      </c>
      <c r="B91" s="63">
        <f>3.2482 * CHOOSE(CONTROL!$C$22, $C$13, 100%, $E$13)</f>
        <v>3.2482000000000002</v>
      </c>
      <c r="C91" s="63">
        <f>3.2482 * CHOOSE(CONTROL!$C$22, $C$13, 100%, $E$13)</f>
        <v>3.2482000000000002</v>
      </c>
      <c r="D91" s="63">
        <f>3.2482 * CHOOSE(CONTROL!$C$22, $C$13, 100%, $E$13)</f>
        <v>3.2482000000000002</v>
      </c>
      <c r="E91" s="64">
        <f>3.6741 * CHOOSE(CONTROL!$C$22, $C$13, 100%, $E$13)</f>
        <v>3.6741000000000001</v>
      </c>
      <c r="F91" s="64">
        <f>3.6741 * CHOOSE(CONTROL!$C$22, $C$13, 100%, $E$13)</f>
        <v>3.6741000000000001</v>
      </c>
      <c r="G91" s="64">
        <f>3.6742 * CHOOSE(CONTROL!$C$22, $C$13, 100%, $E$13)</f>
        <v>3.6741999999999999</v>
      </c>
      <c r="H91" s="64">
        <f>6.5204* CHOOSE(CONTROL!$C$22, $C$13, 100%, $E$13)</f>
        <v>6.5204000000000004</v>
      </c>
      <c r="I91" s="64">
        <f>6.5204 * CHOOSE(CONTROL!$C$22, $C$13, 100%, $E$13)</f>
        <v>6.5204000000000004</v>
      </c>
      <c r="J91" s="64">
        <f>3.6741 * CHOOSE(CONTROL!$C$22, $C$13, 100%, $E$13)</f>
        <v>3.6741000000000001</v>
      </c>
      <c r="K91" s="64">
        <f>3.6742 * CHOOSE(CONTROL!$C$22, $C$13, 100%, $E$13)</f>
        <v>3.6741999999999999</v>
      </c>
      <c r="L91" s="4"/>
      <c r="M91" s="4"/>
      <c r="N91" s="4"/>
    </row>
    <row r="92" spans="1:14" ht="15">
      <c r="A92" s="13">
        <v>44287</v>
      </c>
      <c r="B92" s="63">
        <f>3.2451 * CHOOSE(CONTROL!$C$22, $C$13, 100%, $E$13)</f>
        <v>3.2450999999999999</v>
      </c>
      <c r="C92" s="63">
        <f>3.2451 * CHOOSE(CONTROL!$C$22, $C$13, 100%, $E$13)</f>
        <v>3.2450999999999999</v>
      </c>
      <c r="D92" s="63">
        <f>3.2451 * CHOOSE(CONTROL!$C$22, $C$13, 100%, $E$13)</f>
        <v>3.2450999999999999</v>
      </c>
      <c r="E92" s="64">
        <f>3.7198 * CHOOSE(CONTROL!$C$22, $C$13, 100%, $E$13)</f>
        <v>3.7198000000000002</v>
      </c>
      <c r="F92" s="64">
        <f>3.7198 * CHOOSE(CONTROL!$C$22, $C$13, 100%, $E$13)</f>
        <v>3.7198000000000002</v>
      </c>
      <c r="G92" s="64">
        <f>3.7199 * CHOOSE(CONTROL!$C$22, $C$13, 100%, $E$13)</f>
        <v>3.7199</v>
      </c>
      <c r="H92" s="64">
        <f>6.5339* CHOOSE(CONTROL!$C$22, $C$13, 100%, $E$13)</f>
        <v>6.5339</v>
      </c>
      <c r="I92" s="64">
        <f>6.534 * CHOOSE(CONTROL!$C$22, $C$13, 100%, $E$13)</f>
        <v>6.5339999999999998</v>
      </c>
      <c r="J92" s="64">
        <f>3.7198 * CHOOSE(CONTROL!$C$22, $C$13, 100%, $E$13)</f>
        <v>3.7198000000000002</v>
      </c>
      <c r="K92" s="64">
        <f>3.7199 * CHOOSE(CONTROL!$C$22, $C$13, 100%, $E$13)</f>
        <v>3.7199</v>
      </c>
      <c r="L92" s="4"/>
      <c r="M92" s="4"/>
      <c r="N92" s="4"/>
    </row>
    <row r="93" spans="1:14" ht="15">
      <c r="A93" s="13">
        <v>44317</v>
      </c>
      <c r="B93" s="63">
        <f>3.2451 * CHOOSE(CONTROL!$C$22, $C$13, 100%, $E$13)</f>
        <v>3.2450999999999999</v>
      </c>
      <c r="C93" s="63">
        <f>3.2451 * CHOOSE(CONTROL!$C$22, $C$13, 100%, $E$13)</f>
        <v>3.2450999999999999</v>
      </c>
      <c r="D93" s="63">
        <f>3.2581 * CHOOSE(CONTROL!$C$22, $C$13, 100%, $E$13)</f>
        <v>3.2581000000000002</v>
      </c>
      <c r="E93" s="64">
        <f>3.7385 * CHOOSE(CONTROL!$C$22, $C$13, 100%, $E$13)</f>
        <v>3.7385000000000002</v>
      </c>
      <c r="F93" s="64">
        <f>3.7385 * CHOOSE(CONTROL!$C$22, $C$13, 100%, $E$13)</f>
        <v>3.7385000000000002</v>
      </c>
      <c r="G93" s="64">
        <f>3.7542 * CHOOSE(CONTROL!$C$22, $C$13, 100%, $E$13)</f>
        <v>3.7542</v>
      </c>
      <c r="H93" s="64">
        <f>6.5476* CHOOSE(CONTROL!$C$22, $C$13, 100%, $E$13)</f>
        <v>6.5476000000000001</v>
      </c>
      <c r="I93" s="64">
        <f>6.5632 * CHOOSE(CONTROL!$C$22, $C$13, 100%, $E$13)</f>
        <v>6.5632000000000001</v>
      </c>
      <c r="J93" s="64">
        <f>3.7385 * CHOOSE(CONTROL!$C$22, $C$13, 100%, $E$13)</f>
        <v>3.7385000000000002</v>
      </c>
      <c r="K93" s="64">
        <f>3.7542 * CHOOSE(CONTROL!$C$22, $C$13, 100%, $E$13)</f>
        <v>3.7542</v>
      </c>
      <c r="L93" s="4"/>
      <c r="M93" s="4"/>
      <c r="N93" s="4"/>
    </row>
    <row r="94" spans="1:14" ht="15">
      <c r="A94" s="13">
        <v>44348</v>
      </c>
      <c r="B94" s="63">
        <f>3.2512 * CHOOSE(CONTROL!$C$22, $C$13, 100%, $E$13)</f>
        <v>3.2511999999999999</v>
      </c>
      <c r="C94" s="63">
        <f>3.2512 * CHOOSE(CONTROL!$C$22, $C$13, 100%, $E$13)</f>
        <v>3.2511999999999999</v>
      </c>
      <c r="D94" s="63">
        <f>3.2641 * CHOOSE(CONTROL!$C$22, $C$13, 100%, $E$13)</f>
        <v>3.2641</v>
      </c>
      <c r="E94" s="64">
        <f>3.724 * CHOOSE(CONTROL!$C$22, $C$13, 100%, $E$13)</f>
        <v>3.7240000000000002</v>
      </c>
      <c r="F94" s="64">
        <f>3.724 * CHOOSE(CONTROL!$C$22, $C$13, 100%, $E$13)</f>
        <v>3.7240000000000002</v>
      </c>
      <c r="G94" s="64">
        <f>3.7397 * CHOOSE(CONTROL!$C$22, $C$13, 100%, $E$13)</f>
        <v>3.7397</v>
      </c>
      <c r="H94" s="64">
        <f>6.5612* CHOOSE(CONTROL!$C$22, $C$13, 100%, $E$13)</f>
        <v>6.5612000000000004</v>
      </c>
      <c r="I94" s="64">
        <f>6.5769 * CHOOSE(CONTROL!$C$22, $C$13, 100%, $E$13)</f>
        <v>6.5769000000000002</v>
      </c>
      <c r="J94" s="64">
        <f>3.724 * CHOOSE(CONTROL!$C$22, $C$13, 100%, $E$13)</f>
        <v>3.7240000000000002</v>
      </c>
      <c r="K94" s="64">
        <f>3.7397 * CHOOSE(CONTROL!$C$22, $C$13, 100%, $E$13)</f>
        <v>3.7397</v>
      </c>
      <c r="L94" s="4"/>
      <c r="M94" s="4"/>
      <c r="N94" s="4"/>
    </row>
    <row r="95" spans="1:14" ht="15">
      <c r="A95" s="13">
        <v>44378</v>
      </c>
      <c r="B95" s="63">
        <f>3.2867 * CHOOSE(CONTROL!$C$22, $C$13, 100%, $E$13)</f>
        <v>3.2867000000000002</v>
      </c>
      <c r="C95" s="63">
        <f>3.2867 * CHOOSE(CONTROL!$C$22, $C$13, 100%, $E$13)</f>
        <v>3.2867000000000002</v>
      </c>
      <c r="D95" s="63">
        <f>3.2997 * CHOOSE(CONTROL!$C$22, $C$13, 100%, $E$13)</f>
        <v>3.2997000000000001</v>
      </c>
      <c r="E95" s="64">
        <f>3.8884 * CHOOSE(CONTROL!$C$22, $C$13, 100%, $E$13)</f>
        <v>3.8883999999999999</v>
      </c>
      <c r="F95" s="64">
        <f>3.8884 * CHOOSE(CONTROL!$C$22, $C$13, 100%, $E$13)</f>
        <v>3.8883999999999999</v>
      </c>
      <c r="G95" s="64">
        <f>3.9041 * CHOOSE(CONTROL!$C$22, $C$13, 100%, $E$13)</f>
        <v>3.9041000000000001</v>
      </c>
      <c r="H95" s="64">
        <f>6.5749* CHOOSE(CONTROL!$C$22, $C$13, 100%, $E$13)</f>
        <v>6.5749000000000004</v>
      </c>
      <c r="I95" s="64">
        <f>6.5905 * CHOOSE(CONTROL!$C$22, $C$13, 100%, $E$13)</f>
        <v>6.5904999999999996</v>
      </c>
      <c r="J95" s="64">
        <f>3.8884 * CHOOSE(CONTROL!$C$22, $C$13, 100%, $E$13)</f>
        <v>3.8883999999999999</v>
      </c>
      <c r="K95" s="64">
        <f>3.9041 * CHOOSE(CONTROL!$C$22, $C$13, 100%, $E$13)</f>
        <v>3.9041000000000001</v>
      </c>
      <c r="L95" s="4"/>
      <c r="M95" s="4"/>
      <c r="N95" s="4"/>
    </row>
    <row r="96" spans="1:14" ht="15">
      <c r="A96" s="13">
        <v>44409</v>
      </c>
      <c r="B96" s="63">
        <f>3.2934 * CHOOSE(CONTROL!$C$22, $C$13, 100%, $E$13)</f>
        <v>3.2934000000000001</v>
      </c>
      <c r="C96" s="63">
        <f>3.2934 * CHOOSE(CONTROL!$C$22, $C$13, 100%, $E$13)</f>
        <v>3.2934000000000001</v>
      </c>
      <c r="D96" s="63">
        <f>3.3063 * CHOOSE(CONTROL!$C$22, $C$13, 100%, $E$13)</f>
        <v>3.3062999999999998</v>
      </c>
      <c r="E96" s="64">
        <f>3.8369 * CHOOSE(CONTROL!$C$22, $C$13, 100%, $E$13)</f>
        <v>3.8369</v>
      </c>
      <c r="F96" s="64">
        <f>3.8369 * CHOOSE(CONTROL!$C$22, $C$13, 100%, $E$13)</f>
        <v>3.8369</v>
      </c>
      <c r="G96" s="64">
        <f>3.8526 * CHOOSE(CONTROL!$C$22, $C$13, 100%, $E$13)</f>
        <v>3.8525999999999998</v>
      </c>
      <c r="H96" s="64">
        <f>6.5886* CHOOSE(CONTROL!$C$22, $C$13, 100%, $E$13)</f>
        <v>6.5885999999999996</v>
      </c>
      <c r="I96" s="64">
        <f>6.6042 * CHOOSE(CONTROL!$C$22, $C$13, 100%, $E$13)</f>
        <v>6.6041999999999996</v>
      </c>
      <c r="J96" s="64">
        <f>3.8369 * CHOOSE(CONTROL!$C$22, $C$13, 100%, $E$13)</f>
        <v>3.8369</v>
      </c>
      <c r="K96" s="64">
        <f>3.8526 * CHOOSE(CONTROL!$C$22, $C$13, 100%, $E$13)</f>
        <v>3.8525999999999998</v>
      </c>
      <c r="L96" s="4"/>
      <c r="M96" s="4"/>
      <c r="N96" s="4"/>
    </row>
    <row r="97" spans="1:14" ht="15">
      <c r="A97" s="13">
        <v>44440</v>
      </c>
      <c r="B97" s="63">
        <f>3.2903 * CHOOSE(CONTROL!$C$22, $C$13, 100%, $E$13)</f>
        <v>3.2902999999999998</v>
      </c>
      <c r="C97" s="63">
        <f>3.2903 * CHOOSE(CONTROL!$C$22, $C$13, 100%, $E$13)</f>
        <v>3.2902999999999998</v>
      </c>
      <c r="D97" s="63">
        <f>3.3033 * CHOOSE(CONTROL!$C$22, $C$13, 100%, $E$13)</f>
        <v>3.3033000000000001</v>
      </c>
      <c r="E97" s="64">
        <f>3.8285 * CHOOSE(CONTROL!$C$22, $C$13, 100%, $E$13)</f>
        <v>3.8285</v>
      </c>
      <c r="F97" s="64">
        <f>3.8285 * CHOOSE(CONTROL!$C$22, $C$13, 100%, $E$13)</f>
        <v>3.8285</v>
      </c>
      <c r="G97" s="64">
        <f>3.8442 * CHOOSE(CONTROL!$C$22, $C$13, 100%, $E$13)</f>
        <v>3.8441999999999998</v>
      </c>
      <c r="H97" s="64">
        <f>6.6023* CHOOSE(CONTROL!$C$22, $C$13, 100%, $E$13)</f>
        <v>6.6022999999999996</v>
      </c>
      <c r="I97" s="64">
        <f>6.618 * CHOOSE(CONTROL!$C$22, $C$13, 100%, $E$13)</f>
        <v>6.6180000000000003</v>
      </c>
      <c r="J97" s="64">
        <f>3.8285 * CHOOSE(CONTROL!$C$22, $C$13, 100%, $E$13)</f>
        <v>3.8285</v>
      </c>
      <c r="K97" s="64">
        <f>3.8442 * CHOOSE(CONTROL!$C$22, $C$13, 100%, $E$13)</f>
        <v>3.8441999999999998</v>
      </c>
      <c r="L97" s="4"/>
      <c r="M97" s="4"/>
      <c r="N97" s="4"/>
    </row>
    <row r="98" spans="1:14" ht="15">
      <c r="A98" s="13">
        <v>44470</v>
      </c>
      <c r="B98" s="63">
        <f>3.2826 * CHOOSE(CONTROL!$C$22, $C$13, 100%, $E$13)</f>
        <v>3.2826</v>
      </c>
      <c r="C98" s="63">
        <f>3.2826 * CHOOSE(CONTROL!$C$22, $C$13, 100%, $E$13)</f>
        <v>3.2826</v>
      </c>
      <c r="D98" s="63">
        <f>3.2826 * CHOOSE(CONTROL!$C$22, $C$13, 100%, $E$13)</f>
        <v>3.2826</v>
      </c>
      <c r="E98" s="64">
        <f>3.8401 * CHOOSE(CONTROL!$C$22, $C$13, 100%, $E$13)</f>
        <v>3.8401000000000001</v>
      </c>
      <c r="F98" s="64">
        <f>3.8401 * CHOOSE(CONTROL!$C$22, $C$13, 100%, $E$13)</f>
        <v>3.8401000000000001</v>
      </c>
      <c r="G98" s="64">
        <f>3.8402 * CHOOSE(CONTROL!$C$22, $C$13, 100%, $E$13)</f>
        <v>3.8401999999999998</v>
      </c>
      <c r="H98" s="64">
        <f>6.616* CHOOSE(CONTROL!$C$22, $C$13, 100%, $E$13)</f>
        <v>6.6159999999999997</v>
      </c>
      <c r="I98" s="64">
        <f>6.6161 * CHOOSE(CONTROL!$C$22, $C$13, 100%, $E$13)</f>
        <v>6.6161000000000003</v>
      </c>
      <c r="J98" s="64">
        <f>3.8401 * CHOOSE(CONTROL!$C$22, $C$13, 100%, $E$13)</f>
        <v>3.8401000000000001</v>
      </c>
      <c r="K98" s="64">
        <f>3.8402 * CHOOSE(CONTROL!$C$22, $C$13, 100%, $E$13)</f>
        <v>3.8401999999999998</v>
      </c>
      <c r="L98" s="4"/>
      <c r="M98" s="4"/>
      <c r="N98" s="4"/>
    </row>
    <row r="99" spans="1:14" ht="15">
      <c r="A99" s="13">
        <v>44501</v>
      </c>
      <c r="B99" s="63">
        <f>3.2856 * CHOOSE(CONTROL!$C$22, $C$13, 100%, $E$13)</f>
        <v>3.2856000000000001</v>
      </c>
      <c r="C99" s="63">
        <f>3.2856 * CHOOSE(CONTROL!$C$22, $C$13, 100%, $E$13)</f>
        <v>3.2856000000000001</v>
      </c>
      <c r="D99" s="63">
        <f>3.2856 * CHOOSE(CONTROL!$C$22, $C$13, 100%, $E$13)</f>
        <v>3.2856000000000001</v>
      </c>
      <c r="E99" s="64">
        <f>3.8547 * CHOOSE(CONTROL!$C$22, $C$13, 100%, $E$13)</f>
        <v>3.8546999999999998</v>
      </c>
      <c r="F99" s="64">
        <f>3.8547 * CHOOSE(CONTROL!$C$22, $C$13, 100%, $E$13)</f>
        <v>3.8546999999999998</v>
      </c>
      <c r="G99" s="64">
        <f>3.8547 * CHOOSE(CONTROL!$C$22, $C$13, 100%, $E$13)</f>
        <v>3.8546999999999998</v>
      </c>
      <c r="H99" s="64">
        <f>6.6298* CHOOSE(CONTROL!$C$22, $C$13, 100%, $E$13)</f>
        <v>6.6298000000000004</v>
      </c>
      <c r="I99" s="64">
        <f>6.6299 * CHOOSE(CONTROL!$C$22, $C$13, 100%, $E$13)</f>
        <v>6.6299000000000001</v>
      </c>
      <c r="J99" s="64">
        <f>3.8547 * CHOOSE(CONTROL!$C$22, $C$13, 100%, $E$13)</f>
        <v>3.8546999999999998</v>
      </c>
      <c r="K99" s="64">
        <f>3.8547 * CHOOSE(CONTROL!$C$22, $C$13, 100%, $E$13)</f>
        <v>3.8546999999999998</v>
      </c>
      <c r="L99" s="4"/>
      <c r="M99" s="4"/>
      <c r="N99" s="4"/>
    </row>
    <row r="100" spans="1:14" ht="15">
      <c r="A100" s="13">
        <v>44531</v>
      </c>
      <c r="B100" s="63">
        <f>3.2856 * CHOOSE(CONTROL!$C$22, $C$13, 100%, $E$13)</f>
        <v>3.2856000000000001</v>
      </c>
      <c r="C100" s="63">
        <f>3.2856 * CHOOSE(CONTROL!$C$22, $C$13, 100%, $E$13)</f>
        <v>3.2856000000000001</v>
      </c>
      <c r="D100" s="63">
        <f>3.2856 * CHOOSE(CONTROL!$C$22, $C$13, 100%, $E$13)</f>
        <v>3.2856000000000001</v>
      </c>
      <c r="E100" s="64">
        <f>3.8235 * CHOOSE(CONTROL!$C$22, $C$13, 100%, $E$13)</f>
        <v>3.8235000000000001</v>
      </c>
      <c r="F100" s="64">
        <f>3.8235 * CHOOSE(CONTROL!$C$22, $C$13, 100%, $E$13)</f>
        <v>3.8235000000000001</v>
      </c>
      <c r="G100" s="64">
        <f>3.8236 * CHOOSE(CONTROL!$C$22, $C$13, 100%, $E$13)</f>
        <v>3.8235999999999999</v>
      </c>
      <c r="H100" s="64">
        <f>6.6436* CHOOSE(CONTROL!$C$22, $C$13, 100%, $E$13)</f>
        <v>6.6436000000000002</v>
      </c>
      <c r="I100" s="64">
        <f>6.6437 * CHOOSE(CONTROL!$C$22, $C$13, 100%, $E$13)</f>
        <v>6.6436999999999999</v>
      </c>
      <c r="J100" s="64">
        <f>3.8235 * CHOOSE(CONTROL!$C$22, $C$13, 100%, $E$13)</f>
        <v>3.8235000000000001</v>
      </c>
      <c r="K100" s="64">
        <f>3.8236 * CHOOSE(CONTROL!$C$22, $C$13, 100%, $E$13)</f>
        <v>3.8235999999999999</v>
      </c>
      <c r="L100" s="4"/>
      <c r="M100" s="4"/>
      <c r="N100" s="4"/>
    </row>
    <row r="101" spans="1:14" ht="15">
      <c r="A101" s="13">
        <v>44562</v>
      </c>
      <c r="B101" s="63">
        <f>3.315 * CHOOSE(CONTROL!$C$22, $C$13, 100%, $E$13)</f>
        <v>3.3149999999999999</v>
      </c>
      <c r="C101" s="63">
        <f>3.315 * CHOOSE(CONTROL!$C$22, $C$13, 100%, $E$13)</f>
        <v>3.3149999999999999</v>
      </c>
      <c r="D101" s="63">
        <f>3.3151 * CHOOSE(CONTROL!$C$22, $C$13, 100%, $E$13)</f>
        <v>3.3151000000000002</v>
      </c>
      <c r="E101" s="64">
        <f>3.9024 * CHOOSE(CONTROL!$C$22, $C$13, 100%, $E$13)</f>
        <v>3.9024000000000001</v>
      </c>
      <c r="F101" s="64">
        <f>3.9024 * CHOOSE(CONTROL!$C$22, $C$13, 100%, $E$13)</f>
        <v>3.9024000000000001</v>
      </c>
      <c r="G101" s="64">
        <f>3.9025 * CHOOSE(CONTROL!$C$22, $C$13, 100%, $E$13)</f>
        <v>3.9024999999999999</v>
      </c>
      <c r="H101" s="64">
        <f>6.6575* CHOOSE(CONTROL!$C$22, $C$13, 100%, $E$13)</f>
        <v>6.6574999999999998</v>
      </c>
      <c r="I101" s="64">
        <f>6.6576 * CHOOSE(CONTROL!$C$22, $C$13, 100%, $E$13)</f>
        <v>6.6576000000000004</v>
      </c>
      <c r="J101" s="64">
        <f>3.9024 * CHOOSE(CONTROL!$C$22, $C$13, 100%, $E$13)</f>
        <v>3.9024000000000001</v>
      </c>
      <c r="K101" s="64">
        <f>3.9025 * CHOOSE(CONTROL!$C$22, $C$13, 100%, $E$13)</f>
        <v>3.9024999999999999</v>
      </c>
      <c r="L101" s="4"/>
      <c r="M101" s="4"/>
      <c r="N101" s="4"/>
    </row>
    <row r="102" spans="1:14" ht="15">
      <c r="A102" s="13">
        <v>44593</v>
      </c>
      <c r="B102" s="63">
        <f>3.312 * CHOOSE(CONTROL!$C$22, $C$13, 100%, $E$13)</f>
        <v>3.3119999999999998</v>
      </c>
      <c r="C102" s="63">
        <f>3.312 * CHOOSE(CONTROL!$C$22, $C$13, 100%, $E$13)</f>
        <v>3.3119999999999998</v>
      </c>
      <c r="D102" s="63">
        <f>3.312 * CHOOSE(CONTROL!$C$22, $C$13, 100%, $E$13)</f>
        <v>3.3119999999999998</v>
      </c>
      <c r="E102" s="64">
        <f>3.8381 * CHOOSE(CONTROL!$C$22, $C$13, 100%, $E$13)</f>
        <v>3.8380999999999998</v>
      </c>
      <c r="F102" s="64">
        <f>3.8381 * CHOOSE(CONTROL!$C$22, $C$13, 100%, $E$13)</f>
        <v>3.8380999999999998</v>
      </c>
      <c r="G102" s="64">
        <f>3.8382 * CHOOSE(CONTROL!$C$22, $C$13, 100%, $E$13)</f>
        <v>3.8382000000000001</v>
      </c>
      <c r="H102" s="64">
        <f>6.6713* CHOOSE(CONTROL!$C$22, $C$13, 100%, $E$13)</f>
        <v>6.6712999999999996</v>
      </c>
      <c r="I102" s="64">
        <f>6.6714 * CHOOSE(CONTROL!$C$22, $C$13, 100%, $E$13)</f>
        <v>6.6714000000000002</v>
      </c>
      <c r="J102" s="64">
        <f>3.8381 * CHOOSE(CONTROL!$C$22, $C$13, 100%, $E$13)</f>
        <v>3.8380999999999998</v>
      </c>
      <c r="K102" s="64">
        <f>3.8382 * CHOOSE(CONTROL!$C$22, $C$13, 100%, $E$13)</f>
        <v>3.8382000000000001</v>
      </c>
      <c r="L102" s="4"/>
      <c r="M102" s="4"/>
      <c r="N102" s="4"/>
    </row>
    <row r="103" spans="1:14" ht="15">
      <c r="A103" s="13">
        <v>44621</v>
      </c>
      <c r="B103" s="63">
        <f>3.309 * CHOOSE(CONTROL!$C$22, $C$13, 100%, $E$13)</f>
        <v>3.3090000000000002</v>
      </c>
      <c r="C103" s="63">
        <f>3.309 * CHOOSE(CONTROL!$C$22, $C$13, 100%, $E$13)</f>
        <v>3.3090000000000002</v>
      </c>
      <c r="D103" s="63">
        <f>3.309 * CHOOSE(CONTROL!$C$22, $C$13, 100%, $E$13)</f>
        <v>3.3090000000000002</v>
      </c>
      <c r="E103" s="64">
        <f>3.885 * CHOOSE(CONTROL!$C$22, $C$13, 100%, $E$13)</f>
        <v>3.8849999999999998</v>
      </c>
      <c r="F103" s="64">
        <f>3.885 * CHOOSE(CONTROL!$C$22, $C$13, 100%, $E$13)</f>
        <v>3.8849999999999998</v>
      </c>
      <c r="G103" s="64">
        <f>3.8851 * CHOOSE(CONTROL!$C$22, $C$13, 100%, $E$13)</f>
        <v>3.8851</v>
      </c>
      <c r="H103" s="64">
        <f>6.6852* CHOOSE(CONTROL!$C$22, $C$13, 100%, $E$13)</f>
        <v>6.6852</v>
      </c>
      <c r="I103" s="64">
        <f>6.6853 * CHOOSE(CONTROL!$C$22, $C$13, 100%, $E$13)</f>
        <v>6.6852999999999998</v>
      </c>
      <c r="J103" s="64">
        <f>3.885 * CHOOSE(CONTROL!$C$22, $C$13, 100%, $E$13)</f>
        <v>3.8849999999999998</v>
      </c>
      <c r="K103" s="64">
        <f>3.8851 * CHOOSE(CONTROL!$C$22, $C$13, 100%, $E$13)</f>
        <v>3.8851</v>
      </c>
      <c r="L103" s="4"/>
      <c r="M103" s="4"/>
      <c r="N103" s="4"/>
    </row>
    <row r="104" spans="1:14" ht="15">
      <c r="A104" s="13">
        <v>44652</v>
      </c>
      <c r="B104" s="63">
        <f>3.3059 * CHOOSE(CONTROL!$C$22, $C$13, 100%, $E$13)</f>
        <v>3.3058999999999998</v>
      </c>
      <c r="C104" s="63">
        <f>3.3059 * CHOOSE(CONTROL!$C$22, $C$13, 100%, $E$13)</f>
        <v>3.3058999999999998</v>
      </c>
      <c r="D104" s="63">
        <f>3.3059 * CHOOSE(CONTROL!$C$22, $C$13, 100%, $E$13)</f>
        <v>3.3058999999999998</v>
      </c>
      <c r="E104" s="64">
        <f>3.9334 * CHOOSE(CONTROL!$C$22, $C$13, 100%, $E$13)</f>
        <v>3.9333999999999998</v>
      </c>
      <c r="F104" s="64">
        <f>3.9334 * CHOOSE(CONTROL!$C$22, $C$13, 100%, $E$13)</f>
        <v>3.9333999999999998</v>
      </c>
      <c r="G104" s="64">
        <f>3.9335 * CHOOSE(CONTROL!$C$22, $C$13, 100%, $E$13)</f>
        <v>3.9335</v>
      </c>
      <c r="H104" s="64">
        <f>6.6992* CHOOSE(CONTROL!$C$22, $C$13, 100%, $E$13)</f>
        <v>6.6992000000000003</v>
      </c>
      <c r="I104" s="64">
        <f>6.6993 * CHOOSE(CONTROL!$C$22, $C$13, 100%, $E$13)</f>
        <v>6.6993</v>
      </c>
      <c r="J104" s="64">
        <f>3.9334 * CHOOSE(CONTROL!$C$22, $C$13, 100%, $E$13)</f>
        <v>3.9333999999999998</v>
      </c>
      <c r="K104" s="64">
        <f>3.9335 * CHOOSE(CONTROL!$C$22, $C$13, 100%, $E$13)</f>
        <v>3.9335</v>
      </c>
      <c r="L104" s="4"/>
      <c r="M104" s="4"/>
      <c r="N104" s="4"/>
    </row>
    <row r="105" spans="1:14" ht="15">
      <c r="A105" s="13">
        <v>44682</v>
      </c>
      <c r="B105" s="63">
        <f>3.3059 * CHOOSE(CONTROL!$C$22, $C$13, 100%, $E$13)</f>
        <v>3.3058999999999998</v>
      </c>
      <c r="C105" s="63">
        <f>3.3059 * CHOOSE(CONTROL!$C$22, $C$13, 100%, $E$13)</f>
        <v>3.3058999999999998</v>
      </c>
      <c r="D105" s="63">
        <f>3.3189 * CHOOSE(CONTROL!$C$22, $C$13, 100%, $E$13)</f>
        <v>3.3189000000000002</v>
      </c>
      <c r="E105" s="64">
        <f>3.9531 * CHOOSE(CONTROL!$C$22, $C$13, 100%, $E$13)</f>
        <v>3.9531000000000001</v>
      </c>
      <c r="F105" s="64">
        <f>3.9531 * CHOOSE(CONTROL!$C$22, $C$13, 100%, $E$13)</f>
        <v>3.9531000000000001</v>
      </c>
      <c r="G105" s="64">
        <f>3.9688 * CHOOSE(CONTROL!$C$22, $C$13, 100%, $E$13)</f>
        <v>3.9687999999999999</v>
      </c>
      <c r="H105" s="64">
        <f>6.7131* CHOOSE(CONTROL!$C$22, $C$13, 100%, $E$13)</f>
        <v>6.7130999999999998</v>
      </c>
      <c r="I105" s="64">
        <f>6.7288 * CHOOSE(CONTROL!$C$22, $C$13, 100%, $E$13)</f>
        <v>6.7287999999999997</v>
      </c>
      <c r="J105" s="64">
        <f>3.9531 * CHOOSE(CONTROL!$C$22, $C$13, 100%, $E$13)</f>
        <v>3.9531000000000001</v>
      </c>
      <c r="K105" s="64">
        <f>3.9688 * CHOOSE(CONTROL!$C$22, $C$13, 100%, $E$13)</f>
        <v>3.9687999999999999</v>
      </c>
      <c r="L105" s="4"/>
      <c r="M105" s="4"/>
      <c r="N105" s="4"/>
    </row>
    <row r="106" spans="1:14" ht="15">
      <c r="A106" s="13">
        <v>44713</v>
      </c>
      <c r="B106" s="63">
        <f>3.312 * CHOOSE(CONTROL!$C$22, $C$13, 100%, $E$13)</f>
        <v>3.3119999999999998</v>
      </c>
      <c r="C106" s="63">
        <f>3.312 * CHOOSE(CONTROL!$C$22, $C$13, 100%, $E$13)</f>
        <v>3.3119999999999998</v>
      </c>
      <c r="D106" s="63">
        <f>3.325 * CHOOSE(CONTROL!$C$22, $C$13, 100%, $E$13)</f>
        <v>3.3250000000000002</v>
      </c>
      <c r="E106" s="64">
        <f>3.9376 * CHOOSE(CONTROL!$C$22, $C$13, 100%, $E$13)</f>
        <v>3.9376000000000002</v>
      </c>
      <c r="F106" s="64">
        <f>3.9376 * CHOOSE(CONTROL!$C$22, $C$13, 100%, $E$13)</f>
        <v>3.9376000000000002</v>
      </c>
      <c r="G106" s="64">
        <f>3.9533 * CHOOSE(CONTROL!$C$22, $C$13, 100%, $E$13)</f>
        <v>3.9533</v>
      </c>
      <c r="H106" s="64">
        <f>6.7271* CHOOSE(CONTROL!$C$22, $C$13, 100%, $E$13)</f>
        <v>6.7271000000000001</v>
      </c>
      <c r="I106" s="64">
        <f>6.7428 * CHOOSE(CONTROL!$C$22, $C$13, 100%, $E$13)</f>
        <v>6.7427999999999999</v>
      </c>
      <c r="J106" s="64">
        <f>3.9376 * CHOOSE(CONTROL!$C$22, $C$13, 100%, $E$13)</f>
        <v>3.9376000000000002</v>
      </c>
      <c r="K106" s="64">
        <f>3.9533 * CHOOSE(CONTROL!$C$22, $C$13, 100%, $E$13)</f>
        <v>3.9533</v>
      </c>
      <c r="L106" s="4"/>
      <c r="M106" s="4"/>
      <c r="N106" s="4"/>
    </row>
    <row r="107" spans="1:14" ht="15">
      <c r="A107" s="13">
        <v>44743</v>
      </c>
      <c r="B107" s="63">
        <f>3.3675 * CHOOSE(CONTROL!$C$22, $C$13, 100%, $E$13)</f>
        <v>3.3675000000000002</v>
      </c>
      <c r="C107" s="63">
        <f>3.3675 * CHOOSE(CONTROL!$C$22, $C$13, 100%, $E$13)</f>
        <v>3.3675000000000002</v>
      </c>
      <c r="D107" s="63">
        <f>3.3804 * CHOOSE(CONTROL!$C$22, $C$13, 100%, $E$13)</f>
        <v>3.3803999999999998</v>
      </c>
      <c r="E107" s="64">
        <f>4.0252 * CHOOSE(CONTROL!$C$22, $C$13, 100%, $E$13)</f>
        <v>4.0251999999999999</v>
      </c>
      <c r="F107" s="64">
        <f>4.0252 * CHOOSE(CONTROL!$C$22, $C$13, 100%, $E$13)</f>
        <v>4.0251999999999999</v>
      </c>
      <c r="G107" s="64">
        <f>4.0409 * CHOOSE(CONTROL!$C$22, $C$13, 100%, $E$13)</f>
        <v>4.0408999999999997</v>
      </c>
      <c r="H107" s="64">
        <f>6.7411* CHOOSE(CONTROL!$C$22, $C$13, 100%, $E$13)</f>
        <v>6.7411000000000003</v>
      </c>
      <c r="I107" s="64">
        <f>6.7568 * CHOOSE(CONTROL!$C$22, $C$13, 100%, $E$13)</f>
        <v>6.7568000000000001</v>
      </c>
      <c r="J107" s="64">
        <f>4.0252 * CHOOSE(CONTROL!$C$22, $C$13, 100%, $E$13)</f>
        <v>4.0251999999999999</v>
      </c>
      <c r="K107" s="64">
        <f>4.0409 * CHOOSE(CONTROL!$C$22, $C$13, 100%, $E$13)</f>
        <v>4.0408999999999997</v>
      </c>
      <c r="L107" s="4"/>
      <c r="M107" s="4"/>
      <c r="N107" s="4"/>
    </row>
    <row r="108" spans="1:14" ht="15">
      <c r="A108" s="13">
        <v>44774</v>
      </c>
      <c r="B108" s="63">
        <f>3.3742 * CHOOSE(CONTROL!$C$22, $C$13, 100%, $E$13)</f>
        <v>3.3742000000000001</v>
      </c>
      <c r="C108" s="63">
        <f>3.3742 * CHOOSE(CONTROL!$C$22, $C$13, 100%, $E$13)</f>
        <v>3.3742000000000001</v>
      </c>
      <c r="D108" s="63">
        <f>3.3871 * CHOOSE(CONTROL!$C$22, $C$13, 100%, $E$13)</f>
        <v>3.3871000000000002</v>
      </c>
      <c r="E108" s="64">
        <f>3.9706 * CHOOSE(CONTROL!$C$22, $C$13, 100%, $E$13)</f>
        <v>3.9706000000000001</v>
      </c>
      <c r="F108" s="64">
        <f>3.9706 * CHOOSE(CONTROL!$C$22, $C$13, 100%, $E$13)</f>
        <v>3.9706000000000001</v>
      </c>
      <c r="G108" s="64">
        <f>3.9863 * CHOOSE(CONTROL!$C$22, $C$13, 100%, $E$13)</f>
        <v>3.9863</v>
      </c>
      <c r="H108" s="64">
        <f>6.7552* CHOOSE(CONTROL!$C$22, $C$13, 100%, $E$13)</f>
        <v>6.7552000000000003</v>
      </c>
      <c r="I108" s="64">
        <f>6.7709 * CHOOSE(CONTROL!$C$22, $C$13, 100%, $E$13)</f>
        <v>6.7709000000000001</v>
      </c>
      <c r="J108" s="64">
        <f>3.9706 * CHOOSE(CONTROL!$C$22, $C$13, 100%, $E$13)</f>
        <v>3.9706000000000001</v>
      </c>
      <c r="K108" s="64">
        <f>3.9863 * CHOOSE(CONTROL!$C$22, $C$13, 100%, $E$13)</f>
        <v>3.9863</v>
      </c>
      <c r="L108" s="4"/>
      <c r="M108" s="4"/>
      <c r="N108" s="4"/>
    </row>
    <row r="109" spans="1:14" ht="15">
      <c r="A109" s="13">
        <v>44805</v>
      </c>
      <c r="B109" s="63">
        <f>3.3711 * CHOOSE(CONTROL!$C$22, $C$13, 100%, $E$13)</f>
        <v>3.3711000000000002</v>
      </c>
      <c r="C109" s="63">
        <f>3.3711 * CHOOSE(CONTROL!$C$22, $C$13, 100%, $E$13)</f>
        <v>3.3711000000000002</v>
      </c>
      <c r="D109" s="63">
        <f>3.3841 * CHOOSE(CONTROL!$C$22, $C$13, 100%, $E$13)</f>
        <v>3.3841000000000001</v>
      </c>
      <c r="E109" s="64">
        <f>3.9619 * CHOOSE(CONTROL!$C$22, $C$13, 100%, $E$13)</f>
        <v>3.9619</v>
      </c>
      <c r="F109" s="64">
        <f>3.9619 * CHOOSE(CONTROL!$C$22, $C$13, 100%, $E$13)</f>
        <v>3.9619</v>
      </c>
      <c r="G109" s="64">
        <f>3.9776 * CHOOSE(CONTROL!$C$22, $C$13, 100%, $E$13)</f>
        <v>3.9775999999999998</v>
      </c>
      <c r="H109" s="64">
        <f>6.7692* CHOOSE(CONTROL!$C$22, $C$13, 100%, $E$13)</f>
        <v>6.7691999999999997</v>
      </c>
      <c r="I109" s="64">
        <f>6.7849 * CHOOSE(CONTROL!$C$22, $C$13, 100%, $E$13)</f>
        <v>6.7849000000000004</v>
      </c>
      <c r="J109" s="64">
        <f>3.9619 * CHOOSE(CONTROL!$C$22, $C$13, 100%, $E$13)</f>
        <v>3.9619</v>
      </c>
      <c r="K109" s="64">
        <f>3.9776 * CHOOSE(CONTROL!$C$22, $C$13, 100%, $E$13)</f>
        <v>3.9775999999999998</v>
      </c>
      <c r="L109" s="4"/>
      <c r="M109" s="4"/>
      <c r="N109" s="4"/>
    </row>
    <row r="110" spans="1:14" ht="15">
      <c r="A110" s="13">
        <v>44835</v>
      </c>
      <c r="B110" s="63">
        <f>3.3637 * CHOOSE(CONTROL!$C$22, $C$13, 100%, $E$13)</f>
        <v>3.3637000000000001</v>
      </c>
      <c r="C110" s="63">
        <f>3.3637 * CHOOSE(CONTROL!$C$22, $C$13, 100%, $E$13)</f>
        <v>3.3637000000000001</v>
      </c>
      <c r="D110" s="63">
        <f>3.3637 * CHOOSE(CONTROL!$C$22, $C$13, 100%, $E$13)</f>
        <v>3.3637000000000001</v>
      </c>
      <c r="E110" s="64">
        <f>3.9748 * CHOOSE(CONTROL!$C$22, $C$13, 100%, $E$13)</f>
        <v>3.9748000000000001</v>
      </c>
      <c r="F110" s="64">
        <f>3.9748 * CHOOSE(CONTROL!$C$22, $C$13, 100%, $E$13)</f>
        <v>3.9748000000000001</v>
      </c>
      <c r="G110" s="64">
        <f>3.9749 * CHOOSE(CONTROL!$C$22, $C$13, 100%, $E$13)</f>
        <v>3.9748999999999999</v>
      </c>
      <c r="H110" s="64">
        <f>6.7834* CHOOSE(CONTROL!$C$22, $C$13, 100%, $E$13)</f>
        <v>6.7834000000000003</v>
      </c>
      <c r="I110" s="64">
        <f>6.7834 * CHOOSE(CONTROL!$C$22, $C$13, 100%, $E$13)</f>
        <v>6.7834000000000003</v>
      </c>
      <c r="J110" s="64">
        <f>3.9748 * CHOOSE(CONTROL!$C$22, $C$13, 100%, $E$13)</f>
        <v>3.9748000000000001</v>
      </c>
      <c r="K110" s="64">
        <f>3.9749 * CHOOSE(CONTROL!$C$22, $C$13, 100%, $E$13)</f>
        <v>3.9748999999999999</v>
      </c>
      <c r="L110" s="4"/>
      <c r="M110" s="4"/>
      <c r="N110" s="4"/>
    </row>
    <row r="111" spans="1:14" ht="15">
      <c r="A111" s="13">
        <v>44866</v>
      </c>
      <c r="B111" s="63">
        <f>3.3667 * CHOOSE(CONTROL!$C$22, $C$13, 100%, $E$13)</f>
        <v>3.3666999999999998</v>
      </c>
      <c r="C111" s="63">
        <f>3.3667 * CHOOSE(CONTROL!$C$22, $C$13, 100%, $E$13)</f>
        <v>3.3666999999999998</v>
      </c>
      <c r="D111" s="63">
        <f>3.3667 * CHOOSE(CONTROL!$C$22, $C$13, 100%, $E$13)</f>
        <v>3.3666999999999998</v>
      </c>
      <c r="E111" s="64">
        <f>3.9901 * CHOOSE(CONTROL!$C$22, $C$13, 100%, $E$13)</f>
        <v>3.9901</v>
      </c>
      <c r="F111" s="64">
        <f>3.9901 * CHOOSE(CONTROL!$C$22, $C$13, 100%, $E$13)</f>
        <v>3.9901</v>
      </c>
      <c r="G111" s="64">
        <f>3.9902 * CHOOSE(CONTROL!$C$22, $C$13, 100%, $E$13)</f>
        <v>3.9902000000000002</v>
      </c>
      <c r="H111" s="64">
        <f>6.7975* CHOOSE(CONTROL!$C$22, $C$13, 100%, $E$13)</f>
        <v>6.7975000000000003</v>
      </c>
      <c r="I111" s="64">
        <f>6.7976 * CHOOSE(CONTROL!$C$22, $C$13, 100%, $E$13)</f>
        <v>6.7976000000000001</v>
      </c>
      <c r="J111" s="64">
        <f>3.9901 * CHOOSE(CONTROL!$C$22, $C$13, 100%, $E$13)</f>
        <v>3.9901</v>
      </c>
      <c r="K111" s="64">
        <f>3.9902 * CHOOSE(CONTROL!$C$22, $C$13, 100%, $E$13)</f>
        <v>3.9902000000000002</v>
      </c>
      <c r="L111" s="4"/>
      <c r="M111" s="4"/>
      <c r="N111" s="4"/>
    </row>
    <row r="112" spans="1:14" ht="15">
      <c r="A112" s="13">
        <v>44896</v>
      </c>
      <c r="B112" s="63">
        <f>3.3667 * CHOOSE(CONTROL!$C$22, $C$13, 100%, $E$13)</f>
        <v>3.3666999999999998</v>
      </c>
      <c r="C112" s="63">
        <f>3.3667 * CHOOSE(CONTROL!$C$22, $C$13, 100%, $E$13)</f>
        <v>3.3666999999999998</v>
      </c>
      <c r="D112" s="63">
        <f>3.3667 * CHOOSE(CONTROL!$C$22, $C$13, 100%, $E$13)</f>
        <v>3.3666999999999998</v>
      </c>
      <c r="E112" s="64">
        <f>3.9572 * CHOOSE(CONTROL!$C$22, $C$13, 100%, $E$13)</f>
        <v>3.9571999999999998</v>
      </c>
      <c r="F112" s="64">
        <f>3.9572 * CHOOSE(CONTROL!$C$22, $C$13, 100%, $E$13)</f>
        <v>3.9571999999999998</v>
      </c>
      <c r="G112" s="64">
        <f>3.9573 * CHOOSE(CONTROL!$C$22, $C$13, 100%, $E$13)</f>
        <v>3.9573</v>
      </c>
      <c r="H112" s="64">
        <f>6.8116* CHOOSE(CONTROL!$C$22, $C$13, 100%, $E$13)</f>
        <v>6.8116000000000003</v>
      </c>
      <c r="I112" s="64">
        <f>6.8117 * CHOOSE(CONTROL!$C$22, $C$13, 100%, $E$13)</f>
        <v>6.8117000000000001</v>
      </c>
      <c r="J112" s="64">
        <f>3.9572 * CHOOSE(CONTROL!$C$22, $C$13, 100%, $E$13)</f>
        <v>3.9571999999999998</v>
      </c>
      <c r="K112" s="64">
        <f>3.9573 * CHOOSE(CONTROL!$C$22, $C$13, 100%, $E$13)</f>
        <v>3.9573</v>
      </c>
      <c r="L112" s="4"/>
      <c r="M112" s="4"/>
      <c r="N112" s="4"/>
    </row>
    <row r="113" spans="1:14" ht="15">
      <c r="A113" s="13">
        <v>44927</v>
      </c>
      <c r="B113" s="63">
        <f>3.3924 * CHOOSE(CONTROL!$C$22, $C$13, 100%, $E$13)</f>
        <v>3.3923999999999999</v>
      </c>
      <c r="C113" s="63">
        <f>3.3924 * CHOOSE(CONTROL!$C$22, $C$13, 100%, $E$13)</f>
        <v>3.3923999999999999</v>
      </c>
      <c r="D113" s="63">
        <f>3.3924 * CHOOSE(CONTROL!$C$22, $C$13, 100%, $E$13)</f>
        <v>3.3923999999999999</v>
      </c>
      <c r="E113" s="64">
        <f>4.0337 * CHOOSE(CONTROL!$C$22, $C$13, 100%, $E$13)</f>
        <v>4.0336999999999996</v>
      </c>
      <c r="F113" s="64">
        <f>4.0337 * CHOOSE(CONTROL!$C$22, $C$13, 100%, $E$13)</f>
        <v>4.0336999999999996</v>
      </c>
      <c r="G113" s="64">
        <f>4.0338 * CHOOSE(CONTROL!$C$22, $C$13, 100%, $E$13)</f>
        <v>4.0338000000000003</v>
      </c>
      <c r="H113" s="64">
        <f>6.8258* CHOOSE(CONTROL!$C$22, $C$13, 100%, $E$13)</f>
        <v>6.8258000000000001</v>
      </c>
      <c r="I113" s="64">
        <f>6.8259 * CHOOSE(CONTROL!$C$22, $C$13, 100%, $E$13)</f>
        <v>6.8258999999999999</v>
      </c>
      <c r="J113" s="64">
        <f>4.0337 * CHOOSE(CONTROL!$C$22, $C$13, 100%, $E$13)</f>
        <v>4.0336999999999996</v>
      </c>
      <c r="K113" s="64">
        <f>4.0338 * CHOOSE(CONTROL!$C$22, $C$13, 100%, $E$13)</f>
        <v>4.0338000000000003</v>
      </c>
      <c r="L113" s="4"/>
      <c r="M113" s="4"/>
      <c r="N113" s="4"/>
    </row>
    <row r="114" spans="1:14" ht="15">
      <c r="A114" s="13">
        <v>44958</v>
      </c>
      <c r="B114" s="63">
        <f>3.3894 * CHOOSE(CONTROL!$C$22, $C$13, 100%, $E$13)</f>
        <v>3.3894000000000002</v>
      </c>
      <c r="C114" s="63">
        <f>3.3894 * CHOOSE(CONTROL!$C$22, $C$13, 100%, $E$13)</f>
        <v>3.3894000000000002</v>
      </c>
      <c r="D114" s="63">
        <f>3.3894 * CHOOSE(CONTROL!$C$22, $C$13, 100%, $E$13)</f>
        <v>3.3894000000000002</v>
      </c>
      <c r="E114" s="64">
        <f>3.9661 * CHOOSE(CONTROL!$C$22, $C$13, 100%, $E$13)</f>
        <v>3.9661</v>
      </c>
      <c r="F114" s="64">
        <f>3.9661 * CHOOSE(CONTROL!$C$22, $C$13, 100%, $E$13)</f>
        <v>3.9661</v>
      </c>
      <c r="G114" s="64">
        <f>3.9662 * CHOOSE(CONTROL!$C$22, $C$13, 100%, $E$13)</f>
        <v>3.9662000000000002</v>
      </c>
      <c r="H114" s="64">
        <f>6.8401* CHOOSE(CONTROL!$C$22, $C$13, 100%, $E$13)</f>
        <v>6.8400999999999996</v>
      </c>
      <c r="I114" s="64">
        <f>6.8401 * CHOOSE(CONTROL!$C$22, $C$13, 100%, $E$13)</f>
        <v>6.8400999999999996</v>
      </c>
      <c r="J114" s="64">
        <f>3.9661 * CHOOSE(CONTROL!$C$22, $C$13, 100%, $E$13)</f>
        <v>3.9661</v>
      </c>
      <c r="K114" s="64">
        <f>3.9662 * CHOOSE(CONTROL!$C$22, $C$13, 100%, $E$13)</f>
        <v>3.9662000000000002</v>
      </c>
      <c r="L114" s="4"/>
      <c r="M114" s="4"/>
      <c r="N114" s="4"/>
    </row>
    <row r="115" spans="1:14" ht="15">
      <c r="A115" s="13">
        <v>44986</v>
      </c>
      <c r="B115" s="63">
        <f>3.3863 * CHOOSE(CONTROL!$C$22, $C$13, 100%, $E$13)</f>
        <v>3.3862999999999999</v>
      </c>
      <c r="C115" s="63">
        <f>3.3863 * CHOOSE(CONTROL!$C$22, $C$13, 100%, $E$13)</f>
        <v>3.3862999999999999</v>
      </c>
      <c r="D115" s="63">
        <f>3.3863 * CHOOSE(CONTROL!$C$22, $C$13, 100%, $E$13)</f>
        <v>3.3862999999999999</v>
      </c>
      <c r="E115" s="64">
        <f>4.0156 * CHOOSE(CONTROL!$C$22, $C$13, 100%, $E$13)</f>
        <v>4.0156000000000001</v>
      </c>
      <c r="F115" s="64">
        <f>4.0156 * CHOOSE(CONTROL!$C$22, $C$13, 100%, $E$13)</f>
        <v>4.0156000000000001</v>
      </c>
      <c r="G115" s="64">
        <f>4.0157 * CHOOSE(CONTROL!$C$22, $C$13, 100%, $E$13)</f>
        <v>4.0156999999999998</v>
      </c>
      <c r="H115" s="64">
        <f>6.8543* CHOOSE(CONTROL!$C$22, $C$13, 100%, $E$13)</f>
        <v>6.8543000000000003</v>
      </c>
      <c r="I115" s="64">
        <f>6.8544 * CHOOSE(CONTROL!$C$22, $C$13, 100%, $E$13)</f>
        <v>6.8544</v>
      </c>
      <c r="J115" s="64">
        <f>4.0156 * CHOOSE(CONTROL!$C$22, $C$13, 100%, $E$13)</f>
        <v>4.0156000000000001</v>
      </c>
      <c r="K115" s="64">
        <f>4.0157 * CHOOSE(CONTROL!$C$22, $C$13, 100%, $E$13)</f>
        <v>4.0156999999999998</v>
      </c>
      <c r="L115" s="4"/>
      <c r="M115" s="4"/>
      <c r="N115" s="4"/>
    </row>
    <row r="116" spans="1:14" ht="15">
      <c r="A116" s="13">
        <v>45017</v>
      </c>
      <c r="B116" s="63">
        <f>3.3833 * CHOOSE(CONTROL!$C$22, $C$13, 100%, $E$13)</f>
        <v>3.3833000000000002</v>
      </c>
      <c r="C116" s="63">
        <f>3.3833 * CHOOSE(CONTROL!$C$22, $C$13, 100%, $E$13)</f>
        <v>3.3833000000000002</v>
      </c>
      <c r="D116" s="63">
        <f>3.3833 * CHOOSE(CONTROL!$C$22, $C$13, 100%, $E$13)</f>
        <v>3.3833000000000002</v>
      </c>
      <c r="E116" s="64">
        <f>4.0669 * CHOOSE(CONTROL!$C$22, $C$13, 100%, $E$13)</f>
        <v>4.0669000000000004</v>
      </c>
      <c r="F116" s="64">
        <f>4.0669 * CHOOSE(CONTROL!$C$22, $C$13, 100%, $E$13)</f>
        <v>4.0669000000000004</v>
      </c>
      <c r="G116" s="64">
        <f>4.067 * CHOOSE(CONTROL!$C$22, $C$13, 100%, $E$13)</f>
        <v>4.0670000000000002</v>
      </c>
      <c r="H116" s="64">
        <f>6.8686* CHOOSE(CONTROL!$C$22, $C$13, 100%, $E$13)</f>
        <v>6.8685999999999998</v>
      </c>
      <c r="I116" s="64">
        <f>6.8687 * CHOOSE(CONTROL!$C$22, $C$13, 100%, $E$13)</f>
        <v>6.8686999999999996</v>
      </c>
      <c r="J116" s="64">
        <f>4.0669 * CHOOSE(CONTROL!$C$22, $C$13, 100%, $E$13)</f>
        <v>4.0669000000000004</v>
      </c>
      <c r="K116" s="64">
        <f>4.067 * CHOOSE(CONTROL!$C$22, $C$13, 100%, $E$13)</f>
        <v>4.0670000000000002</v>
      </c>
      <c r="L116" s="4"/>
      <c r="M116" s="4"/>
      <c r="N116" s="4"/>
    </row>
    <row r="117" spans="1:14" ht="15">
      <c r="A117" s="13">
        <v>45047</v>
      </c>
      <c r="B117" s="63">
        <f>3.3833 * CHOOSE(CONTROL!$C$22, $C$13, 100%, $E$13)</f>
        <v>3.3833000000000002</v>
      </c>
      <c r="C117" s="63">
        <f>3.3833 * CHOOSE(CONTROL!$C$22, $C$13, 100%, $E$13)</f>
        <v>3.3833000000000002</v>
      </c>
      <c r="D117" s="63">
        <f>3.3963 * CHOOSE(CONTROL!$C$22, $C$13, 100%, $E$13)</f>
        <v>3.3963000000000001</v>
      </c>
      <c r="E117" s="64">
        <f>4.0877 * CHOOSE(CONTROL!$C$22, $C$13, 100%, $E$13)</f>
        <v>4.0876999999999999</v>
      </c>
      <c r="F117" s="64">
        <f>4.0877 * CHOOSE(CONTROL!$C$22, $C$13, 100%, $E$13)</f>
        <v>4.0876999999999999</v>
      </c>
      <c r="G117" s="64">
        <f>4.1034 * CHOOSE(CONTROL!$C$22, $C$13, 100%, $E$13)</f>
        <v>4.1033999999999997</v>
      </c>
      <c r="H117" s="64">
        <f>6.8829* CHOOSE(CONTROL!$C$22, $C$13, 100%, $E$13)</f>
        <v>6.8829000000000002</v>
      </c>
      <c r="I117" s="64">
        <f>6.8986 * CHOOSE(CONTROL!$C$22, $C$13, 100%, $E$13)</f>
        <v>6.8986000000000001</v>
      </c>
      <c r="J117" s="64">
        <f>4.0877 * CHOOSE(CONTROL!$C$22, $C$13, 100%, $E$13)</f>
        <v>4.0876999999999999</v>
      </c>
      <c r="K117" s="64">
        <f>4.1034 * CHOOSE(CONTROL!$C$22, $C$13, 100%, $E$13)</f>
        <v>4.1033999999999997</v>
      </c>
      <c r="L117" s="4"/>
      <c r="M117" s="4"/>
      <c r="N117" s="4"/>
    </row>
    <row r="118" spans="1:14" ht="15">
      <c r="A118" s="13">
        <v>45078</v>
      </c>
      <c r="B118" s="63">
        <f>3.3894 * CHOOSE(CONTROL!$C$22, $C$13, 100%, $E$13)</f>
        <v>3.3894000000000002</v>
      </c>
      <c r="C118" s="63">
        <f>3.3894 * CHOOSE(CONTROL!$C$22, $C$13, 100%, $E$13)</f>
        <v>3.3894000000000002</v>
      </c>
      <c r="D118" s="63">
        <f>3.4024 * CHOOSE(CONTROL!$C$22, $C$13, 100%, $E$13)</f>
        <v>3.4024000000000001</v>
      </c>
      <c r="E118" s="64">
        <f>4.0711 * CHOOSE(CONTROL!$C$22, $C$13, 100%, $E$13)</f>
        <v>4.0711000000000004</v>
      </c>
      <c r="F118" s="64">
        <f>4.0711 * CHOOSE(CONTROL!$C$22, $C$13, 100%, $E$13)</f>
        <v>4.0711000000000004</v>
      </c>
      <c r="G118" s="64">
        <f>4.0868 * CHOOSE(CONTROL!$C$22, $C$13, 100%, $E$13)</f>
        <v>4.0868000000000002</v>
      </c>
      <c r="H118" s="64">
        <f>6.8972* CHOOSE(CONTROL!$C$22, $C$13, 100%, $E$13)</f>
        <v>6.8971999999999998</v>
      </c>
      <c r="I118" s="64">
        <f>6.9129 * CHOOSE(CONTROL!$C$22, $C$13, 100%, $E$13)</f>
        <v>6.9128999999999996</v>
      </c>
      <c r="J118" s="64">
        <f>4.0711 * CHOOSE(CONTROL!$C$22, $C$13, 100%, $E$13)</f>
        <v>4.0711000000000004</v>
      </c>
      <c r="K118" s="64">
        <f>4.0868 * CHOOSE(CONTROL!$C$22, $C$13, 100%, $E$13)</f>
        <v>4.0868000000000002</v>
      </c>
      <c r="L118" s="4"/>
      <c r="M118" s="4"/>
      <c r="N118" s="4"/>
    </row>
    <row r="119" spans="1:14" ht="15">
      <c r="A119" s="13">
        <v>45108</v>
      </c>
      <c r="B119" s="63">
        <f>3.4356 * CHOOSE(CONTROL!$C$22, $C$13, 100%, $E$13)</f>
        <v>3.4356</v>
      </c>
      <c r="C119" s="63">
        <f>3.4356 * CHOOSE(CONTROL!$C$22, $C$13, 100%, $E$13)</f>
        <v>3.4356</v>
      </c>
      <c r="D119" s="63">
        <f>3.4486 * CHOOSE(CONTROL!$C$22, $C$13, 100%, $E$13)</f>
        <v>3.4485999999999999</v>
      </c>
      <c r="E119" s="64">
        <f>4.1492 * CHOOSE(CONTROL!$C$22, $C$13, 100%, $E$13)</f>
        <v>4.1492000000000004</v>
      </c>
      <c r="F119" s="64">
        <f>4.1492 * CHOOSE(CONTROL!$C$22, $C$13, 100%, $E$13)</f>
        <v>4.1492000000000004</v>
      </c>
      <c r="G119" s="64">
        <f>4.1649 * CHOOSE(CONTROL!$C$22, $C$13, 100%, $E$13)</f>
        <v>4.1649000000000003</v>
      </c>
      <c r="H119" s="64">
        <f>6.9116* CHOOSE(CONTROL!$C$22, $C$13, 100%, $E$13)</f>
        <v>6.9116</v>
      </c>
      <c r="I119" s="64">
        <f>6.9273 * CHOOSE(CONTROL!$C$22, $C$13, 100%, $E$13)</f>
        <v>6.9272999999999998</v>
      </c>
      <c r="J119" s="64">
        <f>4.1492 * CHOOSE(CONTROL!$C$22, $C$13, 100%, $E$13)</f>
        <v>4.1492000000000004</v>
      </c>
      <c r="K119" s="64">
        <f>4.1649 * CHOOSE(CONTROL!$C$22, $C$13, 100%, $E$13)</f>
        <v>4.1649000000000003</v>
      </c>
      <c r="L119" s="4"/>
      <c r="M119" s="4"/>
      <c r="N119" s="4"/>
    </row>
    <row r="120" spans="1:14" ht="15">
      <c r="A120" s="13">
        <v>45139</v>
      </c>
      <c r="B120" s="63">
        <f>3.4423 * CHOOSE(CONTROL!$C$22, $C$13, 100%, $E$13)</f>
        <v>3.4422999999999999</v>
      </c>
      <c r="C120" s="63">
        <f>3.4423 * CHOOSE(CONTROL!$C$22, $C$13, 100%, $E$13)</f>
        <v>3.4422999999999999</v>
      </c>
      <c r="D120" s="63">
        <f>3.4553 * CHOOSE(CONTROL!$C$22, $C$13, 100%, $E$13)</f>
        <v>3.4552999999999998</v>
      </c>
      <c r="E120" s="64">
        <f>4.0915 * CHOOSE(CONTROL!$C$22, $C$13, 100%, $E$13)</f>
        <v>4.0914999999999999</v>
      </c>
      <c r="F120" s="64">
        <f>4.0915 * CHOOSE(CONTROL!$C$22, $C$13, 100%, $E$13)</f>
        <v>4.0914999999999999</v>
      </c>
      <c r="G120" s="64">
        <f>4.1072 * CHOOSE(CONTROL!$C$22, $C$13, 100%, $E$13)</f>
        <v>4.1071999999999997</v>
      </c>
      <c r="H120" s="64">
        <f>6.926* CHOOSE(CONTROL!$C$22, $C$13, 100%, $E$13)</f>
        <v>6.9260000000000002</v>
      </c>
      <c r="I120" s="64">
        <f>6.9417 * CHOOSE(CONTROL!$C$22, $C$13, 100%, $E$13)</f>
        <v>6.9417</v>
      </c>
      <c r="J120" s="64">
        <f>4.0915 * CHOOSE(CONTROL!$C$22, $C$13, 100%, $E$13)</f>
        <v>4.0914999999999999</v>
      </c>
      <c r="K120" s="64">
        <f>4.1072 * CHOOSE(CONTROL!$C$22, $C$13, 100%, $E$13)</f>
        <v>4.1071999999999997</v>
      </c>
      <c r="L120" s="4"/>
      <c r="M120" s="4"/>
      <c r="N120" s="4"/>
    </row>
    <row r="121" spans="1:14" ht="15">
      <c r="A121" s="13">
        <v>45170</v>
      </c>
      <c r="B121" s="63">
        <f>3.4393 * CHOOSE(CONTROL!$C$22, $C$13, 100%, $E$13)</f>
        <v>3.4392999999999998</v>
      </c>
      <c r="C121" s="63">
        <f>3.4393 * CHOOSE(CONTROL!$C$22, $C$13, 100%, $E$13)</f>
        <v>3.4392999999999998</v>
      </c>
      <c r="D121" s="63">
        <f>3.4523 * CHOOSE(CONTROL!$C$22, $C$13, 100%, $E$13)</f>
        <v>3.4523000000000001</v>
      </c>
      <c r="E121" s="64">
        <f>4.0824 * CHOOSE(CONTROL!$C$22, $C$13, 100%, $E$13)</f>
        <v>4.0823999999999998</v>
      </c>
      <c r="F121" s="64">
        <f>4.0824 * CHOOSE(CONTROL!$C$22, $C$13, 100%, $E$13)</f>
        <v>4.0823999999999998</v>
      </c>
      <c r="G121" s="64">
        <f>4.0981 * CHOOSE(CONTROL!$C$22, $C$13, 100%, $E$13)</f>
        <v>4.0980999999999996</v>
      </c>
      <c r="H121" s="64">
        <f>6.9404* CHOOSE(CONTROL!$C$22, $C$13, 100%, $E$13)</f>
        <v>6.9404000000000003</v>
      </c>
      <c r="I121" s="64">
        <f>6.9561 * CHOOSE(CONTROL!$C$22, $C$13, 100%, $E$13)</f>
        <v>6.9561000000000002</v>
      </c>
      <c r="J121" s="64">
        <f>4.0824 * CHOOSE(CONTROL!$C$22, $C$13, 100%, $E$13)</f>
        <v>4.0823999999999998</v>
      </c>
      <c r="K121" s="64">
        <f>4.0981 * CHOOSE(CONTROL!$C$22, $C$13, 100%, $E$13)</f>
        <v>4.0980999999999996</v>
      </c>
      <c r="L121" s="4"/>
      <c r="M121" s="4"/>
      <c r="N121" s="4"/>
    </row>
    <row r="122" spans="1:14" ht="15">
      <c r="A122" s="13">
        <v>45200</v>
      </c>
      <c r="B122" s="63">
        <f>3.4321 * CHOOSE(CONTROL!$C$22, $C$13, 100%, $E$13)</f>
        <v>3.4321000000000002</v>
      </c>
      <c r="C122" s="63">
        <f>3.4321 * CHOOSE(CONTROL!$C$22, $C$13, 100%, $E$13)</f>
        <v>3.4321000000000002</v>
      </c>
      <c r="D122" s="63">
        <f>3.4321 * CHOOSE(CONTROL!$C$22, $C$13, 100%, $E$13)</f>
        <v>3.4321000000000002</v>
      </c>
      <c r="E122" s="64">
        <f>4.0968 * CHOOSE(CONTROL!$C$22, $C$13, 100%, $E$13)</f>
        <v>4.0968</v>
      </c>
      <c r="F122" s="64">
        <f>4.0968 * CHOOSE(CONTROL!$C$22, $C$13, 100%, $E$13)</f>
        <v>4.0968</v>
      </c>
      <c r="G122" s="64">
        <f>4.0968 * CHOOSE(CONTROL!$C$22, $C$13, 100%, $E$13)</f>
        <v>4.0968</v>
      </c>
      <c r="H122" s="64">
        <f>6.9549* CHOOSE(CONTROL!$C$22, $C$13, 100%, $E$13)</f>
        <v>6.9549000000000003</v>
      </c>
      <c r="I122" s="64">
        <f>6.955 * CHOOSE(CONTROL!$C$22, $C$13, 100%, $E$13)</f>
        <v>6.9550000000000001</v>
      </c>
      <c r="J122" s="64">
        <f>4.0968 * CHOOSE(CONTROL!$C$22, $C$13, 100%, $E$13)</f>
        <v>4.0968</v>
      </c>
      <c r="K122" s="64">
        <f>4.0968 * CHOOSE(CONTROL!$C$22, $C$13, 100%, $E$13)</f>
        <v>4.0968</v>
      </c>
      <c r="L122" s="4"/>
      <c r="M122" s="4"/>
      <c r="N122" s="4"/>
    </row>
    <row r="123" spans="1:14" ht="15">
      <c r="A123" s="13">
        <v>45231</v>
      </c>
      <c r="B123" s="63">
        <f>3.4352 * CHOOSE(CONTROL!$C$22, $C$13, 100%, $E$13)</f>
        <v>3.4352</v>
      </c>
      <c r="C123" s="63">
        <f>3.4352 * CHOOSE(CONTROL!$C$22, $C$13, 100%, $E$13)</f>
        <v>3.4352</v>
      </c>
      <c r="D123" s="63">
        <f>3.4352 * CHOOSE(CONTROL!$C$22, $C$13, 100%, $E$13)</f>
        <v>3.4352</v>
      </c>
      <c r="E123" s="64">
        <f>4.1127 * CHOOSE(CONTROL!$C$22, $C$13, 100%, $E$13)</f>
        <v>4.1127000000000002</v>
      </c>
      <c r="F123" s="64">
        <f>4.1127 * CHOOSE(CONTROL!$C$22, $C$13, 100%, $E$13)</f>
        <v>4.1127000000000002</v>
      </c>
      <c r="G123" s="64">
        <f>4.1128 * CHOOSE(CONTROL!$C$22, $C$13, 100%, $E$13)</f>
        <v>4.1128</v>
      </c>
      <c r="H123" s="64">
        <f>6.9694* CHOOSE(CONTROL!$C$22, $C$13, 100%, $E$13)</f>
        <v>6.9694000000000003</v>
      </c>
      <c r="I123" s="64">
        <f>6.9695 * CHOOSE(CONTROL!$C$22, $C$13, 100%, $E$13)</f>
        <v>6.9695</v>
      </c>
      <c r="J123" s="64">
        <f>4.1127 * CHOOSE(CONTROL!$C$22, $C$13, 100%, $E$13)</f>
        <v>4.1127000000000002</v>
      </c>
      <c r="K123" s="64">
        <f>4.1128 * CHOOSE(CONTROL!$C$22, $C$13, 100%, $E$13)</f>
        <v>4.1128</v>
      </c>
      <c r="L123" s="4"/>
      <c r="M123" s="4"/>
      <c r="N123" s="4"/>
    </row>
    <row r="124" spans="1:14" ht="15">
      <c r="A124" s="13">
        <v>45261</v>
      </c>
      <c r="B124" s="63">
        <f>3.4352 * CHOOSE(CONTROL!$C$22, $C$13, 100%, $E$13)</f>
        <v>3.4352</v>
      </c>
      <c r="C124" s="63">
        <f>3.4352 * CHOOSE(CONTROL!$C$22, $C$13, 100%, $E$13)</f>
        <v>3.4352</v>
      </c>
      <c r="D124" s="63">
        <f>3.4352 * CHOOSE(CONTROL!$C$22, $C$13, 100%, $E$13)</f>
        <v>3.4352</v>
      </c>
      <c r="E124" s="64">
        <f>4.0781 * CHOOSE(CONTROL!$C$22, $C$13, 100%, $E$13)</f>
        <v>4.0781000000000001</v>
      </c>
      <c r="F124" s="64">
        <f>4.0781 * CHOOSE(CONTROL!$C$22, $C$13, 100%, $E$13)</f>
        <v>4.0781000000000001</v>
      </c>
      <c r="G124" s="64">
        <f>4.0782 * CHOOSE(CONTROL!$C$22, $C$13, 100%, $E$13)</f>
        <v>4.0781999999999998</v>
      </c>
      <c r="H124" s="64">
        <f>6.9839* CHOOSE(CONTROL!$C$22, $C$13, 100%, $E$13)</f>
        <v>6.9839000000000002</v>
      </c>
      <c r="I124" s="64">
        <f>6.984 * CHOOSE(CONTROL!$C$22, $C$13, 100%, $E$13)</f>
        <v>6.984</v>
      </c>
      <c r="J124" s="64">
        <f>4.0781 * CHOOSE(CONTROL!$C$22, $C$13, 100%, $E$13)</f>
        <v>4.0781000000000001</v>
      </c>
      <c r="K124" s="64">
        <f>4.0782 * CHOOSE(CONTROL!$C$22, $C$13, 100%, $E$13)</f>
        <v>4.0781999999999998</v>
      </c>
      <c r="L124" s="4"/>
      <c r="M124" s="4"/>
      <c r="N124" s="4"/>
    </row>
    <row r="125" spans="1:14" ht="15">
      <c r="A125" s="13">
        <v>45292</v>
      </c>
      <c r="B125" s="63">
        <f>3.4652 * CHOOSE(CONTROL!$C$22, $C$13, 100%, $E$13)</f>
        <v>3.4651999999999998</v>
      </c>
      <c r="C125" s="63">
        <f>3.4652 * CHOOSE(CONTROL!$C$22, $C$13, 100%, $E$13)</f>
        <v>3.4651999999999998</v>
      </c>
      <c r="D125" s="63">
        <f>3.4652 * CHOOSE(CONTROL!$C$22, $C$13, 100%, $E$13)</f>
        <v>3.4651999999999998</v>
      </c>
      <c r="E125" s="64">
        <f>4.1228 * CHOOSE(CONTROL!$C$22, $C$13, 100%, $E$13)</f>
        <v>4.1227999999999998</v>
      </c>
      <c r="F125" s="64">
        <f>4.1228 * CHOOSE(CONTROL!$C$22, $C$13, 100%, $E$13)</f>
        <v>4.1227999999999998</v>
      </c>
      <c r="G125" s="64">
        <f>4.1229 * CHOOSE(CONTROL!$C$22, $C$13, 100%, $E$13)</f>
        <v>4.1228999999999996</v>
      </c>
      <c r="H125" s="64">
        <f>6.9985* CHOOSE(CONTROL!$C$22, $C$13, 100%, $E$13)</f>
        <v>6.9984999999999999</v>
      </c>
      <c r="I125" s="64">
        <f>6.9985 * CHOOSE(CONTROL!$C$22, $C$13, 100%, $E$13)</f>
        <v>6.9984999999999999</v>
      </c>
      <c r="J125" s="64">
        <f>4.1228 * CHOOSE(CONTROL!$C$22, $C$13, 100%, $E$13)</f>
        <v>4.1227999999999998</v>
      </c>
      <c r="K125" s="64">
        <f>4.1229 * CHOOSE(CONTROL!$C$22, $C$13, 100%, $E$13)</f>
        <v>4.1228999999999996</v>
      </c>
      <c r="L125" s="4"/>
      <c r="M125" s="4"/>
      <c r="N125" s="4"/>
    </row>
    <row r="126" spans="1:14" ht="15">
      <c r="A126" s="13">
        <v>45323</v>
      </c>
      <c r="B126" s="63">
        <f>3.4621 * CHOOSE(CONTROL!$C$22, $C$13, 100%, $E$13)</f>
        <v>3.4621</v>
      </c>
      <c r="C126" s="63">
        <f>3.4621 * CHOOSE(CONTROL!$C$22, $C$13, 100%, $E$13)</f>
        <v>3.4621</v>
      </c>
      <c r="D126" s="63">
        <f>3.4621 * CHOOSE(CONTROL!$C$22, $C$13, 100%, $E$13)</f>
        <v>3.4621</v>
      </c>
      <c r="E126" s="64">
        <f>4.0546 * CHOOSE(CONTROL!$C$22, $C$13, 100%, $E$13)</f>
        <v>4.0545999999999998</v>
      </c>
      <c r="F126" s="64">
        <f>4.0546 * CHOOSE(CONTROL!$C$22, $C$13, 100%, $E$13)</f>
        <v>4.0545999999999998</v>
      </c>
      <c r="G126" s="64">
        <f>4.0547 * CHOOSE(CONTROL!$C$22, $C$13, 100%, $E$13)</f>
        <v>4.0547000000000004</v>
      </c>
      <c r="H126" s="64">
        <f>7.013* CHOOSE(CONTROL!$C$22, $C$13, 100%, $E$13)</f>
        <v>7.0129999999999999</v>
      </c>
      <c r="I126" s="64">
        <f>7.0131 * CHOOSE(CONTROL!$C$22, $C$13, 100%, $E$13)</f>
        <v>7.0130999999999997</v>
      </c>
      <c r="J126" s="64">
        <f>4.0546 * CHOOSE(CONTROL!$C$22, $C$13, 100%, $E$13)</f>
        <v>4.0545999999999998</v>
      </c>
      <c r="K126" s="64">
        <f>4.0547 * CHOOSE(CONTROL!$C$22, $C$13, 100%, $E$13)</f>
        <v>4.0547000000000004</v>
      </c>
      <c r="L126" s="4"/>
      <c r="M126" s="4"/>
      <c r="N126" s="4"/>
    </row>
    <row r="127" spans="1:14" ht="15">
      <c r="A127" s="13">
        <v>45352</v>
      </c>
      <c r="B127" s="63">
        <f>3.4591 * CHOOSE(CONTROL!$C$22, $C$13, 100%, $E$13)</f>
        <v>3.4590999999999998</v>
      </c>
      <c r="C127" s="63">
        <f>3.4591 * CHOOSE(CONTROL!$C$22, $C$13, 100%, $E$13)</f>
        <v>3.4590999999999998</v>
      </c>
      <c r="D127" s="63">
        <f>3.4591 * CHOOSE(CONTROL!$C$22, $C$13, 100%, $E$13)</f>
        <v>3.4590999999999998</v>
      </c>
      <c r="E127" s="64">
        <f>4.1046 * CHOOSE(CONTROL!$C$22, $C$13, 100%, $E$13)</f>
        <v>4.1045999999999996</v>
      </c>
      <c r="F127" s="64">
        <f>4.1046 * CHOOSE(CONTROL!$C$22, $C$13, 100%, $E$13)</f>
        <v>4.1045999999999996</v>
      </c>
      <c r="G127" s="64">
        <f>4.1046 * CHOOSE(CONTROL!$C$22, $C$13, 100%, $E$13)</f>
        <v>4.1045999999999996</v>
      </c>
      <c r="H127" s="64">
        <f>7.0276* CHOOSE(CONTROL!$C$22, $C$13, 100%, $E$13)</f>
        <v>7.0275999999999996</v>
      </c>
      <c r="I127" s="64">
        <f>7.0277 * CHOOSE(CONTROL!$C$22, $C$13, 100%, $E$13)</f>
        <v>7.0277000000000003</v>
      </c>
      <c r="J127" s="64">
        <f>4.1046 * CHOOSE(CONTROL!$C$22, $C$13, 100%, $E$13)</f>
        <v>4.1045999999999996</v>
      </c>
      <c r="K127" s="64">
        <f>4.1046 * CHOOSE(CONTROL!$C$22, $C$13, 100%, $E$13)</f>
        <v>4.1045999999999996</v>
      </c>
      <c r="L127" s="4"/>
      <c r="M127" s="4"/>
      <c r="N127" s="4"/>
    </row>
    <row r="128" spans="1:14" ht="15">
      <c r="A128" s="13">
        <v>45383</v>
      </c>
      <c r="B128" s="63">
        <f>3.4562 * CHOOSE(CONTROL!$C$22, $C$13, 100%, $E$13)</f>
        <v>3.4561999999999999</v>
      </c>
      <c r="C128" s="63">
        <f>3.4562 * CHOOSE(CONTROL!$C$22, $C$13, 100%, $E$13)</f>
        <v>3.4561999999999999</v>
      </c>
      <c r="D128" s="63">
        <f>3.4562 * CHOOSE(CONTROL!$C$22, $C$13, 100%, $E$13)</f>
        <v>3.4561999999999999</v>
      </c>
      <c r="E128" s="64">
        <f>4.1563 * CHOOSE(CONTROL!$C$22, $C$13, 100%, $E$13)</f>
        <v>4.1562999999999999</v>
      </c>
      <c r="F128" s="64">
        <f>4.1563 * CHOOSE(CONTROL!$C$22, $C$13, 100%, $E$13)</f>
        <v>4.1562999999999999</v>
      </c>
      <c r="G128" s="64">
        <f>4.1563 * CHOOSE(CONTROL!$C$22, $C$13, 100%, $E$13)</f>
        <v>4.1562999999999999</v>
      </c>
      <c r="H128" s="64">
        <f>7.0423* CHOOSE(CONTROL!$C$22, $C$13, 100%, $E$13)</f>
        <v>7.0423</v>
      </c>
      <c r="I128" s="64">
        <f>7.0424 * CHOOSE(CONTROL!$C$22, $C$13, 100%, $E$13)</f>
        <v>7.0423999999999998</v>
      </c>
      <c r="J128" s="64">
        <f>4.1563 * CHOOSE(CONTROL!$C$22, $C$13, 100%, $E$13)</f>
        <v>4.1562999999999999</v>
      </c>
      <c r="K128" s="64">
        <f>4.1563 * CHOOSE(CONTROL!$C$22, $C$13, 100%, $E$13)</f>
        <v>4.1562999999999999</v>
      </c>
      <c r="L128" s="4"/>
      <c r="M128" s="4"/>
      <c r="N128" s="4"/>
    </row>
    <row r="129" spans="1:14" ht="15">
      <c r="A129" s="13">
        <v>45413</v>
      </c>
      <c r="B129" s="63">
        <f>3.4562 * CHOOSE(CONTROL!$C$22, $C$13, 100%, $E$13)</f>
        <v>3.4561999999999999</v>
      </c>
      <c r="C129" s="63">
        <f>3.4562 * CHOOSE(CONTROL!$C$22, $C$13, 100%, $E$13)</f>
        <v>3.4561999999999999</v>
      </c>
      <c r="D129" s="63">
        <f>3.4692 * CHOOSE(CONTROL!$C$22, $C$13, 100%, $E$13)</f>
        <v>3.4691999999999998</v>
      </c>
      <c r="E129" s="64">
        <f>4.1772 * CHOOSE(CONTROL!$C$22, $C$13, 100%, $E$13)</f>
        <v>4.1772</v>
      </c>
      <c r="F129" s="64">
        <f>4.1772 * CHOOSE(CONTROL!$C$22, $C$13, 100%, $E$13)</f>
        <v>4.1772</v>
      </c>
      <c r="G129" s="64">
        <f>4.1929 * CHOOSE(CONTROL!$C$22, $C$13, 100%, $E$13)</f>
        <v>4.1928999999999998</v>
      </c>
      <c r="H129" s="64">
        <f>7.057* CHOOSE(CONTROL!$C$22, $C$13, 100%, $E$13)</f>
        <v>7.0570000000000004</v>
      </c>
      <c r="I129" s="64">
        <f>7.0726 * CHOOSE(CONTROL!$C$22, $C$13, 100%, $E$13)</f>
        <v>7.0726000000000004</v>
      </c>
      <c r="J129" s="64">
        <f>4.1772 * CHOOSE(CONTROL!$C$22, $C$13, 100%, $E$13)</f>
        <v>4.1772</v>
      </c>
      <c r="K129" s="64">
        <f>4.1929 * CHOOSE(CONTROL!$C$22, $C$13, 100%, $E$13)</f>
        <v>4.1928999999999998</v>
      </c>
      <c r="L129" s="4"/>
      <c r="M129" s="4"/>
      <c r="N129" s="4"/>
    </row>
    <row r="130" spans="1:14" ht="15">
      <c r="A130" s="13">
        <v>45444</v>
      </c>
      <c r="B130" s="63">
        <f>3.4623 * CHOOSE(CONTROL!$C$22, $C$13, 100%, $E$13)</f>
        <v>3.4622999999999999</v>
      </c>
      <c r="C130" s="63">
        <f>3.4623 * CHOOSE(CONTROL!$C$22, $C$13, 100%, $E$13)</f>
        <v>3.4622999999999999</v>
      </c>
      <c r="D130" s="63">
        <f>3.4753 * CHOOSE(CONTROL!$C$22, $C$13, 100%, $E$13)</f>
        <v>3.4752999999999998</v>
      </c>
      <c r="E130" s="64">
        <f>4.1605 * CHOOSE(CONTROL!$C$22, $C$13, 100%, $E$13)</f>
        <v>4.1604999999999999</v>
      </c>
      <c r="F130" s="64">
        <f>4.1605 * CHOOSE(CONTROL!$C$22, $C$13, 100%, $E$13)</f>
        <v>4.1604999999999999</v>
      </c>
      <c r="G130" s="64">
        <f>4.1762 * CHOOSE(CONTROL!$C$22, $C$13, 100%, $E$13)</f>
        <v>4.1761999999999997</v>
      </c>
      <c r="H130" s="64">
        <f>7.0717* CHOOSE(CONTROL!$C$22, $C$13, 100%, $E$13)</f>
        <v>7.0716999999999999</v>
      </c>
      <c r="I130" s="64">
        <f>7.0873 * CHOOSE(CONTROL!$C$22, $C$13, 100%, $E$13)</f>
        <v>7.0872999999999999</v>
      </c>
      <c r="J130" s="64">
        <f>4.1605 * CHOOSE(CONTROL!$C$22, $C$13, 100%, $E$13)</f>
        <v>4.1604999999999999</v>
      </c>
      <c r="K130" s="64">
        <f>4.1762 * CHOOSE(CONTROL!$C$22, $C$13, 100%, $E$13)</f>
        <v>4.1761999999999997</v>
      </c>
      <c r="L130" s="4"/>
      <c r="M130" s="4"/>
      <c r="N130" s="4"/>
    </row>
    <row r="131" spans="1:14" ht="15">
      <c r="A131" s="13">
        <v>45474</v>
      </c>
      <c r="B131" s="63">
        <f>3.5185 * CHOOSE(CONTROL!$C$22, $C$13, 100%, $E$13)</f>
        <v>3.5185</v>
      </c>
      <c r="C131" s="63">
        <f>3.5185 * CHOOSE(CONTROL!$C$22, $C$13, 100%, $E$13)</f>
        <v>3.5185</v>
      </c>
      <c r="D131" s="63">
        <f>3.5314 * CHOOSE(CONTROL!$C$22, $C$13, 100%, $E$13)</f>
        <v>3.5314000000000001</v>
      </c>
      <c r="E131" s="64">
        <f>4.2301 * CHOOSE(CONTROL!$C$22, $C$13, 100%, $E$13)</f>
        <v>4.2301000000000002</v>
      </c>
      <c r="F131" s="64">
        <f>4.2301 * CHOOSE(CONTROL!$C$22, $C$13, 100%, $E$13)</f>
        <v>4.2301000000000002</v>
      </c>
      <c r="G131" s="64">
        <f>4.2458 * CHOOSE(CONTROL!$C$22, $C$13, 100%, $E$13)</f>
        <v>4.2458</v>
      </c>
      <c r="H131" s="64">
        <f>7.0864* CHOOSE(CONTROL!$C$22, $C$13, 100%, $E$13)</f>
        <v>7.0864000000000003</v>
      </c>
      <c r="I131" s="64">
        <f>7.1021 * CHOOSE(CONTROL!$C$22, $C$13, 100%, $E$13)</f>
        <v>7.1021000000000001</v>
      </c>
      <c r="J131" s="64">
        <f>4.2301 * CHOOSE(CONTROL!$C$22, $C$13, 100%, $E$13)</f>
        <v>4.2301000000000002</v>
      </c>
      <c r="K131" s="64">
        <f>4.2458 * CHOOSE(CONTROL!$C$22, $C$13, 100%, $E$13)</f>
        <v>4.2458</v>
      </c>
      <c r="L131" s="4"/>
      <c r="M131" s="4"/>
      <c r="N131" s="4"/>
    </row>
    <row r="132" spans="1:14" ht="15">
      <c r="A132" s="13">
        <v>45505</v>
      </c>
      <c r="B132" s="63">
        <f>3.5251 * CHOOSE(CONTROL!$C$22, $C$13, 100%, $E$13)</f>
        <v>3.5251000000000001</v>
      </c>
      <c r="C132" s="63">
        <f>3.5251 * CHOOSE(CONTROL!$C$22, $C$13, 100%, $E$13)</f>
        <v>3.5251000000000001</v>
      </c>
      <c r="D132" s="63">
        <f>3.5381 * CHOOSE(CONTROL!$C$22, $C$13, 100%, $E$13)</f>
        <v>3.5381</v>
      </c>
      <c r="E132" s="64">
        <f>4.1718 * CHOOSE(CONTROL!$C$22, $C$13, 100%, $E$13)</f>
        <v>4.1718000000000002</v>
      </c>
      <c r="F132" s="64">
        <f>4.1718 * CHOOSE(CONTROL!$C$22, $C$13, 100%, $E$13)</f>
        <v>4.1718000000000002</v>
      </c>
      <c r="G132" s="64">
        <f>4.1875 * CHOOSE(CONTROL!$C$22, $C$13, 100%, $E$13)</f>
        <v>4.1875</v>
      </c>
      <c r="H132" s="64">
        <f>7.1012* CHOOSE(CONTROL!$C$22, $C$13, 100%, $E$13)</f>
        <v>7.1012000000000004</v>
      </c>
      <c r="I132" s="64">
        <f>7.1168 * CHOOSE(CONTROL!$C$22, $C$13, 100%, $E$13)</f>
        <v>7.1167999999999996</v>
      </c>
      <c r="J132" s="64">
        <f>4.1718 * CHOOSE(CONTROL!$C$22, $C$13, 100%, $E$13)</f>
        <v>4.1718000000000002</v>
      </c>
      <c r="K132" s="64">
        <f>4.1875 * CHOOSE(CONTROL!$C$22, $C$13, 100%, $E$13)</f>
        <v>4.1875</v>
      </c>
      <c r="L132" s="4"/>
      <c r="M132" s="4"/>
      <c r="N132" s="4"/>
    </row>
    <row r="133" spans="1:14" ht="15">
      <c r="A133" s="13">
        <v>45536</v>
      </c>
      <c r="B133" s="63">
        <f>3.5221 * CHOOSE(CONTROL!$C$22, $C$13, 100%, $E$13)</f>
        <v>3.5221</v>
      </c>
      <c r="C133" s="63">
        <f>3.5221 * CHOOSE(CONTROL!$C$22, $C$13, 100%, $E$13)</f>
        <v>3.5221</v>
      </c>
      <c r="D133" s="63">
        <f>3.5351 * CHOOSE(CONTROL!$C$22, $C$13, 100%, $E$13)</f>
        <v>3.5350999999999999</v>
      </c>
      <c r="E133" s="64">
        <f>4.1627 * CHOOSE(CONTROL!$C$22, $C$13, 100%, $E$13)</f>
        <v>4.1627000000000001</v>
      </c>
      <c r="F133" s="64">
        <f>4.1627 * CHOOSE(CONTROL!$C$22, $C$13, 100%, $E$13)</f>
        <v>4.1627000000000001</v>
      </c>
      <c r="G133" s="64">
        <f>4.1784 * CHOOSE(CONTROL!$C$22, $C$13, 100%, $E$13)</f>
        <v>4.1783999999999999</v>
      </c>
      <c r="H133" s="64">
        <f>7.1159* CHOOSE(CONTROL!$C$22, $C$13, 100%, $E$13)</f>
        <v>7.1158999999999999</v>
      </c>
      <c r="I133" s="64">
        <f>7.1316 * CHOOSE(CONTROL!$C$22, $C$13, 100%, $E$13)</f>
        <v>7.1315999999999997</v>
      </c>
      <c r="J133" s="64">
        <f>4.1627 * CHOOSE(CONTROL!$C$22, $C$13, 100%, $E$13)</f>
        <v>4.1627000000000001</v>
      </c>
      <c r="K133" s="64">
        <f>4.1784 * CHOOSE(CONTROL!$C$22, $C$13, 100%, $E$13)</f>
        <v>4.1783999999999999</v>
      </c>
      <c r="L133" s="4"/>
      <c r="M133" s="4"/>
      <c r="N133" s="4"/>
    </row>
    <row r="134" spans="1:14" ht="15">
      <c r="A134" s="13">
        <v>45566</v>
      </c>
      <c r="B134" s="63">
        <f>3.5152 * CHOOSE(CONTROL!$C$22, $C$13, 100%, $E$13)</f>
        <v>3.5152000000000001</v>
      </c>
      <c r="C134" s="63">
        <f>3.5152 * CHOOSE(CONTROL!$C$22, $C$13, 100%, $E$13)</f>
        <v>3.5152000000000001</v>
      </c>
      <c r="D134" s="63">
        <f>3.5153 * CHOOSE(CONTROL!$C$22, $C$13, 100%, $E$13)</f>
        <v>3.5152999999999999</v>
      </c>
      <c r="E134" s="64">
        <f>4.1773 * CHOOSE(CONTROL!$C$22, $C$13, 100%, $E$13)</f>
        <v>4.1772999999999998</v>
      </c>
      <c r="F134" s="64">
        <f>4.1773 * CHOOSE(CONTROL!$C$22, $C$13, 100%, $E$13)</f>
        <v>4.1772999999999998</v>
      </c>
      <c r="G134" s="64">
        <f>4.1773 * CHOOSE(CONTROL!$C$22, $C$13, 100%, $E$13)</f>
        <v>4.1772999999999998</v>
      </c>
      <c r="H134" s="64">
        <f>7.1308* CHOOSE(CONTROL!$C$22, $C$13, 100%, $E$13)</f>
        <v>7.1307999999999998</v>
      </c>
      <c r="I134" s="64">
        <f>7.1309 * CHOOSE(CONTROL!$C$22, $C$13, 100%, $E$13)</f>
        <v>7.1308999999999996</v>
      </c>
      <c r="J134" s="64">
        <f>4.1773 * CHOOSE(CONTROL!$C$22, $C$13, 100%, $E$13)</f>
        <v>4.1772999999999998</v>
      </c>
      <c r="K134" s="64">
        <f>4.1773 * CHOOSE(CONTROL!$C$22, $C$13, 100%, $E$13)</f>
        <v>4.1772999999999998</v>
      </c>
      <c r="L134" s="4"/>
      <c r="M134" s="4"/>
      <c r="N134" s="4"/>
    </row>
    <row r="135" spans="1:14" ht="15">
      <c r="A135" s="13">
        <v>45597</v>
      </c>
      <c r="B135" s="63">
        <f>3.5183 * CHOOSE(CONTROL!$C$22, $C$13, 100%, $E$13)</f>
        <v>3.5183</v>
      </c>
      <c r="C135" s="63">
        <f>3.5183 * CHOOSE(CONTROL!$C$22, $C$13, 100%, $E$13)</f>
        <v>3.5183</v>
      </c>
      <c r="D135" s="63">
        <f>3.5183 * CHOOSE(CONTROL!$C$22, $C$13, 100%, $E$13)</f>
        <v>3.5183</v>
      </c>
      <c r="E135" s="64">
        <f>4.1934 * CHOOSE(CONTROL!$C$22, $C$13, 100%, $E$13)</f>
        <v>4.1933999999999996</v>
      </c>
      <c r="F135" s="64">
        <f>4.1934 * CHOOSE(CONTROL!$C$22, $C$13, 100%, $E$13)</f>
        <v>4.1933999999999996</v>
      </c>
      <c r="G135" s="64">
        <f>4.1934 * CHOOSE(CONTROL!$C$22, $C$13, 100%, $E$13)</f>
        <v>4.1933999999999996</v>
      </c>
      <c r="H135" s="64">
        <f>7.1456* CHOOSE(CONTROL!$C$22, $C$13, 100%, $E$13)</f>
        <v>7.1456</v>
      </c>
      <c r="I135" s="64">
        <f>7.1457 * CHOOSE(CONTROL!$C$22, $C$13, 100%, $E$13)</f>
        <v>7.1456999999999997</v>
      </c>
      <c r="J135" s="64">
        <f>4.1934 * CHOOSE(CONTROL!$C$22, $C$13, 100%, $E$13)</f>
        <v>4.1933999999999996</v>
      </c>
      <c r="K135" s="64">
        <f>4.1934 * CHOOSE(CONTROL!$C$22, $C$13, 100%, $E$13)</f>
        <v>4.1933999999999996</v>
      </c>
      <c r="L135" s="4"/>
      <c r="M135" s="4"/>
      <c r="N135" s="4"/>
    </row>
    <row r="136" spans="1:14" ht="15">
      <c r="A136" s="13">
        <v>45627</v>
      </c>
      <c r="B136" s="63">
        <f>3.5183 * CHOOSE(CONTROL!$C$22, $C$13, 100%, $E$13)</f>
        <v>3.5183</v>
      </c>
      <c r="C136" s="63">
        <f>3.5183 * CHOOSE(CONTROL!$C$22, $C$13, 100%, $E$13)</f>
        <v>3.5183</v>
      </c>
      <c r="D136" s="63">
        <f>3.5183 * CHOOSE(CONTROL!$C$22, $C$13, 100%, $E$13)</f>
        <v>3.5183</v>
      </c>
      <c r="E136" s="64">
        <f>4.1584 * CHOOSE(CONTROL!$C$22, $C$13, 100%, $E$13)</f>
        <v>4.1584000000000003</v>
      </c>
      <c r="F136" s="64">
        <f>4.1584 * CHOOSE(CONTROL!$C$22, $C$13, 100%, $E$13)</f>
        <v>4.1584000000000003</v>
      </c>
      <c r="G136" s="64">
        <f>4.1585 * CHOOSE(CONTROL!$C$22, $C$13, 100%, $E$13)</f>
        <v>4.1585000000000001</v>
      </c>
      <c r="H136" s="64">
        <f>7.1605* CHOOSE(CONTROL!$C$22, $C$13, 100%, $E$13)</f>
        <v>7.1604999999999999</v>
      </c>
      <c r="I136" s="64">
        <f>7.1606 * CHOOSE(CONTROL!$C$22, $C$13, 100%, $E$13)</f>
        <v>7.1605999999999996</v>
      </c>
      <c r="J136" s="64">
        <f>4.1584 * CHOOSE(CONTROL!$C$22, $C$13, 100%, $E$13)</f>
        <v>4.1584000000000003</v>
      </c>
      <c r="K136" s="64">
        <f>4.1585 * CHOOSE(CONTROL!$C$22, $C$13, 100%, $E$13)</f>
        <v>4.1585000000000001</v>
      </c>
      <c r="L136" s="4"/>
      <c r="M136" s="4"/>
      <c r="N136" s="4"/>
    </row>
    <row r="137" spans="1:14" ht="15">
      <c r="A137" s="13">
        <v>45658</v>
      </c>
      <c r="B137" s="63">
        <f>3.5476 * CHOOSE(CONTROL!$C$22, $C$13, 100%, $E$13)</f>
        <v>3.5476000000000001</v>
      </c>
      <c r="C137" s="63">
        <f>3.5476 * CHOOSE(CONTROL!$C$22, $C$13, 100%, $E$13)</f>
        <v>3.5476000000000001</v>
      </c>
      <c r="D137" s="63">
        <f>3.5476 * CHOOSE(CONTROL!$C$22, $C$13, 100%, $E$13)</f>
        <v>3.5476000000000001</v>
      </c>
      <c r="E137" s="64">
        <f>4.2052 * CHOOSE(CONTROL!$C$22, $C$13, 100%, $E$13)</f>
        <v>4.2051999999999996</v>
      </c>
      <c r="F137" s="64">
        <f>4.2052 * CHOOSE(CONTROL!$C$22, $C$13, 100%, $E$13)</f>
        <v>4.2051999999999996</v>
      </c>
      <c r="G137" s="64">
        <f>4.2053 * CHOOSE(CONTROL!$C$22, $C$13, 100%, $E$13)</f>
        <v>4.2053000000000003</v>
      </c>
      <c r="H137" s="64">
        <f>7.1754* CHOOSE(CONTROL!$C$22, $C$13, 100%, $E$13)</f>
        <v>7.1753999999999998</v>
      </c>
      <c r="I137" s="64">
        <f>7.1755 * CHOOSE(CONTROL!$C$22, $C$13, 100%, $E$13)</f>
        <v>7.1755000000000004</v>
      </c>
      <c r="J137" s="64">
        <f>4.2052 * CHOOSE(CONTROL!$C$22, $C$13, 100%, $E$13)</f>
        <v>4.2051999999999996</v>
      </c>
      <c r="K137" s="64">
        <f>4.2053 * CHOOSE(CONTROL!$C$22, $C$13, 100%, $E$13)</f>
        <v>4.2053000000000003</v>
      </c>
      <c r="L137" s="4"/>
      <c r="M137" s="4"/>
      <c r="N137" s="4"/>
    </row>
    <row r="138" spans="1:14" ht="15">
      <c r="A138" s="13">
        <v>45689</v>
      </c>
      <c r="B138" s="63">
        <f>3.5445 * CHOOSE(CONTROL!$C$22, $C$13, 100%, $E$13)</f>
        <v>3.5445000000000002</v>
      </c>
      <c r="C138" s="63">
        <f>3.5445 * CHOOSE(CONTROL!$C$22, $C$13, 100%, $E$13)</f>
        <v>3.5445000000000002</v>
      </c>
      <c r="D138" s="63">
        <f>3.5445 * CHOOSE(CONTROL!$C$22, $C$13, 100%, $E$13)</f>
        <v>3.5445000000000002</v>
      </c>
      <c r="E138" s="64">
        <f>4.1366 * CHOOSE(CONTROL!$C$22, $C$13, 100%, $E$13)</f>
        <v>4.1365999999999996</v>
      </c>
      <c r="F138" s="64">
        <f>4.1366 * CHOOSE(CONTROL!$C$22, $C$13, 100%, $E$13)</f>
        <v>4.1365999999999996</v>
      </c>
      <c r="G138" s="64">
        <f>4.1366 * CHOOSE(CONTROL!$C$22, $C$13, 100%, $E$13)</f>
        <v>4.1365999999999996</v>
      </c>
      <c r="H138" s="64">
        <f>7.1904* CHOOSE(CONTROL!$C$22, $C$13, 100%, $E$13)</f>
        <v>7.1904000000000003</v>
      </c>
      <c r="I138" s="64">
        <f>7.1905 * CHOOSE(CONTROL!$C$22, $C$13, 100%, $E$13)</f>
        <v>7.1905000000000001</v>
      </c>
      <c r="J138" s="64">
        <f>4.1366 * CHOOSE(CONTROL!$C$22, $C$13, 100%, $E$13)</f>
        <v>4.1365999999999996</v>
      </c>
      <c r="K138" s="64">
        <f>4.1366 * CHOOSE(CONTROL!$C$22, $C$13, 100%, $E$13)</f>
        <v>4.1365999999999996</v>
      </c>
      <c r="L138" s="4"/>
      <c r="M138" s="4"/>
      <c r="N138" s="4"/>
    </row>
    <row r="139" spans="1:14" ht="15">
      <c r="A139" s="13">
        <v>45717</v>
      </c>
      <c r="B139" s="63">
        <f>3.5415 * CHOOSE(CONTROL!$C$22, $C$13, 100%, $E$13)</f>
        <v>3.5415000000000001</v>
      </c>
      <c r="C139" s="63">
        <f>3.5415 * CHOOSE(CONTROL!$C$22, $C$13, 100%, $E$13)</f>
        <v>3.5415000000000001</v>
      </c>
      <c r="D139" s="63">
        <f>3.5415 * CHOOSE(CONTROL!$C$22, $C$13, 100%, $E$13)</f>
        <v>3.5415000000000001</v>
      </c>
      <c r="E139" s="64">
        <f>4.1869 * CHOOSE(CONTROL!$C$22, $C$13, 100%, $E$13)</f>
        <v>4.1868999999999996</v>
      </c>
      <c r="F139" s="64">
        <f>4.1869 * CHOOSE(CONTROL!$C$22, $C$13, 100%, $E$13)</f>
        <v>4.1868999999999996</v>
      </c>
      <c r="G139" s="64">
        <f>4.187 * CHOOSE(CONTROL!$C$22, $C$13, 100%, $E$13)</f>
        <v>4.1870000000000003</v>
      </c>
      <c r="H139" s="64">
        <f>7.2054* CHOOSE(CONTROL!$C$22, $C$13, 100%, $E$13)</f>
        <v>7.2054</v>
      </c>
      <c r="I139" s="64">
        <f>7.2054 * CHOOSE(CONTROL!$C$22, $C$13, 100%, $E$13)</f>
        <v>7.2054</v>
      </c>
      <c r="J139" s="64">
        <f>4.1869 * CHOOSE(CONTROL!$C$22, $C$13, 100%, $E$13)</f>
        <v>4.1868999999999996</v>
      </c>
      <c r="K139" s="64">
        <f>4.187 * CHOOSE(CONTROL!$C$22, $C$13, 100%, $E$13)</f>
        <v>4.1870000000000003</v>
      </c>
      <c r="L139" s="4"/>
      <c r="M139" s="4"/>
      <c r="N139" s="4"/>
    </row>
    <row r="140" spans="1:14" ht="15">
      <c r="A140" s="13">
        <v>45748</v>
      </c>
      <c r="B140" s="63">
        <f>3.5386 * CHOOSE(CONTROL!$C$22, $C$13, 100%, $E$13)</f>
        <v>3.5386000000000002</v>
      </c>
      <c r="C140" s="63">
        <f>3.5386 * CHOOSE(CONTROL!$C$22, $C$13, 100%, $E$13)</f>
        <v>3.5386000000000002</v>
      </c>
      <c r="D140" s="63">
        <f>3.5387 * CHOOSE(CONTROL!$C$22, $C$13, 100%, $E$13)</f>
        <v>3.5387</v>
      </c>
      <c r="E140" s="64">
        <f>4.239 * CHOOSE(CONTROL!$C$22, $C$13, 100%, $E$13)</f>
        <v>4.2389999999999999</v>
      </c>
      <c r="F140" s="64">
        <f>4.239 * CHOOSE(CONTROL!$C$22, $C$13, 100%, $E$13)</f>
        <v>4.2389999999999999</v>
      </c>
      <c r="G140" s="64">
        <f>4.2391 * CHOOSE(CONTROL!$C$22, $C$13, 100%, $E$13)</f>
        <v>4.2390999999999996</v>
      </c>
      <c r="H140" s="64">
        <f>7.2204* CHOOSE(CONTROL!$C$22, $C$13, 100%, $E$13)</f>
        <v>7.2203999999999997</v>
      </c>
      <c r="I140" s="64">
        <f>7.2205 * CHOOSE(CONTROL!$C$22, $C$13, 100%, $E$13)</f>
        <v>7.2205000000000004</v>
      </c>
      <c r="J140" s="64">
        <f>4.239 * CHOOSE(CONTROL!$C$22, $C$13, 100%, $E$13)</f>
        <v>4.2389999999999999</v>
      </c>
      <c r="K140" s="64">
        <f>4.2391 * CHOOSE(CONTROL!$C$22, $C$13, 100%, $E$13)</f>
        <v>4.2390999999999996</v>
      </c>
      <c r="L140" s="4"/>
      <c r="M140" s="4"/>
      <c r="N140" s="4"/>
    </row>
    <row r="141" spans="1:14" ht="15">
      <c r="A141" s="13">
        <v>45778</v>
      </c>
      <c r="B141" s="63">
        <f>3.5386 * CHOOSE(CONTROL!$C$22, $C$13, 100%, $E$13)</f>
        <v>3.5386000000000002</v>
      </c>
      <c r="C141" s="63">
        <f>3.5386 * CHOOSE(CONTROL!$C$22, $C$13, 100%, $E$13)</f>
        <v>3.5386000000000002</v>
      </c>
      <c r="D141" s="63">
        <f>3.5516 * CHOOSE(CONTROL!$C$22, $C$13, 100%, $E$13)</f>
        <v>3.5516000000000001</v>
      </c>
      <c r="E141" s="64">
        <f>4.2602 * CHOOSE(CONTROL!$C$22, $C$13, 100%, $E$13)</f>
        <v>4.2602000000000002</v>
      </c>
      <c r="F141" s="64">
        <f>4.2602 * CHOOSE(CONTROL!$C$22, $C$13, 100%, $E$13)</f>
        <v>4.2602000000000002</v>
      </c>
      <c r="G141" s="64">
        <f>4.2759 * CHOOSE(CONTROL!$C$22, $C$13, 100%, $E$13)</f>
        <v>4.2759</v>
      </c>
      <c r="H141" s="64">
        <f>7.2354* CHOOSE(CONTROL!$C$22, $C$13, 100%, $E$13)</f>
        <v>7.2354000000000003</v>
      </c>
      <c r="I141" s="64">
        <f>7.2511 * CHOOSE(CONTROL!$C$22, $C$13, 100%, $E$13)</f>
        <v>7.2511000000000001</v>
      </c>
      <c r="J141" s="64">
        <f>4.2602 * CHOOSE(CONTROL!$C$22, $C$13, 100%, $E$13)</f>
        <v>4.2602000000000002</v>
      </c>
      <c r="K141" s="64">
        <f>4.2759 * CHOOSE(CONTROL!$C$22, $C$13, 100%, $E$13)</f>
        <v>4.2759</v>
      </c>
      <c r="L141" s="4"/>
      <c r="M141" s="4"/>
      <c r="N141" s="4"/>
    </row>
    <row r="142" spans="1:14" ht="15">
      <c r="A142" s="13">
        <v>45809</v>
      </c>
      <c r="B142" s="63">
        <f>3.5447 * CHOOSE(CONTROL!$C$22, $C$13, 100%, $E$13)</f>
        <v>3.5447000000000002</v>
      </c>
      <c r="C142" s="63">
        <f>3.5447 * CHOOSE(CONTROL!$C$22, $C$13, 100%, $E$13)</f>
        <v>3.5447000000000002</v>
      </c>
      <c r="D142" s="63">
        <f>3.5577 * CHOOSE(CONTROL!$C$22, $C$13, 100%, $E$13)</f>
        <v>3.5577000000000001</v>
      </c>
      <c r="E142" s="64">
        <f>4.2433 * CHOOSE(CONTROL!$C$22, $C$13, 100%, $E$13)</f>
        <v>4.2432999999999996</v>
      </c>
      <c r="F142" s="64">
        <f>4.2433 * CHOOSE(CONTROL!$C$22, $C$13, 100%, $E$13)</f>
        <v>4.2432999999999996</v>
      </c>
      <c r="G142" s="64">
        <f>4.259 * CHOOSE(CONTROL!$C$22, $C$13, 100%, $E$13)</f>
        <v>4.2590000000000003</v>
      </c>
      <c r="H142" s="64">
        <f>7.2505* CHOOSE(CONTROL!$C$22, $C$13, 100%, $E$13)</f>
        <v>7.2504999999999997</v>
      </c>
      <c r="I142" s="64">
        <f>7.2662 * CHOOSE(CONTROL!$C$22, $C$13, 100%, $E$13)</f>
        <v>7.2662000000000004</v>
      </c>
      <c r="J142" s="64">
        <f>4.2433 * CHOOSE(CONTROL!$C$22, $C$13, 100%, $E$13)</f>
        <v>4.2432999999999996</v>
      </c>
      <c r="K142" s="64">
        <f>4.259 * CHOOSE(CONTROL!$C$22, $C$13, 100%, $E$13)</f>
        <v>4.2590000000000003</v>
      </c>
      <c r="L142" s="4"/>
      <c r="M142" s="4"/>
      <c r="N142" s="4"/>
    </row>
    <row r="143" spans="1:14" ht="15">
      <c r="A143" s="13">
        <v>45839</v>
      </c>
      <c r="B143" s="63">
        <f>3.5989 * CHOOSE(CONTROL!$C$22, $C$13, 100%, $E$13)</f>
        <v>3.5989</v>
      </c>
      <c r="C143" s="63">
        <f>3.5989 * CHOOSE(CONTROL!$C$22, $C$13, 100%, $E$13)</f>
        <v>3.5989</v>
      </c>
      <c r="D143" s="63">
        <f>3.6118 * CHOOSE(CONTROL!$C$22, $C$13, 100%, $E$13)</f>
        <v>3.6118000000000001</v>
      </c>
      <c r="E143" s="64">
        <f>4.3194 * CHOOSE(CONTROL!$C$22, $C$13, 100%, $E$13)</f>
        <v>4.3193999999999999</v>
      </c>
      <c r="F143" s="64">
        <f>4.3194 * CHOOSE(CONTROL!$C$22, $C$13, 100%, $E$13)</f>
        <v>4.3193999999999999</v>
      </c>
      <c r="G143" s="64">
        <f>4.3351 * CHOOSE(CONTROL!$C$22, $C$13, 100%, $E$13)</f>
        <v>4.3350999999999997</v>
      </c>
      <c r="H143" s="64">
        <f>7.2656* CHOOSE(CONTROL!$C$22, $C$13, 100%, $E$13)</f>
        <v>7.2656000000000001</v>
      </c>
      <c r="I143" s="64">
        <f>7.2813 * CHOOSE(CONTROL!$C$22, $C$13, 100%, $E$13)</f>
        <v>7.2812999999999999</v>
      </c>
      <c r="J143" s="64">
        <f>4.3194 * CHOOSE(CONTROL!$C$22, $C$13, 100%, $E$13)</f>
        <v>4.3193999999999999</v>
      </c>
      <c r="K143" s="64">
        <f>4.3351 * CHOOSE(CONTROL!$C$22, $C$13, 100%, $E$13)</f>
        <v>4.3350999999999997</v>
      </c>
      <c r="L143" s="4"/>
      <c r="M143" s="4"/>
      <c r="N143" s="4"/>
    </row>
    <row r="144" spans="1:14" ht="15">
      <c r="A144" s="13">
        <v>45870</v>
      </c>
      <c r="B144" s="63">
        <f>3.6055 * CHOOSE(CONTROL!$C$22, $C$13, 100%, $E$13)</f>
        <v>3.6055000000000001</v>
      </c>
      <c r="C144" s="63">
        <f>3.6055 * CHOOSE(CONTROL!$C$22, $C$13, 100%, $E$13)</f>
        <v>3.6055000000000001</v>
      </c>
      <c r="D144" s="63">
        <f>3.6185 * CHOOSE(CONTROL!$C$22, $C$13, 100%, $E$13)</f>
        <v>3.6185</v>
      </c>
      <c r="E144" s="64">
        <f>4.2607 * CHOOSE(CONTROL!$C$22, $C$13, 100%, $E$13)</f>
        <v>4.2606999999999999</v>
      </c>
      <c r="F144" s="64">
        <f>4.2607 * CHOOSE(CONTROL!$C$22, $C$13, 100%, $E$13)</f>
        <v>4.2606999999999999</v>
      </c>
      <c r="G144" s="64">
        <f>4.2764 * CHOOSE(CONTROL!$C$22, $C$13, 100%, $E$13)</f>
        <v>4.2763999999999998</v>
      </c>
      <c r="H144" s="64">
        <f>7.2807* CHOOSE(CONTROL!$C$22, $C$13, 100%, $E$13)</f>
        <v>7.2807000000000004</v>
      </c>
      <c r="I144" s="64">
        <f>7.2964 * CHOOSE(CONTROL!$C$22, $C$13, 100%, $E$13)</f>
        <v>7.2964000000000002</v>
      </c>
      <c r="J144" s="64">
        <f>4.2607 * CHOOSE(CONTROL!$C$22, $C$13, 100%, $E$13)</f>
        <v>4.2606999999999999</v>
      </c>
      <c r="K144" s="64">
        <f>4.2764 * CHOOSE(CONTROL!$C$22, $C$13, 100%, $E$13)</f>
        <v>4.2763999999999998</v>
      </c>
      <c r="L144" s="4"/>
      <c r="M144" s="4"/>
      <c r="N144" s="4"/>
    </row>
    <row r="145" spans="1:14" ht="15">
      <c r="A145" s="13">
        <v>45901</v>
      </c>
      <c r="B145" s="63">
        <f>3.6025 * CHOOSE(CONTROL!$C$22, $C$13, 100%, $E$13)</f>
        <v>3.6025</v>
      </c>
      <c r="C145" s="63">
        <f>3.6025 * CHOOSE(CONTROL!$C$22, $C$13, 100%, $E$13)</f>
        <v>3.6025</v>
      </c>
      <c r="D145" s="63">
        <f>3.6155 * CHOOSE(CONTROL!$C$22, $C$13, 100%, $E$13)</f>
        <v>3.6154999999999999</v>
      </c>
      <c r="E145" s="64">
        <f>4.2515 * CHOOSE(CONTROL!$C$22, $C$13, 100%, $E$13)</f>
        <v>4.2515000000000001</v>
      </c>
      <c r="F145" s="64">
        <f>4.2515 * CHOOSE(CONTROL!$C$22, $C$13, 100%, $E$13)</f>
        <v>4.2515000000000001</v>
      </c>
      <c r="G145" s="64">
        <f>4.2672 * CHOOSE(CONTROL!$C$22, $C$13, 100%, $E$13)</f>
        <v>4.2671999999999999</v>
      </c>
      <c r="H145" s="64">
        <f>7.2959* CHOOSE(CONTROL!$C$22, $C$13, 100%, $E$13)</f>
        <v>7.2958999999999996</v>
      </c>
      <c r="I145" s="64">
        <f>7.3116 * CHOOSE(CONTROL!$C$22, $C$13, 100%, $E$13)</f>
        <v>7.3116000000000003</v>
      </c>
      <c r="J145" s="64">
        <f>4.2515 * CHOOSE(CONTROL!$C$22, $C$13, 100%, $E$13)</f>
        <v>4.2515000000000001</v>
      </c>
      <c r="K145" s="64">
        <f>4.2672 * CHOOSE(CONTROL!$C$22, $C$13, 100%, $E$13)</f>
        <v>4.2671999999999999</v>
      </c>
      <c r="L145" s="4"/>
      <c r="M145" s="4"/>
      <c r="N145" s="4"/>
    </row>
    <row r="146" spans="1:14" ht="15">
      <c r="A146" s="13">
        <v>45931</v>
      </c>
      <c r="B146" s="63">
        <f>3.596 * CHOOSE(CONTROL!$C$22, $C$13, 100%, $E$13)</f>
        <v>3.5960000000000001</v>
      </c>
      <c r="C146" s="63">
        <f>3.596 * CHOOSE(CONTROL!$C$22, $C$13, 100%, $E$13)</f>
        <v>3.5960000000000001</v>
      </c>
      <c r="D146" s="63">
        <f>3.596 * CHOOSE(CONTROL!$C$22, $C$13, 100%, $E$13)</f>
        <v>3.5960000000000001</v>
      </c>
      <c r="E146" s="64">
        <f>4.2663 * CHOOSE(CONTROL!$C$22, $C$13, 100%, $E$13)</f>
        <v>4.2663000000000002</v>
      </c>
      <c r="F146" s="64">
        <f>4.2663 * CHOOSE(CONTROL!$C$22, $C$13, 100%, $E$13)</f>
        <v>4.2663000000000002</v>
      </c>
      <c r="G146" s="64">
        <f>4.2664 * CHOOSE(CONTROL!$C$22, $C$13, 100%, $E$13)</f>
        <v>4.2664</v>
      </c>
      <c r="H146" s="64">
        <f>7.3111* CHOOSE(CONTROL!$C$22, $C$13, 100%, $E$13)</f>
        <v>7.3110999999999997</v>
      </c>
      <c r="I146" s="64">
        <f>7.3112 * CHOOSE(CONTROL!$C$22, $C$13, 100%, $E$13)</f>
        <v>7.3112000000000004</v>
      </c>
      <c r="J146" s="64">
        <f>4.2663 * CHOOSE(CONTROL!$C$22, $C$13, 100%, $E$13)</f>
        <v>4.2663000000000002</v>
      </c>
      <c r="K146" s="64">
        <f>4.2664 * CHOOSE(CONTROL!$C$22, $C$13, 100%, $E$13)</f>
        <v>4.2664</v>
      </c>
      <c r="L146" s="4"/>
      <c r="M146" s="4"/>
      <c r="N146" s="4"/>
    </row>
    <row r="147" spans="1:14" ht="15">
      <c r="A147" s="13">
        <v>45962</v>
      </c>
      <c r="B147" s="63">
        <f>3.599 * CHOOSE(CONTROL!$C$22, $C$13, 100%, $E$13)</f>
        <v>3.5990000000000002</v>
      </c>
      <c r="C147" s="63">
        <f>3.599 * CHOOSE(CONTROL!$C$22, $C$13, 100%, $E$13)</f>
        <v>3.5990000000000002</v>
      </c>
      <c r="D147" s="63">
        <f>3.599 * CHOOSE(CONTROL!$C$22, $C$13, 100%, $E$13)</f>
        <v>3.5990000000000002</v>
      </c>
      <c r="E147" s="64">
        <f>4.2825 * CHOOSE(CONTROL!$C$22, $C$13, 100%, $E$13)</f>
        <v>4.2824999999999998</v>
      </c>
      <c r="F147" s="64">
        <f>4.2825 * CHOOSE(CONTROL!$C$22, $C$13, 100%, $E$13)</f>
        <v>4.2824999999999998</v>
      </c>
      <c r="G147" s="64">
        <f>4.2826 * CHOOSE(CONTROL!$C$22, $C$13, 100%, $E$13)</f>
        <v>4.2826000000000004</v>
      </c>
      <c r="H147" s="64">
        <f>7.3263* CHOOSE(CONTROL!$C$22, $C$13, 100%, $E$13)</f>
        <v>7.3262999999999998</v>
      </c>
      <c r="I147" s="64">
        <f>7.3264 * CHOOSE(CONTROL!$C$22, $C$13, 100%, $E$13)</f>
        <v>7.3263999999999996</v>
      </c>
      <c r="J147" s="64">
        <f>4.2825 * CHOOSE(CONTROL!$C$22, $C$13, 100%, $E$13)</f>
        <v>4.2824999999999998</v>
      </c>
      <c r="K147" s="64">
        <f>4.2826 * CHOOSE(CONTROL!$C$22, $C$13, 100%, $E$13)</f>
        <v>4.2826000000000004</v>
      </c>
    </row>
    <row r="148" spans="1:14" ht="15">
      <c r="A148" s="13">
        <v>45992</v>
      </c>
      <c r="B148" s="63">
        <f>3.599 * CHOOSE(CONTROL!$C$22, $C$13, 100%, $E$13)</f>
        <v>3.5990000000000002</v>
      </c>
      <c r="C148" s="63">
        <f>3.599 * CHOOSE(CONTROL!$C$22, $C$13, 100%, $E$13)</f>
        <v>3.5990000000000002</v>
      </c>
      <c r="D148" s="63">
        <f>3.599 * CHOOSE(CONTROL!$C$22, $C$13, 100%, $E$13)</f>
        <v>3.5990000000000002</v>
      </c>
      <c r="E148" s="64">
        <f>4.2473 * CHOOSE(CONTROL!$C$22, $C$13, 100%, $E$13)</f>
        <v>4.2473000000000001</v>
      </c>
      <c r="F148" s="64">
        <f>4.2473 * CHOOSE(CONTROL!$C$22, $C$13, 100%, $E$13)</f>
        <v>4.2473000000000001</v>
      </c>
      <c r="G148" s="64">
        <f>4.2474 * CHOOSE(CONTROL!$C$22, $C$13, 100%, $E$13)</f>
        <v>4.2473999999999998</v>
      </c>
      <c r="H148" s="64">
        <f>7.3416* CHOOSE(CONTROL!$C$22, $C$13, 100%, $E$13)</f>
        <v>7.3415999999999997</v>
      </c>
      <c r="I148" s="64">
        <f>7.3417 * CHOOSE(CONTROL!$C$22, $C$13, 100%, $E$13)</f>
        <v>7.3417000000000003</v>
      </c>
      <c r="J148" s="64">
        <f>4.2473 * CHOOSE(CONTROL!$C$22, $C$13, 100%, $E$13)</f>
        <v>4.2473000000000001</v>
      </c>
      <c r="K148" s="64">
        <f>4.2474 * CHOOSE(CONTROL!$C$22, $C$13, 100%, $E$13)</f>
        <v>4.2473999999999998</v>
      </c>
    </row>
    <row r="149" spans="1:14" ht="15">
      <c r="A149" s="13">
        <v>46023</v>
      </c>
      <c r="B149" s="63">
        <f>3.6288 * CHOOSE(CONTROL!$C$22, $C$13, 100%, $E$13)</f>
        <v>3.6288</v>
      </c>
      <c r="C149" s="63">
        <f>3.6288 * CHOOSE(CONTROL!$C$22, $C$13, 100%, $E$13)</f>
        <v>3.6288</v>
      </c>
      <c r="D149" s="63">
        <f>3.6288 * CHOOSE(CONTROL!$C$22, $C$13, 100%, $E$13)</f>
        <v>3.6288</v>
      </c>
      <c r="E149" s="64">
        <f>4.3063 * CHOOSE(CONTROL!$C$22, $C$13, 100%, $E$13)</f>
        <v>4.3063000000000002</v>
      </c>
      <c r="F149" s="64">
        <f>4.3063 * CHOOSE(CONTROL!$C$22, $C$13, 100%, $E$13)</f>
        <v>4.3063000000000002</v>
      </c>
      <c r="G149" s="64">
        <f>4.3064 * CHOOSE(CONTROL!$C$22, $C$13, 100%, $E$13)</f>
        <v>4.3064</v>
      </c>
      <c r="H149" s="64">
        <f>7.3569* CHOOSE(CONTROL!$C$22, $C$13, 100%, $E$13)</f>
        <v>7.3569000000000004</v>
      </c>
      <c r="I149" s="64">
        <f>7.357 * CHOOSE(CONTROL!$C$22, $C$13, 100%, $E$13)</f>
        <v>7.3570000000000002</v>
      </c>
      <c r="J149" s="64">
        <f>4.3063 * CHOOSE(CONTROL!$C$22, $C$13, 100%, $E$13)</f>
        <v>4.3063000000000002</v>
      </c>
      <c r="K149" s="64">
        <f>4.3064 * CHOOSE(CONTROL!$C$22, $C$13, 100%, $E$13)</f>
        <v>4.3064</v>
      </c>
    </row>
    <row r="150" spans="1:14" ht="15">
      <c r="A150" s="13">
        <v>46054</v>
      </c>
      <c r="B150" s="63">
        <f>3.6257 * CHOOSE(CONTROL!$C$22, $C$13, 100%, $E$13)</f>
        <v>3.6257000000000001</v>
      </c>
      <c r="C150" s="63">
        <f>3.6257 * CHOOSE(CONTROL!$C$22, $C$13, 100%, $E$13)</f>
        <v>3.6257000000000001</v>
      </c>
      <c r="D150" s="63">
        <f>3.6258 * CHOOSE(CONTROL!$C$22, $C$13, 100%, $E$13)</f>
        <v>3.6257999999999999</v>
      </c>
      <c r="E150" s="64">
        <f>4.236 * CHOOSE(CONTROL!$C$22, $C$13, 100%, $E$13)</f>
        <v>4.2359999999999998</v>
      </c>
      <c r="F150" s="64">
        <f>4.236 * CHOOSE(CONTROL!$C$22, $C$13, 100%, $E$13)</f>
        <v>4.2359999999999998</v>
      </c>
      <c r="G150" s="64">
        <f>4.236 * CHOOSE(CONTROL!$C$22, $C$13, 100%, $E$13)</f>
        <v>4.2359999999999998</v>
      </c>
      <c r="H150" s="64">
        <f>7.3722* CHOOSE(CONTROL!$C$22, $C$13, 100%, $E$13)</f>
        <v>7.3722000000000003</v>
      </c>
      <c r="I150" s="64">
        <f>7.3723 * CHOOSE(CONTROL!$C$22, $C$13, 100%, $E$13)</f>
        <v>7.3723000000000001</v>
      </c>
      <c r="J150" s="64">
        <f>4.236 * CHOOSE(CONTROL!$C$22, $C$13, 100%, $E$13)</f>
        <v>4.2359999999999998</v>
      </c>
      <c r="K150" s="64">
        <f>4.236 * CHOOSE(CONTROL!$C$22, $C$13, 100%, $E$13)</f>
        <v>4.2359999999999998</v>
      </c>
    </row>
    <row r="151" spans="1:14" ht="15">
      <c r="A151" s="13">
        <v>46082</v>
      </c>
      <c r="B151" s="63">
        <f>3.6227 * CHOOSE(CONTROL!$C$22, $C$13, 100%, $E$13)</f>
        <v>3.6227</v>
      </c>
      <c r="C151" s="63">
        <f>3.6227 * CHOOSE(CONTROL!$C$22, $C$13, 100%, $E$13)</f>
        <v>3.6227</v>
      </c>
      <c r="D151" s="63">
        <f>3.6227 * CHOOSE(CONTROL!$C$22, $C$13, 100%, $E$13)</f>
        <v>3.6227</v>
      </c>
      <c r="E151" s="64">
        <f>4.2876 * CHOOSE(CONTROL!$C$22, $C$13, 100%, $E$13)</f>
        <v>4.2876000000000003</v>
      </c>
      <c r="F151" s="64">
        <f>4.2876 * CHOOSE(CONTROL!$C$22, $C$13, 100%, $E$13)</f>
        <v>4.2876000000000003</v>
      </c>
      <c r="G151" s="64">
        <f>4.2877 * CHOOSE(CONTROL!$C$22, $C$13, 100%, $E$13)</f>
        <v>4.2877000000000001</v>
      </c>
      <c r="H151" s="64">
        <f>7.3876* CHOOSE(CONTROL!$C$22, $C$13, 100%, $E$13)</f>
        <v>7.3875999999999999</v>
      </c>
      <c r="I151" s="64">
        <f>7.3877 * CHOOSE(CONTROL!$C$22, $C$13, 100%, $E$13)</f>
        <v>7.3876999999999997</v>
      </c>
      <c r="J151" s="64">
        <f>4.2876 * CHOOSE(CONTROL!$C$22, $C$13, 100%, $E$13)</f>
        <v>4.2876000000000003</v>
      </c>
      <c r="K151" s="64">
        <f>4.2877 * CHOOSE(CONTROL!$C$22, $C$13, 100%, $E$13)</f>
        <v>4.2877000000000001</v>
      </c>
    </row>
    <row r="152" spans="1:14" ht="15">
      <c r="A152" s="13">
        <v>46113</v>
      </c>
      <c r="B152" s="63">
        <f>3.62 * CHOOSE(CONTROL!$C$22, $C$13, 100%, $E$13)</f>
        <v>3.62</v>
      </c>
      <c r="C152" s="63">
        <f>3.62 * CHOOSE(CONTROL!$C$22, $C$13, 100%, $E$13)</f>
        <v>3.62</v>
      </c>
      <c r="D152" s="63">
        <f>3.62 * CHOOSE(CONTROL!$C$22, $C$13, 100%, $E$13)</f>
        <v>3.62</v>
      </c>
      <c r="E152" s="64">
        <f>4.3412 * CHOOSE(CONTROL!$C$22, $C$13, 100%, $E$13)</f>
        <v>4.3411999999999997</v>
      </c>
      <c r="F152" s="64">
        <f>4.3412 * CHOOSE(CONTROL!$C$22, $C$13, 100%, $E$13)</f>
        <v>4.3411999999999997</v>
      </c>
      <c r="G152" s="64">
        <f>4.3412 * CHOOSE(CONTROL!$C$22, $C$13, 100%, $E$13)</f>
        <v>4.3411999999999997</v>
      </c>
      <c r="H152" s="64">
        <f>7.403* CHOOSE(CONTROL!$C$22, $C$13, 100%, $E$13)</f>
        <v>7.4029999999999996</v>
      </c>
      <c r="I152" s="64">
        <f>7.403 * CHOOSE(CONTROL!$C$22, $C$13, 100%, $E$13)</f>
        <v>7.4029999999999996</v>
      </c>
      <c r="J152" s="64">
        <f>4.3412 * CHOOSE(CONTROL!$C$22, $C$13, 100%, $E$13)</f>
        <v>4.3411999999999997</v>
      </c>
      <c r="K152" s="64">
        <f>4.3412 * CHOOSE(CONTROL!$C$22, $C$13, 100%, $E$13)</f>
        <v>4.3411999999999997</v>
      </c>
    </row>
    <row r="153" spans="1:14" ht="15">
      <c r="A153" s="13">
        <v>46143</v>
      </c>
      <c r="B153" s="63">
        <f>3.62 * CHOOSE(CONTROL!$C$22, $C$13, 100%, $E$13)</f>
        <v>3.62</v>
      </c>
      <c r="C153" s="63">
        <f>3.62 * CHOOSE(CONTROL!$C$22, $C$13, 100%, $E$13)</f>
        <v>3.62</v>
      </c>
      <c r="D153" s="63">
        <f>3.6329 * CHOOSE(CONTROL!$C$22, $C$13, 100%, $E$13)</f>
        <v>3.6328999999999998</v>
      </c>
      <c r="E153" s="64">
        <f>4.3628 * CHOOSE(CONTROL!$C$22, $C$13, 100%, $E$13)</f>
        <v>4.3628</v>
      </c>
      <c r="F153" s="64">
        <f>4.3628 * CHOOSE(CONTROL!$C$22, $C$13, 100%, $E$13)</f>
        <v>4.3628</v>
      </c>
      <c r="G153" s="64">
        <f>4.3785 * CHOOSE(CONTROL!$C$22, $C$13, 100%, $E$13)</f>
        <v>4.3784999999999998</v>
      </c>
      <c r="H153" s="64">
        <f>7.4184* CHOOSE(CONTROL!$C$22, $C$13, 100%, $E$13)</f>
        <v>7.4184000000000001</v>
      </c>
      <c r="I153" s="64">
        <f>7.4341 * CHOOSE(CONTROL!$C$22, $C$13, 100%, $E$13)</f>
        <v>7.4340999999999999</v>
      </c>
      <c r="J153" s="64">
        <f>4.3628 * CHOOSE(CONTROL!$C$22, $C$13, 100%, $E$13)</f>
        <v>4.3628</v>
      </c>
      <c r="K153" s="64">
        <f>4.3785 * CHOOSE(CONTROL!$C$22, $C$13, 100%, $E$13)</f>
        <v>4.3784999999999998</v>
      </c>
    </row>
    <row r="154" spans="1:14" ht="15">
      <c r="A154" s="13">
        <v>46174</v>
      </c>
      <c r="B154" s="63">
        <f>3.626 * CHOOSE(CONTROL!$C$22, $C$13, 100%, $E$13)</f>
        <v>3.6259999999999999</v>
      </c>
      <c r="C154" s="63">
        <f>3.626 * CHOOSE(CONTROL!$C$22, $C$13, 100%, $E$13)</f>
        <v>3.6259999999999999</v>
      </c>
      <c r="D154" s="63">
        <f>3.639 * CHOOSE(CONTROL!$C$22, $C$13, 100%, $E$13)</f>
        <v>3.6389999999999998</v>
      </c>
      <c r="E154" s="64">
        <f>4.3454 * CHOOSE(CONTROL!$C$22, $C$13, 100%, $E$13)</f>
        <v>4.3453999999999997</v>
      </c>
      <c r="F154" s="64">
        <f>4.3454 * CHOOSE(CONTROL!$C$22, $C$13, 100%, $E$13)</f>
        <v>4.3453999999999997</v>
      </c>
      <c r="G154" s="64">
        <f>4.3611 * CHOOSE(CONTROL!$C$22, $C$13, 100%, $E$13)</f>
        <v>4.3611000000000004</v>
      </c>
      <c r="H154" s="64">
        <f>7.4338* CHOOSE(CONTROL!$C$22, $C$13, 100%, $E$13)</f>
        <v>7.4337999999999997</v>
      </c>
      <c r="I154" s="64">
        <f>7.4495 * CHOOSE(CONTROL!$C$22, $C$13, 100%, $E$13)</f>
        <v>7.4494999999999996</v>
      </c>
      <c r="J154" s="64">
        <f>4.3454 * CHOOSE(CONTROL!$C$22, $C$13, 100%, $E$13)</f>
        <v>4.3453999999999997</v>
      </c>
      <c r="K154" s="64">
        <f>4.3611 * CHOOSE(CONTROL!$C$22, $C$13, 100%, $E$13)</f>
        <v>4.3611000000000004</v>
      </c>
    </row>
    <row r="155" spans="1:14" ht="15">
      <c r="A155" s="13">
        <v>46204</v>
      </c>
      <c r="B155" s="63">
        <f>3.6807 * CHOOSE(CONTROL!$C$22, $C$13, 100%, $E$13)</f>
        <v>3.6806999999999999</v>
      </c>
      <c r="C155" s="63">
        <f>3.6807 * CHOOSE(CONTROL!$C$22, $C$13, 100%, $E$13)</f>
        <v>3.6806999999999999</v>
      </c>
      <c r="D155" s="63">
        <f>3.6937 * CHOOSE(CONTROL!$C$22, $C$13, 100%, $E$13)</f>
        <v>3.6937000000000002</v>
      </c>
      <c r="E155" s="64">
        <f>4.4213 * CHOOSE(CONTROL!$C$22, $C$13, 100%, $E$13)</f>
        <v>4.4212999999999996</v>
      </c>
      <c r="F155" s="64">
        <f>4.4213 * CHOOSE(CONTROL!$C$22, $C$13, 100%, $E$13)</f>
        <v>4.4212999999999996</v>
      </c>
      <c r="G155" s="64">
        <f>4.437 * CHOOSE(CONTROL!$C$22, $C$13, 100%, $E$13)</f>
        <v>4.4370000000000003</v>
      </c>
      <c r="H155" s="64">
        <f>7.4493* CHOOSE(CONTROL!$C$22, $C$13, 100%, $E$13)</f>
        <v>7.4493</v>
      </c>
      <c r="I155" s="64">
        <f>7.465 * CHOOSE(CONTROL!$C$22, $C$13, 100%, $E$13)</f>
        <v>7.4649999999999999</v>
      </c>
      <c r="J155" s="64">
        <f>4.4213 * CHOOSE(CONTROL!$C$22, $C$13, 100%, $E$13)</f>
        <v>4.4212999999999996</v>
      </c>
      <c r="K155" s="64">
        <f>4.437 * CHOOSE(CONTROL!$C$22, $C$13, 100%, $E$13)</f>
        <v>4.4370000000000003</v>
      </c>
    </row>
    <row r="156" spans="1:14" ht="15">
      <c r="A156" s="13">
        <v>46235</v>
      </c>
      <c r="B156" s="63">
        <f>3.6874 * CHOOSE(CONTROL!$C$22, $C$13, 100%, $E$13)</f>
        <v>3.6873999999999998</v>
      </c>
      <c r="C156" s="63">
        <f>3.6874 * CHOOSE(CONTROL!$C$22, $C$13, 100%, $E$13)</f>
        <v>3.6873999999999998</v>
      </c>
      <c r="D156" s="63">
        <f>3.7003 * CHOOSE(CONTROL!$C$22, $C$13, 100%, $E$13)</f>
        <v>3.7002999999999999</v>
      </c>
      <c r="E156" s="64">
        <f>4.3609 * CHOOSE(CONTROL!$C$22, $C$13, 100%, $E$13)</f>
        <v>4.3609</v>
      </c>
      <c r="F156" s="64">
        <f>4.3609 * CHOOSE(CONTROL!$C$22, $C$13, 100%, $E$13)</f>
        <v>4.3609</v>
      </c>
      <c r="G156" s="64">
        <f>4.3766 * CHOOSE(CONTROL!$C$22, $C$13, 100%, $E$13)</f>
        <v>4.3765999999999998</v>
      </c>
      <c r="H156" s="64">
        <f>7.4648* CHOOSE(CONTROL!$C$22, $C$13, 100%, $E$13)</f>
        <v>7.4648000000000003</v>
      </c>
      <c r="I156" s="64">
        <f>7.4805 * CHOOSE(CONTROL!$C$22, $C$13, 100%, $E$13)</f>
        <v>7.4805000000000001</v>
      </c>
      <c r="J156" s="64">
        <f>4.3609 * CHOOSE(CONTROL!$C$22, $C$13, 100%, $E$13)</f>
        <v>4.3609</v>
      </c>
      <c r="K156" s="64">
        <f>4.3766 * CHOOSE(CONTROL!$C$22, $C$13, 100%, $E$13)</f>
        <v>4.3765999999999998</v>
      </c>
    </row>
    <row r="157" spans="1:14" ht="15">
      <c r="A157" s="13">
        <v>46266</v>
      </c>
      <c r="B157" s="63">
        <f>3.6843 * CHOOSE(CONTROL!$C$22, $C$13, 100%, $E$13)</f>
        <v>3.6842999999999999</v>
      </c>
      <c r="C157" s="63">
        <f>3.6843 * CHOOSE(CONTROL!$C$22, $C$13, 100%, $E$13)</f>
        <v>3.6842999999999999</v>
      </c>
      <c r="D157" s="63">
        <f>3.6973 * CHOOSE(CONTROL!$C$22, $C$13, 100%, $E$13)</f>
        <v>3.6972999999999998</v>
      </c>
      <c r="E157" s="64">
        <f>4.3516 * CHOOSE(CONTROL!$C$22, $C$13, 100%, $E$13)</f>
        <v>4.3516000000000004</v>
      </c>
      <c r="F157" s="64">
        <f>4.3516 * CHOOSE(CONTROL!$C$22, $C$13, 100%, $E$13)</f>
        <v>4.3516000000000004</v>
      </c>
      <c r="G157" s="64">
        <f>4.3673 * CHOOSE(CONTROL!$C$22, $C$13, 100%, $E$13)</f>
        <v>4.3673000000000002</v>
      </c>
      <c r="H157" s="64">
        <f>7.4804* CHOOSE(CONTROL!$C$22, $C$13, 100%, $E$13)</f>
        <v>7.4804000000000004</v>
      </c>
      <c r="I157" s="64">
        <f>7.4961 * CHOOSE(CONTROL!$C$22, $C$13, 100%, $E$13)</f>
        <v>7.4961000000000002</v>
      </c>
      <c r="J157" s="64">
        <f>4.3516 * CHOOSE(CONTROL!$C$22, $C$13, 100%, $E$13)</f>
        <v>4.3516000000000004</v>
      </c>
      <c r="K157" s="64">
        <f>4.3673 * CHOOSE(CONTROL!$C$22, $C$13, 100%, $E$13)</f>
        <v>4.3673000000000002</v>
      </c>
    </row>
    <row r="158" spans="1:14" ht="15">
      <c r="A158" s="13">
        <v>46296</v>
      </c>
      <c r="B158" s="63">
        <f>3.6781 * CHOOSE(CONTROL!$C$22, $C$13, 100%, $E$13)</f>
        <v>3.6781000000000001</v>
      </c>
      <c r="C158" s="63">
        <f>3.6781 * CHOOSE(CONTROL!$C$22, $C$13, 100%, $E$13)</f>
        <v>3.6781000000000001</v>
      </c>
      <c r="D158" s="63">
        <f>3.6781 * CHOOSE(CONTROL!$C$22, $C$13, 100%, $E$13)</f>
        <v>3.6781000000000001</v>
      </c>
      <c r="E158" s="64">
        <f>4.3671 * CHOOSE(CONTROL!$C$22, $C$13, 100%, $E$13)</f>
        <v>4.3670999999999998</v>
      </c>
      <c r="F158" s="64">
        <f>4.3671 * CHOOSE(CONTROL!$C$22, $C$13, 100%, $E$13)</f>
        <v>4.3670999999999998</v>
      </c>
      <c r="G158" s="64">
        <f>4.3672 * CHOOSE(CONTROL!$C$22, $C$13, 100%, $E$13)</f>
        <v>4.3672000000000004</v>
      </c>
      <c r="H158" s="64">
        <f>7.496* CHOOSE(CONTROL!$C$22, $C$13, 100%, $E$13)</f>
        <v>7.4960000000000004</v>
      </c>
      <c r="I158" s="64">
        <f>7.4961 * CHOOSE(CONTROL!$C$22, $C$13, 100%, $E$13)</f>
        <v>7.4961000000000002</v>
      </c>
      <c r="J158" s="64">
        <f>4.3671 * CHOOSE(CONTROL!$C$22, $C$13, 100%, $E$13)</f>
        <v>4.3670999999999998</v>
      </c>
      <c r="K158" s="64">
        <f>4.3672 * CHOOSE(CONTROL!$C$22, $C$13, 100%, $E$13)</f>
        <v>4.3672000000000004</v>
      </c>
    </row>
    <row r="159" spans="1:14" ht="15">
      <c r="A159" s="13">
        <v>46327</v>
      </c>
      <c r="B159" s="63">
        <f>3.6811 * CHOOSE(CONTROL!$C$22, $C$13, 100%, $E$13)</f>
        <v>3.6810999999999998</v>
      </c>
      <c r="C159" s="63">
        <f>3.6811 * CHOOSE(CONTROL!$C$22, $C$13, 100%, $E$13)</f>
        <v>3.6810999999999998</v>
      </c>
      <c r="D159" s="63">
        <f>3.6812 * CHOOSE(CONTROL!$C$22, $C$13, 100%, $E$13)</f>
        <v>3.6812</v>
      </c>
      <c r="E159" s="64">
        <f>4.3836 * CHOOSE(CONTROL!$C$22, $C$13, 100%, $E$13)</f>
        <v>4.3836000000000004</v>
      </c>
      <c r="F159" s="64">
        <f>4.3836 * CHOOSE(CONTROL!$C$22, $C$13, 100%, $E$13)</f>
        <v>4.3836000000000004</v>
      </c>
      <c r="G159" s="64">
        <f>4.3837 * CHOOSE(CONTROL!$C$22, $C$13, 100%, $E$13)</f>
        <v>4.3837000000000002</v>
      </c>
      <c r="H159" s="64">
        <f>7.5116* CHOOSE(CONTROL!$C$22, $C$13, 100%, $E$13)</f>
        <v>7.5115999999999996</v>
      </c>
      <c r="I159" s="64">
        <f>7.5117 * CHOOSE(CONTROL!$C$22, $C$13, 100%, $E$13)</f>
        <v>7.5117000000000003</v>
      </c>
      <c r="J159" s="64">
        <f>4.3836 * CHOOSE(CONTROL!$C$22, $C$13, 100%, $E$13)</f>
        <v>4.3836000000000004</v>
      </c>
      <c r="K159" s="64">
        <f>4.3837 * CHOOSE(CONTROL!$C$22, $C$13, 100%, $E$13)</f>
        <v>4.3837000000000002</v>
      </c>
    </row>
    <row r="160" spans="1:14" ht="15">
      <c r="A160" s="13">
        <v>46357</v>
      </c>
      <c r="B160" s="63">
        <f>3.6811 * CHOOSE(CONTROL!$C$22, $C$13, 100%, $E$13)</f>
        <v>3.6810999999999998</v>
      </c>
      <c r="C160" s="63">
        <f>3.6811 * CHOOSE(CONTROL!$C$22, $C$13, 100%, $E$13)</f>
        <v>3.6810999999999998</v>
      </c>
      <c r="D160" s="63">
        <f>3.6812 * CHOOSE(CONTROL!$C$22, $C$13, 100%, $E$13)</f>
        <v>3.6812</v>
      </c>
      <c r="E160" s="64">
        <f>4.3475 * CHOOSE(CONTROL!$C$22, $C$13, 100%, $E$13)</f>
        <v>4.3475000000000001</v>
      </c>
      <c r="F160" s="64">
        <f>4.3475 * CHOOSE(CONTROL!$C$22, $C$13, 100%, $E$13)</f>
        <v>4.3475000000000001</v>
      </c>
      <c r="G160" s="64">
        <f>4.3476 * CHOOSE(CONTROL!$C$22, $C$13, 100%, $E$13)</f>
        <v>4.3475999999999999</v>
      </c>
      <c r="H160" s="64">
        <f>7.5273* CHOOSE(CONTROL!$C$22, $C$13, 100%, $E$13)</f>
        <v>7.5273000000000003</v>
      </c>
      <c r="I160" s="64">
        <f>7.5273 * CHOOSE(CONTROL!$C$22, $C$13, 100%, $E$13)</f>
        <v>7.5273000000000003</v>
      </c>
      <c r="J160" s="64">
        <f>4.3475 * CHOOSE(CONTROL!$C$22, $C$13, 100%, $E$13)</f>
        <v>4.3475000000000001</v>
      </c>
      <c r="K160" s="64">
        <f>4.3476 * CHOOSE(CONTROL!$C$22, $C$13, 100%, $E$13)</f>
        <v>4.3475999999999999</v>
      </c>
    </row>
    <row r="161" spans="1:11" ht="15">
      <c r="A161" s="13">
        <v>46388</v>
      </c>
      <c r="B161" s="63">
        <f>3.7098 * CHOOSE(CONTROL!$C$22, $C$13, 100%, $E$13)</f>
        <v>3.7098</v>
      </c>
      <c r="C161" s="63">
        <f>3.7098 * CHOOSE(CONTROL!$C$22, $C$13, 100%, $E$13)</f>
        <v>3.7098</v>
      </c>
      <c r="D161" s="63">
        <f>3.7098 * CHOOSE(CONTROL!$C$22, $C$13, 100%, $E$13)</f>
        <v>3.7098</v>
      </c>
      <c r="E161" s="64">
        <f>4.4079 * CHOOSE(CONTROL!$C$22, $C$13, 100%, $E$13)</f>
        <v>4.4078999999999997</v>
      </c>
      <c r="F161" s="64">
        <f>4.4079 * CHOOSE(CONTROL!$C$22, $C$13, 100%, $E$13)</f>
        <v>4.4078999999999997</v>
      </c>
      <c r="G161" s="64">
        <f>4.408 * CHOOSE(CONTROL!$C$22, $C$13, 100%, $E$13)</f>
        <v>4.4080000000000004</v>
      </c>
      <c r="H161" s="64">
        <f>7.5429* CHOOSE(CONTROL!$C$22, $C$13, 100%, $E$13)</f>
        <v>7.5429000000000004</v>
      </c>
      <c r="I161" s="64">
        <f>7.543 * CHOOSE(CONTROL!$C$22, $C$13, 100%, $E$13)</f>
        <v>7.5430000000000001</v>
      </c>
      <c r="J161" s="64">
        <f>4.4079 * CHOOSE(CONTROL!$C$22, $C$13, 100%, $E$13)</f>
        <v>4.4078999999999997</v>
      </c>
      <c r="K161" s="64">
        <f>4.408 * CHOOSE(CONTROL!$C$22, $C$13, 100%, $E$13)</f>
        <v>4.4080000000000004</v>
      </c>
    </row>
    <row r="162" spans="1:11" ht="15">
      <c r="A162" s="13">
        <v>46419</v>
      </c>
      <c r="B162" s="63">
        <f>3.7067 * CHOOSE(CONTROL!$C$22, $C$13, 100%, $E$13)</f>
        <v>3.7067000000000001</v>
      </c>
      <c r="C162" s="63">
        <f>3.7067 * CHOOSE(CONTROL!$C$22, $C$13, 100%, $E$13)</f>
        <v>3.7067000000000001</v>
      </c>
      <c r="D162" s="63">
        <f>3.7067 * CHOOSE(CONTROL!$C$22, $C$13, 100%, $E$13)</f>
        <v>3.7067000000000001</v>
      </c>
      <c r="E162" s="64">
        <f>4.3359 * CHOOSE(CONTROL!$C$22, $C$13, 100%, $E$13)</f>
        <v>4.3358999999999996</v>
      </c>
      <c r="F162" s="64">
        <f>4.3359 * CHOOSE(CONTROL!$C$22, $C$13, 100%, $E$13)</f>
        <v>4.3358999999999996</v>
      </c>
      <c r="G162" s="64">
        <f>4.3359 * CHOOSE(CONTROL!$C$22, $C$13, 100%, $E$13)</f>
        <v>4.3358999999999996</v>
      </c>
      <c r="H162" s="64">
        <f>7.5586* CHOOSE(CONTROL!$C$22, $C$13, 100%, $E$13)</f>
        <v>7.5586000000000002</v>
      </c>
      <c r="I162" s="64">
        <f>7.5587 * CHOOSE(CONTROL!$C$22, $C$13, 100%, $E$13)</f>
        <v>7.5587</v>
      </c>
      <c r="J162" s="64">
        <f>4.3359 * CHOOSE(CONTROL!$C$22, $C$13, 100%, $E$13)</f>
        <v>4.3358999999999996</v>
      </c>
      <c r="K162" s="64">
        <f>4.3359 * CHOOSE(CONTROL!$C$22, $C$13, 100%, $E$13)</f>
        <v>4.3358999999999996</v>
      </c>
    </row>
    <row r="163" spans="1:11" ht="15">
      <c r="A163" s="13">
        <v>46447</v>
      </c>
      <c r="B163" s="63">
        <f>3.7037 * CHOOSE(CONTROL!$C$22, $C$13, 100%, $E$13)</f>
        <v>3.7037</v>
      </c>
      <c r="C163" s="63">
        <f>3.7037 * CHOOSE(CONTROL!$C$22, $C$13, 100%, $E$13)</f>
        <v>3.7037</v>
      </c>
      <c r="D163" s="63">
        <f>3.7037 * CHOOSE(CONTROL!$C$22, $C$13, 100%, $E$13)</f>
        <v>3.7037</v>
      </c>
      <c r="E163" s="64">
        <f>4.3889 * CHOOSE(CONTROL!$C$22, $C$13, 100%, $E$13)</f>
        <v>4.3888999999999996</v>
      </c>
      <c r="F163" s="64">
        <f>4.3889 * CHOOSE(CONTROL!$C$22, $C$13, 100%, $E$13)</f>
        <v>4.3888999999999996</v>
      </c>
      <c r="G163" s="64">
        <f>4.389 * CHOOSE(CONTROL!$C$22, $C$13, 100%, $E$13)</f>
        <v>4.3890000000000002</v>
      </c>
      <c r="H163" s="64">
        <f>7.5744* CHOOSE(CONTROL!$C$22, $C$13, 100%, $E$13)</f>
        <v>7.5743999999999998</v>
      </c>
      <c r="I163" s="64">
        <f>7.5745 * CHOOSE(CONTROL!$C$22, $C$13, 100%, $E$13)</f>
        <v>7.5744999999999996</v>
      </c>
      <c r="J163" s="64">
        <f>4.3889 * CHOOSE(CONTROL!$C$22, $C$13, 100%, $E$13)</f>
        <v>4.3888999999999996</v>
      </c>
      <c r="K163" s="64">
        <f>4.389 * CHOOSE(CONTROL!$C$22, $C$13, 100%, $E$13)</f>
        <v>4.3890000000000002</v>
      </c>
    </row>
    <row r="164" spans="1:11" ht="15">
      <c r="A164" s="13">
        <v>46478</v>
      </c>
      <c r="B164" s="63">
        <f>3.701 * CHOOSE(CONTROL!$C$22, $C$13, 100%, $E$13)</f>
        <v>3.7010000000000001</v>
      </c>
      <c r="C164" s="63">
        <f>3.701 * CHOOSE(CONTROL!$C$22, $C$13, 100%, $E$13)</f>
        <v>3.7010000000000001</v>
      </c>
      <c r="D164" s="63">
        <f>3.701 * CHOOSE(CONTROL!$C$22, $C$13, 100%, $E$13)</f>
        <v>3.7010000000000001</v>
      </c>
      <c r="E164" s="64">
        <f>4.4439 * CHOOSE(CONTROL!$C$22, $C$13, 100%, $E$13)</f>
        <v>4.4439000000000002</v>
      </c>
      <c r="F164" s="64">
        <f>4.4439 * CHOOSE(CONTROL!$C$22, $C$13, 100%, $E$13)</f>
        <v>4.4439000000000002</v>
      </c>
      <c r="G164" s="64">
        <f>4.444 * CHOOSE(CONTROL!$C$22, $C$13, 100%, $E$13)</f>
        <v>4.444</v>
      </c>
      <c r="H164" s="64">
        <f>7.5902* CHOOSE(CONTROL!$C$22, $C$13, 100%, $E$13)</f>
        <v>7.5902000000000003</v>
      </c>
      <c r="I164" s="64">
        <f>7.5903 * CHOOSE(CONTROL!$C$22, $C$13, 100%, $E$13)</f>
        <v>7.5903</v>
      </c>
      <c r="J164" s="64">
        <f>4.4439 * CHOOSE(CONTROL!$C$22, $C$13, 100%, $E$13)</f>
        <v>4.4439000000000002</v>
      </c>
      <c r="K164" s="64">
        <f>4.444 * CHOOSE(CONTROL!$C$22, $C$13, 100%, $E$13)</f>
        <v>4.444</v>
      </c>
    </row>
    <row r="165" spans="1:11" ht="15">
      <c r="A165" s="13">
        <v>46508</v>
      </c>
      <c r="B165" s="63">
        <f>3.701 * CHOOSE(CONTROL!$C$22, $C$13, 100%, $E$13)</f>
        <v>3.7010000000000001</v>
      </c>
      <c r="C165" s="63">
        <f>3.701 * CHOOSE(CONTROL!$C$22, $C$13, 100%, $E$13)</f>
        <v>3.7010000000000001</v>
      </c>
      <c r="D165" s="63">
        <f>3.714 * CHOOSE(CONTROL!$C$22, $C$13, 100%, $E$13)</f>
        <v>3.714</v>
      </c>
      <c r="E165" s="64">
        <f>4.4661 * CHOOSE(CONTROL!$C$22, $C$13, 100%, $E$13)</f>
        <v>4.4661</v>
      </c>
      <c r="F165" s="64">
        <f>4.4661 * CHOOSE(CONTROL!$C$22, $C$13, 100%, $E$13)</f>
        <v>4.4661</v>
      </c>
      <c r="G165" s="64">
        <f>4.4818 * CHOOSE(CONTROL!$C$22, $C$13, 100%, $E$13)</f>
        <v>4.4817999999999998</v>
      </c>
      <c r="H165" s="64">
        <f>7.606* CHOOSE(CONTROL!$C$22, $C$13, 100%, $E$13)</f>
        <v>7.6059999999999999</v>
      </c>
      <c r="I165" s="64">
        <f>7.6217 * CHOOSE(CONTROL!$C$22, $C$13, 100%, $E$13)</f>
        <v>7.6216999999999997</v>
      </c>
      <c r="J165" s="64">
        <f>4.4661 * CHOOSE(CONTROL!$C$22, $C$13, 100%, $E$13)</f>
        <v>4.4661</v>
      </c>
      <c r="K165" s="64">
        <f>4.4818 * CHOOSE(CONTROL!$C$22, $C$13, 100%, $E$13)</f>
        <v>4.4817999999999998</v>
      </c>
    </row>
    <row r="166" spans="1:11" ht="15">
      <c r="A166" s="13">
        <v>46539</v>
      </c>
      <c r="B166" s="63">
        <f>3.7071 * CHOOSE(CONTROL!$C$22, $C$13, 100%, $E$13)</f>
        <v>3.7071000000000001</v>
      </c>
      <c r="C166" s="63">
        <f>3.7071 * CHOOSE(CONTROL!$C$22, $C$13, 100%, $E$13)</f>
        <v>3.7071000000000001</v>
      </c>
      <c r="D166" s="63">
        <f>3.7201 * CHOOSE(CONTROL!$C$22, $C$13, 100%, $E$13)</f>
        <v>3.7201</v>
      </c>
      <c r="E166" s="64">
        <f>4.4481 * CHOOSE(CONTROL!$C$22, $C$13, 100%, $E$13)</f>
        <v>4.4481000000000002</v>
      </c>
      <c r="F166" s="64">
        <f>4.4481 * CHOOSE(CONTROL!$C$22, $C$13, 100%, $E$13)</f>
        <v>4.4481000000000002</v>
      </c>
      <c r="G166" s="64">
        <f>4.4638 * CHOOSE(CONTROL!$C$22, $C$13, 100%, $E$13)</f>
        <v>4.4638</v>
      </c>
      <c r="H166" s="64">
        <f>7.6218* CHOOSE(CONTROL!$C$22, $C$13, 100%, $E$13)</f>
        <v>7.6218000000000004</v>
      </c>
      <c r="I166" s="64">
        <f>7.6375 * CHOOSE(CONTROL!$C$22, $C$13, 100%, $E$13)</f>
        <v>7.6375000000000002</v>
      </c>
      <c r="J166" s="64">
        <f>4.4481 * CHOOSE(CONTROL!$C$22, $C$13, 100%, $E$13)</f>
        <v>4.4481000000000002</v>
      </c>
      <c r="K166" s="64">
        <f>4.4638 * CHOOSE(CONTROL!$C$22, $C$13, 100%, $E$13)</f>
        <v>4.4638</v>
      </c>
    </row>
    <row r="167" spans="1:11" ht="15">
      <c r="A167" s="13">
        <v>46569</v>
      </c>
      <c r="B167" s="63">
        <f>3.7587 * CHOOSE(CONTROL!$C$22, $C$13, 100%, $E$13)</f>
        <v>3.7587000000000002</v>
      </c>
      <c r="C167" s="63">
        <f>3.7587 * CHOOSE(CONTROL!$C$22, $C$13, 100%, $E$13)</f>
        <v>3.7587000000000002</v>
      </c>
      <c r="D167" s="63">
        <f>3.7716 * CHOOSE(CONTROL!$C$22, $C$13, 100%, $E$13)</f>
        <v>3.7715999999999998</v>
      </c>
      <c r="E167" s="64">
        <f>4.5253 * CHOOSE(CONTROL!$C$22, $C$13, 100%, $E$13)</f>
        <v>4.5252999999999997</v>
      </c>
      <c r="F167" s="64">
        <f>4.5253 * CHOOSE(CONTROL!$C$22, $C$13, 100%, $E$13)</f>
        <v>4.5252999999999997</v>
      </c>
      <c r="G167" s="64">
        <f>4.541 * CHOOSE(CONTROL!$C$22, $C$13, 100%, $E$13)</f>
        <v>4.5410000000000004</v>
      </c>
      <c r="H167" s="64">
        <f>7.6377* CHOOSE(CONTROL!$C$22, $C$13, 100%, $E$13)</f>
        <v>7.6376999999999997</v>
      </c>
      <c r="I167" s="64">
        <f>7.6534 * CHOOSE(CONTROL!$C$22, $C$13, 100%, $E$13)</f>
        <v>7.6534000000000004</v>
      </c>
      <c r="J167" s="64">
        <f>4.5253 * CHOOSE(CONTROL!$C$22, $C$13, 100%, $E$13)</f>
        <v>4.5252999999999997</v>
      </c>
      <c r="K167" s="64">
        <f>4.541 * CHOOSE(CONTROL!$C$22, $C$13, 100%, $E$13)</f>
        <v>4.5410000000000004</v>
      </c>
    </row>
    <row r="168" spans="1:11" ht="15">
      <c r="A168" s="13">
        <v>46600</v>
      </c>
      <c r="B168" s="63">
        <f>3.7654 * CHOOSE(CONTROL!$C$22, $C$13, 100%, $E$13)</f>
        <v>3.7654000000000001</v>
      </c>
      <c r="C168" s="63">
        <f>3.7654 * CHOOSE(CONTROL!$C$22, $C$13, 100%, $E$13)</f>
        <v>3.7654000000000001</v>
      </c>
      <c r="D168" s="63">
        <f>3.7783 * CHOOSE(CONTROL!$C$22, $C$13, 100%, $E$13)</f>
        <v>3.7783000000000002</v>
      </c>
      <c r="E168" s="64">
        <f>4.4633 * CHOOSE(CONTROL!$C$22, $C$13, 100%, $E$13)</f>
        <v>4.4633000000000003</v>
      </c>
      <c r="F168" s="64">
        <f>4.4633 * CHOOSE(CONTROL!$C$22, $C$13, 100%, $E$13)</f>
        <v>4.4633000000000003</v>
      </c>
      <c r="G168" s="64">
        <f>4.479 * CHOOSE(CONTROL!$C$22, $C$13, 100%, $E$13)</f>
        <v>4.4790000000000001</v>
      </c>
      <c r="H168" s="64">
        <f>7.6536* CHOOSE(CONTROL!$C$22, $C$13, 100%, $E$13)</f>
        <v>7.6536</v>
      </c>
      <c r="I168" s="64">
        <f>7.6693 * CHOOSE(CONTROL!$C$22, $C$13, 100%, $E$13)</f>
        <v>7.6692999999999998</v>
      </c>
      <c r="J168" s="64">
        <f>4.4633 * CHOOSE(CONTROL!$C$22, $C$13, 100%, $E$13)</f>
        <v>4.4633000000000003</v>
      </c>
      <c r="K168" s="64">
        <f>4.479 * CHOOSE(CONTROL!$C$22, $C$13, 100%, $E$13)</f>
        <v>4.4790000000000001</v>
      </c>
    </row>
    <row r="169" spans="1:11" ht="15">
      <c r="A169" s="13">
        <v>46631</v>
      </c>
      <c r="B169" s="63">
        <f>3.7623 * CHOOSE(CONTROL!$C$22, $C$13, 100%, $E$13)</f>
        <v>3.7623000000000002</v>
      </c>
      <c r="C169" s="63">
        <f>3.7623 * CHOOSE(CONTROL!$C$22, $C$13, 100%, $E$13)</f>
        <v>3.7623000000000002</v>
      </c>
      <c r="D169" s="63">
        <f>3.7753 * CHOOSE(CONTROL!$C$22, $C$13, 100%, $E$13)</f>
        <v>3.7753000000000001</v>
      </c>
      <c r="E169" s="64">
        <f>4.4538 * CHOOSE(CONTROL!$C$22, $C$13, 100%, $E$13)</f>
        <v>4.4538000000000002</v>
      </c>
      <c r="F169" s="64">
        <f>4.4538 * CHOOSE(CONTROL!$C$22, $C$13, 100%, $E$13)</f>
        <v>4.4538000000000002</v>
      </c>
      <c r="G169" s="64">
        <f>4.4695 * CHOOSE(CONTROL!$C$22, $C$13, 100%, $E$13)</f>
        <v>4.4695</v>
      </c>
      <c r="H169" s="64">
        <f>7.6696* CHOOSE(CONTROL!$C$22, $C$13, 100%, $E$13)</f>
        <v>7.6696</v>
      </c>
      <c r="I169" s="64">
        <f>7.6852 * CHOOSE(CONTROL!$C$22, $C$13, 100%, $E$13)</f>
        <v>7.6852</v>
      </c>
      <c r="J169" s="64">
        <f>4.4538 * CHOOSE(CONTROL!$C$22, $C$13, 100%, $E$13)</f>
        <v>4.4538000000000002</v>
      </c>
      <c r="K169" s="64">
        <f>4.4695 * CHOOSE(CONTROL!$C$22, $C$13, 100%, $E$13)</f>
        <v>4.4695</v>
      </c>
    </row>
    <row r="170" spans="1:11" ht="15">
      <c r="A170" s="13">
        <v>46661</v>
      </c>
      <c r="B170" s="63">
        <f>3.7564 * CHOOSE(CONTROL!$C$22, $C$13, 100%, $E$13)</f>
        <v>3.7564000000000002</v>
      </c>
      <c r="C170" s="63">
        <f>3.7564 * CHOOSE(CONTROL!$C$22, $C$13, 100%, $E$13)</f>
        <v>3.7564000000000002</v>
      </c>
      <c r="D170" s="63">
        <f>3.7564 * CHOOSE(CONTROL!$C$22, $C$13, 100%, $E$13)</f>
        <v>3.7564000000000002</v>
      </c>
      <c r="E170" s="64">
        <f>4.47 * CHOOSE(CONTROL!$C$22, $C$13, 100%, $E$13)</f>
        <v>4.47</v>
      </c>
      <c r="F170" s="64">
        <f>4.47 * CHOOSE(CONTROL!$C$22, $C$13, 100%, $E$13)</f>
        <v>4.47</v>
      </c>
      <c r="G170" s="64">
        <f>4.4701 * CHOOSE(CONTROL!$C$22, $C$13, 100%, $E$13)</f>
        <v>4.4701000000000004</v>
      </c>
      <c r="H170" s="64">
        <f>7.6855* CHOOSE(CONTROL!$C$22, $C$13, 100%, $E$13)</f>
        <v>7.6855000000000002</v>
      </c>
      <c r="I170" s="64">
        <f>7.6856 * CHOOSE(CONTROL!$C$22, $C$13, 100%, $E$13)</f>
        <v>7.6856</v>
      </c>
      <c r="J170" s="64">
        <f>4.47 * CHOOSE(CONTROL!$C$22, $C$13, 100%, $E$13)</f>
        <v>4.47</v>
      </c>
      <c r="K170" s="64">
        <f>4.4701 * CHOOSE(CONTROL!$C$22, $C$13, 100%, $E$13)</f>
        <v>4.4701000000000004</v>
      </c>
    </row>
    <row r="171" spans="1:11" ht="15">
      <c r="A171" s="13">
        <v>46692</v>
      </c>
      <c r="B171" s="63">
        <f>3.7595 * CHOOSE(CONTROL!$C$22, $C$13, 100%, $E$13)</f>
        <v>3.7595000000000001</v>
      </c>
      <c r="C171" s="63">
        <f>3.7595 * CHOOSE(CONTROL!$C$22, $C$13, 100%, $E$13)</f>
        <v>3.7595000000000001</v>
      </c>
      <c r="D171" s="63">
        <f>3.7595 * CHOOSE(CONTROL!$C$22, $C$13, 100%, $E$13)</f>
        <v>3.7595000000000001</v>
      </c>
      <c r="E171" s="64">
        <f>4.4869 * CHOOSE(CONTROL!$C$22, $C$13, 100%, $E$13)</f>
        <v>4.4869000000000003</v>
      </c>
      <c r="F171" s="64">
        <f>4.4869 * CHOOSE(CONTROL!$C$22, $C$13, 100%, $E$13)</f>
        <v>4.4869000000000003</v>
      </c>
      <c r="G171" s="64">
        <f>4.487 * CHOOSE(CONTROL!$C$22, $C$13, 100%, $E$13)</f>
        <v>4.4870000000000001</v>
      </c>
      <c r="H171" s="64">
        <f>7.7016* CHOOSE(CONTROL!$C$22, $C$13, 100%, $E$13)</f>
        <v>7.7016</v>
      </c>
      <c r="I171" s="64">
        <f>7.7016 * CHOOSE(CONTROL!$C$22, $C$13, 100%, $E$13)</f>
        <v>7.7016</v>
      </c>
      <c r="J171" s="64">
        <f>4.4869 * CHOOSE(CONTROL!$C$22, $C$13, 100%, $E$13)</f>
        <v>4.4869000000000003</v>
      </c>
      <c r="K171" s="64">
        <f>4.487 * CHOOSE(CONTROL!$C$22, $C$13, 100%, $E$13)</f>
        <v>4.4870000000000001</v>
      </c>
    </row>
    <row r="172" spans="1:11" ht="15">
      <c r="A172" s="13">
        <v>46722</v>
      </c>
      <c r="B172" s="63">
        <f>3.7595 * CHOOSE(CONTROL!$C$22, $C$13, 100%, $E$13)</f>
        <v>3.7595000000000001</v>
      </c>
      <c r="C172" s="63">
        <f>3.7595 * CHOOSE(CONTROL!$C$22, $C$13, 100%, $E$13)</f>
        <v>3.7595000000000001</v>
      </c>
      <c r="D172" s="63">
        <f>3.7595 * CHOOSE(CONTROL!$C$22, $C$13, 100%, $E$13)</f>
        <v>3.7595000000000001</v>
      </c>
      <c r="E172" s="64">
        <f>4.4499 * CHOOSE(CONTROL!$C$22, $C$13, 100%, $E$13)</f>
        <v>4.4499000000000004</v>
      </c>
      <c r="F172" s="64">
        <f>4.4499 * CHOOSE(CONTROL!$C$22, $C$13, 100%, $E$13)</f>
        <v>4.4499000000000004</v>
      </c>
      <c r="G172" s="64">
        <f>4.45 * CHOOSE(CONTROL!$C$22, $C$13, 100%, $E$13)</f>
        <v>4.45</v>
      </c>
      <c r="H172" s="64">
        <f>7.7176* CHOOSE(CONTROL!$C$22, $C$13, 100%, $E$13)</f>
        <v>7.7176</v>
      </c>
      <c r="I172" s="64">
        <f>7.7177 * CHOOSE(CONTROL!$C$22, $C$13, 100%, $E$13)</f>
        <v>7.7176999999999998</v>
      </c>
      <c r="J172" s="64">
        <f>4.4499 * CHOOSE(CONTROL!$C$22, $C$13, 100%, $E$13)</f>
        <v>4.4499000000000004</v>
      </c>
      <c r="K172" s="64">
        <f>4.45 * CHOOSE(CONTROL!$C$22, $C$13, 100%, $E$13)</f>
        <v>4.45</v>
      </c>
    </row>
    <row r="173" spans="1:11" ht="15">
      <c r="A173" s="13">
        <v>46753</v>
      </c>
      <c r="B173" s="63">
        <f>3.7926 * CHOOSE(CONTROL!$C$22, $C$13, 100%, $E$13)</f>
        <v>3.7926000000000002</v>
      </c>
      <c r="C173" s="63">
        <f>3.7926 * CHOOSE(CONTROL!$C$22, $C$13, 100%, $E$13)</f>
        <v>3.7926000000000002</v>
      </c>
      <c r="D173" s="63">
        <f>3.7926 * CHOOSE(CONTROL!$C$22, $C$13, 100%, $E$13)</f>
        <v>3.7926000000000002</v>
      </c>
      <c r="E173" s="64">
        <f>4.5119 * CHOOSE(CONTROL!$C$22, $C$13, 100%, $E$13)</f>
        <v>4.5118999999999998</v>
      </c>
      <c r="F173" s="64">
        <f>4.5119 * CHOOSE(CONTROL!$C$22, $C$13, 100%, $E$13)</f>
        <v>4.5118999999999998</v>
      </c>
      <c r="G173" s="64">
        <f>4.512 * CHOOSE(CONTROL!$C$22, $C$13, 100%, $E$13)</f>
        <v>4.5119999999999996</v>
      </c>
      <c r="H173" s="64">
        <f>7.7337* CHOOSE(CONTROL!$C$22, $C$13, 100%, $E$13)</f>
        <v>7.7336999999999998</v>
      </c>
      <c r="I173" s="64">
        <f>7.7338 * CHOOSE(CONTROL!$C$22, $C$13, 100%, $E$13)</f>
        <v>7.7337999999999996</v>
      </c>
      <c r="J173" s="64">
        <f>4.5119 * CHOOSE(CONTROL!$C$22, $C$13, 100%, $E$13)</f>
        <v>4.5118999999999998</v>
      </c>
      <c r="K173" s="64">
        <f>4.512 * CHOOSE(CONTROL!$C$22, $C$13, 100%, $E$13)</f>
        <v>4.5119999999999996</v>
      </c>
    </row>
    <row r="174" spans="1:11" ht="15">
      <c r="A174" s="13">
        <v>46784</v>
      </c>
      <c r="B174" s="63">
        <f>3.7896 * CHOOSE(CONTROL!$C$22, $C$13, 100%, $E$13)</f>
        <v>3.7896000000000001</v>
      </c>
      <c r="C174" s="63">
        <f>3.7896 * CHOOSE(CONTROL!$C$22, $C$13, 100%, $E$13)</f>
        <v>3.7896000000000001</v>
      </c>
      <c r="D174" s="63">
        <f>3.7896 * CHOOSE(CONTROL!$C$22, $C$13, 100%, $E$13)</f>
        <v>3.7896000000000001</v>
      </c>
      <c r="E174" s="64">
        <f>4.438 * CHOOSE(CONTROL!$C$22, $C$13, 100%, $E$13)</f>
        <v>4.4379999999999997</v>
      </c>
      <c r="F174" s="64">
        <f>4.438 * CHOOSE(CONTROL!$C$22, $C$13, 100%, $E$13)</f>
        <v>4.4379999999999997</v>
      </c>
      <c r="G174" s="64">
        <f>4.4381 * CHOOSE(CONTROL!$C$22, $C$13, 100%, $E$13)</f>
        <v>4.4381000000000004</v>
      </c>
      <c r="H174" s="64">
        <f>7.7498* CHOOSE(CONTROL!$C$22, $C$13, 100%, $E$13)</f>
        <v>7.7497999999999996</v>
      </c>
      <c r="I174" s="64">
        <f>7.7499 * CHOOSE(CONTROL!$C$22, $C$13, 100%, $E$13)</f>
        <v>7.7499000000000002</v>
      </c>
      <c r="J174" s="64">
        <f>4.438 * CHOOSE(CONTROL!$C$22, $C$13, 100%, $E$13)</f>
        <v>4.4379999999999997</v>
      </c>
      <c r="K174" s="64">
        <f>4.4381 * CHOOSE(CONTROL!$C$22, $C$13, 100%, $E$13)</f>
        <v>4.4381000000000004</v>
      </c>
    </row>
    <row r="175" spans="1:11" ht="15">
      <c r="A175" s="13">
        <v>46813</v>
      </c>
      <c r="B175" s="63">
        <f>3.7865 * CHOOSE(CONTROL!$C$22, $C$13, 100%, $E$13)</f>
        <v>3.7865000000000002</v>
      </c>
      <c r="C175" s="63">
        <f>3.7865 * CHOOSE(CONTROL!$C$22, $C$13, 100%, $E$13)</f>
        <v>3.7865000000000002</v>
      </c>
      <c r="D175" s="63">
        <f>3.7865 * CHOOSE(CONTROL!$C$22, $C$13, 100%, $E$13)</f>
        <v>3.7865000000000002</v>
      </c>
      <c r="E175" s="64">
        <f>4.4925 * CHOOSE(CONTROL!$C$22, $C$13, 100%, $E$13)</f>
        <v>4.4924999999999997</v>
      </c>
      <c r="F175" s="64">
        <f>4.4925 * CHOOSE(CONTROL!$C$22, $C$13, 100%, $E$13)</f>
        <v>4.4924999999999997</v>
      </c>
      <c r="G175" s="64">
        <f>4.4926 * CHOOSE(CONTROL!$C$22, $C$13, 100%, $E$13)</f>
        <v>4.4926000000000004</v>
      </c>
      <c r="H175" s="64">
        <f>7.7659* CHOOSE(CONTROL!$C$22, $C$13, 100%, $E$13)</f>
        <v>7.7659000000000002</v>
      </c>
      <c r="I175" s="64">
        <f>7.766 * CHOOSE(CONTROL!$C$22, $C$13, 100%, $E$13)</f>
        <v>7.766</v>
      </c>
      <c r="J175" s="64">
        <f>4.4925 * CHOOSE(CONTROL!$C$22, $C$13, 100%, $E$13)</f>
        <v>4.4924999999999997</v>
      </c>
      <c r="K175" s="64">
        <f>4.4926 * CHOOSE(CONTROL!$C$22, $C$13, 100%, $E$13)</f>
        <v>4.4926000000000004</v>
      </c>
    </row>
    <row r="176" spans="1:11" ht="15">
      <c r="A176" s="13">
        <v>46844</v>
      </c>
      <c r="B176" s="63">
        <f>3.7839 * CHOOSE(CONTROL!$C$22, $C$13, 100%, $E$13)</f>
        <v>3.7839</v>
      </c>
      <c r="C176" s="63">
        <f>3.7839 * CHOOSE(CONTROL!$C$22, $C$13, 100%, $E$13)</f>
        <v>3.7839</v>
      </c>
      <c r="D176" s="63">
        <f>3.7839 * CHOOSE(CONTROL!$C$22, $C$13, 100%, $E$13)</f>
        <v>3.7839</v>
      </c>
      <c r="E176" s="64">
        <f>4.549 * CHOOSE(CONTROL!$C$22, $C$13, 100%, $E$13)</f>
        <v>4.5490000000000004</v>
      </c>
      <c r="F176" s="64">
        <f>4.549 * CHOOSE(CONTROL!$C$22, $C$13, 100%, $E$13)</f>
        <v>4.5490000000000004</v>
      </c>
      <c r="G176" s="64">
        <f>4.5491 * CHOOSE(CONTROL!$C$22, $C$13, 100%, $E$13)</f>
        <v>4.5491000000000001</v>
      </c>
      <c r="H176" s="64">
        <f>7.7821* CHOOSE(CONTROL!$C$22, $C$13, 100%, $E$13)</f>
        <v>7.7820999999999998</v>
      </c>
      <c r="I176" s="64">
        <f>7.7822 * CHOOSE(CONTROL!$C$22, $C$13, 100%, $E$13)</f>
        <v>7.7821999999999996</v>
      </c>
      <c r="J176" s="64">
        <f>4.549 * CHOOSE(CONTROL!$C$22, $C$13, 100%, $E$13)</f>
        <v>4.5490000000000004</v>
      </c>
      <c r="K176" s="64">
        <f>4.5491 * CHOOSE(CONTROL!$C$22, $C$13, 100%, $E$13)</f>
        <v>4.5491000000000001</v>
      </c>
    </row>
    <row r="177" spans="1:11" ht="15">
      <c r="A177" s="13">
        <v>46874</v>
      </c>
      <c r="B177" s="63">
        <f>3.7839 * CHOOSE(CONTROL!$C$22, $C$13, 100%, $E$13)</f>
        <v>3.7839</v>
      </c>
      <c r="C177" s="63">
        <f>3.7839 * CHOOSE(CONTROL!$C$22, $C$13, 100%, $E$13)</f>
        <v>3.7839</v>
      </c>
      <c r="D177" s="63">
        <f>3.7969 * CHOOSE(CONTROL!$C$22, $C$13, 100%, $E$13)</f>
        <v>3.7968999999999999</v>
      </c>
      <c r="E177" s="64">
        <f>4.5718 * CHOOSE(CONTROL!$C$22, $C$13, 100%, $E$13)</f>
        <v>4.5717999999999996</v>
      </c>
      <c r="F177" s="64">
        <f>4.5718 * CHOOSE(CONTROL!$C$22, $C$13, 100%, $E$13)</f>
        <v>4.5717999999999996</v>
      </c>
      <c r="G177" s="64">
        <f>4.5875 * CHOOSE(CONTROL!$C$22, $C$13, 100%, $E$13)</f>
        <v>4.5875000000000004</v>
      </c>
      <c r="H177" s="64">
        <f>7.7983* CHOOSE(CONTROL!$C$22, $C$13, 100%, $E$13)</f>
        <v>7.7983000000000002</v>
      </c>
      <c r="I177" s="64">
        <f>7.814 * CHOOSE(CONTROL!$C$22, $C$13, 100%, $E$13)</f>
        <v>7.8140000000000001</v>
      </c>
      <c r="J177" s="64">
        <f>4.5718 * CHOOSE(CONTROL!$C$22, $C$13, 100%, $E$13)</f>
        <v>4.5717999999999996</v>
      </c>
      <c r="K177" s="64">
        <f>4.5875 * CHOOSE(CONTROL!$C$22, $C$13, 100%, $E$13)</f>
        <v>4.5875000000000004</v>
      </c>
    </row>
    <row r="178" spans="1:11" ht="15">
      <c r="A178" s="13">
        <v>46905</v>
      </c>
      <c r="B178" s="63">
        <f>3.79 * CHOOSE(CONTROL!$C$22, $C$13, 100%, $E$13)</f>
        <v>3.79</v>
      </c>
      <c r="C178" s="63">
        <f>3.79 * CHOOSE(CONTROL!$C$22, $C$13, 100%, $E$13)</f>
        <v>3.79</v>
      </c>
      <c r="D178" s="63">
        <f>3.803 * CHOOSE(CONTROL!$C$22, $C$13, 100%, $E$13)</f>
        <v>3.8029999999999999</v>
      </c>
      <c r="E178" s="64">
        <f>4.5532 * CHOOSE(CONTROL!$C$22, $C$13, 100%, $E$13)</f>
        <v>4.5532000000000004</v>
      </c>
      <c r="F178" s="64">
        <f>4.5532 * CHOOSE(CONTROL!$C$22, $C$13, 100%, $E$13)</f>
        <v>4.5532000000000004</v>
      </c>
      <c r="G178" s="64">
        <f>4.5689 * CHOOSE(CONTROL!$C$22, $C$13, 100%, $E$13)</f>
        <v>4.5689000000000002</v>
      </c>
      <c r="H178" s="64">
        <f>7.8146* CHOOSE(CONTROL!$C$22, $C$13, 100%, $E$13)</f>
        <v>7.8146000000000004</v>
      </c>
      <c r="I178" s="64">
        <f>7.8303 * CHOOSE(CONTROL!$C$22, $C$13, 100%, $E$13)</f>
        <v>7.8303000000000003</v>
      </c>
      <c r="J178" s="64">
        <f>4.5532 * CHOOSE(CONTROL!$C$22, $C$13, 100%, $E$13)</f>
        <v>4.5532000000000004</v>
      </c>
      <c r="K178" s="64">
        <f>4.5689 * CHOOSE(CONTROL!$C$22, $C$13, 100%, $E$13)</f>
        <v>4.5689000000000002</v>
      </c>
    </row>
    <row r="179" spans="1:11" ht="15">
      <c r="A179" s="13">
        <v>46935</v>
      </c>
      <c r="B179" s="63">
        <f>3.8518 * CHOOSE(CONTROL!$C$22, $C$13, 100%, $E$13)</f>
        <v>3.8517999999999999</v>
      </c>
      <c r="C179" s="63">
        <f>3.8518 * CHOOSE(CONTROL!$C$22, $C$13, 100%, $E$13)</f>
        <v>3.8517999999999999</v>
      </c>
      <c r="D179" s="63">
        <f>3.8647 * CHOOSE(CONTROL!$C$22, $C$13, 100%, $E$13)</f>
        <v>3.8647</v>
      </c>
      <c r="E179" s="64">
        <f>4.6316 * CHOOSE(CONTROL!$C$22, $C$13, 100%, $E$13)</f>
        <v>4.6315999999999997</v>
      </c>
      <c r="F179" s="64">
        <f>4.6316 * CHOOSE(CONTROL!$C$22, $C$13, 100%, $E$13)</f>
        <v>4.6315999999999997</v>
      </c>
      <c r="G179" s="64">
        <f>4.6473 * CHOOSE(CONTROL!$C$22, $C$13, 100%, $E$13)</f>
        <v>4.6473000000000004</v>
      </c>
      <c r="H179" s="64">
        <f>7.8309* CHOOSE(CONTROL!$C$22, $C$13, 100%, $E$13)</f>
        <v>7.8308999999999997</v>
      </c>
      <c r="I179" s="64">
        <f>7.8465 * CHOOSE(CONTROL!$C$22, $C$13, 100%, $E$13)</f>
        <v>7.8464999999999998</v>
      </c>
      <c r="J179" s="64">
        <f>4.6316 * CHOOSE(CONTROL!$C$22, $C$13, 100%, $E$13)</f>
        <v>4.6315999999999997</v>
      </c>
      <c r="K179" s="64">
        <f>4.6473 * CHOOSE(CONTROL!$C$22, $C$13, 100%, $E$13)</f>
        <v>4.6473000000000004</v>
      </c>
    </row>
    <row r="180" spans="1:11" ht="15">
      <c r="A180" s="13">
        <v>46966</v>
      </c>
      <c r="B180" s="63">
        <f>3.8585 * CHOOSE(CONTROL!$C$22, $C$13, 100%, $E$13)</f>
        <v>3.8584999999999998</v>
      </c>
      <c r="C180" s="63">
        <f>3.8585 * CHOOSE(CONTROL!$C$22, $C$13, 100%, $E$13)</f>
        <v>3.8584999999999998</v>
      </c>
      <c r="D180" s="63">
        <f>3.8714 * CHOOSE(CONTROL!$C$22, $C$13, 100%, $E$13)</f>
        <v>3.8714</v>
      </c>
      <c r="E180" s="64">
        <f>4.5679 * CHOOSE(CONTROL!$C$22, $C$13, 100%, $E$13)</f>
        <v>4.5678999999999998</v>
      </c>
      <c r="F180" s="64">
        <f>4.5679 * CHOOSE(CONTROL!$C$22, $C$13, 100%, $E$13)</f>
        <v>4.5678999999999998</v>
      </c>
      <c r="G180" s="64">
        <f>4.5836 * CHOOSE(CONTROL!$C$22, $C$13, 100%, $E$13)</f>
        <v>4.5835999999999997</v>
      </c>
      <c r="H180" s="64">
        <f>7.8472* CHOOSE(CONTROL!$C$22, $C$13, 100%, $E$13)</f>
        <v>7.8472</v>
      </c>
      <c r="I180" s="64">
        <f>7.8629 * CHOOSE(CONTROL!$C$22, $C$13, 100%, $E$13)</f>
        <v>7.8628999999999998</v>
      </c>
      <c r="J180" s="64">
        <f>4.5679 * CHOOSE(CONTROL!$C$22, $C$13, 100%, $E$13)</f>
        <v>4.5678999999999998</v>
      </c>
      <c r="K180" s="64">
        <f>4.5836 * CHOOSE(CONTROL!$C$22, $C$13, 100%, $E$13)</f>
        <v>4.5835999999999997</v>
      </c>
    </row>
    <row r="181" spans="1:11" ht="15">
      <c r="A181" s="13">
        <v>46997</v>
      </c>
      <c r="B181" s="63">
        <f>3.8554 * CHOOSE(CONTROL!$C$22, $C$13, 100%, $E$13)</f>
        <v>3.8553999999999999</v>
      </c>
      <c r="C181" s="63">
        <f>3.8554 * CHOOSE(CONTROL!$C$22, $C$13, 100%, $E$13)</f>
        <v>3.8553999999999999</v>
      </c>
      <c r="D181" s="63">
        <f>3.8684 * CHOOSE(CONTROL!$C$22, $C$13, 100%, $E$13)</f>
        <v>3.8683999999999998</v>
      </c>
      <c r="E181" s="64">
        <f>4.5582 * CHOOSE(CONTROL!$C$22, $C$13, 100%, $E$13)</f>
        <v>4.5582000000000003</v>
      </c>
      <c r="F181" s="64">
        <f>4.5582 * CHOOSE(CONTROL!$C$22, $C$13, 100%, $E$13)</f>
        <v>4.5582000000000003</v>
      </c>
      <c r="G181" s="64">
        <f>4.5739 * CHOOSE(CONTROL!$C$22, $C$13, 100%, $E$13)</f>
        <v>4.5739000000000001</v>
      </c>
      <c r="H181" s="64">
        <f>7.8635* CHOOSE(CONTROL!$C$22, $C$13, 100%, $E$13)</f>
        <v>7.8635000000000002</v>
      </c>
      <c r="I181" s="64">
        <f>7.8792 * CHOOSE(CONTROL!$C$22, $C$13, 100%, $E$13)</f>
        <v>7.8792</v>
      </c>
      <c r="J181" s="64">
        <f>4.5582 * CHOOSE(CONTROL!$C$22, $C$13, 100%, $E$13)</f>
        <v>4.5582000000000003</v>
      </c>
      <c r="K181" s="64">
        <f>4.5739 * CHOOSE(CONTROL!$C$22, $C$13, 100%, $E$13)</f>
        <v>4.5739000000000001</v>
      </c>
    </row>
    <row r="182" spans="1:11" ht="15">
      <c r="A182" s="13">
        <v>47027</v>
      </c>
      <c r="B182" s="63">
        <f>3.8498 * CHOOSE(CONTROL!$C$22, $C$13, 100%, $E$13)</f>
        <v>3.8498000000000001</v>
      </c>
      <c r="C182" s="63">
        <f>3.8498 * CHOOSE(CONTROL!$C$22, $C$13, 100%, $E$13)</f>
        <v>3.8498000000000001</v>
      </c>
      <c r="D182" s="63">
        <f>3.8499 * CHOOSE(CONTROL!$C$22, $C$13, 100%, $E$13)</f>
        <v>3.8498999999999999</v>
      </c>
      <c r="E182" s="64">
        <f>4.5751 * CHOOSE(CONTROL!$C$22, $C$13, 100%, $E$13)</f>
        <v>4.5750999999999999</v>
      </c>
      <c r="F182" s="64">
        <f>4.5751 * CHOOSE(CONTROL!$C$22, $C$13, 100%, $E$13)</f>
        <v>4.5750999999999999</v>
      </c>
      <c r="G182" s="64">
        <f>4.5752 * CHOOSE(CONTROL!$C$22, $C$13, 100%, $E$13)</f>
        <v>4.5751999999999997</v>
      </c>
      <c r="H182" s="64">
        <f>7.8799* CHOOSE(CONTROL!$C$22, $C$13, 100%, $E$13)</f>
        <v>7.8799000000000001</v>
      </c>
      <c r="I182" s="64">
        <f>7.88 * CHOOSE(CONTROL!$C$22, $C$13, 100%, $E$13)</f>
        <v>7.88</v>
      </c>
      <c r="J182" s="64">
        <f>4.5751 * CHOOSE(CONTROL!$C$22, $C$13, 100%, $E$13)</f>
        <v>4.5750999999999999</v>
      </c>
      <c r="K182" s="64">
        <f>4.5752 * CHOOSE(CONTROL!$C$22, $C$13, 100%, $E$13)</f>
        <v>4.5751999999999997</v>
      </c>
    </row>
    <row r="183" spans="1:11" ht="15">
      <c r="A183" s="13">
        <v>47058</v>
      </c>
      <c r="B183" s="63">
        <f>3.8529 * CHOOSE(CONTROL!$C$22, $C$13, 100%, $E$13)</f>
        <v>3.8529</v>
      </c>
      <c r="C183" s="63">
        <f>3.8529 * CHOOSE(CONTROL!$C$22, $C$13, 100%, $E$13)</f>
        <v>3.8529</v>
      </c>
      <c r="D183" s="63">
        <f>3.8529 * CHOOSE(CONTROL!$C$22, $C$13, 100%, $E$13)</f>
        <v>3.8529</v>
      </c>
      <c r="E183" s="64">
        <f>4.5924 * CHOOSE(CONTROL!$C$22, $C$13, 100%, $E$13)</f>
        <v>4.5923999999999996</v>
      </c>
      <c r="F183" s="64">
        <f>4.5924 * CHOOSE(CONTROL!$C$22, $C$13, 100%, $E$13)</f>
        <v>4.5923999999999996</v>
      </c>
      <c r="G183" s="64">
        <f>4.5925 * CHOOSE(CONTROL!$C$22, $C$13, 100%, $E$13)</f>
        <v>4.5925000000000002</v>
      </c>
      <c r="H183" s="64">
        <f>7.8963* CHOOSE(CONTROL!$C$22, $C$13, 100%, $E$13)</f>
        <v>7.8963000000000001</v>
      </c>
      <c r="I183" s="64">
        <f>7.8964 * CHOOSE(CONTROL!$C$22, $C$13, 100%, $E$13)</f>
        <v>7.8963999999999999</v>
      </c>
      <c r="J183" s="64">
        <f>4.5924 * CHOOSE(CONTROL!$C$22, $C$13, 100%, $E$13)</f>
        <v>4.5923999999999996</v>
      </c>
      <c r="K183" s="64">
        <f>4.5925 * CHOOSE(CONTROL!$C$22, $C$13, 100%, $E$13)</f>
        <v>4.5925000000000002</v>
      </c>
    </row>
    <row r="184" spans="1:11" ht="15">
      <c r="A184" s="13">
        <v>47088</v>
      </c>
      <c r="B184" s="63">
        <f>3.8529 * CHOOSE(CONTROL!$C$22, $C$13, 100%, $E$13)</f>
        <v>3.8529</v>
      </c>
      <c r="C184" s="63">
        <f>3.8529 * CHOOSE(CONTROL!$C$22, $C$13, 100%, $E$13)</f>
        <v>3.8529</v>
      </c>
      <c r="D184" s="63">
        <f>3.8529 * CHOOSE(CONTROL!$C$22, $C$13, 100%, $E$13)</f>
        <v>3.8529</v>
      </c>
      <c r="E184" s="64">
        <f>4.5545 * CHOOSE(CONTROL!$C$22, $C$13, 100%, $E$13)</f>
        <v>4.5545</v>
      </c>
      <c r="F184" s="64">
        <f>4.5545 * CHOOSE(CONTROL!$C$22, $C$13, 100%, $E$13)</f>
        <v>4.5545</v>
      </c>
      <c r="G184" s="64">
        <f>4.5546 * CHOOSE(CONTROL!$C$22, $C$13, 100%, $E$13)</f>
        <v>4.5545999999999998</v>
      </c>
      <c r="H184" s="64">
        <f>7.9128* CHOOSE(CONTROL!$C$22, $C$13, 100%, $E$13)</f>
        <v>7.9127999999999998</v>
      </c>
      <c r="I184" s="64">
        <f>7.9128 * CHOOSE(CONTROL!$C$22, $C$13, 100%, $E$13)</f>
        <v>7.9127999999999998</v>
      </c>
      <c r="J184" s="64">
        <f>4.5545 * CHOOSE(CONTROL!$C$22, $C$13, 100%, $E$13)</f>
        <v>4.5545</v>
      </c>
      <c r="K184" s="64">
        <f>4.5546 * CHOOSE(CONTROL!$C$22, $C$13, 100%, $E$13)</f>
        <v>4.5545999999999998</v>
      </c>
    </row>
    <row r="185" spans="1:11" ht="15">
      <c r="A185" s="13">
        <v>47119</v>
      </c>
      <c r="B185" s="63">
        <f>3.8828 * CHOOSE(CONTROL!$C$22, $C$13, 100%, $E$13)</f>
        <v>3.8828</v>
      </c>
      <c r="C185" s="63">
        <f>3.8828 * CHOOSE(CONTROL!$C$22, $C$13, 100%, $E$13)</f>
        <v>3.8828</v>
      </c>
      <c r="D185" s="63">
        <f>3.8828 * CHOOSE(CONTROL!$C$22, $C$13, 100%, $E$13)</f>
        <v>3.8828</v>
      </c>
      <c r="E185" s="64">
        <f>4.6181 * CHOOSE(CONTROL!$C$22, $C$13, 100%, $E$13)</f>
        <v>4.6181000000000001</v>
      </c>
      <c r="F185" s="64">
        <f>4.6181 * CHOOSE(CONTROL!$C$22, $C$13, 100%, $E$13)</f>
        <v>4.6181000000000001</v>
      </c>
      <c r="G185" s="64">
        <f>4.6182 * CHOOSE(CONTROL!$C$22, $C$13, 100%, $E$13)</f>
        <v>4.6181999999999999</v>
      </c>
      <c r="H185" s="64">
        <f>7.9293* CHOOSE(CONTROL!$C$22, $C$13, 100%, $E$13)</f>
        <v>7.9292999999999996</v>
      </c>
      <c r="I185" s="64">
        <f>7.9293 * CHOOSE(CONTROL!$C$22, $C$13, 100%, $E$13)</f>
        <v>7.9292999999999996</v>
      </c>
      <c r="J185" s="64">
        <f>4.6181 * CHOOSE(CONTROL!$C$22, $C$13, 100%, $E$13)</f>
        <v>4.6181000000000001</v>
      </c>
      <c r="K185" s="64">
        <f>4.6182 * CHOOSE(CONTROL!$C$22, $C$13, 100%, $E$13)</f>
        <v>4.6181999999999999</v>
      </c>
    </row>
    <row r="186" spans="1:11" ht="15">
      <c r="A186" s="13">
        <v>47150</v>
      </c>
      <c r="B186" s="63">
        <f>3.8798 * CHOOSE(CONTROL!$C$22, $C$13, 100%, $E$13)</f>
        <v>3.8797999999999999</v>
      </c>
      <c r="C186" s="63">
        <f>3.8798 * CHOOSE(CONTROL!$C$22, $C$13, 100%, $E$13)</f>
        <v>3.8797999999999999</v>
      </c>
      <c r="D186" s="63">
        <f>3.8798 * CHOOSE(CONTROL!$C$22, $C$13, 100%, $E$13)</f>
        <v>3.8797999999999999</v>
      </c>
      <c r="E186" s="64">
        <f>4.5424 * CHOOSE(CONTROL!$C$22, $C$13, 100%, $E$13)</f>
        <v>4.5423999999999998</v>
      </c>
      <c r="F186" s="64">
        <f>4.5424 * CHOOSE(CONTROL!$C$22, $C$13, 100%, $E$13)</f>
        <v>4.5423999999999998</v>
      </c>
      <c r="G186" s="64">
        <f>4.5425 * CHOOSE(CONTROL!$C$22, $C$13, 100%, $E$13)</f>
        <v>4.5425000000000004</v>
      </c>
      <c r="H186" s="64">
        <f>7.9458* CHOOSE(CONTROL!$C$22, $C$13, 100%, $E$13)</f>
        <v>7.9458000000000002</v>
      </c>
      <c r="I186" s="64">
        <f>7.9459 * CHOOSE(CONTROL!$C$22, $C$13, 100%, $E$13)</f>
        <v>7.9459</v>
      </c>
      <c r="J186" s="64">
        <f>4.5424 * CHOOSE(CONTROL!$C$22, $C$13, 100%, $E$13)</f>
        <v>4.5423999999999998</v>
      </c>
      <c r="K186" s="64">
        <f>4.5425 * CHOOSE(CONTROL!$C$22, $C$13, 100%, $E$13)</f>
        <v>4.5425000000000004</v>
      </c>
    </row>
    <row r="187" spans="1:11" ht="15">
      <c r="A187" s="13">
        <v>47178</v>
      </c>
      <c r="B187" s="63">
        <f>3.8767 * CHOOSE(CONTROL!$C$22, $C$13, 100%, $E$13)</f>
        <v>3.8767</v>
      </c>
      <c r="C187" s="63">
        <f>3.8767 * CHOOSE(CONTROL!$C$22, $C$13, 100%, $E$13)</f>
        <v>3.8767</v>
      </c>
      <c r="D187" s="63">
        <f>3.8768 * CHOOSE(CONTROL!$C$22, $C$13, 100%, $E$13)</f>
        <v>3.8767999999999998</v>
      </c>
      <c r="E187" s="64">
        <f>4.5983 * CHOOSE(CONTROL!$C$22, $C$13, 100%, $E$13)</f>
        <v>4.5983000000000001</v>
      </c>
      <c r="F187" s="64">
        <f>4.5983 * CHOOSE(CONTROL!$C$22, $C$13, 100%, $E$13)</f>
        <v>4.5983000000000001</v>
      </c>
      <c r="G187" s="64">
        <f>4.5984 * CHOOSE(CONTROL!$C$22, $C$13, 100%, $E$13)</f>
        <v>4.5983999999999998</v>
      </c>
      <c r="H187" s="64">
        <f>7.9623* CHOOSE(CONTROL!$C$22, $C$13, 100%, $E$13)</f>
        <v>7.9622999999999999</v>
      </c>
      <c r="I187" s="64">
        <f>7.9624 * CHOOSE(CONTROL!$C$22, $C$13, 100%, $E$13)</f>
        <v>7.9623999999999997</v>
      </c>
      <c r="J187" s="64">
        <f>4.5983 * CHOOSE(CONTROL!$C$22, $C$13, 100%, $E$13)</f>
        <v>4.5983000000000001</v>
      </c>
      <c r="K187" s="64">
        <f>4.5984 * CHOOSE(CONTROL!$C$22, $C$13, 100%, $E$13)</f>
        <v>4.5983999999999998</v>
      </c>
    </row>
    <row r="188" spans="1:11" ht="15">
      <c r="A188" s="13">
        <v>47209</v>
      </c>
      <c r="B188" s="63">
        <f>3.8743 * CHOOSE(CONTROL!$C$22, $C$13, 100%, $E$13)</f>
        <v>3.8742999999999999</v>
      </c>
      <c r="C188" s="63">
        <f>3.8743 * CHOOSE(CONTROL!$C$22, $C$13, 100%, $E$13)</f>
        <v>3.8742999999999999</v>
      </c>
      <c r="D188" s="63">
        <f>3.8743 * CHOOSE(CONTROL!$C$22, $C$13, 100%, $E$13)</f>
        <v>3.8742999999999999</v>
      </c>
      <c r="E188" s="64">
        <f>4.6563 * CHOOSE(CONTROL!$C$22, $C$13, 100%, $E$13)</f>
        <v>4.6562999999999999</v>
      </c>
      <c r="F188" s="64">
        <f>4.6563 * CHOOSE(CONTROL!$C$22, $C$13, 100%, $E$13)</f>
        <v>4.6562999999999999</v>
      </c>
      <c r="G188" s="64">
        <f>4.6564 * CHOOSE(CONTROL!$C$22, $C$13, 100%, $E$13)</f>
        <v>4.6563999999999997</v>
      </c>
      <c r="H188" s="64">
        <f>7.9789* CHOOSE(CONTROL!$C$22, $C$13, 100%, $E$13)</f>
        <v>7.9789000000000003</v>
      </c>
      <c r="I188" s="64">
        <f>7.979 * CHOOSE(CONTROL!$C$22, $C$13, 100%, $E$13)</f>
        <v>7.9790000000000001</v>
      </c>
      <c r="J188" s="64">
        <f>4.6563 * CHOOSE(CONTROL!$C$22, $C$13, 100%, $E$13)</f>
        <v>4.6562999999999999</v>
      </c>
      <c r="K188" s="64">
        <f>4.6564 * CHOOSE(CONTROL!$C$22, $C$13, 100%, $E$13)</f>
        <v>4.6563999999999997</v>
      </c>
    </row>
    <row r="189" spans="1:11" ht="15">
      <c r="A189" s="13">
        <v>47239</v>
      </c>
      <c r="B189" s="63">
        <f>3.8743 * CHOOSE(CONTROL!$C$22, $C$13, 100%, $E$13)</f>
        <v>3.8742999999999999</v>
      </c>
      <c r="C189" s="63">
        <f>3.8743 * CHOOSE(CONTROL!$C$22, $C$13, 100%, $E$13)</f>
        <v>3.8742999999999999</v>
      </c>
      <c r="D189" s="63">
        <f>3.8872 * CHOOSE(CONTROL!$C$22, $C$13, 100%, $E$13)</f>
        <v>3.8872</v>
      </c>
      <c r="E189" s="64">
        <f>4.6797 * CHOOSE(CONTROL!$C$22, $C$13, 100%, $E$13)</f>
        <v>4.6797000000000004</v>
      </c>
      <c r="F189" s="64">
        <f>4.6797 * CHOOSE(CONTROL!$C$22, $C$13, 100%, $E$13)</f>
        <v>4.6797000000000004</v>
      </c>
      <c r="G189" s="64">
        <f>4.6954 * CHOOSE(CONTROL!$C$22, $C$13, 100%, $E$13)</f>
        <v>4.6954000000000002</v>
      </c>
      <c r="H189" s="64">
        <f>7.9955* CHOOSE(CONTROL!$C$22, $C$13, 100%, $E$13)</f>
        <v>7.9954999999999998</v>
      </c>
      <c r="I189" s="64">
        <f>8.0112 * CHOOSE(CONTROL!$C$22, $C$13, 100%, $E$13)</f>
        <v>8.0112000000000005</v>
      </c>
      <c r="J189" s="64">
        <f>4.6797 * CHOOSE(CONTROL!$C$22, $C$13, 100%, $E$13)</f>
        <v>4.6797000000000004</v>
      </c>
      <c r="K189" s="64">
        <f>4.6954 * CHOOSE(CONTROL!$C$22, $C$13, 100%, $E$13)</f>
        <v>4.6954000000000002</v>
      </c>
    </row>
    <row r="190" spans="1:11" ht="15">
      <c r="A190" s="13">
        <v>47270</v>
      </c>
      <c r="B190" s="63">
        <f>3.8803 * CHOOSE(CONTROL!$C$22, $C$13, 100%, $E$13)</f>
        <v>3.8803000000000001</v>
      </c>
      <c r="C190" s="63">
        <f>3.8803 * CHOOSE(CONTROL!$C$22, $C$13, 100%, $E$13)</f>
        <v>3.8803000000000001</v>
      </c>
      <c r="D190" s="63">
        <f>3.8933 * CHOOSE(CONTROL!$C$22, $C$13, 100%, $E$13)</f>
        <v>3.8933</v>
      </c>
      <c r="E190" s="64">
        <f>4.6606 * CHOOSE(CONTROL!$C$22, $C$13, 100%, $E$13)</f>
        <v>4.6605999999999996</v>
      </c>
      <c r="F190" s="64">
        <f>4.6606 * CHOOSE(CONTROL!$C$22, $C$13, 100%, $E$13)</f>
        <v>4.6605999999999996</v>
      </c>
      <c r="G190" s="64">
        <f>4.6763 * CHOOSE(CONTROL!$C$22, $C$13, 100%, $E$13)</f>
        <v>4.6763000000000003</v>
      </c>
      <c r="H190" s="64">
        <f>8.0122* CHOOSE(CONTROL!$C$22, $C$13, 100%, $E$13)</f>
        <v>8.0122</v>
      </c>
      <c r="I190" s="64">
        <f>8.0279 * CHOOSE(CONTROL!$C$22, $C$13, 100%, $E$13)</f>
        <v>8.0279000000000007</v>
      </c>
      <c r="J190" s="64">
        <f>4.6606 * CHOOSE(CONTROL!$C$22, $C$13, 100%, $E$13)</f>
        <v>4.6605999999999996</v>
      </c>
      <c r="K190" s="64">
        <f>4.6763 * CHOOSE(CONTROL!$C$22, $C$13, 100%, $E$13)</f>
        <v>4.6763000000000003</v>
      </c>
    </row>
    <row r="191" spans="1:11" ht="15">
      <c r="A191" s="13">
        <v>47300</v>
      </c>
      <c r="B191" s="63">
        <f>3.9341 * CHOOSE(CONTROL!$C$22, $C$13, 100%, $E$13)</f>
        <v>3.9340999999999999</v>
      </c>
      <c r="C191" s="63">
        <f>3.9341 * CHOOSE(CONTROL!$C$22, $C$13, 100%, $E$13)</f>
        <v>3.9340999999999999</v>
      </c>
      <c r="D191" s="63">
        <f>3.947 * CHOOSE(CONTROL!$C$22, $C$13, 100%, $E$13)</f>
        <v>3.9470000000000001</v>
      </c>
      <c r="E191" s="64">
        <f>4.7415 * CHOOSE(CONTROL!$C$22, $C$13, 100%, $E$13)</f>
        <v>4.7415000000000003</v>
      </c>
      <c r="F191" s="64">
        <f>4.7415 * CHOOSE(CONTROL!$C$22, $C$13, 100%, $E$13)</f>
        <v>4.7415000000000003</v>
      </c>
      <c r="G191" s="64">
        <f>4.7571 * CHOOSE(CONTROL!$C$22, $C$13, 100%, $E$13)</f>
        <v>4.7571000000000003</v>
      </c>
      <c r="H191" s="64">
        <f>8.0289* CHOOSE(CONTROL!$C$22, $C$13, 100%, $E$13)</f>
        <v>8.0289000000000001</v>
      </c>
      <c r="I191" s="64">
        <f>8.0446 * CHOOSE(CONTROL!$C$22, $C$13, 100%, $E$13)</f>
        <v>8.0446000000000009</v>
      </c>
      <c r="J191" s="64">
        <f>4.7415 * CHOOSE(CONTROL!$C$22, $C$13, 100%, $E$13)</f>
        <v>4.7415000000000003</v>
      </c>
      <c r="K191" s="64">
        <f>4.7571 * CHOOSE(CONTROL!$C$22, $C$13, 100%, $E$13)</f>
        <v>4.7571000000000003</v>
      </c>
    </row>
    <row r="192" spans="1:11" ht="15">
      <c r="A192" s="13">
        <v>47331</v>
      </c>
      <c r="B192" s="63">
        <f>3.9407 * CHOOSE(CONTROL!$C$22, $C$13, 100%, $E$13)</f>
        <v>3.9407000000000001</v>
      </c>
      <c r="C192" s="63">
        <f>3.9407 * CHOOSE(CONTROL!$C$22, $C$13, 100%, $E$13)</f>
        <v>3.9407000000000001</v>
      </c>
      <c r="D192" s="63">
        <f>3.9537 * CHOOSE(CONTROL!$C$22, $C$13, 100%, $E$13)</f>
        <v>3.9537</v>
      </c>
      <c r="E192" s="64">
        <f>4.676 * CHOOSE(CONTROL!$C$22, $C$13, 100%, $E$13)</f>
        <v>4.6760000000000002</v>
      </c>
      <c r="F192" s="64">
        <f>4.676 * CHOOSE(CONTROL!$C$22, $C$13, 100%, $E$13)</f>
        <v>4.6760000000000002</v>
      </c>
      <c r="G192" s="64">
        <f>4.6917 * CHOOSE(CONTROL!$C$22, $C$13, 100%, $E$13)</f>
        <v>4.6917</v>
      </c>
      <c r="H192" s="64">
        <f>8.0456* CHOOSE(CONTROL!$C$22, $C$13, 100%, $E$13)</f>
        <v>8.0456000000000003</v>
      </c>
      <c r="I192" s="64">
        <f>8.0613 * CHOOSE(CONTROL!$C$22, $C$13, 100%, $E$13)</f>
        <v>8.0612999999999992</v>
      </c>
      <c r="J192" s="64">
        <f>4.676 * CHOOSE(CONTROL!$C$22, $C$13, 100%, $E$13)</f>
        <v>4.6760000000000002</v>
      </c>
      <c r="K192" s="64">
        <f>4.6917 * CHOOSE(CONTROL!$C$22, $C$13, 100%, $E$13)</f>
        <v>4.6917</v>
      </c>
    </row>
    <row r="193" spans="1:11" ht="15">
      <c r="A193" s="13">
        <v>47362</v>
      </c>
      <c r="B193" s="63">
        <f>3.9377 * CHOOSE(CONTROL!$C$22, $C$13, 100%, $E$13)</f>
        <v>3.9377</v>
      </c>
      <c r="C193" s="63">
        <f>3.9377 * CHOOSE(CONTROL!$C$22, $C$13, 100%, $E$13)</f>
        <v>3.9377</v>
      </c>
      <c r="D193" s="63">
        <f>3.9507 * CHOOSE(CONTROL!$C$22, $C$13, 100%, $E$13)</f>
        <v>3.9506999999999999</v>
      </c>
      <c r="E193" s="64">
        <f>4.6661 * CHOOSE(CONTROL!$C$22, $C$13, 100%, $E$13)</f>
        <v>4.6661000000000001</v>
      </c>
      <c r="F193" s="64">
        <f>4.6661 * CHOOSE(CONTROL!$C$22, $C$13, 100%, $E$13)</f>
        <v>4.6661000000000001</v>
      </c>
      <c r="G193" s="64">
        <f>4.6818 * CHOOSE(CONTROL!$C$22, $C$13, 100%, $E$13)</f>
        <v>4.6818</v>
      </c>
      <c r="H193" s="64">
        <f>8.0624* CHOOSE(CONTROL!$C$22, $C$13, 100%, $E$13)</f>
        <v>8.0624000000000002</v>
      </c>
      <c r="I193" s="64">
        <f>8.0781 * CHOOSE(CONTROL!$C$22, $C$13, 100%, $E$13)</f>
        <v>8.0780999999999992</v>
      </c>
      <c r="J193" s="64">
        <f>4.6661 * CHOOSE(CONTROL!$C$22, $C$13, 100%, $E$13)</f>
        <v>4.6661000000000001</v>
      </c>
      <c r="K193" s="64">
        <f>4.6818 * CHOOSE(CONTROL!$C$22, $C$13, 100%, $E$13)</f>
        <v>4.6818</v>
      </c>
    </row>
    <row r="194" spans="1:11" ht="15">
      <c r="A194" s="13">
        <v>47392</v>
      </c>
      <c r="B194" s="63">
        <f>3.9325 * CHOOSE(CONTROL!$C$22, $C$13, 100%, $E$13)</f>
        <v>3.9325000000000001</v>
      </c>
      <c r="C194" s="63">
        <f>3.9325 * CHOOSE(CONTROL!$C$22, $C$13, 100%, $E$13)</f>
        <v>3.9325000000000001</v>
      </c>
      <c r="D194" s="63">
        <f>3.9325 * CHOOSE(CONTROL!$C$22, $C$13, 100%, $E$13)</f>
        <v>3.9325000000000001</v>
      </c>
      <c r="E194" s="64">
        <f>4.6838 * CHOOSE(CONTROL!$C$22, $C$13, 100%, $E$13)</f>
        <v>4.6837999999999997</v>
      </c>
      <c r="F194" s="64">
        <f>4.6838 * CHOOSE(CONTROL!$C$22, $C$13, 100%, $E$13)</f>
        <v>4.6837999999999997</v>
      </c>
      <c r="G194" s="64">
        <f>4.6839 * CHOOSE(CONTROL!$C$22, $C$13, 100%, $E$13)</f>
        <v>4.6839000000000004</v>
      </c>
      <c r="H194" s="64">
        <f>8.0792* CHOOSE(CONTROL!$C$22, $C$13, 100%, $E$13)</f>
        <v>8.0792000000000002</v>
      </c>
      <c r="I194" s="64">
        <f>8.0793 * CHOOSE(CONTROL!$C$22, $C$13, 100%, $E$13)</f>
        <v>8.0792999999999999</v>
      </c>
      <c r="J194" s="64">
        <f>4.6838 * CHOOSE(CONTROL!$C$22, $C$13, 100%, $E$13)</f>
        <v>4.6837999999999997</v>
      </c>
      <c r="K194" s="64">
        <f>4.6839 * CHOOSE(CONTROL!$C$22, $C$13, 100%, $E$13)</f>
        <v>4.6839000000000004</v>
      </c>
    </row>
    <row r="195" spans="1:11" ht="15">
      <c r="A195" s="13">
        <v>47423</v>
      </c>
      <c r="B195" s="63">
        <f>3.9355 * CHOOSE(CONTROL!$C$22, $C$13, 100%, $E$13)</f>
        <v>3.9355000000000002</v>
      </c>
      <c r="C195" s="63">
        <f>3.9355 * CHOOSE(CONTROL!$C$22, $C$13, 100%, $E$13)</f>
        <v>3.9355000000000002</v>
      </c>
      <c r="D195" s="63">
        <f>3.9355 * CHOOSE(CONTROL!$C$22, $C$13, 100%, $E$13)</f>
        <v>3.9355000000000002</v>
      </c>
      <c r="E195" s="64">
        <f>4.7015 * CHOOSE(CONTROL!$C$22, $C$13, 100%, $E$13)</f>
        <v>4.7015000000000002</v>
      </c>
      <c r="F195" s="64">
        <f>4.7015 * CHOOSE(CONTROL!$C$22, $C$13, 100%, $E$13)</f>
        <v>4.7015000000000002</v>
      </c>
      <c r="G195" s="64">
        <f>4.7016 * CHOOSE(CONTROL!$C$22, $C$13, 100%, $E$13)</f>
        <v>4.7016</v>
      </c>
      <c r="H195" s="64">
        <f>8.096* CHOOSE(CONTROL!$C$22, $C$13, 100%, $E$13)</f>
        <v>8.0960000000000001</v>
      </c>
      <c r="I195" s="64">
        <f>8.0961 * CHOOSE(CONTROL!$C$22, $C$13, 100%, $E$13)</f>
        <v>8.0960999999999999</v>
      </c>
      <c r="J195" s="64">
        <f>4.7015 * CHOOSE(CONTROL!$C$22, $C$13, 100%, $E$13)</f>
        <v>4.7015000000000002</v>
      </c>
      <c r="K195" s="64">
        <f>4.7016 * CHOOSE(CONTROL!$C$22, $C$13, 100%, $E$13)</f>
        <v>4.7016</v>
      </c>
    </row>
    <row r="196" spans="1:11" ht="15">
      <c r="A196" s="13">
        <v>47453</v>
      </c>
      <c r="B196" s="63">
        <f>3.9355 * CHOOSE(CONTROL!$C$22, $C$13, 100%, $E$13)</f>
        <v>3.9355000000000002</v>
      </c>
      <c r="C196" s="63">
        <f>3.9355 * CHOOSE(CONTROL!$C$22, $C$13, 100%, $E$13)</f>
        <v>3.9355000000000002</v>
      </c>
      <c r="D196" s="63">
        <f>3.9355 * CHOOSE(CONTROL!$C$22, $C$13, 100%, $E$13)</f>
        <v>3.9355000000000002</v>
      </c>
      <c r="E196" s="64">
        <f>4.6626 * CHOOSE(CONTROL!$C$22, $C$13, 100%, $E$13)</f>
        <v>4.6626000000000003</v>
      </c>
      <c r="F196" s="64">
        <f>4.6626 * CHOOSE(CONTROL!$C$22, $C$13, 100%, $E$13)</f>
        <v>4.6626000000000003</v>
      </c>
      <c r="G196" s="64">
        <f>4.6627 * CHOOSE(CONTROL!$C$22, $C$13, 100%, $E$13)</f>
        <v>4.6627000000000001</v>
      </c>
      <c r="H196" s="64">
        <f>8.1129* CHOOSE(CONTROL!$C$22, $C$13, 100%, $E$13)</f>
        <v>8.1128999999999998</v>
      </c>
      <c r="I196" s="64">
        <f>8.113 * CHOOSE(CONTROL!$C$22, $C$13, 100%, $E$13)</f>
        <v>8.1129999999999995</v>
      </c>
      <c r="J196" s="64">
        <f>4.6626 * CHOOSE(CONTROL!$C$22, $C$13, 100%, $E$13)</f>
        <v>4.6626000000000003</v>
      </c>
      <c r="K196" s="64">
        <f>4.6627 * CHOOSE(CONTROL!$C$22, $C$13, 100%, $E$13)</f>
        <v>4.6627000000000001</v>
      </c>
    </row>
    <row r="197" spans="1:11" ht="15">
      <c r="A197" s="13">
        <v>47484</v>
      </c>
      <c r="B197" s="63">
        <f>3.9695 * CHOOSE(CONTROL!$C$22, $C$13, 100%, $E$13)</f>
        <v>3.9695</v>
      </c>
      <c r="C197" s="63">
        <f>3.9695 * CHOOSE(CONTROL!$C$22, $C$13, 100%, $E$13)</f>
        <v>3.9695</v>
      </c>
      <c r="D197" s="63">
        <f>3.9695 * CHOOSE(CONTROL!$C$22, $C$13, 100%, $E$13)</f>
        <v>3.9695</v>
      </c>
      <c r="E197" s="64">
        <f>4.7284 * CHOOSE(CONTROL!$C$22, $C$13, 100%, $E$13)</f>
        <v>4.7283999999999997</v>
      </c>
      <c r="F197" s="64">
        <f>4.7284 * CHOOSE(CONTROL!$C$22, $C$13, 100%, $E$13)</f>
        <v>4.7283999999999997</v>
      </c>
      <c r="G197" s="64">
        <f>4.7285 * CHOOSE(CONTROL!$C$22, $C$13, 100%, $E$13)</f>
        <v>4.7285000000000004</v>
      </c>
      <c r="H197" s="64">
        <f>8.1298* CHOOSE(CONTROL!$C$22, $C$13, 100%, $E$13)</f>
        <v>8.1297999999999995</v>
      </c>
      <c r="I197" s="64">
        <f>8.1299 * CHOOSE(CONTROL!$C$22, $C$13, 100%, $E$13)</f>
        <v>8.1298999999999992</v>
      </c>
      <c r="J197" s="64">
        <f>4.7284 * CHOOSE(CONTROL!$C$22, $C$13, 100%, $E$13)</f>
        <v>4.7283999999999997</v>
      </c>
      <c r="K197" s="64">
        <f>4.7285 * CHOOSE(CONTROL!$C$22, $C$13, 100%, $E$13)</f>
        <v>4.7285000000000004</v>
      </c>
    </row>
    <row r="198" spans="1:11" ht="15">
      <c r="A198" s="13">
        <v>47515</v>
      </c>
      <c r="B198" s="63">
        <f>3.9664 * CHOOSE(CONTROL!$C$22, $C$13, 100%, $E$13)</f>
        <v>3.9664000000000001</v>
      </c>
      <c r="C198" s="63">
        <f>3.9664 * CHOOSE(CONTROL!$C$22, $C$13, 100%, $E$13)</f>
        <v>3.9664000000000001</v>
      </c>
      <c r="D198" s="63">
        <f>3.9665 * CHOOSE(CONTROL!$C$22, $C$13, 100%, $E$13)</f>
        <v>3.9664999999999999</v>
      </c>
      <c r="E198" s="64">
        <f>4.6508 * CHOOSE(CONTROL!$C$22, $C$13, 100%, $E$13)</f>
        <v>4.6508000000000003</v>
      </c>
      <c r="F198" s="64">
        <f>4.6508 * CHOOSE(CONTROL!$C$22, $C$13, 100%, $E$13)</f>
        <v>4.6508000000000003</v>
      </c>
      <c r="G198" s="64">
        <f>4.6509 * CHOOSE(CONTROL!$C$22, $C$13, 100%, $E$13)</f>
        <v>4.6509</v>
      </c>
      <c r="H198" s="64">
        <f>8.1467* CHOOSE(CONTROL!$C$22, $C$13, 100%, $E$13)</f>
        <v>8.1466999999999992</v>
      </c>
      <c r="I198" s="64">
        <f>8.1468 * CHOOSE(CONTROL!$C$22, $C$13, 100%, $E$13)</f>
        <v>8.1468000000000007</v>
      </c>
      <c r="J198" s="64">
        <f>4.6508 * CHOOSE(CONTROL!$C$22, $C$13, 100%, $E$13)</f>
        <v>4.6508000000000003</v>
      </c>
      <c r="K198" s="64">
        <f>4.6509 * CHOOSE(CONTROL!$C$22, $C$13, 100%, $E$13)</f>
        <v>4.6509</v>
      </c>
    </row>
    <row r="199" spans="1:11" ht="15">
      <c r="A199" s="13">
        <v>47543</v>
      </c>
      <c r="B199" s="63">
        <f>3.9634 * CHOOSE(CONTROL!$C$22, $C$13, 100%, $E$13)</f>
        <v>3.9634</v>
      </c>
      <c r="C199" s="63">
        <f>3.9634 * CHOOSE(CONTROL!$C$22, $C$13, 100%, $E$13)</f>
        <v>3.9634</v>
      </c>
      <c r="D199" s="63">
        <f>3.9634 * CHOOSE(CONTROL!$C$22, $C$13, 100%, $E$13)</f>
        <v>3.9634</v>
      </c>
      <c r="E199" s="64">
        <f>4.7082 * CHOOSE(CONTROL!$C$22, $C$13, 100%, $E$13)</f>
        <v>4.7081999999999997</v>
      </c>
      <c r="F199" s="64">
        <f>4.7082 * CHOOSE(CONTROL!$C$22, $C$13, 100%, $E$13)</f>
        <v>4.7081999999999997</v>
      </c>
      <c r="G199" s="64">
        <f>4.7083 * CHOOSE(CONTROL!$C$22, $C$13, 100%, $E$13)</f>
        <v>4.7083000000000004</v>
      </c>
      <c r="H199" s="64">
        <f>8.1637* CHOOSE(CONTROL!$C$22, $C$13, 100%, $E$13)</f>
        <v>8.1637000000000004</v>
      </c>
      <c r="I199" s="64">
        <f>8.1638 * CHOOSE(CONTROL!$C$22, $C$13, 100%, $E$13)</f>
        <v>8.1638000000000002</v>
      </c>
      <c r="J199" s="64">
        <f>4.7082 * CHOOSE(CONTROL!$C$22, $C$13, 100%, $E$13)</f>
        <v>4.7081999999999997</v>
      </c>
      <c r="K199" s="64">
        <f>4.7083 * CHOOSE(CONTROL!$C$22, $C$13, 100%, $E$13)</f>
        <v>4.7083000000000004</v>
      </c>
    </row>
    <row r="200" spans="1:11" ht="15">
      <c r="A200" s="13">
        <v>47574</v>
      </c>
      <c r="B200" s="63">
        <f>3.961 * CHOOSE(CONTROL!$C$22, $C$13, 100%, $E$13)</f>
        <v>3.9609999999999999</v>
      </c>
      <c r="C200" s="63">
        <f>3.961 * CHOOSE(CONTROL!$C$22, $C$13, 100%, $E$13)</f>
        <v>3.9609999999999999</v>
      </c>
      <c r="D200" s="63">
        <f>3.961 * CHOOSE(CONTROL!$C$22, $C$13, 100%, $E$13)</f>
        <v>3.9609999999999999</v>
      </c>
      <c r="E200" s="64">
        <f>4.7679 * CHOOSE(CONTROL!$C$22, $C$13, 100%, $E$13)</f>
        <v>4.7679</v>
      </c>
      <c r="F200" s="64">
        <f>4.7679 * CHOOSE(CONTROL!$C$22, $C$13, 100%, $E$13)</f>
        <v>4.7679</v>
      </c>
      <c r="G200" s="64">
        <f>4.768 * CHOOSE(CONTROL!$C$22, $C$13, 100%, $E$13)</f>
        <v>4.7679999999999998</v>
      </c>
      <c r="H200" s="64">
        <f>8.1807* CHOOSE(CONTROL!$C$22, $C$13, 100%, $E$13)</f>
        <v>8.1806999999999999</v>
      </c>
      <c r="I200" s="64">
        <f>8.1808 * CHOOSE(CONTROL!$C$22, $C$13, 100%, $E$13)</f>
        <v>8.1807999999999996</v>
      </c>
      <c r="J200" s="64">
        <f>4.7679 * CHOOSE(CONTROL!$C$22, $C$13, 100%, $E$13)</f>
        <v>4.7679</v>
      </c>
      <c r="K200" s="64">
        <f>4.768 * CHOOSE(CONTROL!$C$22, $C$13, 100%, $E$13)</f>
        <v>4.7679999999999998</v>
      </c>
    </row>
    <row r="201" spans="1:11" ht="15">
      <c r="A201" s="13">
        <v>47604</v>
      </c>
      <c r="B201" s="63">
        <f>3.961 * CHOOSE(CONTROL!$C$22, $C$13, 100%, $E$13)</f>
        <v>3.9609999999999999</v>
      </c>
      <c r="C201" s="63">
        <f>3.961 * CHOOSE(CONTROL!$C$22, $C$13, 100%, $E$13)</f>
        <v>3.9609999999999999</v>
      </c>
      <c r="D201" s="63">
        <f>3.974 * CHOOSE(CONTROL!$C$22, $C$13, 100%, $E$13)</f>
        <v>3.9740000000000002</v>
      </c>
      <c r="E201" s="64">
        <f>4.7918 * CHOOSE(CONTROL!$C$22, $C$13, 100%, $E$13)</f>
        <v>4.7918000000000003</v>
      </c>
      <c r="F201" s="64">
        <f>4.7918 * CHOOSE(CONTROL!$C$22, $C$13, 100%, $E$13)</f>
        <v>4.7918000000000003</v>
      </c>
      <c r="G201" s="64">
        <f>4.8075 * CHOOSE(CONTROL!$C$22, $C$13, 100%, $E$13)</f>
        <v>4.8075000000000001</v>
      </c>
      <c r="H201" s="64">
        <f>8.1977* CHOOSE(CONTROL!$C$22, $C$13, 100%, $E$13)</f>
        <v>8.1976999999999993</v>
      </c>
      <c r="I201" s="64">
        <f>8.2134 * CHOOSE(CONTROL!$C$22, $C$13, 100%, $E$13)</f>
        <v>8.2134</v>
      </c>
      <c r="J201" s="64">
        <f>4.7918 * CHOOSE(CONTROL!$C$22, $C$13, 100%, $E$13)</f>
        <v>4.7918000000000003</v>
      </c>
      <c r="K201" s="64">
        <f>4.8075 * CHOOSE(CONTROL!$C$22, $C$13, 100%, $E$13)</f>
        <v>4.8075000000000001</v>
      </c>
    </row>
    <row r="202" spans="1:11" ht="15">
      <c r="A202" s="13">
        <v>47635</v>
      </c>
      <c r="B202" s="63">
        <f>3.9671 * CHOOSE(CONTROL!$C$22, $C$13, 100%, $E$13)</f>
        <v>3.9670999999999998</v>
      </c>
      <c r="C202" s="63">
        <f>3.9671 * CHOOSE(CONTROL!$C$22, $C$13, 100%, $E$13)</f>
        <v>3.9670999999999998</v>
      </c>
      <c r="D202" s="63">
        <f>3.9801 * CHOOSE(CONTROL!$C$22, $C$13, 100%, $E$13)</f>
        <v>3.9801000000000002</v>
      </c>
      <c r="E202" s="64">
        <f>4.7721 * CHOOSE(CONTROL!$C$22, $C$13, 100%, $E$13)</f>
        <v>4.7721</v>
      </c>
      <c r="F202" s="64">
        <f>4.7721 * CHOOSE(CONTROL!$C$22, $C$13, 100%, $E$13)</f>
        <v>4.7721</v>
      </c>
      <c r="G202" s="64">
        <f>4.7878 * CHOOSE(CONTROL!$C$22, $C$13, 100%, $E$13)</f>
        <v>4.7877999999999998</v>
      </c>
      <c r="H202" s="64">
        <f>8.2148* CHOOSE(CONTROL!$C$22, $C$13, 100%, $E$13)</f>
        <v>8.2148000000000003</v>
      </c>
      <c r="I202" s="64">
        <f>8.2305 * CHOOSE(CONTROL!$C$22, $C$13, 100%, $E$13)</f>
        <v>8.2304999999999993</v>
      </c>
      <c r="J202" s="64">
        <f>4.7721 * CHOOSE(CONTROL!$C$22, $C$13, 100%, $E$13)</f>
        <v>4.7721</v>
      </c>
      <c r="K202" s="64">
        <f>4.7878 * CHOOSE(CONTROL!$C$22, $C$13, 100%, $E$13)</f>
        <v>4.7877999999999998</v>
      </c>
    </row>
    <row r="203" spans="1:11" ht="15">
      <c r="A203" s="13">
        <v>47665</v>
      </c>
      <c r="B203" s="63">
        <f>4.0298 * CHOOSE(CONTROL!$C$22, $C$13, 100%, $E$13)</f>
        <v>4.0297999999999998</v>
      </c>
      <c r="C203" s="63">
        <f>4.0298 * CHOOSE(CONTROL!$C$22, $C$13, 100%, $E$13)</f>
        <v>4.0297999999999998</v>
      </c>
      <c r="D203" s="63">
        <f>4.0428 * CHOOSE(CONTROL!$C$22, $C$13, 100%, $E$13)</f>
        <v>4.0427999999999997</v>
      </c>
      <c r="E203" s="64">
        <f>4.8562 * CHOOSE(CONTROL!$C$22, $C$13, 100%, $E$13)</f>
        <v>4.8562000000000003</v>
      </c>
      <c r="F203" s="64">
        <f>4.8562 * CHOOSE(CONTROL!$C$22, $C$13, 100%, $E$13)</f>
        <v>4.8562000000000003</v>
      </c>
      <c r="G203" s="64">
        <f>4.8719 * CHOOSE(CONTROL!$C$22, $C$13, 100%, $E$13)</f>
        <v>4.8719000000000001</v>
      </c>
      <c r="H203" s="64">
        <f>8.2319* CHOOSE(CONTROL!$C$22, $C$13, 100%, $E$13)</f>
        <v>8.2318999999999996</v>
      </c>
      <c r="I203" s="64">
        <f>8.2476 * CHOOSE(CONTROL!$C$22, $C$13, 100%, $E$13)</f>
        <v>8.2476000000000003</v>
      </c>
      <c r="J203" s="64">
        <f>4.8562 * CHOOSE(CONTROL!$C$22, $C$13, 100%, $E$13)</f>
        <v>4.8562000000000003</v>
      </c>
      <c r="K203" s="64">
        <f>4.8719 * CHOOSE(CONTROL!$C$22, $C$13, 100%, $E$13)</f>
        <v>4.8719000000000001</v>
      </c>
    </row>
    <row r="204" spans="1:11" ht="15">
      <c r="A204" s="13">
        <v>47696</v>
      </c>
      <c r="B204" s="63">
        <f>4.0365 * CHOOSE(CONTROL!$C$22, $C$13, 100%, $E$13)</f>
        <v>4.0365000000000002</v>
      </c>
      <c r="C204" s="63">
        <f>4.0365 * CHOOSE(CONTROL!$C$22, $C$13, 100%, $E$13)</f>
        <v>4.0365000000000002</v>
      </c>
      <c r="D204" s="63">
        <f>4.0494 * CHOOSE(CONTROL!$C$22, $C$13, 100%, $E$13)</f>
        <v>4.0494000000000003</v>
      </c>
      <c r="E204" s="64">
        <f>4.7889 * CHOOSE(CONTROL!$C$22, $C$13, 100%, $E$13)</f>
        <v>4.7888999999999999</v>
      </c>
      <c r="F204" s="64">
        <f>4.7889 * CHOOSE(CONTROL!$C$22, $C$13, 100%, $E$13)</f>
        <v>4.7888999999999999</v>
      </c>
      <c r="G204" s="64">
        <f>4.8046 * CHOOSE(CONTROL!$C$22, $C$13, 100%, $E$13)</f>
        <v>4.8045999999999998</v>
      </c>
      <c r="H204" s="64">
        <f>8.2491* CHOOSE(CONTROL!$C$22, $C$13, 100%, $E$13)</f>
        <v>8.2491000000000003</v>
      </c>
      <c r="I204" s="64">
        <f>8.2648 * CHOOSE(CONTROL!$C$22, $C$13, 100%, $E$13)</f>
        <v>8.2647999999999993</v>
      </c>
      <c r="J204" s="64">
        <f>4.7889 * CHOOSE(CONTROL!$C$22, $C$13, 100%, $E$13)</f>
        <v>4.7888999999999999</v>
      </c>
      <c r="K204" s="64">
        <f>4.8046 * CHOOSE(CONTROL!$C$22, $C$13, 100%, $E$13)</f>
        <v>4.8045999999999998</v>
      </c>
    </row>
    <row r="205" spans="1:11" ht="15">
      <c r="A205" s="13">
        <v>47727</v>
      </c>
      <c r="B205" s="63">
        <f>4.0334 * CHOOSE(CONTROL!$C$22, $C$13, 100%, $E$13)</f>
        <v>4.0334000000000003</v>
      </c>
      <c r="C205" s="63">
        <f>4.0334 * CHOOSE(CONTROL!$C$22, $C$13, 100%, $E$13)</f>
        <v>4.0334000000000003</v>
      </c>
      <c r="D205" s="63">
        <f>4.0464 * CHOOSE(CONTROL!$C$22, $C$13, 100%, $E$13)</f>
        <v>4.0464000000000002</v>
      </c>
      <c r="E205" s="64">
        <f>4.7788 * CHOOSE(CONTROL!$C$22, $C$13, 100%, $E$13)</f>
        <v>4.7788000000000004</v>
      </c>
      <c r="F205" s="64">
        <f>4.7788 * CHOOSE(CONTROL!$C$22, $C$13, 100%, $E$13)</f>
        <v>4.7788000000000004</v>
      </c>
      <c r="G205" s="64">
        <f>4.7945 * CHOOSE(CONTROL!$C$22, $C$13, 100%, $E$13)</f>
        <v>4.7945000000000002</v>
      </c>
      <c r="H205" s="64">
        <f>8.2663* CHOOSE(CONTROL!$C$22, $C$13, 100%, $E$13)</f>
        <v>8.2662999999999993</v>
      </c>
      <c r="I205" s="64">
        <f>8.2819 * CHOOSE(CONTROL!$C$22, $C$13, 100%, $E$13)</f>
        <v>8.2819000000000003</v>
      </c>
      <c r="J205" s="64">
        <f>4.7788 * CHOOSE(CONTROL!$C$22, $C$13, 100%, $E$13)</f>
        <v>4.7788000000000004</v>
      </c>
      <c r="K205" s="64">
        <f>4.7945 * CHOOSE(CONTROL!$C$22, $C$13, 100%, $E$13)</f>
        <v>4.7945000000000002</v>
      </c>
    </row>
    <row r="206" spans="1:11" ht="15">
      <c r="A206" s="13">
        <v>47757</v>
      </c>
      <c r="B206" s="63">
        <f>4.0286 * CHOOSE(CONTROL!$C$22, $C$13, 100%, $E$13)</f>
        <v>4.0286</v>
      </c>
      <c r="C206" s="63">
        <f>4.0286 * CHOOSE(CONTROL!$C$22, $C$13, 100%, $E$13)</f>
        <v>4.0286</v>
      </c>
      <c r="D206" s="63">
        <f>4.0286 * CHOOSE(CONTROL!$C$22, $C$13, 100%, $E$13)</f>
        <v>4.0286</v>
      </c>
      <c r="E206" s="64">
        <f>4.7974 * CHOOSE(CONTROL!$C$22, $C$13, 100%, $E$13)</f>
        <v>4.7973999999999997</v>
      </c>
      <c r="F206" s="64">
        <f>4.7974 * CHOOSE(CONTROL!$C$22, $C$13, 100%, $E$13)</f>
        <v>4.7973999999999997</v>
      </c>
      <c r="G206" s="64">
        <f>4.7974 * CHOOSE(CONTROL!$C$22, $C$13, 100%, $E$13)</f>
        <v>4.7973999999999997</v>
      </c>
      <c r="H206" s="64">
        <f>8.2835* CHOOSE(CONTROL!$C$22, $C$13, 100%, $E$13)</f>
        <v>8.2835000000000001</v>
      </c>
      <c r="I206" s="64">
        <f>8.2836 * CHOOSE(CONTROL!$C$22, $C$13, 100%, $E$13)</f>
        <v>8.2835999999999999</v>
      </c>
      <c r="J206" s="64">
        <f>4.7974 * CHOOSE(CONTROL!$C$22, $C$13, 100%, $E$13)</f>
        <v>4.7973999999999997</v>
      </c>
      <c r="K206" s="64">
        <f>4.7974 * CHOOSE(CONTROL!$C$22, $C$13, 100%, $E$13)</f>
        <v>4.7973999999999997</v>
      </c>
    </row>
    <row r="207" spans="1:11" ht="15">
      <c r="A207" s="13">
        <v>47788</v>
      </c>
      <c r="B207" s="63">
        <f>4.0316 * CHOOSE(CONTROL!$C$22, $C$13, 100%, $E$13)</f>
        <v>4.0316000000000001</v>
      </c>
      <c r="C207" s="63">
        <f>4.0316 * CHOOSE(CONTROL!$C$22, $C$13, 100%, $E$13)</f>
        <v>4.0316000000000001</v>
      </c>
      <c r="D207" s="63">
        <f>4.0316 * CHOOSE(CONTROL!$C$22, $C$13, 100%, $E$13)</f>
        <v>4.0316000000000001</v>
      </c>
      <c r="E207" s="64">
        <f>4.8155 * CHOOSE(CONTROL!$C$22, $C$13, 100%, $E$13)</f>
        <v>4.8155000000000001</v>
      </c>
      <c r="F207" s="64">
        <f>4.8155 * CHOOSE(CONTROL!$C$22, $C$13, 100%, $E$13)</f>
        <v>4.8155000000000001</v>
      </c>
      <c r="G207" s="64">
        <f>4.8155 * CHOOSE(CONTROL!$C$22, $C$13, 100%, $E$13)</f>
        <v>4.8155000000000001</v>
      </c>
      <c r="H207" s="64">
        <f>8.3007* CHOOSE(CONTROL!$C$22, $C$13, 100%, $E$13)</f>
        <v>8.3007000000000009</v>
      </c>
      <c r="I207" s="64">
        <f>8.3008 * CHOOSE(CONTROL!$C$22, $C$13, 100%, $E$13)</f>
        <v>8.3008000000000006</v>
      </c>
      <c r="J207" s="64">
        <f>4.8155 * CHOOSE(CONTROL!$C$22, $C$13, 100%, $E$13)</f>
        <v>4.8155000000000001</v>
      </c>
      <c r="K207" s="64">
        <f>4.8155 * CHOOSE(CONTROL!$C$22, $C$13, 100%, $E$13)</f>
        <v>4.8155000000000001</v>
      </c>
    </row>
    <row r="208" spans="1:11" ht="15">
      <c r="A208" s="13">
        <v>47818</v>
      </c>
      <c r="B208" s="63">
        <f>4.0316 * CHOOSE(CONTROL!$C$22, $C$13, 100%, $E$13)</f>
        <v>4.0316000000000001</v>
      </c>
      <c r="C208" s="63">
        <f>4.0316 * CHOOSE(CONTROL!$C$22, $C$13, 100%, $E$13)</f>
        <v>4.0316000000000001</v>
      </c>
      <c r="D208" s="63">
        <f>4.0316 * CHOOSE(CONTROL!$C$22, $C$13, 100%, $E$13)</f>
        <v>4.0316000000000001</v>
      </c>
      <c r="E208" s="64">
        <f>4.7755 * CHOOSE(CONTROL!$C$22, $C$13, 100%, $E$13)</f>
        <v>4.7755000000000001</v>
      </c>
      <c r="F208" s="64">
        <f>4.7755 * CHOOSE(CONTROL!$C$22, $C$13, 100%, $E$13)</f>
        <v>4.7755000000000001</v>
      </c>
      <c r="G208" s="64">
        <f>4.7756 * CHOOSE(CONTROL!$C$22, $C$13, 100%, $E$13)</f>
        <v>4.7755999999999998</v>
      </c>
      <c r="H208" s="64">
        <f>8.318* CHOOSE(CONTROL!$C$22, $C$13, 100%, $E$13)</f>
        <v>8.3179999999999996</v>
      </c>
      <c r="I208" s="64">
        <f>8.3181 * CHOOSE(CONTROL!$C$22, $C$13, 100%, $E$13)</f>
        <v>8.3180999999999994</v>
      </c>
      <c r="J208" s="64">
        <f>4.7755 * CHOOSE(CONTROL!$C$22, $C$13, 100%, $E$13)</f>
        <v>4.7755000000000001</v>
      </c>
      <c r="K208" s="64">
        <f>4.7756 * CHOOSE(CONTROL!$C$22, $C$13, 100%, $E$13)</f>
        <v>4.7755999999999998</v>
      </c>
    </row>
    <row r="209" spans="1:11" ht="15">
      <c r="A209" s="13">
        <v>47849</v>
      </c>
      <c r="B209" s="63">
        <f>4.065 * CHOOSE(CONTROL!$C$22, $C$13, 100%, $E$13)</f>
        <v>4.0650000000000004</v>
      </c>
      <c r="C209" s="63">
        <f>4.065 * CHOOSE(CONTROL!$C$22, $C$13, 100%, $E$13)</f>
        <v>4.0650000000000004</v>
      </c>
      <c r="D209" s="63">
        <f>4.065 * CHOOSE(CONTROL!$C$22, $C$13, 100%, $E$13)</f>
        <v>4.0650000000000004</v>
      </c>
      <c r="E209" s="64">
        <f>4.8568 * CHOOSE(CONTROL!$C$22, $C$13, 100%, $E$13)</f>
        <v>4.8567999999999998</v>
      </c>
      <c r="F209" s="64">
        <f>4.8568 * CHOOSE(CONTROL!$C$22, $C$13, 100%, $E$13)</f>
        <v>4.8567999999999998</v>
      </c>
      <c r="G209" s="64">
        <f>4.8569 * CHOOSE(CONTROL!$C$22, $C$13, 100%, $E$13)</f>
        <v>4.8569000000000004</v>
      </c>
      <c r="H209" s="64">
        <f>8.3354* CHOOSE(CONTROL!$C$22, $C$13, 100%, $E$13)</f>
        <v>8.3353999999999999</v>
      </c>
      <c r="I209" s="64">
        <f>8.3354 * CHOOSE(CONTROL!$C$22, $C$13, 100%, $E$13)</f>
        <v>8.3353999999999999</v>
      </c>
      <c r="J209" s="64">
        <f>4.8568 * CHOOSE(CONTROL!$C$22, $C$13, 100%, $E$13)</f>
        <v>4.8567999999999998</v>
      </c>
      <c r="K209" s="64">
        <f>4.8569 * CHOOSE(CONTROL!$C$22, $C$13, 100%, $E$13)</f>
        <v>4.8569000000000004</v>
      </c>
    </row>
    <row r="210" spans="1:11" ht="15">
      <c r="A210" s="13">
        <v>47880</v>
      </c>
      <c r="B210" s="63">
        <f>4.062 * CHOOSE(CONTROL!$C$22, $C$13, 100%, $E$13)</f>
        <v>4.0620000000000003</v>
      </c>
      <c r="C210" s="63">
        <f>4.062 * CHOOSE(CONTROL!$C$22, $C$13, 100%, $E$13)</f>
        <v>4.0620000000000003</v>
      </c>
      <c r="D210" s="63">
        <f>4.062 * CHOOSE(CONTROL!$C$22, $C$13, 100%, $E$13)</f>
        <v>4.0620000000000003</v>
      </c>
      <c r="E210" s="64">
        <f>4.7772 * CHOOSE(CONTROL!$C$22, $C$13, 100%, $E$13)</f>
        <v>4.7771999999999997</v>
      </c>
      <c r="F210" s="64">
        <f>4.7772 * CHOOSE(CONTROL!$C$22, $C$13, 100%, $E$13)</f>
        <v>4.7771999999999997</v>
      </c>
      <c r="G210" s="64">
        <f>4.7773 * CHOOSE(CONTROL!$C$22, $C$13, 100%, $E$13)</f>
        <v>4.7773000000000003</v>
      </c>
      <c r="H210" s="64">
        <f>8.3527* CHOOSE(CONTROL!$C$22, $C$13, 100%, $E$13)</f>
        <v>8.3527000000000005</v>
      </c>
      <c r="I210" s="64">
        <f>8.3528 * CHOOSE(CONTROL!$C$22, $C$13, 100%, $E$13)</f>
        <v>8.3528000000000002</v>
      </c>
      <c r="J210" s="64">
        <f>4.7772 * CHOOSE(CONTROL!$C$22, $C$13, 100%, $E$13)</f>
        <v>4.7771999999999997</v>
      </c>
      <c r="K210" s="64">
        <f>4.7773 * CHOOSE(CONTROL!$C$22, $C$13, 100%, $E$13)</f>
        <v>4.7773000000000003</v>
      </c>
    </row>
    <row r="211" spans="1:11" ht="15">
      <c r="A211" s="13">
        <v>47908</v>
      </c>
      <c r="B211" s="63">
        <f>4.059 * CHOOSE(CONTROL!$C$22, $C$13, 100%, $E$13)</f>
        <v>4.0590000000000002</v>
      </c>
      <c r="C211" s="63">
        <f>4.059 * CHOOSE(CONTROL!$C$22, $C$13, 100%, $E$13)</f>
        <v>4.0590000000000002</v>
      </c>
      <c r="D211" s="63">
        <f>4.059 * CHOOSE(CONTROL!$C$22, $C$13, 100%, $E$13)</f>
        <v>4.0590000000000002</v>
      </c>
      <c r="E211" s="64">
        <f>4.8362 * CHOOSE(CONTROL!$C$22, $C$13, 100%, $E$13)</f>
        <v>4.8361999999999998</v>
      </c>
      <c r="F211" s="64">
        <f>4.8362 * CHOOSE(CONTROL!$C$22, $C$13, 100%, $E$13)</f>
        <v>4.8361999999999998</v>
      </c>
      <c r="G211" s="64">
        <f>4.8362 * CHOOSE(CONTROL!$C$22, $C$13, 100%, $E$13)</f>
        <v>4.8361999999999998</v>
      </c>
      <c r="H211" s="64">
        <f>8.3701* CHOOSE(CONTROL!$C$22, $C$13, 100%, $E$13)</f>
        <v>8.3701000000000008</v>
      </c>
      <c r="I211" s="64">
        <f>8.3702 * CHOOSE(CONTROL!$C$22, $C$13, 100%, $E$13)</f>
        <v>8.3702000000000005</v>
      </c>
      <c r="J211" s="64">
        <f>4.8362 * CHOOSE(CONTROL!$C$22, $C$13, 100%, $E$13)</f>
        <v>4.8361999999999998</v>
      </c>
      <c r="K211" s="64">
        <f>4.8362 * CHOOSE(CONTROL!$C$22, $C$13, 100%, $E$13)</f>
        <v>4.8361999999999998</v>
      </c>
    </row>
    <row r="212" spans="1:11" ht="15">
      <c r="A212" s="13">
        <v>47939</v>
      </c>
      <c r="B212" s="63">
        <f>4.0567 * CHOOSE(CONTROL!$C$22, $C$13, 100%, $E$13)</f>
        <v>4.0567000000000002</v>
      </c>
      <c r="C212" s="63">
        <f>4.0567 * CHOOSE(CONTROL!$C$22, $C$13, 100%, $E$13)</f>
        <v>4.0567000000000002</v>
      </c>
      <c r="D212" s="63">
        <f>4.0567 * CHOOSE(CONTROL!$C$22, $C$13, 100%, $E$13)</f>
        <v>4.0567000000000002</v>
      </c>
      <c r="E212" s="64">
        <f>4.8975 * CHOOSE(CONTROL!$C$22, $C$13, 100%, $E$13)</f>
        <v>4.8975</v>
      </c>
      <c r="F212" s="64">
        <f>4.8975 * CHOOSE(CONTROL!$C$22, $C$13, 100%, $E$13)</f>
        <v>4.8975</v>
      </c>
      <c r="G212" s="64">
        <f>4.8976 * CHOOSE(CONTROL!$C$22, $C$13, 100%, $E$13)</f>
        <v>4.8975999999999997</v>
      </c>
      <c r="H212" s="64">
        <f>8.3876* CHOOSE(CONTROL!$C$22, $C$13, 100%, $E$13)</f>
        <v>8.3876000000000008</v>
      </c>
      <c r="I212" s="64">
        <f>8.3876 * CHOOSE(CONTROL!$C$22, $C$13, 100%, $E$13)</f>
        <v>8.3876000000000008</v>
      </c>
      <c r="J212" s="64">
        <f>4.8975 * CHOOSE(CONTROL!$C$22, $C$13, 100%, $E$13)</f>
        <v>4.8975</v>
      </c>
      <c r="K212" s="64">
        <f>4.8976 * CHOOSE(CONTROL!$C$22, $C$13, 100%, $E$13)</f>
        <v>4.8975999999999997</v>
      </c>
    </row>
    <row r="213" spans="1:11" ht="15">
      <c r="A213" s="13">
        <v>47969</v>
      </c>
      <c r="B213" s="63">
        <f>4.0567 * CHOOSE(CONTROL!$C$22, $C$13, 100%, $E$13)</f>
        <v>4.0567000000000002</v>
      </c>
      <c r="C213" s="63">
        <f>4.0567 * CHOOSE(CONTROL!$C$22, $C$13, 100%, $E$13)</f>
        <v>4.0567000000000002</v>
      </c>
      <c r="D213" s="63">
        <f>4.0696 * CHOOSE(CONTROL!$C$22, $C$13, 100%, $E$13)</f>
        <v>4.0696000000000003</v>
      </c>
      <c r="E213" s="64">
        <f>4.9221 * CHOOSE(CONTROL!$C$22, $C$13, 100%, $E$13)</f>
        <v>4.9221000000000004</v>
      </c>
      <c r="F213" s="64">
        <f>4.9221 * CHOOSE(CONTROL!$C$22, $C$13, 100%, $E$13)</f>
        <v>4.9221000000000004</v>
      </c>
      <c r="G213" s="64">
        <f>4.9377 * CHOOSE(CONTROL!$C$22, $C$13, 100%, $E$13)</f>
        <v>4.9377000000000004</v>
      </c>
      <c r="H213" s="64">
        <f>8.405* CHOOSE(CONTROL!$C$22, $C$13, 100%, $E$13)</f>
        <v>8.4049999999999994</v>
      </c>
      <c r="I213" s="64">
        <f>8.4207 * CHOOSE(CONTROL!$C$22, $C$13, 100%, $E$13)</f>
        <v>8.4207000000000001</v>
      </c>
      <c r="J213" s="64">
        <f>4.9221 * CHOOSE(CONTROL!$C$22, $C$13, 100%, $E$13)</f>
        <v>4.9221000000000004</v>
      </c>
      <c r="K213" s="64">
        <f>4.9377 * CHOOSE(CONTROL!$C$22, $C$13, 100%, $E$13)</f>
        <v>4.9377000000000004</v>
      </c>
    </row>
    <row r="214" spans="1:11" ht="15">
      <c r="A214" s="13">
        <v>48000</v>
      </c>
      <c r="B214" s="63">
        <f>4.0627 * CHOOSE(CONTROL!$C$22, $C$13, 100%, $E$13)</f>
        <v>4.0627000000000004</v>
      </c>
      <c r="C214" s="63">
        <f>4.0627 * CHOOSE(CONTROL!$C$22, $C$13, 100%, $E$13)</f>
        <v>4.0627000000000004</v>
      </c>
      <c r="D214" s="63">
        <f>4.0757 * CHOOSE(CONTROL!$C$22, $C$13, 100%, $E$13)</f>
        <v>4.0757000000000003</v>
      </c>
      <c r="E214" s="64">
        <f>4.9017 * CHOOSE(CONTROL!$C$22, $C$13, 100%, $E$13)</f>
        <v>4.9016999999999999</v>
      </c>
      <c r="F214" s="64">
        <f>4.9017 * CHOOSE(CONTROL!$C$22, $C$13, 100%, $E$13)</f>
        <v>4.9016999999999999</v>
      </c>
      <c r="G214" s="64">
        <f>4.9174 * CHOOSE(CONTROL!$C$22, $C$13, 100%, $E$13)</f>
        <v>4.9173999999999998</v>
      </c>
      <c r="H214" s="64">
        <f>8.4226* CHOOSE(CONTROL!$C$22, $C$13, 100%, $E$13)</f>
        <v>8.4225999999999992</v>
      </c>
      <c r="I214" s="64">
        <f>8.4382 * CHOOSE(CONTROL!$C$22, $C$13, 100%, $E$13)</f>
        <v>8.4382000000000001</v>
      </c>
      <c r="J214" s="64">
        <f>4.9017 * CHOOSE(CONTROL!$C$22, $C$13, 100%, $E$13)</f>
        <v>4.9016999999999999</v>
      </c>
      <c r="K214" s="64">
        <f>4.9174 * CHOOSE(CONTROL!$C$22, $C$13, 100%, $E$13)</f>
        <v>4.9173999999999998</v>
      </c>
    </row>
    <row r="215" spans="1:11" ht="15">
      <c r="A215" s="13">
        <v>48030</v>
      </c>
      <c r="B215" s="63">
        <f>4.1241 * CHOOSE(CONTROL!$C$22, $C$13, 100%, $E$13)</f>
        <v>4.1241000000000003</v>
      </c>
      <c r="C215" s="63">
        <f>4.1241 * CHOOSE(CONTROL!$C$22, $C$13, 100%, $E$13)</f>
        <v>4.1241000000000003</v>
      </c>
      <c r="D215" s="63">
        <f>4.1371 * CHOOSE(CONTROL!$C$22, $C$13, 100%, $E$13)</f>
        <v>4.1371000000000002</v>
      </c>
      <c r="E215" s="64">
        <f>5.0209 * CHOOSE(CONTROL!$C$22, $C$13, 100%, $E$13)</f>
        <v>5.0209000000000001</v>
      </c>
      <c r="F215" s="64">
        <f>5.0209 * CHOOSE(CONTROL!$C$22, $C$13, 100%, $E$13)</f>
        <v>5.0209000000000001</v>
      </c>
      <c r="G215" s="64">
        <f>5.0366 * CHOOSE(CONTROL!$C$22, $C$13, 100%, $E$13)</f>
        <v>5.0366</v>
      </c>
      <c r="H215" s="64">
        <f>8.4401* CHOOSE(CONTROL!$C$22, $C$13, 100%, $E$13)</f>
        <v>8.4400999999999993</v>
      </c>
      <c r="I215" s="64">
        <f>8.4558 * CHOOSE(CONTROL!$C$22, $C$13, 100%, $E$13)</f>
        <v>8.4558</v>
      </c>
      <c r="J215" s="64">
        <f>5.0209 * CHOOSE(CONTROL!$C$22, $C$13, 100%, $E$13)</f>
        <v>5.0209000000000001</v>
      </c>
      <c r="K215" s="64">
        <f>5.0366 * CHOOSE(CONTROL!$C$22, $C$13, 100%, $E$13)</f>
        <v>5.0366</v>
      </c>
    </row>
    <row r="216" spans="1:11" ht="15">
      <c r="A216" s="13">
        <v>48061</v>
      </c>
      <c r="B216" s="63">
        <f>4.1308 * CHOOSE(CONTROL!$C$22, $C$13, 100%, $E$13)</f>
        <v>4.1307999999999998</v>
      </c>
      <c r="C216" s="63">
        <f>4.1308 * CHOOSE(CONTROL!$C$22, $C$13, 100%, $E$13)</f>
        <v>4.1307999999999998</v>
      </c>
      <c r="D216" s="63">
        <f>4.1438 * CHOOSE(CONTROL!$C$22, $C$13, 100%, $E$13)</f>
        <v>4.1437999999999997</v>
      </c>
      <c r="E216" s="64">
        <f>4.9519 * CHOOSE(CONTROL!$C$22, $C$13, 100%, $E$13)</f>
        <v>4.9519000000000002</v>
      </c>
      <c r="F216" s="64">
        <f>4.9519 * CHOOSE(CONTROL!$C$22, $C$13, 100%, $E$13)</f>
        <v>4.9519000000000002</v>
      </c>
      <c r="G216" s="64">
        <f>4.9675 * CHOOSE(CONTROL!$C$22, $C$13, 100%, $E$13)</f>
        <v>4.9675000000000002</v>
      </c>
      <c r="H216" s="64">
        <f>8.4577* CHOOSE(CONTROL!$C$22, $C$13, 100%, $E$13)</f>
        <v>8.4577000000000009</v>
      </c>
      <c r="I216" s="64">
        <f>8.4734 * CHOOSE(CONTROL!$C$22, $C$13, 100%, $E$13)</f>
        <v>8.4733999999999998</v>
      </c>
      <c r="J216" s="64">
        <f>4.9519 * CHOOSE(CONTROL!$C$22, $C$13, 100%, $E$13)</f>
        <v>4.9519000000000002</v>
      </c>
      <c r="K216" s="64">
        <f>4.9675 * CHOOSE(CONTROL!$C$22, $C$13, 100%, $E$13)</f>
        <v>4.9675000000000002</v>
      </c>
    </row>
    <row r="217" spans="1:11" ht="15">
      <c r="A217" s="13">
        <v>48092</v>
      </c>
      <c r="B217" s="63">
        <f>4.1278 * CHOOSE(CONTROL!$C$22, $C$13, 100%, $E$13)</f>
        <v>4.1277999999999997</v>
      </c>
      <c r="C217" s="63">
        <f>4.1278 * CHOOSE(CONTROL!$C$22, $C$13, 100%, $E$13)</f>
        <v>4.1277999999999997</v>
      </c>
      <c r="D217" s="63">
        <f>4.1407 * CHOOSE(CONTROL!$C$22, $C$13, 100%, $E$13)</f>
        <v>4.1406999999999998</v>
      </c>
      <c r="E217" s="64">
        <f>4.9415 * CHOOSE(CONTROL!$C$22, $C$13, 100%, $E$13)</f>
        <v>4.9414999999999996</v>
      </c>
      <c r="F217" s="64">
        <f>4.9415 * CHOOSE(CONTROL!$C$22, $C$13, 100%, $E$13)</f>
        <v>4.9414999999999996</v>
      </c>
      <c r="G217" s="64">
        <f>4.9572 * CHOOSE(CONTROL!$C$22, $C$13, 100%, $E$13)</f>
        <v>4.9572000000000003</v>
      </c>
      <c r="H217" s="64">
        <f>8.4753* CHOOSE(CONTROL!$C$22, $C$13, 100%, $E$13)</f>
        <v>8.4753000000000007</v>
      </c>
      <c r="I217" s="64">
        <f>8.491 * CHOOSE(CONTROL!$C$22, $C$13, 100%, $E$13)</f>
        <v>8.4909999999999997</v>
      </c>
      <c r="J217" s="64">
        <f>4.9415 * CHOOSE(CONTROL!$C$22, $C$13, 100%, $E$13)</f>
        <v>4.9414999999999996</v>
      </c>
      <c r="K217" s="64">
        <f>4.9572 * CHOOSE(CONTROL!$C$22, $C$13, 100%, $E$13)</f>
        <v>4.9572000000000003</v>
      </c>
    </row>
    <row r="218" spans="1:11" ht="15">
      <c r="A218" s="13">
        <v>48122</v>
      </c>
      <c r="B218" s="63">
        <f>4.1232 * CHOOSE(CONTROL!$C$22, $C$13, 100%, $E$13)</f>
        <v>4.1231999999999998</v>
      </c>
      <c r="C218" s="63">
        <f>4.1232 * CHOOSE(CONTROL!$C$22, $C$13, 100%, $E$13)</f>
        <v>4.1231999999999998</v>
      </c>
      <c r="D218" s="63">
        <f>4.1232 * CHOOSE(CONTROL!$C$22, $C$13, 100%, $E$13)</f>
        <v>4.1231999999999998</v>
      </c>
      <c r="E218" s="64">
        <f>4.9609 * CHOOSE(CONTROL!$C$22, $C$13, 100%, $E$13)</f>
        <v>4.9608999999999996</v>
      </c>
      <c r="F218" s="64">
        <f>4.9609 * CHOOSE(CONTROL!$C$22, $C$13, 100%, $E$13)</f>
        <v>4.9608999999999996</v>
      </c>
      <c r="G218" s="64">
        <f>4.961 * CHOOSE(CONTROL!$C$22, $C$13, 100%, $E$13)</f>
        <v>4.9610000000000003</v>
      </c>
      <c r="H218" s="64">
        <f>8.493* CHOOSE(CONTROL!$C$22, $C$13, 100%, $E$13)</f>
        <v>8.4930000000000003</v>
      </c>
      <c r="I218" s="64">
        <f>8.493 * CHOOSE(CONTROL!$C$22, $C$13, 100%, $E$13)</f>
        <v>8.4930000000000003</v>
      </c>
      <c r="J218" s="64">
        <f>4.9609 * CHOOSE(CONTROL!$C$22, $C$13, 100%, $E$13)</f>
        <v>4.9608999999999996</v>
      </c>
      <c r="K218" s="64">
        <f>4.961 * CHOOSE(CONTROL!$C$22, $C$13, 100%, $E$13)</f>
        <v>4.9610000000000003</v>
      </c>
    </row>
    <row r="219" spans="1:11" ht="15">
      <c r="A219" s="13">
        <v>48153</v>
      </c>
      <c r="B219" s="63">
        <f>4.1263 * CHOOSE(CONTROL!$C$22, $C$13, 100%, $E$13)</f>
        <v>4.1262999999999996</v>
      </c>
      <c r="C219" s="63">
        <f>4.1263 * CHOOSE(CONTROL!$C$22, $C$13, 100%, $E$13)</f>
        <v>4.1262999999999996</v>
      </c>
      <c r="D219" s="63">
        <f>4.1263 * CHOOSE(CONTROL!$C$22, $C$13, 100%, $E$13)</f>
        <v>4.1262999999999996</v>
      </c>
      <c r="E219" s="64">
        <f>4.9794 * CHOOSE(CONTROL!$C$22, $C$13, 100%, $E$13)</f>
        <v>4.9794</v>
      </c>
      <c r="F219" s="64">
        <f>4.9794 * CHOOSE(CONTROL!$C$22, $C$13, 100%, $E$13)</f>
        <v>4.9794</v>
      </c>
      <c r="G219" s="64">
        <f>4.9795 * CHOOSE(CONTROL!$C$22, $C$13, 100%, $E$13)</f>
        <v>4.9794999999999998</v>
      </c>
      <c r="H219" s="64">
        <f>8.5107* CHOOSE(CONTROL!$C$22, $C$13, 100%, $E$13)</f>
        <v>8.5106999999999999</v>
      </c>
      <c r="I219" s="64">
        <f>8.5107 * CHOOSE(CONTROL!$C$22, $C$13, 100%, $E$13)</f>
        <v>8.5106999999999999</v>
      </c>
      <c r="J219" s="64">
        <f>4.9794 * CHOOSE(CONTROL!$C$22, $C$13, 100%, $E$13)</f>
        <v>4.9794</v>
      </c>
      <c r="K219" s="64">
        <f>4.9795 * CHOOSE(CONTROL!$C$22, $C$13, 100%, $E$13)</f>
        <v>4.9794999999999998</v>
      </c>
    </row>
    <row r="220" spans="1:11" ht="15">
      <c r="A220" s="13">
        <v>48183</v>
      </c>
      <c r="B220" s="63">
        <f>4.1263 * CHOOSE(CONTROL!$C$22, $C$13, 100%, $E$13)</f>
        <v>4.1262999999999996</v>
      </c>
      <c r="C220" s="63">
        <f>4.1263 * CHOOSE(CONTROL!$C$22, $C$13, 100%, $E$13)</f>
        <v>4.1262999999999996</v>
      </c>
      <c r="D220" s="63">
        <f>4.1263 * CHOOSE(CONTROL!$C$22, $C$13, 100%, $E$13)</f>
        <v>4.1262999999999996</v>
      </c>
      <c r="E220" s="64">
        <f>4.9384 * CHOOSE(CONTROL!$C$22, $C$13, 100%, $E$13)</f>
        <v>4.9383999999999997</v>
      </c>
      <c r="F220" s="64">
        <f>4.9384 * CHOOSE(CONTROL!$C$22, $C$13, 100%, $E$13)</f>
        <v>4.9383999999999997</v>
      </c>
      <c r="G220" s="64">
        <f>4.9385 * CHOOSE(CONTROL!$C$22, $C$13, 100%, $E$13)</f>
        <v>4.9385000000000003</v>
      </c>
      <c r="H220" s="64">
        <f>8.5284* CHOOSE(CONTROL!$C$22, $C$13, 100%, $E$13)</f>
        <v>8.5283999999999995</v>
      </c>
      <c r="I220" s="64">
        <f>8.5285 * CHOOSE(CONTROL!$C$22, $C$13, 100%, $E$13)</f>
        <v>8.5284999999999993</v>
      </c>
      <c r="J220" s="64">
        <f>4.9384 * CHOOSE(CONTROL!$C$22, $C$13, 100%, $E$13)</f>
        <v>4.9383999999999997</v>
      </c>
      <c r="K220" s="64">
        <f>4.9385 * CHOOSE(CONTROL!$C$22, $C$13, 100%, $E$13)</f>
        <v>4.9385000000000003</v>
      </c>
    </row>
    <row r="221" spans="1:11" ht="15">
      <c r="A221" s="13">
        <v>48214</v>
      </c>
      <c r="B221" s="63">
        <f>4.1645 * CHOOSE(CONTROL!$C$22, $C$13, 100%, $E$13)</f>
        <v>4.1645000000000003</v>
      </c>
      <c r="C221" s="63">
        <f>4.1645 * CHOOSE(CONTROL!$C$22, $C$13, 100%, $E$13)</f>
        <v>4.1645000000000003</v>
      </c>
      <c r="D221" s="63">
        <f>4.1645 * CHOOSE(CONTROL!$C$22, $C$13, 100%, $E$13)</f>
        <v>4.1645000000000003</v>
      </c>
      <c r="E221" s="64">
        <f>5.0152 * CHOOSE(CONTROL!$C$22, $C$13, 100%, $E$13)</f>
        <v>5.0152000000000001</v>
      </c>
      <c r="F221" s="64">
        <f>5.0152 * CHOOSE(CONTROL!$C$22, $C$13, 100%, $E$13)</f>
        <v>5.0152000000000001</v>
      </c>
      <c r="G221" s="64">
        <f>5.0153 * CHOOSE(CONTROL!$C$22, $C$13, 100%, $E$13)</f>
        <v>5.0152999999999999</v>
      </c>
      <c r="H221" s="64">
        <f>8.5462* CHOOSE(CONTROL!$C$22, $C$13, 100%, $E$13)</f>
        <v>8.5462000000000007</v>
      </c>
      <c r="I221" s="64">
        <f>8.5462 * CHOOSE(CONTROL!$C$22, $C$13, 100%, $E$13)</f>
        <v>8.5462000000000007</v>
      </c>
      <c r="J221" s="64">
        <f>5.0152 * CHOOSE(CONTROL!$C$22, $C$13, 100%, $E$13)</f>
        <v>5.0152000000000001</v>
      </c>
      <c r="K221" s="64">
        <f>5.0153 * CHOOSE(CONTROL!$C$22, $C$13, 100%, $E$13)</f>
        <v>5.0152999999999999</v>
      </c>
    </row>
    <row r="222" spans="1:11" ht="15">
      <c r="A222" s="13">
        <v>48245</v>
      </c>
      <c r="B222" s="63">
        <f>4.1614 * CHOOSE(CONTROL!$C$22, $C$13, 100%, $E$13)</f>
        <v>4.1614000000000004</v>
      </c>
      <c r="C222" s="63">
        <f>4.1614 * CHOOSE(CONTROL!$C$22, $C$13, 100%, $E$13)</f>
        <v>4.1614000000000004</v>
      </c>
      <c r="D222" s="63">
        <f>4.1614 * CHOOSE(CONTROL!$C$22, $C$13, 100%, $E$13)</f>
        <v>4.1614000000000004</v>
      </c>
      <c r="E222" s="64">
        <f>4.9336 * CHOOSE(CONTROL!$C$22, $C$13, 100%, $E$13)</f>
        <v>4.9336000000000002</v>
      </c>
      <c r="F222" s="64">
        <f>4.9336 * CHOOSE(CONTROL!$C$22, $C$13, 100%, $E$13)</f>
        <v>4.9336000000000002</v>
      </c>
      <c r="G222" s="64">
        <f>4.9337 * CHOOSE(CONTROL!$C$22, $C$13, 100%, $E$13)</f>
        <v>4.9337</v>
      </c>
      <c r="H222" s="64">
        <f>8.564* CHOOSE(CONTROL!$C$22, $C$13, 100%, $E$13)</f>
        <v>8.5640000000000001</v>
      </c>
      <c r="I222" s="64">
        <f>8.564 * CHOOSE(CONTROL!$C$22, $C$13, 100%, $E$13)</f>
        <v>8.5640000000000001</v>
      </c>
      <c r="J222" s="64">
        <f>4.9336 * CHOOSE(CONTROL!$C$22, $C$13, 100%, $E$13)</f>
        <v>4.9336000000000002</v>
      </c>
      <c r="K222" s="64">
        <f>4.9337 * CHOOSE(CONTROL!$C$22, $C$13, 100%, $E$13)</f>
        <v>4.9337</v>
      </c>
    </row>
    <row r="223" spans="1:11" ht="15">
      <c r="A223" s="13">
        <v>48274</v>
      </c>
      <c r="B223" s="63">
        <f>4.1584 * CHOOSE(CONTROL!$C$22, $C$13, 100%, $E$13)</f>
        <v>4.1584000000000003</v>
      </c>
      <c r="C223" s="63">
        <f>4.1584 * CHOOSE(CONTROL!$C$22, $C$13, 100%, $E$13)</f>
        <v>4.1584000000000003</v>
      </c>
      <c r="D223" s="63">
        <f>4.1584 * CHOOSE(CONTROL!$C$22, $C$13, 100%, $E$13)</f>
        <v>4.1584000000000003</v>
      </c>
      <c r="E223" s="64">
        <f>4.9942 * CHOOSE(CONTROL!$C$22, $C$13, 100%, $E$13)</f>
        <v>4.9942000000000002</v>
      </c>
      <c r="F223" s="64">
        <f>4.9942 * CHOOSE(CONTROL!$C$22, $C$13, 100%, $E$13)</f>
        <v>4.9942000000000002</v>
      </c>
      <c r="G223" s="64">
        <f>4.9942 * CHOOSE(CONTROL!$C$22, $C$13, 100%, $E$13)</f>
        <v>4.9942000000000002</v>
      </c>
      <c r="H223" s="64">
        <f>8.5818* CHOOSE(CONTROL!$C$22, $C$13, 100%, $E$13)</f>
        <v>8.5817999999999994</v>
      </c>
      <c r="I223" s="64">
        <f>8.5819 * CHOOSE(CONTROL!$C$22, $C$13, 100%, $E$13)</f>
        <v>8.5818999999999992</v>
      </c>
      <c r="J223" s="64">
        <f>4.9942 * CHOOSE(CONTROL!$C$22, $C$13, 100%, $E$13)</f>
        <v>4.9942000000000002</v>
      </c>
      <c r="K223" s="64">
        <f>4.9942 * CHOOSE(CONTROL!$C$22, $C$13, 100%, $E$13)</f>
        <v>4.9942000000000002</v>
      </c>
    </row>
    <row r="224" spans="1:11" ht="15">
      <c r="A224" s="13">
        <v>48305</v>
      </c>
      <c r="B224" s="63">
        <f>4.1562 * CHOOSE(CONTROL!$C$22, $C$13, 100%, $E$13)</f>
        <v>4.1562000000000001</v>
      </c>
      <c r="C224" s="63">
        <f>4.1562 * CHOOSE(CONTROL!$C$22, $C$13, 100%, $E$13)</f>
        <v>4.1562000000000001</v>
      </c>
      <c r="D224" s="63">
        <f>4.1562 * CHOOSE(CONTROL!$C$22, $C$13, 100%, $E$13)</f>
        <v>4.1562000000000001</v>
      </c>
      <c r="E224" s="64">
        <f>5.0572 * CHOOSE(CONTROL!$C$22, $C$13, 100%, $E$13)</f>
        <v>5.0571999999999999</v>
      </c>
      <c r="F224" s="64">
        <f>5.0572 * CHOOSE(CONTROL!$C$22, $C$13, 100%, $E$13)</f>
        <v>5.0571999999999999</v>
      </c>
      <c r="G224" s="64">
        <f>5.0573 * CHOOSE(CONTROL!$C$22, $C$13, 100%, $E$13)</f>
        <v>5.0572999999999997</v>
      </c>
      <c r="H224" s="64">
        <f>8.5997* CHOOSE(CONTROL!$C$22, $C$13, 100%, $E$13)</f>
        <v>8.5997000000000003</v>
      </c>
      <c r="I224" s="64">
        <f>8.5998 * CHOOSE(CONTROL!$C$22, $C$13, 100%, $E$13)</f>
        <v>8.5998000000000001</v>
      </c>
      <c r="J224" s="64">
        <f>5.0572 * CHOOSE(CONTROL!$C$22, $C$13, 100%, $E$13)</f>
        <v>5.0571999999999999</v>
      </c>
      <c r="K224" s="64">
        <f>5.0573 * CHOOSE(CONTROL!$C$22, $C$13, 100%, $E$13)</f>
        <v>5.0572999999999997</v>
      </c>
    </row>
    <row r="225" spans="1:11" ht="15">
      <c r="A225" s="13">
        <v>48335</v>
      </c>
      <c r="B225" s="63">
        <f>4.1562 * CHOOSE(CONTROL!$C$22, $C$13, 100%, $E$13)</f>
        <v>4.1562000000000001</v>
      </c>
      <c r="C225" s="63">
        <f>4.1562 * CHOOSE(CONTROL!$C$22, $C$13, 100%, $E$13)</f>
        <v>4.1562000000000001</v>
      </c>
      <c r="D225" s="63">
        <f>4.1692 * CHOOSE(CONTROL!$C$22, $C$13, 100%, $E$13)</f>
        <v>4.1692</v>
      </c>
      <c r="E225" s="64">
        <f>5.0825 * CHOOSE(CONTROL!$C$22, $C$13, 100%, $E$13)</f>
        <v>5.0824999999999996</v>
      </c>
      <c r="F225" s="64">
        <f>5.0825 * CHOOSE(CONTROL!$C$22, $C$13, 100%, $E$13)</f>
        <v>5.0824999999999996</v>
      </c>
      <c r="G225" s="64">
        <f>5.0982 * CHOOSE(CONTROL!$C$22, $C$13, 100%, $E$13)</f>
        <v>5.0982000000000003</v>
      </c>
      <c r="H225" s="64">
        <f>8.6176* CHOOSE(CONTROL!$C$22, $C$13, 100%, $E$13)</f>
        <v>8.6175999999999995</v>
      </c>
      <c r="I225" s="64">
        <f>8.6333 * CHOOSE(CONTROL!$C$22, $C$13, 100%, $E$13)</f>
        <v>8.6333000000000002</v>
      </c>
      <c r="J225" s="64">
        <f>5.0825 * CHOOSE(CONTROL!$C$22, $C$13, 100%, $E$13)</f>
        <v>5.0824999999999996</v>
      </c>
      <c r="K225" s="64">
        <f>5.0982 * CHOOSE(CONTROL!$C$22, $C$13, 100%, $E$13)</f>
        <v>5.0982000000000003</v>
      </c>
    </row>
    <row r="226" spans="1:11" ht="15">
      <c r="A226" s="13">
        <v>48366</v>
      </c>
      <c r="B226" s="63">
        <f>4.1623 * CHOOSE(CONTROL!$C$22, $C$13, 100%, $E$13)</f>
        <v>4.1623000000000001</v>
      </c>
      <c r="C226" s="63">
        <f>4.1623 * CHOOSE(CONTROL!$C$22, $C$13, 100%, $E$13)</f>
        <v>4.1623000000000001</v>
      </c>
      <c r="D226" s="63">
        <f>4.1752 * CHOOSE(CONTROL!$C$22, $C$13, 100%, $E$13)</f>
        <v>4.1752000000000002</v>
      </c>
      <c r="E226" s="64">
        <f>5.0615 * CHOOSE(CONTROL!$C$22, $C$13, 100%, $E$13)</f>
        <v>5.0614999999999997</v>
      </c>
      <c r="F226" s="64">
        <f>5.0615 * CHOOSE(CONTROL!$C$22, $C$13, 100%, $E$13)</f>
        <v>5.0614999999999997</v>
      </c>
      <c r="G226" s="64">
        <f>5.0771 * CHOOSE(CONTROL!$C$22, $C$13, 100%, $E$13)</f>
        <v>5.0770999999999997</v>
      </c>
      <c r="H226" s="64">
        <f>8.6355* CHOOSE(CONTROL!$C$22, $C$13, 100%, $E$13)</f>
        <v>8.6355000000000004</v>
      </c>
      <c r="I226" s="64">
        <f>8.6512 * CHOOSE(CONTROL!$C$22, $C$13, 100%, $E$13)</f>
        <v>8.6511999999999993</v>
      </c>
      <c r="J226" s="64">
        <f>5.0615 * CHOOSE(CONTROL!$C$22, $C$13, 100%, $E$13)</f>
        <v>5.0614999999999997</v>
      </c>
      <c r="K226" s="64">
        <f>5.0771 * CHOOSE(CONTROL!$C$22, $C$13, 100%, $E$13)</f>
        <v>5.0770999999999997</v>
      </c>
    </row>
    <row r="227" spans="1:11" ht="15">
      <c r="A227" s="13">
        <v>48396</v>
      </c>
      <c r="B227" s="63">
        <f>4.2341 * CHOOSE(CONTROL!$C$22, $C$13, 100%, $E$13)</f>
        <v>4.2340999999999998</v>
      </c>
      <c r="C227" s="63">
        <f>4.2341 * CHOOSE(CONTROL!$C$22, $C$13, 100%, $E$13)</f>
        <v>4.2340999999999998</v>
      </c>
      <c r="D227" s="63">
        <f>4.2471 * CHOOSE(CONTROL!$C$22, $C$13, 100%, $E$13)</f>
        <v>4.2470999999999997</v>
      </c>
      <c r="E227" s="64">
        <f>5.166 * CHOOSE(CONTROL!$C$22, $C$13, 100%, $E$13)</f>
        <v>5.1660000000000004</v>
      </c>
      <c r="F227" s="64">
        <f>5.166 * CHOOSE(CONTROL!$C$22, $C$13, 100%, $E$13)</f>
        <v>5.1660000000000004</v>
      </c>
      <c r="G227" s="64">
        <f>5.1817 * CHOOSE(CONTROL!$C$22, $C$13, 100%, $E$13)</f>
        <v>5.1817000000000002</v>
      </c>
      <c r="H227" s="64">
        <f>8.6535* CHOOSE(CONTROL!$C$22, $C$13, 100%, $E$13)</f>
        <v>8.6534999999999993</v>
      </c>
      <c r="I227" s="64">
        <f>8.6692 * CHOOSE(CONTROL!$C$22, $C$13, 100%, $E$13)</f>
        <v>8.6692</v>
      </c>
      <c r="J227" s="64">
        <f>5.166 * CHOOSE(CONTROL!$C$22, $C$13, 100%, $E$13)</f>
        <v>5.1660000000000004</v>
      </c>
      <c r="K227" s="64">
        <f>5.1817 * CHOOSE(CONTROL!$C$22, $C$13, 100%, $E$13)</f>
        <v>5.1817000000000002</v>
      </c>
    </row>
    <row r="228" spans="1:11" ht="15">
      <c r="A228" s="13">
        <v>48427</v>
      </c>
      <c r="B228" s="63">
        <f>4.2408 * CHOOSE(CONTROL!$C$22, $C$13, 100%, $E$13)</f>
        <v>4.2408000000000001</v>
      </c>
      <c r="C228" s="63">
        <f>4.2408 * CHOOSE(CONTROL!$C$22, $C$13, 100%, $E$13)</f>
        <v>4.2408000000000001</v>
      </c>
      <c r="D228" s="63">
        <f>4.2538 * CHOOSE(CONTROL!$C$22, $C$13, 100%, $E$13)</f>
        <v>4.2538</v>
      </c>
      <c r="E228" s="64">
        <f>5.095 * CHOOSE(CONTROL!$C$22, $C$13, 100%, $E$13)</f>
        <v>5.0949999999999998</v>
      </c>
      <c r="F228" s="64">
        <f>5.095 * CHOOSE(CONTROL!$C$22, $C$13, 100%, $E$13)</f>
        <v>5.0949999999999998</v>
      </c>
      <c r="G228" s="64">
        <f>5.1106 * CHOOSE(CONTROL!$C$22, $C$13, 100%, $E$13)</f>
        <v>5.1105999999999998</v>
      </c>
      <c r="H228" s="64">
        <f>8.6716* CHOOSE(CONTROL!$C$22, $C$13, 100%, $E$13)</f>
        <v>8.6715999999999998</v>
      </c>
      <c r="I228" s="64">
        <f>8.6872 * CHOOSE(CONTROL!$C$22, $C$13, 100%, $E$13)</f>
        <v>8.6872000000000007</v>
      </c>
      <c r="J228" s="64">
        <f>5.095 * CHOOSE(CONTROL!$C$22, $C$13, 100%, $E$13)</f>
        <v>5.0949999999999998</v>
      </c>
      <c r="K228" s="64">
        <f>5.1106 * CHOOSE(CONTROL!$C$22, $C$13, 100%, $E$13)</f>
        <v>5.1105999999999998</v>
      </c>
    </row>
    <row r="229" spans="1:11" ht="15">
      <c r="A229" s="13">
        <v>48458</v>
      </c>
      <c r="B229" s="63">
        <f>4.2378 * CHOOSE(CONTROL!$C$22, $C$13, 100%, $E$13)</f>
        <v>4.2378</v>
      </c>
      <c r="C229" s="63">
        <f>4.2378 * CHOOSE(CONTROL!$C$22, $C$13, 100%, $E$13)</f>
        <v>4.2378</v>
      </c>
      <c r="D229" s="63">
        <f>4.2507 * CHOOSE(CONTROL!$C$22, $C$13, 100%, $E$13)</f>
        <v>4.2507000000000001</v>
      </c>
      <c r="E229" s="64">
        <f>5.0844 * CHOOSE(CONTROL!$C$22, $C$13, 100%, $E$13)</f>
        <v>5.0843999999999996</v>
      </c>
      <c r="F229" s="64">
        <f>5.0844 * CHOOSE(CONTROL!$C$22, $C$13, 100%, $E$13)</f>
        <v>5.0843999999999996</v>
      </c>
      <c r="G229" s="64">
        <f>5.1001 * CHOOSE(CONTROL!$C$22, $C$13, 100%, $E$13)</f>
        <v>5.1001000000000003</v>
      </c>
      <c r="H229" s="64">
        <f>8.6896* CHOOSE(CONTROL!$C$22, $C$13, 100%, $E$13)</f>
        <v>8.6896000000000004</v>
      </c>
      <c r="I229" s="64">
        <f>8.7053 * CHOOSE(CONTROL!$C$22, $C$13, 100%, $E$13)</f>
        <v>8.7052999999999994</v>
      </c>
      <c r="J229" s="64">
        <f>5.0844 * CHOOSE(CONTROL!$C$22, $C$13, 100%, $E$13)</f>
        <v>5.0843999999999996</v>
      </c>
      <c r="K229" s="64">
        <f>5.1001 * CHOOSE(CONTROL!$C$22, $C$13, 100%, $E$13)</f>
        <v>5.1001000000000003</v>
      </c>
    </row>
    <row r="230" spans="1:11" ht="15">
      <c r="A230" s="13">
        <v>48488</v>
      </c>
      <c r="B230" s="63">
        <f>4.2336 * CHOOSE(CONTROL!$C$22, $C$13, 100%, $E$13)</f>
        <v>4.2336</v>
      </c>
      <c r="C230" s="63">
        <f>4.2336 * CHOOSE(CONTROL!$C$22, $C$13, 100%, $E$13)</f>
        <v>4.2336</v>
      </c>
      <c r="D230" s="63">
        <f>4.2336 * CHOOSE(CONTROL!$C$22, $C$13, 100%, $E$13)</f>
        <v>4.2336</v>
      </c>
      <c r="E230" s="64">
        <f>5.1047 * CHOOSE(CONTROL!$C$22, $C$13, 100%, $E$13)</f>
        <v>5.1047000000000002</v>
      </c>
      <c r="F230" s="64">
        <f>5.1047 * CHOOSE(CONTROL!$C$22, $C$13, 100%, $E$13)</f>
        <v>5.1047000000000002</v>
      </c>
      <c r="G230" s="64">
        <f>5.1047 * CHOOSE(CONTROL!$C$22, $C$13, 100%, $E$13)</f>
        <v>5.1047000000000002</v>
      </c>
      <c r="H230" s="64">
        <f>8.7077* CHOOSE(CONTROL!$C$22, $C$13, 100%, $E$13)</f>
        <v>8.7077000000000009</v>
      </c>
      <c r="I230" s="64">
        <f>8.7078 * CHOOSE(CONTROL!$C$22, $C$13, 100%, $E$13)</f>
        <v>8.7078000000000007</v>
      </c>
      <c r="J230" s="64">
        <f>5.1047 * CHOOSE(CONTROL!$C$22, $C$13, 100%, $E$13)</f>
        <v>5.1047000000000002</v>
      </c>
      <c r="K230" s="64">
        <f>5.1047 * CHOOSE(CONTROL!$C$22, $C$13, 100%, $E$13)</f>
        <v>5.1047000000000002</v>
      </c>
    </row>
    <row r="231" spans="1:11" ht="15">
      <c r="A231" s="13">
        <v>48519</v>
      </c>
      <c r="B231" s="63">
        <f>4.2367 * CHOOSE(CONTROL!$C$22, $C$13, 100%, $E$13)</f>
        <v>4.2366999999999999</v>
      </c>
      <c r="C231" s="63">
        <f>4.2367 * CHOOSE(CONTROL!$C$22, $C$13, 100%, $E$13)</f>
        <v>4.2366999999999999</v>
      </c>
      <c r="D231" s="63">
        <f>4.2367 * CHOOSE(CONTROL!$C$22, $C$13, 100%, $E$13)</f>
        <v>4.2366999999999999</v>
      </c>
      <c r="E231" s="64">
        <f>5.1236 * CHOOSE(CONTROL!$C$22, $C$13, 100%, $E$13)</f>
        <v>5.1235999999999997</v>
      </c>
      <c r="F231" s="64">
        <f>5.1236 * CHOOSE(CONTROL!$C$22, $C$13, 100%, $E$13)</f>
        <v>5.1235999999999997</v>
      </c>
      <c r="G231" s="64">
        <f>5.1237 * CHOOSE(CONTROL!$C$22, $C$13, 100%, $E$13)</f>
        <v>5.1237000000000004</v>
      </c>
      <c r="H231" s="64">
        <f>8.7259* CHOOSE(CONTROL!$C$22, $C$13, 100%, $E$13)</f>
        <v>8.7258999999999993</v>
      </c>
      <c r="I231" s="64">
        <f>8.726 * CHOOSE(CONTROL!$C$22, $C$13, 100%, $E$13)</f>
        <v>8.7260000000000009</v>
      </c>
      <c r="J231" s="64">
        <f>5.1236 * CHOOSE(CONTROL!$C$22, $C$13, 100%, $E$13)</f>
        <v>5.1235999999999997</v>
      </c>
      <c r="K231" s="64">
        <f>5.1237 * CHOOSE(CONTROL!$C$22, $C$13, 100%, $E$13)</f>
        <v>5.1237000000000004</v>
      </c>
    </row>
    <row r="232" spans="1:11" ht="15">
      <c r="A232" s="13">
        <v>48549</v>
      </c>
      <c r="B232" s="63">
        <f>4.2367 * CHOOSE(CONTROL!$C$22, $C$13, 100%, $E$13)</f>
        <v>4.2366999999999999</v>
      </c>
      <c r="C232" s="63">
        <f>4.2367 * CHOOSE(CONTROL!$C$22, $C$13, 100%, $E$13)</f>
        <v>4.2366999999999999</v>
      </c>
      <c r="D232" s="63">
        <f>4.2367 * CHOOSE(CONTROL!$C$22, $C$13, 100%, $E$13)</f>
        <v>4.2366999999999999</v>
      </c>
      <c r="E232" s="64">
        <f>5.0815 * CHOOSE(CONTROL!$C$22, $C$13, 100%, $E$13)</f>
        <v>5.0815000000000001</v>
      </c>
      <c r="F232" s="64">
        <f>5.0815 * CHOOSE(CONTROL!$C$22, $C$13, 100%, $E$13)</f>
        <v>5.0815000000000001</v>
      </c>
      <c r="G232" s="64">
        <f>5.0816 * CHOOSE(CONTROL!$C$22, $C$13, 100%, $E$13)</f>
        <v>5.0815999999999999</v>
      </c>
      <c r="H232" s="64">
        <f>8.7441* CHOOSE(CONTROL!$C$22, $C$13, 100%, $E$13)</f>
        <v>8.7440999999999995</v>
      </c>
      <c r="I232" s="64">
        <f>8.7441 * CHOOSE(CONTROL!$C$22, $C$13, 100%, $E$13)</f>
        <v>8.7440999999999995</v>
      </c>
      <c r="J232" s="64">
        <f>5.0815 * CHOOSE(CONTROL!$C$22, $C$13, 100%, $E$13)</f>
        <v>5.0815000000000001</v>
      </c>
      <c r="K232" s="64">
        <f>5.0816 * CHOOSE(CONTROL!$C$22, $C$13, 100%, $E$13)</f>
        <v>5.0815999999999999</v>
      </c>
    </row>
    <row r="233" spans="1:11" ht="15">
      <c r="A233" s="13">
        <v>48580</v>
      </c>
      <c r="B233" s="63">
        <f>4.2764 * CHOOSE(CONTROL!$C$22, $C$13, 100%, $E$13)</f>
        <v>4.2763999999999998</v>
      </c>
      <c r="C233" s="63">
        <f>4.2764 * CHOOSE(CONTROL!$C$22, $C$13, 100%, $E$13)</f>
        <v>4.2763999999999998</v>
      </c>
      <c r="D233" s="63">
        <f>4.2764 * CHOOSE(CONTROL!$C$22, $C$13, 100%, $E$13)</f>
        <v>4.2763999999999998</v>
      </c>
      <c r="E233" s="64">
        <f>5.1642 * CHOOSE(CONTROL!$C$22, $C$13, 100%, $E$13)</f>
        <v>5.1642000000000001</v>
      </c>
      <c r="F233" s="64">
        <f>5.1642 * CHOOSE(CONTROL!$C$22, $C$13, 100%, $E$13)</f>
        <v>5.1642000000000001</v>
      </c>
      <c r="G233" s="64">
        <f>5.1643 * CHOOSE(CONTROL!$C$22, $C$13, 100%, $E$13)</f>
        <v>5.1642999999999999</v>
      </c>
      <c r="H233" s="64">
        <f>8.7623* CHOOSE(CONTROL!$C$22, $C$13, 100%, $E$13)</f>
        <v>8.7622999999999998</v>
      </c>
      <c r="I233" s="64">
        <f>8.7623 * CHOOSE(CONTROL!$C$22, $C$13, 100%, $E$13)</f>
        <v>8.7622999999999998</v>
      </c>
      <c r="J233" s="64">
        <f>5.1642 * CHOOSE(CONTROL!$C$22, $C$13, 100%, $E$13)</f>
        <v>5.1642000000000001</v>
      </c>
      <c r="K233" s="64">
        <f>5.1643 * CHOOSE(CONTROL!$C$22, $C$13, 100%, $E$13)</f>
        <v>5.1642999999999999</v>
      </c>
    </row>
    <row r="234" spans="1:11" ht="15">
      <c r="A234" s="13">
        <v>48611</v>
      </c>
      <c r="B234" s="63">
        <f>4.2734 * CHOOSE(CONTROL!$C$22, $C$13, 100%, $E$13)</f>
        <v>4.2733999999999996</v>
      </c>
      <c r="C234" s="63">
        <f>4.2734 * CHOOSE(CONTROL!$C$22, $C$13, 100%, $E$13)</f>
        <v>4.2733999999999996</v>
      </c>
      <c r="D234" s="63">
        <f>4.2734 * CHOOSE(CONTROL!$C$22, $C$13, 100%, $E$13)</f>
        <v>4.2733999999999996</v>
      </c>
      <c r="E234" s="64">
        <f>5.0805 * CHOOSE(CONTROL!$C$22, $C$13, 100%, $E$13)</f>
        <v>5.0804999999999998</v>
      </c>
      <c r="F234" s="64">
        <f>5.0805 * CHOOSE(CONTROL!$C$22, $C$13, 100%, $E$13)</f>
        <v>5.0804999999999998</v>
      </c>
      <c r="G234" s="64">
        <f>5.0806 * CHOOSE(CONTROL!$C$22, $C$13, 100%, $E$13)</f>
        <v>5.0805999999999996</v>
      </c>
      <c r="H234" s="64">
        <f>8.7805* CHOOSE(CONTROL!$C$22, $C$13, 100%, $E$13)</f>
        <v>8.7805</v>
      </c>
      <c r="I234" s="64">
        <f>8.7806 * CHOOSE(CONTROL!$C$22, $C$13, 100%, $E$13)</f>
        <v>8.7805999999999997</v>
      </c>
      <c r="J234" s="64">
        <f>5.0805 * CHOOSE(CONTROL!$C$22, $C$13, 100%, $E$13)</f>
        <v>5.0804999999999998</v>
      </c>
      <c r="K234" s="64">
        <f>5.0806 * CHOOSE(CONTROL!$C$22, $C$13, 100%, $E$13)</f>
        <v>5.0805999999999996</v>
      </c>
    </row>
    <row r="235" spans="1:11" ht="15">
      <c r="A235" s="13">
        <v>48639</v>
      </c>
      <c r="B235" s="63">
        <f>4.2703 * CHOOSE(CONTROL!$C$22, $C$13, 100%, $E$13)</f>
        <v>4.2702999999999998</v>
      </c>
      <c r="C235" s="63">
        <f>4.2703 * CHOOSE(CONTROL!$C$22, $C$13, 100%, $E$13)</f>
        <v>4.2702999999999998</v>
      </c>
      <c r="D235" s="63">
        <f>4.2703 * CHOOSE(CONTROL!$C$22, $C$13, 100%, $E$13)</f>
        <v>4.2702999999999998</v>
      </c>
      <c r="E235" s="64">
        <f>5.1427 * CHOOSE(CONTROL!$C$22, $C$13, 100%, $E$13)</f>
        <v>5.1426999999999996</v>
      </c>
      <c r="F235" s="64">
        <f>5.1427 * CHOOSE(CONTROL!$C$22, $C$13, 100%, $E$13)</f>
        <v>5.1426999999999996</v>
      </c>
      <c r="G235" s="64">
        <f>5.1428 * CHOOSE(CONTROL!$C$22, $C$13, 100%, $E$13)</f>
        <v>5.1428000000000003</v>
      </c>
      <c r="H235" s="64">
        <f>8.7988* CHOOSE(CONTROL!$C$22, $C$13, 100%, $E$13)</f>
        <v>8.7988</v>
      </c>
      <c r="I235" s="64">
        <f>8.7989 * CHOOSE(CONTROL!$C$22, $C$13, 100%, $E$13)</f>
        <v>8.7988999999999997</v>
      </c>
      <c r="J235" s="64">
        <f>5.1427 * CHOOSE(CONTROL!$C$22, $C$13, 100%, $E$13)</f>
        <v>5.1426999999999996</v>
      </c>
      <c r="K235" s="64">
        <f>5.1428 * CHOOSE(CONTROL!$C$22, $C$13, 100%, $E$13)</f>
        <v>5.1428000000000003</v>
      </c>
    </row>
    <row r="236" spans="1:11" ht="15">
      <c r="A236" s="13">
        <v>48670</v>
      </c>
      <c r="B236" s="63">
        <f>4.2682 * CHOOSE(CONTROL!$C$22, $C$13, 100%, $E$13)</f>
        <v>4.2682000000000002</v>
      </c>
      <c r="C236" s="63">
        <f>4.2682 * CHOOSE(CONTROL!$C$22, $C$13, 100%, $E$13)</f>
        <v>4.2682000000000002</v>
      </c>
      <c r="D236" s="63">
        <f>4.2682 * CHOOSE(CONTROL!$C$22, $C$13, 100%, $E$13)</f>
        <v>4.2682000000000002</v>
      </c>
      <c r="E236" s="64">
        <f>5.2076 * CHOOSE(CONTROL!$C$22, $C$13, 100%, $E$13)</f>
        <v>5.2076000000000002</v>
      </c>
      <c r="F236" s="64">
        <f>5.2076 * CHOOSE(CONTROL!$C$22, $C$13, 100%, $E$13)</f>
        <v>5.2076000000000002</v>
      </c>
      <c r="G236" s="64">
        <f>5.2076 * CHOOSE(CONTROL!$C$22, $C$13, 100%, $E$13)</f>
        <v>5.2076000000000002</v>
      </c>
      <c r="H236" s="64">
        <f>8.8171* CHOOSE(CONTROL!$C$22, $C$13, 100%, $E$13)</f>
        <v>8.8170999999999999</v>
      </c>
      <c r="I236" s="64">
        <f>8.8172 * CHOOSE(CONTROL!$C$22, $C$13, 100%, $E$13)</f>
        <v>8.8171999999999997</v>
      </c>
      <c r="J236" s="64">
        <f>5.2076 * CHOOSE(CONTROL!$C$22, $C$13, 100%, $E$13)</f>
        <v>5.2076000000000002</v>
      </c>
      <c r="K236" s="64">
        <f>5.2076 * CHOOSE(CONTROL!$C$22, $C$13, 100%, $E$13)</f>
        <v>5.2076000000000002</v>
      </c>
    </row>
    <row r="237" spans="1:11" ht="15">
      <c r="A237" s="13">
        <v>48700</v>
      </c>
      <c r="B237" s="63">
        <f>4.2682 * CHOOSE(CONTROL!$C$22, $C$13, 100%, $E$13)</f>
        <v>4.2682000000000002</v>
      </c>
      <c r="C237" s="63">
        <f>4.2682 * CHOOSE(CONTROL!$C$22, $C$13, 100%, $E$13)</f>
        <v>4.2682000000000002</v>
      </c>
      <c r="D237" s="63">
        <f>4.2812 * CHOOSE(CONTROL!$C$22, $C$13, 100%, $E$13)</f>
        <v>4.2812000000000001</v>
      </c>
      <c r="E237" s="64">
        <f>5.2335 * CHOOSE(CONTROL!$C$22, $C$13, 100%, $E$13)</f>
        <v>5.2335000000000003</v>
      </c>
      <c r="F237" s="64">
        <f>5.2335 * CHOOSE(CONTROL!$C$22, $C$13, 100%, $E$13)</f>
        <v>5.2335000000000003</v>
      </c>
      <c r="G237" s="64">
        <f>5.2491 * CHOOSE(CONTROL!$C$22, $C$13, 100%, $E$13)</f>
        <v>5.2491000000000003</v>
      </c>
      <c r="H237" s="64">
        <f>8.8355* CHOOSE(CONTROL!$C$22, $C$13, 100%, $E$13)</f>
        <v>8.8354999999999997</v>
      </c>
      <c r="I237" s="64">
        <f>8.8512 * CHOOSE(CONTROL!$C$22, $C$13, 100%, $E$13)</f>
        <v>8.8512000000000004</v>
      </c>
      <c r="J237" s="64">
        <f>5.2335 * CHOOSE(CONTROL!$C$22, $C$13, 100%, $E$13)</f>
        <v>5.2335000000000003</v>
      </c>
      <c r="K237" s="64">
        <f>5.2491 * CHOOSE(CONTROL!$C$22, $C$13, 100%, $E$13)</f>
        <v>5.2491000000000003</v>
      </c>
    </row>
    <row r="238" spans="1:11" ht="15">
      <c r="A238" s="13">
        <v>48731</v>
      </c>
      <c r="B238" s="63">
        <f>4.2743 * CHOOSE(CONTROL!$C$22, $C$13, 100%, $E$13)</f>
        <v>4.2743000000000002</v>
      </c>
      <c r="C238" s="63">
        <f>4.2743 * CHOOSE(CONTROL!$C$22, $C$13, 100%, $E$13)</f>
        <v>4.2743000000000002</v>
      </c>
      <c r="D238" s="63">
        <f>4.2873 * CHOOSE(CONTROL!$C$22, $C$13, 100%, $E$13)</f>
        <v>4.2873000000000001</v>
      </c>
      <c r="E238" s="64">
        <f>5.2118 * CHOOSE(CONTROL!$C$22, $C$13, 100%, $E$13)</f>
        <v>5.2118000000000002</v>
      </c>
      <c r="F238" s="64">
        <f>5.2118 * CHOOSE(CONTROL!$C$22, $C$13, 100%, $E$13)</f>
        <v>5.2118000000000002</v>
      </c>
      <c r="G238" s="64">
        <f>5.2275 * CHOOSE(CONTROL!$C$22, $C$13, 100%, $E$13)</f>
        <v>5.2275</v>
      </c>
      <c r="H238" s="64">
        <f>8.8539* CHOOSE(CONTROL!$C$22, $C$13, 100%, $E$13)</f>
        <v>8.8538999999999994</v>
      </c>
      <c r="I238" s="64">
        <f>8.8696 * CHOOSE(CONTROL!$C$22, $C$13, 100%, $E$13)</f>
        <v>8.8696000000000002</v>
      </c>
      <c r="J238" s="64">
        <f>5.2118 * CHOOSE(CONTROL!$C$22, $C$13, 100%, $E$13)</f>
        <v>5.2118000000000002</v>
      </c>
      <c r="K238" s="64">
        <f>5.2275 * CHOOSE(CONTROL!$C$22, $C$13, 100%, $E$13)</f>
        <v>5.2275</v>
      </c>
    </row>
    <row r="239" spans="1:11" ht="15">
      <c r="A239" s="13">
        <v>48761</v>
      </c>
      <c r="B239" s="63">
        <f>4.3499 * CHOOSE(CONTROL!$C$22, $C$13, 100%, $E$13)</f>
        <v>4.3498999999999999</v>
      </c>
      <c r="C239" s="63">
        <f>4.3499 * CHOOSE(CONTROL!$C$22, $C$13, 100%, $E$13)</f>
        <v>4.3498999999999999</v>
      </c>
      <c r="D239" s="63">
        <f>4.3628 * CHOOSE(CONTROL!$C$22, $C$13, 100%, $E$13)</f>
        <v>4.3628</v>
      </c>
      <c r="E239" s="64">
        <f>5.3292 * CHOOSE(CONTROL!$C$22, $C$13, 100%, $E$13)</f>
        <v>5.3292000000000002</v>
      </c>
      <c r="F239" s="64">
        <f>5.3292 * CHOOSE(CONTROL!$C$22, $C$13, 100%, $E$13)</f>
        <v>5.3292000000000002</v>
      </c>
      <c r="G239" s="64">
        <f>5.3449 * CHOOSE(CONTROL!$C$22, $C$13, 100%, $E$13)</f>
        <v>5.3449</v>
      </c>
      <c r="H239" s="64">
        <f>8.8724* CHOOSE(CONTROL!$C$22, $C$13, 100%, $E$13)</f>
        <v>8.8724000000000007</v>
      </c>
      <c r="I239" s="64">
        <f>8.888 * CHOOSE(CONTROL!$C$22, $C$13, 100%, $E$13)</f>
        <v>8.8879999999999999</v>
      </c>
      <c r="J239" s="64">
        <f>5.3292 * CHOOSE(CONTROL!$C$22, $C$13, 100%, $E$13)</f>
        <v>5.3292000000000002</v>
      </c>
      <c r="K239" s="64">
        <f>5.3449 * CHOOSE(CONTROL!$C$22, $C$13, 100%, $E$13)</f>
        <v>5.3449</v>
      </c>
    </row>
    <row r="240" spans="1:11" ht="15">
      <c r="A240" s="13">
        <v>48792</v>
      </c>
      <c r="B240" s="63">
        <f>4.3566 * CHOOSE(CONTROL!$C$22, $C$13, 100%, $E$13)</f>
        <v>4.3566000000000003</v>
      </c>
      <c r="C240" s="63">
        <f>4.3566 * CHOOSE(CONTROL!$C$22, $C$13, 100%, $E$13)</f>
        <v>4.3566000000000003</v>
      </c>
      <c r="D240" s="63">
        <f>4.3695 * CHOOSE(CONTROL!$C$22, $C$13, 100%, $E$13)</f>
        <v>4.3695000000000004</v>
      </c>
      <c r="E240" s="64">
        <f>5.2562 * CHOOSE(CONTROL!$C$22, $C$13, 100%, $E$13)</f>
        <v>5.2561999999999998</v>
      </c>
      <c r="F240" s="64">
        <f>5.2562 * CHOOSE(CONTROL!$C$22, $C$13, 100%, $E$13)</f>
        <v>5.2561999999999998</v>
      </c>
      <c r="G240" s="64">
        <f>5.2718 * CHOOSE(CONTROL!$C$22, $C$13, 100%, $E$13)</f>
        <v>5.2717999999999998</v>
      </c>
      <c r="H240" s="64">
        <f>8.8909* CHOOSE(CONTROL!$C$22, $C$13, 100%, $E$13)</f>
        <v>8.8909000000000002</v>
      </c>
      <c r="I240" s="64">
        <f>8.9065 * CHOOSE(CONTROL!$C$22, $C$13, 100%, $E$13)</f>
        <v>8.9064999999999994</v>
      </c>
      <c r="J240" s="64">
        <f>5.2562 * CHOOSE(CONTROL!$C$22, $C$13, 100%, $E$13)</f>
        <v>5.2561999999999998</v>
      </c>
      <c r="K240" s="64">
        <f>5.2718 * CHOOSE(CONTROL!$C$22, $C$13, 100%, $E$13)</f>
        <v>5.2717999999999998</v>
      </c>
    </row>
    <row r="241" spans="1:11" ht="15">
      <c r="A241" s="13">
        <v>48823</v>
      </c>
      <c r="B241" s="63">
        <f>4.3535 * CHOOSE(CONTROL!$C$22, $C$13, 100%, $E$13)</f>
        <v>4.3535000000000004</v>
      </c>
      <c r="C241" s="63">
        <f>4.3535 * CHOOSE(CONTROL!$C$22, $C$13, 100%, $E$13)</f>
        <v>4.3535000000000004</v>
      </c>
      <c r="D241" s="63">
        <f>4.3665 * CHOOSE(CONTROL!$C$22, $C$13, 100%, $E$13)</f>
        <v>4.3665000000000003</v>
      </c>
      <c r="E241" s="64">
        <f>5.2454 * CHOOSE(CONTROL!$C$22, $C$13, 100%, $E$13)</f>
        <v>5.2454000000000001</v>
      </c>
      <c r="F241" s="64">
        <f>5.2454 * CHOOSE(CONTROL!$C$22, $C$13, 100%, $E$13)</f>
        <v>5.2454000000000001</v>
      </c>
      <c r="G241" s="64">
        <f>5.2611 * CHOOSE(CONTROL!$C$22, $C$13, 100%, $E$13)</f>
        <v>5.2610999999999999</v>
      </c>
      <c r="H241" s="64">
        <f>8.9094* CHOOSE(CONTROL!$C$22, $C$13, 100%, $E$13)</f>
        <v>8.9093999999999998</v>
      </c>
      <c r="I241" s="64">
        <f>8.9251 * CHOOSE(CONTROL!$C$22, $C$13, 100%, $E$13)</f>
        <v>8.9251000000000005</v>
      </c>
      <c r="J241" s="64">
        <f>5.2454 * CHOOSE(CONTROL!$C$22, $C$13, 100%, $E$13)</f>
        <v>5.2454000000000001</v>
      </c>
      <c r="K241" s="64">
        <f>5.2611 * CHOOSE(CONTROL!$C$22, $C$13, 100%, $E$13)</f>
        <v>5.2610999999999999</v>
      </c>
    </row>
    <row r="242" spans="1:11" ht="15">
      <c r="A242" s="13">
        <v>48853</v>
      </c>
      <c r="B242" s="63">
        <f>4.3497 * CHOOSE(CONTROL!$C$22, $C$13, 100%, $E$13)</f>
        <v>4.3497000000000003</v>
      </c>
      <c r="C242" s="63">
        <f>4.3497 * CHOOSE(CONTROL!$C$22, $C$13, 100%, $E$13)</f>
        <v>4.3497000000000003</v>
      </c>
      <c r="D242" s="63">
        <f>4.3498 * CHOOSE(CONTROL!$C$22, $C$13, 100%, $E$13)</f>
        <v>4.3498000000000001</v>
      </c>
      <c r="E242" s="64">
        <f>5.2665 * CHOOSE(CONTROL!$C$22, $C$13, 100%, $E$13)</f>
        <v>5.2664999999999997</v>
      </c>
      <c r="F242" s="64">
        <f>5.2665 * CHOOSE(CONTROL!$C$22, $C$13, 100%, $E$13)</f>
        <v>5.2664999999999997</v>
      </c>
      <c r="G242" s="64">
        <f>5.2666 * CHOOSE(CONTROL!$C$22, $C$13, 100%, $E$13)</f>
        <v>5.2666000000000004</v>
      </c>
      <c r="H242" s="64">
        <f>8.9279* CHOOSE(CONTROL!$C$22, $C$13, 100%, $E$13)</f>
        <v>8.9278999999999993</v>
      </c>
      <c r="I242" s="64">
        <f>8.928 * CHOOSE(CONTROL!$C$22, $C$13, 100%, $E$13)</f>
        <v>8.9280000000000008</v>
      </c>
      <c r="J242" s="64">
        <f>5.2665 * CHOOSE(CONTROL!$C$22, $C$13, 100%, $E$13)</f>
        <v>5.2664999999999997</v>
      </c>
      <c r="K242" s="64">
        <f>5.2666 * CHOOSE(CONTROL!$C$22, $C$13, 100%, $E$13)</f>
        <v>5.2666000000000004</v>
      </c>
    </row>
    <row r="243" spans="1:11" ht="15">
      <c r="A243" s="13">
        <v>48884</v>
      </c>
      <c r="B243" s="63">
        <f>4.3528 * CHOOSE(CONTROL!$C$22, $C$13, 100%, $E$13)</f>
        <v>4.3528000000000002</v>
      </c>
      <c r="C243" s="63">
        <f>4.3528 * CHOOSE(CONTROL!$C$22, $C$13, 100%, $E$13)</f>
        <v>4.3528000000000002</v>
      </c>
      <c r="D243" s="63">
        <f>4.3528 * CHOOSE(CONTROL!$C$22, $C$13, 100%, $E$13)</f>
        <v>4.3528000000000002</v>
      </c>
      <c r="E243" s="64">
        <f>5.2859 * CHOOSE(CONTROL!$C$22, $C$13, 100%, $E$13)</f>
        <v>5.2858999999999998</v>
      </c>
      <c r="F243" s="64">
        <f>5.2859 * CHOOSE(CONTROL!$C$22, $C$13, 100%, $E$13)</f>
        <v>5.2858999999999998</v>
      </c>
      <c r="G243" s="64">
        <f>5.286 * CHOOSE(CONTROL!$C$22, $C$13, 100%, $E$13)</f>
        <v>5.2859999999999996</v>
      </c>
      <c r="H243" s="64">
        <f>8.9465* CHOOSE(CONTROL!$C$22, $C$13, 100%, $E$13)</f>
        <v>8.9465000000000003</v>
      </c>
      <c r="I243" s="64">
        <f>8.9466 * CHOOSE(CONTROL!$C$22, $C$13, 100%, $E$13)</f>
        <v>8.9466000000000001</v>
      </c>
      <c r="J243" s="64">
        <f>5.2859 * CHOOSE(CONTROL!$C$22, $C$13, 100%, $E$13)</f>
        <v>5.2858999999999998</v>
      </c>
      <c r="K243" s="64">
        <f>5.286 * CHOOSE(CONTROL!$C$22, $C$13, 100%, $E$13)</f>
        <v>5.2859999999999996</v>
      </c>
    </row>
    <row r="244" spans="1:11" ht="15">
      <c r="A244" s="13">
        <v>48914</v>
      </c>
      <c r="B244" s="63">
        <f>4.3528 * CHOOSE(CONTROL!$C$22, $C$13, 100%, $E$13)</f>
        <v>4.3528000000000002</v>
      </c>
      <c r="C244" s="63">
        <f>4.3528 * CHOOSE(CONTROL!$C$22, $C$13, 100%, $E$13)</f>
        <v>4.3528000000000002</v>
      </c>
      <c r="D244" s="63">
        <f>4.3528 * CHOOSE(CONTROL!$C$22, $C$13, 100%, $E$13)</f>
        <v>4.3528000000000002</v>
      </c>
      <c r="E244" s="64">
        <f>5.2427 * CHOOSE(CONTROL!$C$22, $C$13, 100%, $E$13)</f>
        <v>5.2427000000000001</v>
      </c>
      <c r="F244" s="64">
        <f>5.2427 * CHOOSE(CONTROL!$C$22, $C$13, 100%, $E$13)</f>
        <v>5.2427000000000001</v>
      </c>
      <c r="G244" s="64">
        <f>5.2428 * CHOOSE(CONTROL!$C$22, $C$13, 100%, $E$13)</f>
        <v>5.2427999999999999</v>
      </c>
      <c r="H244" s="64">
        <f>8.9652* CHOOSE(CONTROL!$C$22, $C$13, 100%, $E$13)</f>
        <v>8.9651999999999994</v>
      </c>
      <c r="I244" s="64">
        <f>8.9653 * CHOOSE(CONTROL!$C$22, $C$13, 100%, $E$13)</f>
        <v>8.9652999999999992</v>
      </c>
      <c r="J244" s="64">
        <f>5.2427 * CHOOSE(CONTROL!$C$22, $C$13, 100%, $E$13)</f>
        <v>5.2427000000000001</v>
      </c>
      <c r="K244" s="64">
        <f>5.2428 * CHOOSE(CONTROL!$C$22, $C$13, 100%, $E$13)</f>
        <v>5.2427999999999999</v>
      </c>
    </row>
    <row r="245" spans="1:11" ht="15">
      <c r="A245" s="13">
        <v>48945</v>
      </c>
      <c r="B245" s="63">
        <f>4.3942 * CHOOSE(CONTROL!$C$22, $C$13, 100%, $E$13)</f>
        <v>4.3941999999999997</v>
      </c>
      <c r="C245" s="63">
        <f>4.3942 * CHOOSE(CONTROL!$C$22, $C$13, 100%, $E$13)</f>
        <v>4.3941999999999997</v>
      </c>
      <c r="D245" s="63">
        <f>4.3942 * CHOOSE(CONTROL!$C$22, $C$13, 100%, $E$13)</f>
        <v>4.3941999999999997</v>
      </c>
      <c r="E245" s="64">
        <f>5.3259 * CHOOSE(CONTROL!$C$22, $C$13, 100%, $E$13)</f>
        <v>5.3258999999999999</v>
      </c>
      <c r="F245" s="64">
        <f>5.3259 * CHOOSE(CONTROL!$C$22, $C$13, 100%, $E$13)</f>
        <v>5.3258999999999999</v>
      </c>
      <c r="G245" s="64">
        <f>5.326 * CHOOSE(CONTROL!$C$22, $C$13, 100%, $E$13)</f>
        <v>5.3259999999999996</v>
      </c>
      <c r="H245" s="64">
        <f>8.9839* CHOOSE(CONTROL!$C$22, $C$13, 100%, $E$13)</f>
        <v>8.9839000000000002</v>
      </c>
      <c r="I245" s="64">
        <f>8.9839 * CHOOSE(CONTROL!$C$22, $C$13, 100%, $E$13)</f>
        <v>8.9839000000000002</v>
      </c>
      <c r="J245" s="64">
        <f>5.3259 * CHOOSE(CONTROL!$C$22, $C$13, 100%, $E$13)</f>
        <v>5.3258999999999999</v>
      </c>
      <c r="K245" s="64">
        <f>5.326 * CHOOSE(CONTROL!$C$22, $C$13, 100%, $E$13)</f>
        <v>5.3259999999999996</v>
      </c>
    </row>
    <row r="246" spans="1:11" ht="15">
      <c r="A246" s="13">
        <v>48976</v>
      </c>
      <c r="B246" s="63">
        <f>4.3911 * CHOOSE(CONTROL!$C$22, $C$13, 100%, $E$13)</f>
        <v>4.3910999999999998</v>
      </c>
      <c r="C246" s="63">
        <f>4.3911 * CHOOSE(CONTROL!$C$22, $C$13, 100%, $E$13)</f>
        <v>4.3910999999999998</v>
      </c>
      <c r="D246" s="63">
        <f>4.3911 * CHOOSE(CONTROL!$C$22, $C$13, 100%, $E$13)</f>
        <v>4.3910999999999998</v>
      </c>
      <c r="E246" s="64">
        <f>5.24 * CHOOSE(CONTROL!$C$22, $C$13, 100%, $E$13)</f>
        <v>5.24</v>
      </c>
      <c r="F246" s="64">
        <f>5.24 * CHOOSE(CONTROL!$C$22, $C$13, 100%, $E$13)</f>
        <v>5.24</v>
      </c>
      <c r="G246" s="64">
        <f>5.2401 * CHOOSE(CONTROL!$C$22, $C$13, 100%, $E$13)</f>
        <v>5.2401</v>
      </c>
      <c r="H246" s="64">
        <f>9.0026* CHOOSE(CONTROL!$C$22, $C$13, 100%, $E$13)</f>
        <v>9.0025999999999993</v>
      </c>
      <c r="I246" s="64">
        <f>9.0026 * CHOOSE(CONTROL!$C$22, $C$13, 100%, $E$13)</f>
        <v>9.0025999999999993</v>
      </c>
      <c r="J246" s="64">
        <f>5.24 * CHOOSE(CONTROL!$C$22, $C$13, 100%, $E$13)</f>
        <v>5.24</v>
      </c>
      <c r="K246" s="64">
        <f>5.2401 * CHOOSE(CONTROL!$C$22, $C$13, 100%, $E$13)</f>
        <v>5.2401</v>
      </c>
    </row>
    <row r="247" spans="1:11" ht="15">
      <c r="A247" s="13">
        <v>49004</v>
      </c>
      <c r="B247" s="63">
        <f>4.3881 * CHOOSE(CONTROL!$C$22, $C$13, 100%, $E$13)</f>
        <v>4.3880999999999997</v>
      </c>
      <c r="C247" s="63">
        <f>4.3881 * CHOOSE(CONTROL!$C$22, $C$13, 100%, $E$13)</f>
        <v>4.3880999999999997</v>
      </c>
      <c r="D247" s="63">
        <f>4.3881 * CHOOSE(CONTROL!$C$22, $C$13, 100%, $E$13)</f>
        <v>4.3880999999999997</v>
      </c>
      <c r="E247" s="64">
        <f>5.304 * CHOOSE(CONTROL!$C$22, $C$13, 100%, $E$13)</f>
        <v>5.3040000000000003</v>
      </c>
      <c r="F247" s="64">
        <f>5.304 * CHOOSE(CONTROL!$C$22, $C$13, 100%, $E$13)</f>
        <v>5.3040000000000003</v>
      </c>
      <c r="G247" s="64">
        <f>5.304 * CHOOSE(CONTROL!$C$22, $C$13, 100%, $E$13)</f>
        <v>5.3040000000000003</v>
      </c>
      <c r="H247" s="64">
        <f>9.0213* CHOOSE(CONTROL!$C$22, $C$13, 100%, $E$13)</f>
        <v>9.0213000000000001</v>
      </c>
      <c r="I247" s="64">
        <f>9.0214 * CHOOSE(CONTROL!$C$22, $C$13, 100%, $E$13)</f>
        <v>9.0213999999999999</v>
      </c>
      <c r="J247" s="64">
        <f>5.304 * CHOOSE(CONTROL!$C$22, $C$13, 100%, $E$13)</f>
        <v>5.3040000000000003</v>
      </c>
      <c r="K247" s="64">
        <f>5.304 * CHOOSE(CONTROL!$C$22, $C$13, 100%, $E$13)</f>
        <v>5.3040000000000003</v>
      </c>
    </row>
    <row r="248" spans="1:11" ht="15">
      <c r="A248" s="13">
        <v>49035</v>
      </c>
      <c r="B248" s="63">
        <f>4.3861 * CHOOSE(CONTROL!$C$22, $C$13, 100%, $E$13)</f>
        <v>4.3860999999999999</v>
      </c>
      <c r="C248" s="63">
        <f>4.3861 * CHOOSE(CONTROL!$C$22, $C$13, 100%, $E$13)</f>
        <v>4.3860999999999999</v>
      </c>
      <c r="D248" s="63">
        <f>4.3861 * CHOOSE(CONTROL!$C$22, $C$13, 100%, $E$13)</f>
        <v>4.3860999999999999</v>
      </c>
      <c r="E248" s="64">
        <f>5.3707 * CHOOSE(CONTROL!$C$22, $C$13, 100%, $E$13)</f>
        <v>5.3707000000000003</v>
      </c>
      <c r="F248" s="64">
        <f>5.3707 * CHOOSE(CONTROL!$C$22, $C$13, 100%, $E$13)</f>
        <v>5.3707000000000003</v>
      </c>
      <c r="G248" s="64">
        <f>5.3707 * CHOOSE(CONTROL!$C$22, $C$13, 100%, $E$13)</f>
        <v>5.3707000000000003</v>
      </c>
      <c r="H248" s="64">
        <f>9.0401* CHOOSE(CONTROL!$C$22, $C$13, 100%, $E$13)</f>
        <v>9.0401000000000007</v>
      </c>
      <c r="I248" s="64">
        <f>9.0402 * CHOOSE(CONTROL!$C$22, $C$13, 100%, $E$13)</f>
        <v>9.0402000000000005</v>
      </c>
      <c r="J248" s="64">
        <f>5.3707 * CHOOSE(CONTROL!$C$22, $C$13, 100%, $E$13)</f>
        <v>5.3707000000000003</v>
      </c>
      <c r="K248" s="64">
        <f>5.3707 * CHOOSE(CONTROL!$C$22, $C$13, 100%, $E$13)</f>
        <v>5.3707000000000003</v>
      </c>
    </row>
    <row r="249" spans="1:11" ht="15">
      <c r="A249" s="13">
        <v>49065</v>
      </c>
      <c r="B249" s="63">
        <f>4.3861 * CHOOSE(CONTROL!$C$22, $C$13, 100%, $E$13)</f>
        <v>4.3860999999999999</v>
      </c>
      <c r="C249" s="63">
        <f>4.3861 * CHOOSE(CONTROL!$C$22, $C$13, 100%, $E$13)</f>
        <v>4.3860999999999999</v>
      </c>
      <c r="D249" s="63">
        <f>4.399 * CHOOSE(CONTROL!$C$22, $C$13, 100%, $E$13)</f>
        <v>4.399</v>
      </c>
      <c r="E249" s="64">
        <f>5.3973 * CHOOSE(CONTROL!$C$22, $C$13, 100%, $E$13)</f>
        <v>5.3973000000000004</v>
      </c>
      <c r="F249" s="64">
        <f>5.3973 * CHOOSE(CONTROL!$C$22, $C$13, 100%, $E$13)</f>
        <v>5.3973000000000004</v>
      </c>
      <c r="G249" s="64">
        <f>5.4129 * CHOOSE(CONTROL!$C$22, $C$13, 100%, $E$13)</f>
        <v>5.4128999999999996</v>
      </c>
      <c r="H249" s="64">
        <f>9.059* CHOOSE(CONTROL!$C$22, $C$13, 100%, $E$13)</f>
        <v>9.0589999999999993</v>
      </c>
      <c r="I249" s="64">
        <f>9.0746 * CHOOSE(CONTROL!$C$22, $C$13, 100%, $E$13)</f>
        <v>9.0746000000000002</v>
      </c>
      <c r="J249" s="64">
        <f>5.3973 * CHOOSE(CONTROL!$C$22, $C$13, 100%, $E$13)</f>
        <v>5.3973000000000004</v>
      </c>
      <c r="K249" s="64">
        <f>5.4129 * CHOOSE(CONTROL!$C$22, $C$13, 100%, $E$13)</f>
        <v>5.4128999999999996</v>
      </c>
    </row>
    <row r="250" spans="1:11" ht="15">
      <c r="A250" s="13">
        <v>49096</v>
      </c>
      <c r="B250" s="63">
        <f>4.3921 * CHOOSE(CONTROL!$C$22, $C$13, 100%, $E$13)</f>
        <v>4.3921000000000001</v>
      </c>
      <c r="C250" s="63">
        <f>4.3921 * CHOOSE(CONTROL!$C$22, $C$13, 100%, $E$13)</f>
        <v>4.3921000000000001</v>
      </c>
      <c r="D250" s="63">
        <f>4.4051 * CHOOSE(CONTROL!$C$22, $C$13, 100%, $E$13)</f>
        <v>4.4051</v>
      </c>
      <c r="E250" s="64">
        <f>5.3749 * CHOOSE(CONTROL!$C$22, $C$13, 100%, $E$13)</f>
        <v>5.3749000000000002</v>
      </c>
      <c r="F250" s="64">
        <f>5.3749 * CHOOSE(CONTROL!$C$22, $C$13, 100%, $E$13)</f>
        <v>5.3749000000000002</v>
      </c>
      <c r="G250" s="64">
        <f>5.3906 * CHOOSE(CONTROL!$C$22, $C$13, 100%, $E$13)</f>
        <v>5.3906000000000001</v>
      </c>
      <c r="H250" s="64">
        <f>9.0778* CHOOSE(CONTROL!$C$22, $C$13, 100%, $E$13)</f>
        <v>9.0777999999999999</v>
      </c>
      <c r="I250" s="64">
        <f>9.0935 * CHOOSE(CONTROL!$C$22, $C$13, 100%, $E$13)</f>
        <v>9.0935000000000006</v>
      </c>
      <c r="J250" s="64">
        <f>5.3749 * CHOOSE(CONTROL!$C$22, $C$13, 100%, $E$13)</f>
        <v>5.3749000000000002</v>
      </c>
      <c r="K250" s="64">
        <f>5.3906 * CHOOSE(CONTROL!$C$22, $C$13, 100%, $E$13)</f>
        <v>5.3906000000000001</v>
      </c>
    </row>
    <row r="251" spans="1:11" ht="15">
      <c r="A251" s="13">
        <v>49126</v>
      </c>
      <c r="B251" s="63">
        <f>4.4705 * CHOOSE(CONTROL!$C$22, $C$13, 100%, $E$13)</f>
        <v>4.4705000000000004</v>
      </c>
      <c r="C251" s="63">
        <f>4.4705 * CHOOSE(CONTROL!$C$22, $C$13, 100%, $E$13)</f>
        <v>4.4705000000000004</v>
      </c>
      <c r="D251" s="63">
        <f>4.4834 * CHOOSE(CONTROL!$C$22, $C$13, 100%, $E$13)</f>
        <v>4.4833999999999996</v>
      </c>
      <c r="E251" s="64">
        <f>5.4902 * CHOOSE(CONTROL!$C$22, $C$13, 100%, $E$13)</f>
        <v>5.4901999999999997</v>
      </c>
      <c r="F251" s="64">
        <f>5.4902 * CHOOSE(CONTROL!$C$22, $C$13, 100%, $E$13)</f>
        <v>5.4901999999999997</v>
      </c>
      <c r="G251" s="64">
        <f>5.5059 * CHOOSE(CONTROL!$C$22, $C$13, 100%, $E$13)</f>
        <v>5.5058999999999996</v>
      </c>
      <c r="H251" s="64">
        <f>9.0967* CHOOSE(CONTROL!$C$22, $C$13, 100%, $E$13)</f>
        <v>9.0967000000000002</v>
      </c>
      <c r="I251" s="64">
        <f>9.1124 * CHOOSE(CONTROL!$C$22, $C$13, 100%, $E$13)</f>
        <v>9.1123999999999992</v>
      </c>
      <c r="J251" s="64">
        <f>5.4902 * CHOOSE(CONTROL!$C$22, $C$13, 100%, $E$13)</f>
        <v>5.4901999999999997</v>
      </c>
      <c r="K251" s="64">
        <f>5.5059 * CHOOSE(CONTROL!$C$22, $C$13, 100%, $E$13)</f>
        <v>5.5058999999999996</v>
      </c>
    </row>
    <row r="252" spans="1:11" ht="15">
      <c r="A252" s="13">
        <v>49157</v>
      </c>
      <c r="B252" s="63">
        <f>4.4771 * CHOOSE(CONTROL!$C$22, $C$13, 100%, $E$13)</f>
        <v>4.4771000000000001</v>
      </c>
      <c r="C252" s="63">
        <f>4.4771 * CHOOSE(CONTROL!$C$22, $C$13, 100%, $E$13)</f>
        <v>4.4771000000000001</v>
      </c>
      <c r="D252" s="63">
        <f>4.4901 * CHOOSE(CONTROL!$C$22, $C$13, 100%, $E$13)</f>
        <v>4.4901</v>
      </c>
      <c r="E252" s="64">
        <f>5.4151 * CHOOSE(CONTROL!$C$22, $C$13, 100%, $E$13)</f>
        <v>5.4150999999999998</v>
      </c>
      <c r="F252" s="64">
        <f>5.4151 * CHOOSE(CONTROL!$C$22, $C$13, 100%, $E$13)</f>
        <v>5.4150999999999998</v>
      </c>
      <c r="G252" s="64">
        <f>5.4307 * CHOOSE(CONTROL!$C$22, $C$13, 100%, $E$13)</f>
        <v>5.4306999999999999</v>
      </c>
      <c r="H252" s="64">
        <f>9.1157* CHOOSE(CONTROL!$C$22, $C$13, 100%, $E$13)</f>
        <v>9.1157000000000004</v>
      </c>
      <c r="I252" s="64">
        <f>9.1314 * CHOOSE(CONTROL!$C$22, $C$13, 100%, $E$13)</f>
        <v>9.1313999999999993</v>
      </c>
      <c r="J252" s="64">
        <f>5.4151 * CHOOSE(CONTROL!$C$22, $C$13, 100%, $E$13)</f>
        <v>5.4150999999999998</v>
      </c>
      <c r="K252" s="64">
        <f>5.4307 * CHOOSE(CONTROL!$C$22, $C$13, 100%, $E$13)</f>
        <v>5.4306999999999999</v>
      </c>
    </row>
    <row r="253" spans="1:11" ht="15">
      <c r="A253" s="13">
        <v>49188</v>
      </c>
      <c r="B253" s="63">
        <f>4.4741 * CHOOSE(CONTROL!$C$22, $C$13, 100%, $E$13)</f>
        <v>4.4741</v>
      </c>
      <c r="C253" s="63">
        <f>4.4741 * CHOOSE(CONTROL!$C$22, $C$13, 100%, $E$13)</f>
        <v>4.4741</v>
      </c>
      <c r="D253" s="63">
        <f>4.4871 * CHOOSE(CONTROL!$C$22, $C$13, 100%, $E$13)</f>
        <v>4.4870999999999999</v>
      </c>
      <c r="E253" s="64">
        <f>5.4041 * CHOOSE(CONTROL!$C$22, $C$13, 100%, $E$13)</f>
        <v>5.4040999999999997</v>
      </c>
      <c r="F253" s="64">
        <f>5.4041 * CHOOSE(CONTROL!$C$22, $C$13, 100%, $E$13)</f>
        <v>5.4040999999999997</v>
      </c>
      <c r="G253" s="64">
        <f>5.4198 * CHOOSE(CONTROL!$C$22, $C$13, 100%, $E$13)</f>
        <v>5.4198000000000004</v>
      </c>
      <c r="H253" s="64">
        <f>9.1347* CHOOSE(CONTROL!$C$22, $C$13, 100%, $E$13)</f>
        <v>9.1347000000000005</v>
      </c>
      <c r="I253" s="64">
        <f>9.1504 * CHOOSE(CONTROL!$C$22, $C$13, 100%, $E$13)</f>
        <v>9.1503999999999994</v>
      </c>
      <c r="J253" s="64">
        <f>5.4041 * CHOOSE(CONTROL!$C$22, $C$13, 100%, $E$13)</f>
        <v>5.4040999999999997</v>
      </c>
      <c r="K253" s="64">
        <f>5.4198 * CHOOSE(CONTROL!$C$22, $C$13, 100%, $E$13)</f>
        <v>5.4198000000000004</v>
      </c>
    </row>
    <row r="254" spans="1:11" ht="15">
      <c r="A254" s="13">
        <v>49218</v>
      </c>
      <c r="B254" s="63">
        <f>4.4707 * CHOOSE(CONTROL!$C$22, $C$13, 100%, $E$13)</f>
        <v>4.4706999999999999</v>
      </c>
      <c r="C254" s="63">
        <f>4.4707 * CHOOSE(CONTROL!$C$22, $C$13, 100%, $E$13)</f>
        <v>4.4706999999999999</v>
      </c>
      <c r="D254" s="63">
        <f>4.4707 * CHOOSE(CONTROL!$C$22, $C$13, 100%, $E$13)</f>
        <v>4.4706999999999999</v>
      </c>
      <c r="E254" s="64">
        <f>5.4261 * CHOOSE(CONTROL!$C$22, $C$13, 100%, $E$13)</f>
        <v>5.4260999999999999</v>
      </c>
      <c r="F254" s="64">
        <f>5.4261 * CHOOSE(CONTROL!$C$22, $C$13, 100%, $E$13)</f>
        <v>5.4260999999999999</v>
      </c>
      <c r="G254" s="64">
        <f>5.4262 * CHOOSE(CONTROL!$C$22, $C$13, 100%, $E$13)</f>
        <v>5.4261999999999997</v>
      </c>
      <c r="H254" s="64">
        <f>9.1537* CHOOSE(CONTROL!$C$22, $C$13, 100%, $E$13)</f>
        <v>9.1537000000000006</v>
      </c>
      <c r="I254" s="64">
        <f>9.1538 * CHOOSE(CONTROL!$C$22, $C$13, 100%, $E$13)</f>
        <v>9.1538000000000004</v>
      </c>
      <c r="J254" s="64">
        <f>5.4261 * CHOOSE(CONTROL!$C$22, $C$13, 100%, $E$13)</f>
        <v>5.4260999999999999</v>
      </c>
      <c r="K254" s="64">
        <f>5.4262 * CHOOSE(CONTROL!$C$22, $C$13, 100%, $E$13)</f>
        <v>5.4261999999999997</v>
      </c>
    </row>
    <row r="255" spans="1:11" ht="15">
      <c r="A255" s="13">
        <v>49249</v>
      </c>
      <c r="B255" s="63">
        <f>4.4738 * CHOOSE(CONTROL!$C$22, $C$13, 100%, $E$13)</f>
        <v>4.4737999999999998</v>
      </c>
      <c r="C255" s="63">
        <f>4.4738 * CHOOSE(CONTROL!$C$22, $C$13, 100%, $E$13)</f>
        <v>4.4737999999999998</v>
      </c>
      <c r="D255" s="63">
        <f>4.4738 * CHOOSE(CONTROL!$C$22, $C$13, 100%, $E$13)</f>
        <v>4.4737999999999998</v>
      </c>
      <c r="E255" s="64">
        <f>5.446 * CHOOSE(CONTROL!$C$22, $C$13, 100%, $E$13)</f>
        <v>5.4459999999999997</v>
      </c>
      <c r="F255" s="64">
        <f>5.446 * CHOOSE(CONTROL!$C$22, $C$13, 100%, $E$13)</f>
        <v>5.4459999999999997</v>
      </c>
      <c r="G255" s="64">
        <f>5.4461 * CHOOSE(CONTROL!$C$22, $C$13, 100%, $E$13)</f>
        <v>5.4461000000000004</v>
      </c>
      <c r="H255" s="64">
        <f>9.1728* CHOOSE(CONTROL!$C$22, $C$13, 100%, $E$13)</f>
        <v>9.1728000000000005</v>
      </c>
      <c r="I255" s="64">
        <f>9.1729 * CHOOSE(CONTROL!$C$22, $C$13, 100%, $E$13)</f>
        <v>9.1729000000000003</v>
      </c>
      <c r="J255" s="64">
        <f>5.446 * CHOOSE(CONTROL!$C$22, $C$13, 100%, $E$13)</f>
        <v>5.4459999999999997</v>
      </c>
      <c r="K255" s="64">
        <f>5.4461 * CHOOSE(CONTROL!$C$22, $C$13, 100%, $E$13)</f>
        <v>5.4461000000000004</v>
      </c>
    </row>
    <row r="256" spans="1:11" ht="15">
      <c r="A256" s="13">
        <v>49279</v>
      </c>
      <c r="B256" s="63">
        <f>4.4738 * CHOOSE(CONTROL!$C$22, $C$13, 100%, $E$13)</f>
        <v>4.4737999999999998</v>
      </c>
      <c r="C256" s="63">
        <f>4.4738 * CHOOSE(CONTROL!$C$22, $C$13, 100%, $E$13)</f>
        <v>4.4737999999999998</v>
      </c>
      <c r="D256" s="63">
        <f>4.4738 * CHOOSE(CONTROL!$C$22, $C$13, 100%, $E$13)</f>
        <v>4.4737999999999998</v>
      </c>
      <c r="E256" s="64">
        <f>5.4016 * CHOOSE(CONTROL!$C$22, $C$13, 100%, $E$13)</f>
        <v>5.4016000000000002</v>
      </c>
      <c r="F256" s="64">
        <f>5.4016 * CHOOSE(CONTROL!$C$22, $C$13, 100%, $E$13)</f>
        <v>5.4016000000000002</v>
      </c>
      <c r="G256" s="64">
        <f>5.4017 * CHOOSE(CONTROL!$C$22, $C$13, 100%, $E$13)</f>
        <v>5.4016999999999999</v>
      </c>
      <c r="H256" s="64">
        <f>9.1919* CHOOSE(CONTROL!$C$22, $C$13, 100%, $E$13)</f>
        <v>9.1919000000000004</v>
      </c>
      <c r="I256" s="64">
        <f>9.192 * CHOOSE(CONTROL!$C$22, $C$13, 100%, $E$13)</f>
        <v>9.1920000000000002</v>
      </c>
      <c r="J256" s="64">
        <f>5.4016 * CHOOSE(CONTROL!$C$22, $C$13, 100%, $E$13)</f>
        <v>5.4016000000000002</v>
      </c>
      <c r="K256" s="64">
        <f>5.4017 * CHOOSE(CONTROL!$C$22, $C$13, 100%, $E$13)</f>
        <v>5.4016999999999999</v>
      </c>
    </row>
    <row r="257" spans="1:11" ht="15">
      <c r="A257" s="13">
        <v>49310</v>
      </c>
      <c r="B257" s="63">
        <f>4.515 * CHOOSE(CONTROL!$C$22, $C$13, 100%, $E$13)</f>
        <v>4.5149999999999997</v>
      </c>
      <c r="C257" s="63">
        <f>4.515 * CHOOSE(CONTROL!$C$22, $C$13, 100%, $E$13)</f>
        <v>4.5149999999999997</v>
      </c>
      <c r="D257" s="63">
        <f>4.515 * CHOOSE(CONTROL!$C$22, $C$13, 100%, $E$13)</f>
        <v>4.5149999999999997</v>
      </c>
      <c r="E257" s="64">
        <f>5.4889 * CHOOSE(CONTROL!$C$22, $C$13, 100%, $E$13)</f>
        <v>5.4889000000000001</v>
      </c>
      <c r="F257" s="64">
        <f>5.4889 * CHOOSE(CONTROL!$C$22, $C$13, 100%, $E$13)</f>
        <v>5.4889000000000001</v>
      </c>
      <c r="G257" s="64">
        <f>5.4889 * CHOOSE(CONTROL!$C$22, $C$13, 100%, $E$13)</f>
        <v>5.4889000000000001</v>
      </c>
      <c r="H257" s="64">
        <f>9.211* CHOOSE(CONTROL!$C$22, $C$13, 100%, $E$13)</f>
        <v>9.2110000000000003</v>
      </c>
      <c r="I257" s="64">
        <f>9.2111 * CHOOSE(CONTROL!$C$22, $C$13, 100%, $E$13)</f>
        <v>9.2111000000000001</v>
      </c>
      <c r="J257" s="64">
        <f>5.4889 * CHOOSE(CONTROL!$C$22, $C$13, 100%, $E$13)</f>
        <v>5.4889000000000001</v>
      </c>
      <c r="K257" s="64">
        <f>5.4889 * CHOOSE(CONTROL!$C$22, $C$13, 100%, $E$13)</f>
        <v>5.4889000000000001</v>
      </c>
    </row>
    <row r="258" spans="1:11" ht="15">
      <c r="A258" s="13">
        <v>49341</v>
      </c>
      <c r="B258" s="63">
        <f>4.5119 * CHOOSE(CONTROL!$C$22, $C$13, 100%, $E$13)</f>
        <v>4.5118999999999998</v>
      </c>
      <c r="C258" s="63">
        <f>4.5119 * CHOOSE(CONTROL!$C$22, $C$13, 100%, $E$13)</f>
        <v>4.5118999999999998</v>
      </c>
      <c r="D258" s="63">
        <f>4.5119 * CHOOSE(CONTROL!$C$22, $C$13, 100%, $E$13)</f>
        <v>4.5118999999999998</v>
      </c>
      <c r="E258" s="64">
        <f>5.4007 * CHOOSE(CONTROL!$C$22, $C$13, 100%, $E$13)</f>
        <v>5.4006999999999996</v>
      </c>
      <c r="F258" s="64">
        <f>5.4007 * CHOOSE(CONTROL!$C$22, $C$13, 100%, $E$13)</f>
        <v>5.4006999999999996</v>
      </c>
      <c r="G258" s="64">
        <f>5.4008 * CHOOSE(CONTROL!$C$22, $C$13, 100%, $E$13)</f>
        <v>5.4008000000000003</v>
      </c>
      <c r="H258" s="64">
        <f>9.2302* CHOOSE(CONTROL!$C$22, $C$13, 100%, $E$13)</f>
        <v>9.2302</v>
      </c>
      <c r="I258" s="64">
        <f>9.2303 * CHOOSE(CONTROL!$C$22, $C$13, 100%, $E$13)</f>
        <v>9.2302999999999997</v>
      </c>
      <c r="J258" s="64">
        <f>5.4007 * CHOOSE(CONTROL!$C$22, $C$13, 100%, $E$13)</f>
        <v>5.4006999999999996</v>
      </c>
      <c r="K258" s="64">
        <f>5.4008 * CHOOSE(CONTROL!$C$22, $C$13, 100%, $E$13)</f>
        <v>5.4008000000000003</v>
      </c>
    </row>
    <row r="259" spans="1:11" ht="15">
      <c r="A259" s="13">
        <v>49369</v>
      </c>
      <c r="B259" s="63">
        <f>4.5089 * CHOOSE(CONTROL!$C$22, $C$13, 100%, $E$13)</f>
        <v>4.5088999999999997</v>
      </c>
      <c r="C259" s="63">
        <f>4.5089 * CHOOSE(CONTROL!$C$22, $C$13, 100%, $E$13)</f>
        <v>4.5088999999999997</v>
      </c>
      <c r="D259" s="63">
        <f>4.5089 * CHOOSE(CONTROL!$C$22, $C$13, 100%, $E$13)</f>
        <v>4.5088999999999997</v>
      </c>
      <c r="E259" s="64">
        <f>5.4664 * CHOOSE(CONTROL!$C$22, $C$13, 100%, $E$13)</f>
        <v>5.4664000000000001</v>
      </c>
      <c r="F259" s="64">
        <f>5.4664 * CHOOSE(CONTROL!$C$22, $C$13, 100%, $E$13)</f>
        <v>5.4664000000000001</v>
      </c>
      <c r="G259" s="64">
        <f>5.4665 * CHOOSE(CONTROL!$C$22, $C$13, 100%, $E$13)</f>
        <v>5.4664999999999999</v>
      </c>
      <c r="H259" s="64">
        <f>9.2495* CHOOSE(CONTROL!$C$22, $C$13, 100%, $E$13)</f>
        <v>9.2494999999999994</v>
      </c>
      <c r="I259" s="64">
        <f>9.2495 * CHOOSE(CONTROL!$C$22, $C$13, 100%, $E$13)</f>
        <v>9.2494999999999994</v>
      </c>
      <c r="J259" s="64">
        <f>5.4664 * CHOOSE(CONTROL!$C$22, $C$13, 100%, $E$13)</f>
        <v>5.4664000000000001</v>
      </c>
      <c r="K259" s="64">
        <f>5.4665 * CHOOSE(CONTROL!$C$22, $C$13, 100%, $E$13)</f>
        <v>5.4664999999999999</v>
      </c>
    </row>
    <row r="260" spans="1:11" ht="15">
      <c r="A260" s="13">
        <v>49400</v>
      </c>
      <c r="B260" s="63">
        <f>4.507 * CHOOSE(CONTROL!$C$22, $C$13, 100%, $E$13)</f>
        <v>4.5069999999999997</v>
      </c>
      <c r="C260" s="63">
        <f>4.507 * CHOOSE(CONTROL!$C$22, $C$13, 100%, $E$13)</f>
        <v>4.5069999999999997</v>
      </c>
      <c r="D260" s="63">
        <f>4.507 * CHOOSE(CONTROL!$C$22, $C$13, 100%, $E$13)</f>
        <v>4.5069999999999997</v>
      </c>
      <c r="E260" s="64">
        <f>5.535 * CHOOSE(CONTROL!$C$22, $C$13, 100%, $E$13)</f>
        <v>5.5350000000000001</v>
      </c>
      <c r="F260" s="64">
        <f>5.535 * CHOOSE(CONTROL!$C$22, $C$13, 100%, $E$13)</f>
        <v>5.5350000000000001</v>
      </c>
      <c r="G260" s="64">
        <f>5.5351 * CHOOSE(CONTROL!$C$22, $C$13, 100%, $E$13)</f>
        <v>5.5350999999999999</v>
      </c>
      <c r="H260" s="64">
        <f>9.2687* CHOOSE(CONTROL!$C$22, $C$13, 100%, $E$13)</f>
        <v>9.2687000000000008</v>
      </c>
      <c r="I260" s="64">
        <f>9.2688 * CHOOSE(CONTROL!$C$22, $C$13, 100%, $E$13)</f>
        <v>9.2688000000000006</v>
      </c>
      <c r="J260" s="64">
        <f>5.535 * CHOOSE(CONTROL!$C$22, $C$13, 100%, $E$13)</f>
        <v>5.5350000000000001</v>
      </c>
      <c r="K260" s="64">
        <f>5.5351 * CHOOSE(CONTROL!$C$22, $C$13, 100%, $E$13)</f>
        <v>5.5350999999999999</v>
      </c>
    </row>
    <row r="261" spans="1:11" ht="15">
      <c r="A261" s="13">
        <v>49430</v>
      </c>
      <c r="B261" s="63">
        <f>4.507 * CHOOSE(CONTROL!$C$22, $C$13, 100%, $E$13)</f>
        <v>4.5069999999999997</v>
      </c>
      <c r="C261" s="63">
        <f>4.507 * CHOOSE(CONTROL!$C$22, $C$13, 100%, $E$13)</f>
        <v>4.5069999999999997</v>
      </c>
      <c r="D261" s="63">
        <f>4.52 * CHOOSE(CONTROL!$C$22, $C$13, 100%, $E$13)</f>
        <v>4.5199999999999996</v>
      </c>
      <c r="E261" s="64">
        <f>5.5623 * CHOOSE(CONTROL!$C$22, $C$13, 100%, $E$13)</f>
        <v>5.5622999999999996</v>
      </c>
      <c r="F261" s="64">
        <f>5.5623 * CHOOSE(CONTROL!$C$22, $C$13, 100%, $E$13)</f>
        <v>5.5622999999999996</v>
      </c>
      <c r="G261" s="64">
        <f>5.578 * CHOOSE(CONTROL!$C$22, $C$13, 100%, $E$13)</f>
        <v>5.5780000000000003</v>
      </c>
      <c r="H261" s="64">
        <f>9.288* CHOOSE(CONTROL!$C$22, $C$13, 100%, $E$13)</f>
        <v>9.2880000000000003</v>
      </c>
      <c r="I261" s="64">
        <f>9.3037 * CHOOSE(CONTROL!$C$22, $C$13, 100%, $E$13)</f>
        <v>9.3036999999999992</v>
      </c>
      <c r="J261" s="64">
        <f>5.5623 * CHOOSE(CONTROL!$C$22, $C$13, 100%, $E$13)</f>
        <v>5.5622999999999996</v>
      </c>
      <c r="K261" s="64">
        <f>5.578 * CHOOSE(CONTROL!$C$22, $C$13, 100%, $E$13)</f>
        <v>5.5780000000000003</v>
      </c>
    </row>
    <row r="262" spans="1:11" ht="15">
      <c r="A262" s="13">
        <v>49461</v>
      </c>
      <c r="B262" s="63">
        <f>4.5131 * CHOOSE(CONTROL!$C$22, $C$13, 100%, $E$13)</f>
        <v>4.5130999999999997</v>
      </c>
      <c r="C262" s="63">
        <f>4.5131 * CHOOSE(CONTROL!$C$22, $C$13, 100%, $E$13)</f>
        <v>4.5130999999999997</v>
      </c>
      <c r="D262" s="63">
        <f>4.526 * CHOOSE(CONTROL!$C$22, $C$13, 100%, $E$13)</f>
        <v>4.5259999999999998</v>
      </c>
      <c r="E262" s="64">
        <f>5.5393 * CHOOSE(CONTROL!$C$22, $C$13, 100%, $E$13)</f>
        <v>5.5392999999999999</v>
      </c>
      <c r="F262" s="64">
        <f>5.5393 * CHOOSE(CONTROL!$C$22, $C$13, 100%, $E$13)</f>
        <v>5.5392999999999999</v>
      </c>
      <c r="G262" s="64">
        <f>5.5549 * CHOOSE(CONTROL!$C$22, $C$13, 100%, $E$13)</f>
        <v>5.5548999999999999</v>
      </c>
      <c r="H262" s="64">
        <f>9.3074* CHOOSE(CONTROL!$C$22, $C$13, 100%, $E$13)</f>
        <v>9.3073999999999995</v>
      </c>
      <c r="I262" s="64">
        <f>9.3231 * CHOOSE(CONTROL!$C$22, $C$13, 100%, $E$13)</f>
        <v>9.3231000000000002</v>
      </c>
      <c r="J262" s="64">
        <f>5.5393 * CHOOSE(CONTROL!$C$22, $C$13, 100%, $E$13)</f>
        <v>5.5392999999999999</v>
      </c>
      <c r="K262" s="64">
        <f>5.5549 * CHOOSE(CONTROL!$C$22, $C$13, 100%, $E$13)</f>
        <v>5.5548999999999999</v>
      </c>
    </row>
    <row r="263" spans="1:11" ht="15">
      <c r="A263" s="13">
        <v>49491</v>
      </c>
      <c r="B263" s="63">
        <f>4.5909 * CHOOSE(CONTROL!$C$22, $C$13, 100%, $E$13)</f>
        <v>4.5909000000000004</v>
      </c>
      <c r="C263" s="63">
        <f>4.5909 * CHOOSE(CONTROL!$C$22, $C$13, 100%, $E$13)</f>
        <v>4.5909000000000004</v>
      </c>
      <c r="D263" s="63">
        <f>4.6038 * CHOOSE(CONTROL!$C$22, $C$13, 100%, $E$13)</f>
        <v>4.6037999999999997</v>
      </c>
      <c r="E263" s="64">
        <f>5.6624 * CHOOSE(CONTROL!$C$22, $C$13, 100%, $E$13)</f>
        <v>5.6623999999999999</v>
      </c>
      <c r="F263" s="64">
        <f>5.6624 * CHOOSE(CONTROL!$C$22, $C$13, 100%, $E$13)</f>
        <v>5.6623999999999999</v>
      </c>
      <c r="G263" s="64">
        <f>5.6781 * CHOOSE(CONTROL!$C$22, $C$13, 100%, $E$13)</f>
        <v>5.6780999999999997</v>
      </c>
      <c r="H263" s="64">
        <f>9.3268* CHOOSE(CONTROL!$C$22, $C$13, 100%, $E$13)</f>
        <v>9.3268000000000004</v>
      </c>
      <c r="I263" s="64">
        <f>9.3425 * CHOOSE(CONTROL!$C$22, $C$13, 100%, $E$13)</f>
        <v>9.3424999999999994</v>
      </c>
      <c r="J263" s="64">
        <f>5.6624 * CHOOSE(CONTROL!$C$22, $C$13, 100%, $E$13)</f>
        <v>5.6623999999999999</v>
      </c>
      <c r="K263" s="64">
        <f>5.6781 * CHOOSE(CONTROL!$C$22, $C$13, 100%, $E$13)</f>
        <v>5.6780999999999997</v>
      </c>
    </row>
    <row r="264" spans="1:11" ht="15">
      <c r="A264" s="13">
        <v>49522</v>
      </c>
      <c r="B264" s="63">
        <f>4.5975 * CHOOSE(CONTROL!$C$22, $C$13, 100%, $E$13)</f>
        <v>4.5975000000000001</v>
      </c>
      <c r="C264" s="63">
        <f>4.5975 * CHOOSE(CONTROL!$C$22, $C$13, 100%, $E$13)</f>
        <v>4.5975000000000001</v>
      </c>
      <c r="D264" s="63">
        <f>4.6105 * CHOOSE(CONTROL!$C$22, $C$13, 100%, $E$13)</f>
        <v>4.6105</v>
      </c>
      <c r="E264" s="64">
        <f>5.5851 * CHOOSE(CONTROL!$C$22, $C$13, 100%, $E$13)</f>
        <v>5.5850999999999997</v>
      </c>
      <c r="F264" s="64">
        <f>5.5851 * CHOOSE(CONTROL!$C$22, $C$13, 100%, $E$13)</f>
        <v>5.5850999999999997</v>
      </c>
      <c r="G264" s="64">
        <f>5.6008 * CHOOSE(CONTROL!$C$22, $C$13, 100%, $E$13)</f>
        <v>5.6007999999999996</v>
      </c>
      <c r="H264" s="64">
        <f>9.3462* CHOOSE(CONTROL!$C$22, $C$13, 100%, $E$13)</f>
        <v>9.3461999999999996</v>
      </c>
      <c r="I264" s="64">
        <f>9.3619 * CHOOSE(CONTROL!$C$22, $C$13, 100%, $E$13)</f>
        <v>9.3619000000000003</v>
      </c>
      <c r="J264" s="64">
        <f>5.5851 * CHOOSE(CONTROL!$C$22, $C$13, 100%, $E$13)</f>
        <v>5.5850999999999997</v>
      </c>
      <c r="K264" s="64">
        <f>5.6008 * CHOOSE(CONTROL!$C$22, $C$13, 100%, $E$13)</f>
        <v>5.6007999999999996</v>
      </c>
    </row>
    <row r="265" spans="1:11" ht="15">
      <c r="A265" s="13">
        <v>49553</v>
      </c>
      <c r="B265" s="63">
        <f>4.5945 * CHOOSE(CONTROL!$C$22, $C$13, 100%, $E$13)</f>
        <v>4.5945</v>
      </c>
      <c r="C265" s="63">
        <f>4.5945 * CHOOSE(CONTROL!$C$22, $C$13, 100%, $E$13)</f>
        <v>4.5945</v>
      </c>
      <c r="D265" s="63">
        <f>4.6075 * CHOOSE(CONTROL!$C$22, $C$13, 100%, $E$13)</f>
        <v>4.6074999999999999</v>
      </c>
      <c r="E265" s="64">
        <f>5.5739 * CHOOSE(CONTROL!$C$22, $C$13, 100%, $E$13)</f>
        <v>5.5739000000000001</v>
      </c>
      <c r="F265" s="64">
        <f>5.5739 * CHOOSE(CONTROL!$C$22, $C$13, 100%, $E$13)</f>
        <v>5.5739000000000001</v>
      </c>
      <c r="G265" s="64">
        <f>5.5895 * CHOOSE(CONTROL!$C$22, $C$13, 100%, $E$13)</f>
        <v>5.5895000000000001</v>
      </c>
      <c r="H265" s="64">
        <f>9.3657* CHOOSE(CONTROL!$C$22, $C$13, 100%, $E$13)</f>
        <v>9.3657000000000004</v>
      </c>
      <c r="I265" s="64">
        <f>9.3814 * CHOOSE(CONTROL!$C$22, $C$13, 100%, $E$13)</f>
        <v>9.3813999999999993</v>
      </c>
      <c r="J265" s="64">
        <f>5.5739 * CHOOSE(CONTROL!$C$22, $C$13, 100%, $E$13)</f>
        <v>5.5739000000000001</v>
      </c>
      <c r="K265" s="64">
        <f>5.5895 * CHOOSE(CONTROL!$C$22, $C$13, 100%, $E$13)</f>
        <v>5.5895000000000001</v>
      </c>
    </row>
    <row r="266" spans="1:11" ht="15">
      <c r="A266" s="13">
        <v>49583</v>
      </c>
      <c r="B266" s="63">
        <f>4.5915 * CHOOSE(CONTROL!$C$22, $C$13, 100%, $E$13)</f>
        <v>4.5914999999999999</v>
      </c>
      <c r="C266" s="63">
        <f>4.5915 * CHOOSE(CONTROL!$C$22, $C$13, 100%, $E$13)</f>
        <v>4.5914999999999999</v>
      </c>
      <c r="D266" s="63">
        <f>4.5915 * CHOOSE(CONTROL!$C$22, $C$13, 100%, $E$13)</f>
        <v>4.5914999999999999</v>
      </c>
      <c r="E266" s="64">
        <f>5.5969 * CHOOSE(CONTROL!$C$22, $C$13, 100%, $E$13)</f>
        <v>5.5968999999999998</v>
      </c>
      <c r="F266" s="64">
        <f>5.5969 * CHOOSE(CONTROL!$C$22, $C$13, 100%, $E$13)</f>
        <v>5.5968999999999998</v>
      </c>
      <c r="G266" s="64">
        <f>5.5969 * CHOOSE(CONTROL!$C$22, $C$13, 100%, $E$13)</f>
        <v>5.5968999999999998</v>
      </c>
      <c r="H266" s="64">
        <f>9.3852* CHOOSE(CONTROL!$C$22, $C$13, 100%, $E$13)</f>
        <v>9.3851999999999993</v>
      </c>
      <c r="I266" s="64">
        <f>9.3853 * CHOOSE(CONTROL!$C$22, $C$13, 100%, $E$13)</f>
        <v>9.3853000000000009</v>
      </c>
      <c r="J266" s="64">
        <f>5.5969 * CHOOSE(CONTROL!$C$22, $C$13, 100%, $E$13)</f>
        <v>5.5968999999999998</v>
      </c>
      <c r="K266" s="64">
        <f>5.5969 * CHOOSE(CONTROL!$C$22, $C$13, 100%, $E$13)</f>
        <v>5.5968999999999998</v>
      </c>
    </row>
    <row r="267" spans="1:11" ht="15">
      <c r="A267" s="13">
        <v>49614</v>
      </c>
      <c r="B267" s="63">
        <f>4.5946 * CHOOSE(CONTROL!$C$22, $C$13, 100%, $E$13)</f>
        <v>4.5945999999999998</v>
      </c>
      <c r="C267" s="63">
        <f>4.5946 * CHOOSE(CONTROL!$C$22, $C$13, 100%, $E$13)</f>
        <v>4.5945999999999998</v>
      </c>
      <c r="D267" s="63">
        <f>4.5946 * CHOOSE(CONTROL!$C$22, $C$13, 100%, $E$13)</f>
        <v>4.5945999999999998</v>
      </c>
      <c r="E267" s="64">
        <f>5.6172 * CHOOSE(CONTROL!$C$22, $C$13, 100%, $E$13)</f>
        <v>5.6172000000000004</v>
      </c>
      <c r="F267" s="64">
        <f>5.6172 * CHOOSE(CONTROL!$C$22, $C$13, 100%, $E$13)</f>
        <v>5.6172000000000004</v>
      </c>
      <c r="G267" s="64">
        <f>5.6173 * CHOOSE(CONTROL!$C$22, $C$13, 100%, $E$13)</f>
        <v>5.6173000000000002</v>
      </c>
      <c r="H267" s="64">
        <f>9.4047* CHOOSE(CONTROL!$C$22, $C$13, 100%, $E$13)</f>
        <v>9.4047000000000001</v>
      </c>
      <c r="I267" s="64">
        <f>9.4048 * CHOOSE(CONTROL!$C$22, $C$13, 100%, $E$13)</f>
        <v>9.4047999999999998</v>
      </c>
      <c r="J267" s="64">
        <f>5.6172 * CHOOSE(CONTROL!$C$22, $C$13, 100%, $E$13)</f>
        <v>5.6172000000000004</v>
      </c>
      <c r="K267" s="64">
        <f>5.6173 * CHOOSE(CONTROL!$C$22, $C$13, 100%, $E$13)</f>
        <v>5.6173000000000002</v>
      </c>
    </row>
    <row r="268" spans="1:11" ht="15">
      <c r="A268" s="13">
        <v>49644</v>
      </c>
      <c r="B268" s="63">
        <f>4.5946 * CHOOSE(CONTROL!$C$22, $C$13, 100%, $E$13)</f>
        <v>4.5945999999999998</v>
      </c>
      <c r="C268" s="63">
        <f>4.5946 * CHOOSE(CONTROL!$C$22, $C$13, 100%, $E$13)</f>
        <v>4.5945999999999998</v>
      </c>
      <c r="D268" s="63">
        <f>4.5946 * CHOOSE(CONTROL!$C$22, $C$13, 100%, $E$13)</f>
        <v>4.5945999999999998</v>
      </c>
      <c r="E268" s="64">
        <f>5.5717 * CHOOSE(CONTROL!$C$22, $C$13, 100%, $E$13)</f>
        <v>5.5716999999999999</v>
      </c>
      <c r="F268" s="64">
        <f>5.5717 * CHOOSE(CONTROL!$C$22, $C$13, 100%, $E$13)</f>
        <v>5.5716999999999999</v>
      </c>
      <c r="G268" s="64">
        <f>5.5717 * CHOOSE(CONTROL!$C$22, $C$13, 100%, $E$13)</f>
        <v>5.5716999999999999</v>
      </c>
      <c r="H268" s="64">
        <f>9.4243* CHOOSE(CONTROL!$C$22, $C$13, 100%, $E$13)</f>
        <v>9.4243000000000006</v>
      </c>
      <c r="I268" s="64">
        <f>9.4244 * CHOOSE(CONTROL!$C$22, $C$13, 100%, $E$13)</f>
        <v>9.4244000000000003</v>
      </c>
      <c r="J268" s="64">
        <f>5.5717 * CHOOSE(CONTROL!$C$22, $C$13, 100%, $E$13)</f>
        <v>5.5716999999999999</v>
      </c>
      <c r="K268" s="64">
        <f>5.5717 * CHOOSE(CONTROL!$C$22, $C$13, 100%, $E$13)</f>
        <v>5.5716999999999999</v>
      </c>
    </row>
    <row r="269" spans="1:11" ht="15">
      <c r="A269" s="13">
        <v>49675</v>
      </c>
      <c r="B269" s="63">
        <f>4.6362 * CHOOSE(CONTROL!$C$22, $C$13, 100%, $E$13)</f>
        <v>4.6361999999999997</v>
      </c>
      <c r="C269" s="63">
        <f>4.6362 * CHOOSE(CONTROL!$C$22, $C$13, 100%, $E$13)</f>
        <v>4.6361999999999997</v>
      </c>
      <c r="D269" s="63">
        <f>4.6362 * CHOOSE(CONTROL!$C$22, $C$13, 100%, $E$13)</f>
        <v>4.6361999999999997</v>
      </c>
      <c r="E269" s="64">
        <f>5.6558 * CHOOSE(CONTROL!$C$22, $C$13, 100%, $E$13)</f>
        <v>5.6558000000000002</v>
      </c>
      <c r="F269" s="64">
        <f>5.6558 * CHOOSE(CONTROL!$C$22, $C$13, 100%, $E$13)</f>
        <v>5.6558000000000002</v>
      </c>
      <c r="G269" s="64">
        <f>5.6559 * CHOOSE(CONTROL!$C$22, $C$13, 100%, $E$13)</f>
        <v>5.6558999999999999</v>
      </c>
      <c r="H269" s="64">
        <f>9.444* CHOOSE(CONTROL!$C$22, $C$13, 100%, $E$13)</f>
        <v>9.4440000000000008</v>
      </c>
      <c r="I269" s="64">
        <f>9.4441 * CHOOSE(CONTROL!$C$22, $C$13, 100%, $E$13)</f>
        <v>9.4441000000000006</v>
      </c>
      <c r="J269" s="64">
        <f>5.6558 * CHOOSE(CONTROL!$C$22, $C$13, 100%, $E$13)</f>
        <v>5.6558000000000002</v>
      </c>
      <c r="K269" s="64">
        <f>5.6559 * CHOOSE(CONTROL!$C$22, $C$13, 100%, $E$13)</f>
        <v>5.6558999999999999</v>
      </c>
    </row>
    <row r="270" spans="1:11" ht="15">
      <c r="A270" s="13">
        <v>49706</v>
      </c>
      <c r="B270" s="63">
        <f>4.6332 * CHOOSE(CONTROL!$C$22, $C$13, 100%, $E$13)</f>
        <v>4.6332000000000004</v>
      </c>
      <c r="C270" s="63">
        <f>4.6332 * CHOOSE(CONTROL!$C$22, $C$13, 100%, $E$13)</f>
        <v>4.6332000000000004</v>
      </c>
      <c r="D270" s="63">
        <f>4.6332 * CHOOSE(CONTROL!$C$22, $C$13, 100%, $E$13)</f>
        <v>4.6332000000000004</v>
      </c>
      <c r="E270" s="64">
        <f>5.5653 * CHOOSE(CONTROL!$C$22, $C$13, 100%, $E$13)</f>
        <v>5.5652999999999997</v>
      </c>
      <c r="F270" s="64">
        <f>5.5653 * CHOOSE(CONTROL!$C$22, $C$13, 100%, $E$13)</f>
        <v>5.5652999999999997</v>
      </c>
      <c r="G270" s="64">
        <f>5.5654 * CHOOSE(CONTROL!$C$22, $C$13, 100%, $E$13)</f>
        <v>5.5654000000000003</v>
      </c>
      <c r="H270" s="64">
        <f>9.4636* CHOOSE(CONTROL!$C$22, $C$13, 100%, $E$13)</f>
        <v>9.4635999999999996</v>
      </c>
      <c r="I270" s="64">
        <f>9.4637 * CHOOSE(CONTROL!$C$22, $C$13, 100%, $E$13)</f>
        <v>9.4636999999999993</v>
      </c>
      <c r="J270" s="64">
        <f>5.5653 * CHOOSE(CONTROL!$C$22, $C$13, 100%, $E$13)</f>
        <v>5.5652999999999997</v>
      </c>
      <c r="K270" s="64">
        <f>5.5654 * CHOOSE(CONTROL!$C$22, $C$13, 100%, $E$13)</f>
        <v>5.5654000000000003</v>
      </c>
    </row>
    <row r="271" spans="1:11" ht="15">
      <c r="A271" s="13">
        <v>49735</v>
      </c>
      <c r="B271" s="63">
        <f>4.6301 * CHOOSE(CONTROL!$C$22, $C$13, 100%, $E$13)</f>
        <v>4.6300999999999997</v>
      </c>
      <c r="C271" s="63">
        <f>4.6301 * CHOOSE(CONTROL!$C$22, $C$13, 100%, $E$13)</f>
        <v>4.6300999999999997</v>
      </c>
      <c r="D271" s="63">
        <f>4.6301 * CHOOSE(CONTROL!$C$22, $C$13, 100%, $E$13)</f>
        <v>4.6300999999999997</v>
      </c>
      <c r="E271" s="64">
        <f>5.6329 * CHOOSE(CONTROL!$C$22, $C$13, 100%, $E$13)</f>
        <v>5.6329000000000002</v>
      </c>
      <c r="F271" s="64">
        <f>5.6329 * CHOOSE(CONTROL!$C$22, $C$13, 100%, $E$13)</f>
        <v>5.6329000000000002</v>
      </c>
      <c r="G271" s="64">
        <f>5.633 * CHOOSE(CONTROL!$C$22, $C$13, 100%, $E$13)</f>
        <v>5.633</v>
      </c>
      <c r="H271" s="64">
        <f>9.4834* CHOOSE(CONTROL!$C$22, $C$13, 100%, $E$13)</f>
        <v>9.4833999999999996</v>
      </c>
      <c r="I271" s="64">
        <f>9.4834 * CHOOSE(CONTROL!$C$22, $C$13, 100%, $E$13)</f>
        <v>9.4833999999999996</v>
      </c>
      <c r="J271" s="64">
        <f>5.6329 * CHOOSE(CONTROL!$C$22, $C$13, 100%, $E$13)</f>
        <v>5.6329000000000002</v>
      </c>
      <c r="K271" s="64">
        <f>5.633 * CHOOSE(CONTROL!$C$22, $C$13, 100%, $E$13)</f>
        <v>5.633</v>
      </c>
    </row>
    <row r="272" spans="1:11" ht="15">
      <c r="A272" s="13">
        <v>49766</v>
      </c>
      <c r="B272" s="63">
        <f>4.6283 * CHOOSE(CONTROL!$C$22, $C$13, 100%, $E$13)</f>
        <v>4.6283000000000003</v>
      </c>
      <c r="C272" s="63">
        <f>4.6283 * CHOOSE(CONTROL!$C$22, $C$13, 100%, $E$13)</f>
        <v>4.6283000000000003</v>
      </c>
      <c r="D272" s="63">
        <f>4.6283 * CHOOSE(CONTROL!$C$22, $C$13, 100%, $E$13)</f>
        <v>4.6283000000000003</v>
      </c>
      <c r="E272" s="64">
        <f>5.7035 * CHOOSE(CONTROL!$C$22, $C$13, 100%, $E$13)</f>
        <v>5.7035</v>
      </c>
      <c r="F272" s="64">
        <f>5.7035 * CHOOSE(CONTROL!$C$22, $C$13, 100%, $E$13)</f>
        <v>5.7035</v>
      </c>
      <c r="G272" s="64">
        <f>5.7036 * CHOOSE(CONTROL!$C$22, $C$13, 100%, $E$13)</f>
        <v>5.7035999999999998</v>
      </c>
      <c r="H272" s="64">
        <f>9.5031* CHOOSE(CONTROL!$C$22, $C$13, 100%, $E$13)</f>
        <v>9.5030999999999999</v>
      </c>
      <c r="I272" s="64">
        <f>9.5032 * CHOOSE(CONTROL!$C$22, $C$13, 100%, $E$13)</f>
        <v>9.5031999999999996</v>
      </c>
      <c r="J272" s="64">
        <f>5.7035 * CHOOSE(CONTROL!$C$22, $C$13, 100%, $E$13)</f>
        <v>5.7035</v>
      </c>
      <c r="K272" s="64">
        <f>5.7036 * CHOOSE(CONTROL!$C$22, $C$13, 100%, $E$13)</f>
        <v>5.7035999999999998</v>
      </c>
    </row>
    <row r="273" spans="1:11" ht="15">
      <c r="A273" s="13">
        <v>49796</v>
      </c>
      <c r="B273" s="63">
        <f>4.6283 * CHOOSE(CONTROL!$C$22, $C$13, 100%, $E$13)</f>
        <v>4.6283000000000003</v>
      </c>
      <c r="C273" s="63">
        <f>4.6283 * CHOOSE(CONTROL!$C$22, $C$13, 100%, $E$13)</f>
        <v>4.6283000000000003</v>
      </c>
      <c r="D273" s="63">
        <f>4.6413 * CHOOSE(CONTROL!$C$22, $C$13, 100%, $E$13)</f>
        <v>4.6413000000000002</v>
      </c>
      <c r="E273" s="64">
        <f>5.7315 * CHOOSE(CONTROL!$C$22, $C$13, 100%, $E$13)</f>
        <v>5.7314999999999996</v>
      </c>
      <c r="F273" s="64">
        <f>5.7315 * CHOOSE(CONTROL!$C$22, $C$13, 100%, $E$13)</f>
        <v>5.7314999999999996</v>
      </c>
      <c r="G273" s="64">
        <f>5.7472 * CHOOSE(CONTROL!$C$22, $C$13, 100%, $E$13)</f>
        <v>5.7472000000000003</v>
      </c>
      <c r="H273" s="64">
        <f>9.5229* CHOOSE(CONTROL!$C$22, $C$13, 100%, $E$13)</f>
        <v>9.5228999999999999</v>
      </c>
      <c r="I273" s="64">
        <f>9.5386 * CHOOSE(CONTROL!$C$22, $C$13, 100%, $E$13)</f>
        <v>9.5386000000000006</v>
      </c>
      <c r="J273" s="64">
        <f>5.7315 * CHOOSE(CONTROL!$C$22, $C$13, 100%, $E$13)</f>
        <v>5.7314999999999996</v>
      </c>
      <c r="K273" s="64">
        <f>5.7472 * CHOOSE(CONTROL!$C$22, $C$13, 100%, $E$13)</f>
        <v>5.7472000000000003</v>
      </c>
    </row>
    <row r="274" spans="1:11" ht="15">
      <c r="A274" s="13">
        <v>49827</v>
      </c>
      <c r="B274" s="63">
        <f>4.6344 * CHOOSE(CONTROL!$C$22, $C$13, 100%, $E$13)</f>
        <v>4.6344000000000003</v>
      </c>
      <c r="C274" s="63">
        <f>4.6344 * CHOOSE(CONTROL!$C$22, $C$13, 100%, $E$13)</f>
        <v>4.6344000000000003</v>
      </c>
      <c r="D274" s="63">
        <f>4.6474 * CHOOSE(CONTROL!$C$22, $C$13, 100%, $E$13)</f>
        <v>4.6474000000000002</v>
      </c>
      <c r="E274" s="64">
        <f>5.7077 * CHOOSE(CONTROL!$C$22, $C$13, 100%, $E$13)</f>
        <v>5.7077</v>
      </c>
      <c r="F274" s="64">
        <f>5.7077 * CHOOSE(CONTROL!$C$22, $C$13, 100%, $E$13)</f>
        <v>5.7077</v>
      </c>
      <c r="G274" s="64">
        <f>5.7234 * CHOOSE(CONTROL!$C$22, $C$13, 100%, $E$13)</f>
        <v>5.7233999999999998</v>
      </c>
      <c r="H274" s="64">
        <f>9.5428* CHOOSE(CONTROL!$C$22, $C$13, 100%, $E$13)</f>
        <v>9.5427999999999997</v>
      </c>
      <c r="I274" s="64">
        <f>9.5584 * CHOOSE(CONTROL!$C$22, $C$13, 100%, $E$13)</f>
        <v>9.5584000000000007</v>
      </c>
      <c r="J274" s="64">
        <f>5.7077 * CHOOSE(CONTROL!$C$22, $C$13, 100%, $E$13)</f>
        <v>5.7077</v>
      </c>
      <c r="K274" s="64">
        <f>5.7234 * CHOOSE(CONTROL!$C$22, $C$13, 100%, $E$13)</f>
        <v>5.7233999999999998</v>
      </c>
    </row>
    <row r="275" spans="1:11" ht="15">
      <c r="A275" s="13">
        <v>49857</v>
      </c>
      <c r="B275" s="63">
        <f>4.7122 * CHOOSE(CONTROL!$C$22, $C$13, 100%, $E$13)</f>
        <v>4.7122000000000002</v>
      </c>
      <c r="C275" s="63">
        <f>4.7122 * CHOOSE(CONTROL!$C$22, $C$13, 100%, $E$13)</f>
        <v>4.7122000000000002</v>
      </c>
      <c r="D275" s="63">
        <f>4.7251 * CHOOSE(CONTROL!$C$22, $C$13, 100%, $E$13)</f>
        <v>4.7251000000000003</v>
      </c>
      <c r="E275" s="64">
        <f>5.8199 * CHOOSE(CONTROL!$C$22, $C$13, 100%, $E$13)</f>
        <v>5.8198999999999996</v>
      </c>
      <c r="F275" s="64">
        <f>5.8199 * CHOOSE(CONTROL!$C$22, $C$13, 100%, $E$13)</f>
        <v>5.8198999999999996</v>
      </c>
      <c r="G275" s="64">
        <f>5.8356 * CHOOSE(CONTROL!$C$22, $C$13, 100%, $E$13)</f>
        <v>5.8356000000000003</v>
      </c>
      <c r="H275" s="64">
        <f>9.5626* CHOOSE(CONTROL!$C$22, $C$13, 100%, $E$13)</f>
        <v>9.5625999999999998</v>
      </c>
      <c r="I275" s="64">
        <f>9.5783 * CHOOSE(CONTROL!$C$22, $C$13, 100%, $E$13)</f>
        <v>9.5783000000000005</v>
      </c>
      <c r="J275" s="64">
        <f>5.8199 * CHOOSE(CONTROL!$C$22, $C$13, 100%, $E$13)</f>
        <v>5.8198999999999996</v>
      </c>
      <c r="K275" s="64">
        <f>5.8356 * CHOOSE(CONTROL!$C$22, $C$13, 100%, $E$13)</f>
        <v>5.8356000000000003</v>
      </c>
    </row>
    <row r="276" spans="1:11" ht="15">
      <c r="A276" s="13">
        <v>49888</v>
      </c>
      <c r="B276" s="63">
        <f>4.7188 * CHOOSE(CONTROL!$C$22, $C$13, 100%, $E$13)</f>
        <v>4.7187999999999999</v>
      </c>
      <c r="C276" s="63">
        <f>4.7188 * CHOOSE(CONTROL!$C$22, $C$13, 100%, $E$13)</f>
        <v>4.7187999999999999</v>
      </c>
      <c r="D276" s="63">
        <f>4.7318 * CHOOSE(CONTROL!$C$22, $C$13, 100%, $E$13)</f>
        <v>4.7317999999999998</v>
      </c>
      <c r="E276" s="64">
        <f>5.7404 * CHOOSE(CONTROL!$C$22, $C$13, 100%, $E$13)</f>
        <v>5.7404000000000002</v>
      </c>
      <c r="F276" s="64">
        <f>5.7404 * CHOOSE(CONTROL!$C$22, $C$13, 100%, $E$13)</f>
        <v>5.7404000000000002</v>
      </c>
      <c r="G276" s="64">
        <f>5.756 * CHOOSE(CONTROL!$C$22, $C$13, 100%, $E$13)</f>
        <v>5.7560000000000002</v>
      </c>
      <c r="H276" s="64">
        <f>9.5826* CHOOSE(CONTROL!$C$22, $C$13, 100%, $E$13)</f>
        <v>9.5825999999999993</v>
      </c>
      <c r="I276" s="64">
        <f>9.5982 * CHOOSE(CONTROL!$C$22, $C$13, 100%, $E$13)</f>
        <v>9.5982000000000003</v>
      </c>
      <c r="J276" s="64">
        <f>5.7404 * CHOOSE(CONTROL!$C$22, $C$13, 100%, $E$13)</f>
        <v>5.7404000000000002</v>
      </c>
      <c r="K276" s="64">
        <f>5.756 * CHOOSE(CONTROL!$C$22, $C$13, 100%, $E$13)</f>
        <v>5.7560000000000002</v>
      </c>
    </row>
    <row r="277" spans="1:11" ht="15">
      <c r="A277" s="13">
        <v>49919</v>
      </c>
      <c r="B277" s="63">
        <f>4.7158 * CHOOSE(CONTROL!$C$22, $C$13, 100%, $E$13)</f>
        <v>4.7157999999999998</v>
      </c>
      <c r="C277" s="63">
        <f>4.7158 * CHOOSE(CONTROL!$C$22, $C$13, 100%, $E$13)</f>
        <v>4.7157999999999998</v>
      </c>
      <c r="D277" s="63">
        <f>4.7288 * CHOOSE(CONTROL!$C$22, $C$13, 100%, $E$13)</f>
        <v>4.7287999999999997</v>
      </c>
      <c r="E277" s="64">
        <f>5.7289 * CHOOSE(CONTROL!$C$22, $C$13, 100%, $E$13)</f>
        <v>5.7289000000000003</v>
      </c>
      <c r="F277" s="64">
        <f>5.7289 * CHOOSE(CONTROL!$C$22, $C$13, 100%, $E$13)</f>
        <v>5.7289000000000003</v>
      </c>
      <c r="G277" s="64">
        <f>5.7446 * CHOOSE(CONTROL!$C$22, $C$13, 100%, $E$13)</f>
        <v>5.7446000000000002</v>
      </c>
      <c r="H277" s="64">
        <f>9.6025* CHOOSE(CONTROL!$C$22, $C$13, 100%, $E$13)</f>
        <v>9.6024999999999991</v>
      </c>
      <c r="I277" s="64">
        <f>9.6182 * CHOOSE(CONTROL!$C$22, $C$13, 100%, $E$13)</f>
        <v>9.6181999999999999</v>
      </c>
      <c r="J277" s="64">
        <f>5.7289 * CHOOSE(CONTROL!$C$22, $C$13, 100%, $E$13)</f>
        <v>5.7289000000000003</v>
      </c>
      <c r="K277" s="64">
        <f>5.7446 * CHOOSE(CONTROL!$C$22, $C$13, 100%, $E$13)</f>
        <v>5.7446000000000002</v>
      </c>
    </row>
    <row r="278" spans="1:11" ht="15">
      <c r="A278" s="13">
        <v>49949</v>
      </c>
      <c r="B278" s="63">
        <f>4.7132 * CHOOSE(CONTROL!$C$22, $C$13, 100%, $E$13)</f>
        <v>4.7131999999999996</v>
      </c>
      <c r="C278" s="63">
        <f>4.7132 * CHOOSE(CONTROL!$C$22, $C$13, 100%, $E$13)</f>
        <v>4.7131999999999996</v>
      </c>
      <c r="D278" s="63">
        <f>4.7132 * CHOOSE(CONTROL!$C$22, $C$13, 100%, $E$13)</f>
        <v>4.7131999999999996</v>
      </c>
      <c r="E278" s="64">
        <f>5.7529 * CHOOSE(CONTROL!$C$22, $C$13, 100%, $E$13)</f>
        <v>5.7529000000000003</v>
      </c>
      <c r="F278" s="64">
        <f>5.7529 * CHOOSE(CONTROL!$C$22, $C$13, 100%, $E$13)</f>
        <v>5.7529000000000003</v>
      </c>
      <c r="G278" s="64">
        <f>5.753 * CHOOSE(CONTROL!$C$22, $C$13, 100%, $E$13)</f>
        <v>5.7530000000000001</v>
      </c>
      <c r="H278" s="64">
        <f>9.6225* CHOOSE(CONTROL!$C$22, $C$13, 100%, $E$13)</f>
        <v>9.6225000000000005</v>
      </c>
      <c r="I278" s="64">
        <f>9.6226 * CHOOSE(CONTROL!$C$22, $C$13, 100%, $E$13)</f>
        <v>9.6226000000000003</v>
      </c>
      <c r="J278" s="64">
        <f>5.7529 * CHOOSE(CONTROL!$C$22, $C$13, 100%, $E$13)</f>
        <v>5.7529000000000003</v>
      </c>
      <c r="K278" s="64">
        <f>5.753 * CHOOSE(CONTROL!$C$22, $C$13, 100%, $E$13)</f>
        <v>5.7530000000000001</v>
      </c>
    </row>
    <row r="279" spans="1:11" ht="15">
      <c r="A279" s="13">
        <v>49980</v>
      </c>
      <c r="B279" s="63">
        <f>4.7163 * CHOOSE(CONTROL!$C$22, $C$13, 100%, $E$13)</f>
        <v>4.7163000000000004</v>
      </c>
      <c r="C279" s="63">
        <f>4.7163 * CHOOSE(CONTROL!$C$22, $C$13, 100%, $E$13)</f>
        <v>4.7163000000000004</v>
      </c>
      <c r="D279" s="63">
        <f>4.7163 * CHOOSE(CONTROL!$C$22, $C$13, 100%, $E$13)</f>
        <v>4.7163000000000004</v>
      </c>
      <c r="E279" s="64">
        <f>5.7737 * CHOOSE(CONTROL!$C$22, $C$13, 100%, $E$13)</f>
        <v>5.7736999999999998</v>
      </c>
      <c r="F279" s="64">
        <f>5.7737 * CHOOSE(CONTROL!$C$22, $C$13, 100%, $E$13)</f>
        <v>5.7736999999999998</v>
      </c>
      <c r="G279" s="64">
        <f>5.7738 * CHOOSE(CONTROL!$C$22, $C$13, 100%, $E$13)</f>
        <v>5.7737999999999996</v>
      </c>
      <c r="H279" s="64">
        <f>9.6426* CHOOSE(CONTROL!$C$22, $C$13, 100%, $E$13)</f>
        <v>9.6425999999999998</v>
      </c>
      <c r="I279" s="64">
        <f>9.6427 * CHOOSE(CONTROL!$C$22, $C$13, 100%, $E$13)</f>
        <v>9.6426999999999996</v>
      </c>
      <c r="J279" s="64">
        <f>5.7737 * CHOOSE(CONTROL!$C$22, $C$13, 100%, $E$13)</f>
        <v>5.7736999999999998</v>
      </c>
      <c r="K279" s="64">
        <f>5.7738 * CHOOSE(CONTROL!$C$22, $C$13, 100%, $E$13)</f>
        <v>5.7737999999999996</v>
      </c>
    </row>
    <row r="280" spans="1:11" ht="15">
      <c r="A280" s="13">
        <v>50010</v>
      </c>
      <c r="B280" s="63">
        <f>4.7163 * CHOOSE(CONTROL!$C$22, $C$13, 100%, $E$13)</f>
        <v>4.7163000000000004</v>
      </c>
      <c r="C280" s="63">
        <f>4.7163 * CHOOSE(CONTROL!$C$22, $C$13, 100%, $E$13)</f>
        <v>4.7163000000000004</v>
      </c>
      <c r="D280" s="63">
        <f>4.7163 * CHOOSE(CONTROL!$C$22, $C$13, 100%, $E$13)</f>
        <v>4.7163000000000004</v>
      </c>
      <c r="E280" s="64">
        <f>5.7269 * CHOOSE(CONTROL!$C$22, $C$13, 100%, $E$13)</f>
        <v>5.7268999999999997</v>
      </c>
      <c r="F280" s="64">
        <f>5.7269 * CHOOSE(CONTROL!$C$22, $C$13, 100%, $E$13)</f>
        <v>5.7268999999999997</v>
      </c>
      <c r="G280" s="64">
        <f>5.727 * CHOOSE(CONTROL!$C$22, $C$13, 100%, $E$13)</f>
        <v>5.7270000000000003</v>
      </c>
      <c r="H280" s="64">
        <f>9.6627* CHOOSE(CONTROL!$C$22, $C$13, 100%, $E$13)</f>
        <v>9.6626999999999992</v>
      </c>
      <c r="I280" s="64">
        <f>9.6627 * CHOOSE(CONTROL!$C$22, $C$13, 100%, $E$13)</f>
        <v>9.6626999999999992</v>
      </c>
      <c r="J280" s="64">
        <f>5.7269 * CHOOSE(CONTROL!$C$22, $C$13, 100%, $E$13)</f>
        <v>5.7268999999999997</v>
      </c>
      <c r="K280" s="64">
        <f>5.727 * CHOOSE(CONTROL!$C$22, $C$13, 100%, $E$13)</f>
        <v>5.7270000000000003</v>
      </c>
    </row>
    <row r="281" spans="1:11" ht="15">
      <c r="A281" s="13">
        <v>50041</v>
      </c>
      <c r="B281" s="63">
        <f>4.7586 * CHOOSE(CONTROL!$C$22, $C$13, 100%, $E$13)</f>
        <v>4.7586000000000004</v>
      </c>
      <c r="C281" s="63">
        <f>4.7586 * CHOOSE(CONTROL!$C$22, $C$13, 100%, $E$13)</f>
        <v>4.7586000000000004</v>
      </c>
      <c r="D281" s="63">
        <f>4.7586 * CHOOSE(CONTROL!$C$22, $C$13, 100%, $E$13)</f>
        <v>4.7586000000000004</v>
      </c>
      <c r="E281" s="64">
        <f>5.8119 * CHOOSE(CONTROL!$C$22, $C$13, 100%, $E$13)</f>
        <v>5.8118999999999996</v>
      </c>
      <c r="F281" s="64">
        <f>5.8119 * CHOOSE(CONTROL!$C$22, $C$13, 100%, $E$13)</f>
        <v>5.8118999999999996</v>
      </c>
      <c r="G281" s="64">
        <f>5.812 * CHOOSE(CONTROL!$C$22, $C$13, 100%, $E$13)</f>
        <v>5.8120000000000003</v>
      </c>
      <c r="H281" s="64">
        <f>9.6828* CHOOSE(CONTROL!$C$22, $C$13, 100%, $E$13)</f>
        <v>9.6828000000000003</v>
      </c>
      <c r="I281" s="64">
        <f>9.6829 * CHOOSE(CONTROL!$C$22, $C$13, 100%, $E$13)</f>
        <v>9.6829000000000001</v>
      </c>
      <c r="J281" s="64">
        <f>5.8119 * CHOOSE(CONTROL!$C$22, $C$13, 100%, $E$13)</f>
        <v>5.8118999999999996</v>
      </c>
      <c r="K281" s="64">
        <f>5.812 * CHOOSE(CONTROL!$C$22, $C$13, 100%, $E$13)</f>
        <v>5.8120000000000003</v>
      </c>
    </row>
    <row r="282" spans="1:11" ht="15">
      <c r="A282" s="13">
        <v>50072</v>
      </c>
      <c r="B282" s="63">
        <f>4.7555 * CHOOSE(CONTROL!$C$22, $C$13, 100%, $E$13)</f>
        <v>4.7554999999999996</v>
      </c>
      <c r="C282" s="63">
        <f>4.7555 * CHOOSE(CONTROL!$C$22, $C$13, 100%, $E$13)</f>
        <v>4.7554999999999996</v>
      </c>
      <c r="D282" s="63">
        <f>4.7555 * CHOOSE(CONTROL!$C$22, $C$13, 100%, $E$13)</f>
        <v>4.7554999999999996</v>
      </c>
      <c r="E282" s="64">
        <f>5.719 * CHOOSE(CONTROL!$C$22, $C$13, 100%, $E$13)</f>
        <v>5.7190000000000003</v>
      </c>
      <c r="F282" s="64">
        <f>5.719 * CHOOSE(CONTROL!$C$22, $C$13, 100%, $E$13)</f>
        <v>5.7190000000000003</v>
      </c>
      <c r="G282" s="64">
        <f>5.7191 * CHOOSE(CONTROL!$C$22, $C$13, 100%, $E$13)</f>
        <v>5.7191000000000001</v>
      </c>
      <c r="H282" s="64">
        <f>9.703* CHOOSE(CONTROL!$C$22, $C$13, 100%, $E$13)</f>
        <v>9.7029999999999994</v>
      </c>
      <c r="I282" s="64">
        <f>9.7031 * CHOOSE(CONTROL!$C$22, $C$13, 100%, $E$13)</f>
        <v>9.7030999999999992</v>
      </c>
      <c r="J282" s="64">
        <f>5.719 * CHOOSE(CONTROL!$C$22, $C$13, 100%, $E$13)</f>
        <v>5.7190000000000003</v>
      </c>
      <c r="K282" s="64">
        <f>5.7191 * CHOOSE(CONTROL!$C$22, $C$13, 100%, $E$13)</f>
        <v>5.7191000000000001</v>
      </c>
    </row>
    <row r="283" spans="1:11" ht="15">
      <c r="A283" s="13">
        <v>50100</v>
      </c>
      <c r="B283" s="63">
        <f>4.7525 * CHOOSE(CONTROL!$C$22, $C$13, 100%, $E$13)</f>
        <v>4.7525000000000004</v>
      </c>
      <c r="C283" s="63">
        <f>4.7525 * CHOOSE(CONTROL!$C$22, $C$13, 100%, $E$13)</f>
        <v>4.7525000000000004</v>
      </c>
      <c r="D283" s="63">
        <f>4.7525 * CHOOSE(CONTROL!$C$22, $C$13, 100%, $E$13)</f>
        <v>4.7525000000000004</v>
      </c>
      <c r="E283" s="64">
        <f>5.7884 * CHOOSE(CONTROL!$C$22, $C$13, 100%, $E$13)</f>
        <v>5.7884000000000002</v>
      </c>
      <c r="F283" s="64">
        <f>5.7884 * CHOOSE(CONTROL!$C$22, $C$13, 100%, $E$13)</f>
        <v>5.7884000000000002</v>
      </c>
      <c r="G283" s="64">
        <f>5.7885 * CHOOSE(CONTROL!$C$22, $C$13, 100%, $E$13)</f>
        <v>5.7885</v>
      </c>
      <c r="H283" s="64">
        <f>9.7232* CHOOSE(CONTROL!$C$22, $C$13, 100%, $E$13)</f>
        <v>9.7232000000000003</v>
      </c>
      <c r="I283" s="64">
        <f>9.7233 * CHOOSE(CONTROL!$C$22, $C$13, 100%, $E$13)</f>
        <v>9.7233000000000001</v>
      </c>
      <c r="J283" s="64">
        <f>5.7884 * CHOOSE(CONTROL!$C$22, $C$13, 100%, $E$13)</f>
        <v>5.7884000000000002</v>
      </c>
      <c r="K283" s="64">
        <f>5.7885 * CHOOSE(CONTROL!$C$22, $C$13, 100%, $E$13)</f>
        <v>5.7885</v>
      </c>
    </row>
    <row r="284" spans="1:11" ht="15">
      <c r="A284" s="13">
        <v>50131</v>
      </c>
      <c r="B284" s="63">
        <f>4.7508 * CHOOSE(CONTROL!$C$22, $C$13, 100%, $E$13)</f>
        <v>4.7507999999999999</v>
      </c>
      <c r="C284" s="63">
        <f>4.7508 * CHOOSE(CONTROL!$C$22, $C$13, 100%, $E$13)</f>
        <v>4.7507999999999999</v>
      </c>
      <c r="D284" s="63">
        <f>4.7508 * CHOOSE(CONTROL!$C$22, $C$13, 100%, $E$13)</f>
        <v>4.7507999999999999</v>
      </c>
      <c r="E284" s="64">
        <f>5.861 * CHOOSE(CONTROL!$C$22, $C$13, 100%, $E$13)</f>
        <v>5.8609999999999998</v>
      </c>
      <c r="F284" s="64">
        <f>5.861 * CHOOSE(CONTROL!$C$22, $C$13, 100%, $E$13)</f>
        <v>5.8609999999999998</v>
      </c>
      <c r="G284" s="64">
        <f>5.8611 * CHOOSE(CONTROL!$C$22, $C$13, 100%, $E$13)</f>
        <v>5.8611000000000004</v>
      </c>
      <c r="H284" s="64">
        <f>9.7434* CHOOSE(CONTROL!$C$22, $C$13, 100%, $E$13)</f>
        <v>9.7433999999999994</v>
      </c>
      <c r="I284" s="64">
        <f>9.7435 * CHOOSE(CONTROL!$C$22, $C$13, 100%, $E$13)</f>
        <v>9.7434999999999992</v>
      </c>
      <c r="J284" s="64">
        <f>5.861 * CHOOSE(CONTROL!$C$22, $C$13, 100%, $E$13)</f>
        <v>5.8609999999999998</v>
      </c>
      <c r="K284" s="64">
        <f>5.8611 * CHOOSE(CONTROL!$C$22, $C$13, 100%, $E$13)</f>
        <v>5.8611000000000004</v>
      </c>
    </row>
    <row r="285" spans="1:11" ht="15">
      <c r="A285" s="13">
        <v>50161</v>
      </c>
      <c r="B285" s="63">
        <f>4.7508 * CHOOSE(CONTROL!$C$22, $C$13, 100%, $E$13)</f>
        <v>4.7507999999999999</v>
      </c>
      <c r="C285" s="63">
        <f>4.7508 * CHOOSE(CONTROL!$C$22, $C$13, 100%, $E$13)</f>
        <v>4.7507999999999999</v>
      </c>
      <c r="D285" s="63">
        <f>4.7637 * CHOOSE(CONTROL!$C$22, $C$13, 100%, $E$13)</f>
        <v>4.7637</v>
      </c>
      <c r="E285" s="64">
        <f>5.8898 * CHOOSE(CONTROL!$C$22, $C$13, 100%, $E$13)</f>
        <v>5.8898000000000001</v>
      </c>
      <c r="F285" s="64">
        <f>5.8898 * CHOOSE(CONTROL!$C$22, $C$13, 100%, $E$13)</f>
        <v>5.8898000000000001</v>
      </c>
      <c r="G285" s="64">
        <f>5.9055 * CHOOSE(CONTROL!$C$22, $C$13, 100%, $E$13)</f>
        <v>5.9055</v>
      </c>
      <c r="H285" s="64">
        <f>9.7637* CHOOSE(CONTROL!$C$22, $C$13, 100%, $E$13)</f>
        <v>9.7637</v>
      </c>
      <c r="I285" s="64">
        <f>9.7794 * CHOOSE(CONTROL!$C$22, $C$13, 100%, $E$13)</f>
        <v>9.7794000000000008</v>
      </c>
      <c r="J285" s="64">
        <f>5.8898 * CHOOSE(CONTROL!$C$22, $C$13, 100%, $E$13)</f>
        <v>5.8898000000000001</v>
      </c>
      <c r="K285" s="64">
        <f>5.9055 * CHOOSE(CONTROL!$C$22, $C$13, 100%, $E$13)</f>
        <v>5.9055</v>
      </c>
    </row>
    <row r="286" spans="1:11" ht="15">
      <c r="A286" s="13">
        <v>50192</v>
      </c>
      <c r="B286" s="63">
        <f>4.7569 * CHOOSE(CONTROL!$C$22, $C$13, 100%, $E$13)</f>
        <v>4.7568999999999999</v>
      </c>
      <c r="C286" s="63">
        <f>4.7569 * CHOOSE(CONTROL!$C$22, $C$13, 100%, $E$13)</f>
        <v>4.7568999999999999</v>
      </c>
      <c r="D286" s="63">
        <f>4.7698 * CHOOSE(CONTROL!$C$22, $C$13, 100%, $E$13)</f>
        <v>4.7698</v>
      </c>
      <c r="E286" s="64">
        <f>5.8653 * CHOOSE(CONTROL!$C$22, $C$13, 100%, $E$13)</f>
        <v>5.8653000000000004</v>
      </c>
      <c r="F286" s="64">
        <f>5.8653 * CHOOSE(CONTROL!$C$22, $C$13, 100%, $E$13)</f>
        <v>5.8653000000000004</v>
      </c>
      <c r="G286" s="64">
        <f>5.881 * CHOOSE(CONTROL!$C$22, $C$13, 100%, $E$13)</f>
        <v>5.8810000000000002</v>
      </c>
      <c r="H286" s="64">
        <f>9.7841* CHOOSE(CONTROL!$C$22, $C$13, 100%, $E$13)</f>
        <v>9.7841000000000005</v>
      </c>
      <c r="I286" s="64">
        <f>9.7998 * CHOOSE(CONTROL!$C$22, $C$13, 100%, $E$13)</f>
        <v>9.7997999999999994</v>
      </c>
      <c r="J286" s="64">
        <f>5.8653 * CHOOSE(CONTROL!$C$22, $C$13, 100%, $E$13)</f>
        <v>5.8653000000000004</v>
      </c>
      <c r="K286" s="64">
        <f>5.881 * CHOOSE(CONTROL!$C$22, $C$13, 100%, $E$13)</f>
        <v>5.8810000000000002</v>
      </c>
    </row>
    <row r="287" spans="1:11" ht="15">
      <c r="A287" s="13">
        <v>50222</v>
      </c>
      <c r="B287" s="63">
        <f>4.836 * CHOOSE(CONTROL!$C$22, $C$13, 100%, $E$13)</f>
        <v>4.8360000000000003</v>
      </c>
      <c r="C287" s="63">
        <f>4.836 * CHOOSE(CONTROL!$C$22, $C$13, 100%, $E$13)</f>
        <v>4.8360000000000003</v>
      </c>
      <c r="D287" s="63">
        <f>4.849 * CHOOSE(CONTROL!$C$22, $C$13, 100%, $E$13)</f>
        <v>4.8490000000000002</v>
      </c>
      <c r="E287" s="64">
        <f>5.9773 * CHOOSE(CONTROL!$C$22, $C$13, 100%, $E$13)</f>
        <v>5.9772999999999996</v>
      </c>
      <c r="F287" s="64">
        <f>5.9773 * CHOOSE(CONTROL!$C$22, $C$13, 100%, $E$13)</f>
        <v>5.9772999999999996</v>
      </c>
      <c r="G287" s="64">
        <f>5.9929 * CHOOSE(CONTROL!$C$22, $C$13, 100%, $E$13)</f>
        <v>5.9928999999999997</v>
      </c>
      <c r="H287" s="64">
        <f>9.8045* CHOOSE(CONTROL!$C$22, $C$13, 100%, $E$13)</f>
        <v>9.8045000000000009</v>
      </c>
      <c r="I287" s="64">
        <f>9.8201 * CHOOSE(CONTROL!$C$22, $C$13, 100%, $E$13)</f>
        <v>9.8201000000000001</v>
      </c>
      <c r="J287" s="64">
        <f>5.9773 * CHOOSE(CONTROL!$C$22, $C$13, 100%, $E$13)</f>
        <v>5.9772999999999996</v>
      </c>
      <c r="K287" s="64">
        <f>5.9929 * CHOOSE(CONTROL!$C$22, $C$13, 100%, $E$13)</f>
        <v>5.9928999999999997</v>
      </c>
    </row>
    <row r="288" spans="1:11" ht="15">
      <c r="A288" s="13">
        <v>50253</v>
      </c>
      <c r="B288" s="63">
        <f>4.8427 * CHOOSE(CONTROL!$C$22, $C$13, 100%, $E$13)</f>
        <v>4.8426999999999998</v>
      </c>
      <c r="C288" s="63">
        <f>4.8427 * CHOOSE(CONTROL!$C$22, $C$13, 100%, $E$13)</f>
        <v>4.8426999999999998</v>
      </c>
      <c r="D288" s="63">
        <f>4.8556 * CHOOSE(CONTROL!$C$22, $C$13, 100%, $E$13)</f>
        <v>4.8555999999999999</v>
      </c>
      <c r="E288" s="64">
        <f>5.8955 * CHOOSE(CONTROL!$C$22, $C$13, 100%, $E$13)</f>
        <v>5.8955000000000002</v>
      </c>
      <c r="F288" s="64">
        <f>5.8955 * CHOOSE(CONTROL!$C$22, $C$13, 100%, $E$13)</f>
        <v>5.8955000000000002</v>
      </c>
      <c r="G288" s="64">
        <f>5.9112 * CHOOSE(CONTROL!$C$22, $C$13, 100%, $E$13)</f>
        <v>5.9112</v>
      </c>
      <c r="H288" s="64">
        <f>9.8249* CHOOSE(CONTROL!$C$22, $C$13, 100%, $E$13)</f>
        <v>9.8248999999999995</v>
      </c>
      <c r="I288" s="64">
        <f>9.8406 * CHOOSE(CONTROL!$C$22, $C$13, 100%, $E$13)</f>
        <v>9.8406000000000002</v>
      </c>
      <c r="J288" s="64">
        <f>5.8955 * CHOOSE(CONTROL!$C$22, $C$13, 100%, $E$13)</f>
        <v>5.8955000000000002</v>
      </c>
      <c r="K288" s="64">
        <f>5.9112 * CHOOSE(CONTROL!$C$22, $C$13, 100%, $E$13)</f>
        <v>5.9112</v>
      </c>
    </row>
    <row r="289" spans="1:11" ht="15">
      <c r="A289" s="13">
        <v>50284</v>
      </c>
      <c r="B289" s="63">
        <f>4.8396 * CHOOSE(CONTROL!$C$22, $C$13, 100%, $E$13)</f>
        <v>4.8395999999999999</v>
      </c>
      <c r="C289" s="63">
        <f>4.8396 * CHOOSE(CONTROL!$C$22, $C$13, 100%, $E$13)</f>
        <v>4.8395999999999999</v>
      </c>
      <c r="D289" s="63">
        <f>4.8526 * CHOOSE(CONTROL!$C$22, $C$13, 100%, $E$13)</f>
        <v>4.8525999999999998</v>
      </c>
      <c r="E289" s="64">
        <f>5.8837 * CHOOSE(CONTROL!$C$22, $C$13, 100%, $E$13)</f>
        <v>5.8837000000000002</v>
      </c>
      <c r="F289" s="64">
        <f>5.8837 * CHOOSE(CONTROL!$C$22, $C$13, 100%, $E$13)</f>
        <v>5.8837000000000002</v>
      </c>
      <c r="G289" s="64">
        <f>5.8994 * CHOOSE(CONTROL!$C$22, $C$13, 100%, $E$13)</f>
        <v>5.8994</v>
      </c>
      <c r="H289" s="64">
        <f>9.8454* CHOOSE(CONTROL!$C$22, $C$13, 100%, $E$13)</f>
        <v>9.8453999999999997</v>
      </c>
      <c r="I289" s="64">
        <f>9.861 * CHOOSE(CONTROL!$C$22, $C$13, 100%, $E$13)</f>
        <v>9.8610000000000007</v>
      </c>
      <c r="J289" s="64">
        <f>5.8837 * CHOOSE(CONTROL!$C$22, $C$13, 100%, $E$13)</f>
        <v>5.8837000000000002</v>
      </c>
      <c r="K289" s="64">
        <f>5.8994 * CHOOSE(CONTROL!$C$22, $C$13, 100%, $E$13)</f>
        <v>5.8994</v>
      </c>
    </row>
    <row r="290" spans="1:11" ht="15">
      <c r="A290" s="13">
        <v>50314</v>
      </c>
      <c r="B290" s="63">
        <f>4.8375 * CHOOSE(CONTROL!$C$22, $C$13, 100%, $E$13)</f>
        <v>4.8375000000000004</v>
      </c>
      <c r="C290" s="63">
        <f>4.8375 * CHOOSE(CONTROL!$C$22, $C$13, 100%, $E$13)</f>
        <v>4.8375000000000004</v>
      </c>
      <c r="D290" s="63">
        <f>4.8375 * CHOOSE(CONTROL!$C$22, $C$13, 100%, $E$13)</f>
        <v>4.8375000000000004</v>
      </c>
      <c r="E290" s="64">
        <f>5.9087 * CHOOSE(CONTROL!$C$22, $C$13, 100%, $E$13)</f>
        <v>5.9086999999999996</v>
      </c>
      <c r="F290" s="64">
        <f>5.9087 * CHOOSE(CONTROL!$C$22, $C$13, 100%, $E$13)</f>
        <v>5.9086999999999996</v>
      </c>
      <c r="G290" s="64">
        <f>5.9088 * CHOOSE(CONTROL!$C$22, $C$13, 100%, $E$13)</f>
        <v>5.9088000000000003</v>
      </c>
      <c r="H290" s="64">
        <f>9.8659* CHOOSE(CONTROL!$C$22, $C$13, 100%, $E$13)</f>
        <v>9.8658999999999999</v>
      </c>
      <c r="I290" s="64">
        <f>9.866 * CHOOSE(CONTROL!$C$22, $C$13, 100%, $E$13)</f>
        <v>9.8659999999999997</v>
      </c>
      <c r="J290" s="64">
        <f>5.9087 * CHOOSE(CONTROL!$C$22, $C$13, 100%, $E$13)</f>
        <v>5.9086999999999996</v>
      </c>
      <c r="K290" s="64">
        <f>5.9088 * CHOOSE(CONTROL!$C$22, $C$13, 100%, $E$13)</f>
        <v>5.9088000000000003</v>
      </c>
    </row>
    <row r="291" spans="1:11" ht="15">
      <c r="A291" s="13">
        <v>50345</v>
      </c>
      <c r="B291" s="63">
        <f>4.8405 * CHOOSE(CONTROL!$C$22, $C$13, 100%, $E$13)</f>
        <v>4.8404999999999996</v>
      </c>
      <c r="C291" s="63">
        <f>4.8405 * CHOOSE(CONTROL!$C$22, $C$13, 100%, $E$13)</f>
        <v>4.8404999999999996</v>
      </c>
      <c r="D291" s="63">
        <f>4.8405 * CHOOSE(CONTROL!$C$22, $C$13, 100%, $E$13)</f>
        <v>4.8404999999999996</v>
      </c>
      <c r="E291" s="64">
        <f>5.9301 * CHOOSE(CONTROL!$C$22, $C$13, 100%, $E$13)</f>
        <v>5.9301000000000004</v>
      </c>
      <c r="F291" s="64">
        <f>5.9301 * CHOOSE(CONTROL!$C$22, $C$13, 100%, $E$13)</f>
        <v>5.9301000000000004</v>
      </c>
      <c r="G291" s="64">
        <f>5.9302 * CHOOSE(CONTROL!$C$22, $C$13, 100%, $E$13)</f>
        <v>5.9302000000000001</v>
      </c>
      <c r="H291" s="64">
        <f>9.8864* CHOOSE(CONTROL!$C$22, $C$13, 100%, $E$13)</f>
        <v>9.8864000000000001</v>
      </c>
      <c r="I291" s="64">
        <f>9.8865 * CHOOSE(CONTROL!$C$22, $C$13, 100%, $E$13)</f>
        <v>9.8864999999999998</v>
      </c>
      <c r="J291" s="64">
        <f>5.9301 * CHOOSE(CONTROL!$C$22, $C$13, 100%, $E$13)</f>
        <v>5.9301000000000004</v>
      </c>
      <c r="K291" s="64">
        <f>5.9302 * CHOOSE(CONTROL!$C$22, $C$13, 100%, $E$13)</f>
        <v>5.9302000000000001</v>
      </c>
    </row>
    <row r="292" spans="1:11" ht="15">
      <c r="A292" s="13">
        <v>50375</v>
      </c>
      <c r="B292" s="63">
        <f>4.8405 * CHOOSE(CONTROL!$C$22, $C$13, 100%, $E$13)</f>
        <v>4.8404999999999996</v>
      </c>
      <c r="C292" s="63">
        <f>4.8405 * CHOOSE(CONTROL!$C$22, $C$13, 100%, $E$13)</f>
        <v>4.8404999999999996</v>
      </c>
      <c r="D292" s="63">
        <f>4.8405 * CHOOSE(CONTROL!$C$22, $C$13, 100%, $E$13)</f>
        <v>4.8404999999999996</v>
      </c>
      <c r="E292" s="64">
        <f>5.8821 * CHOOSE(CONTROL!$C$22, $C$13, 100%, $E$13)</f>
        <v>5.8821000000000003</v>
      </c>
      <c r="F292" s="64">
        <f>5.8821 * CHOOSE(CONTROL!$C$22, $C$13, 100%, $E$13)</f>
        <v>5.8821000000000003</v>
      </c>
      <c r="G292" s="64">
        <f>5.8821 * CHOOSE(CONTROL!$C$22, $C$13, 100%, $E$13)</f>
        <v>5.8821000000000003</v>
      </c>
      <c r="H292" s="64">
        <f>9.907* CHOOSE(CONTROL!$C$22, $C$13, 100%, $E$13)</f>
        <v>9.907</v>
      </c>
      <c r="I292" s="64">
        <f>9.9071 * CHOOSE(CONTROL!$C$22, $C$13, 100%, $E$13)</f>
        <v>9.9070999999999998</v>
      </c>
      <c r="J292" s="64">
        <f>5.8821 * CHOOSE(CONTROL!$C$22, $C$13, 100%, $E$13)</f>
        <v>5.8821000000000003</v>
      </c>
      <c r="K292" s="64">
        <f>5.8821 * CHOOSE(CONTROL!$C$22, $C$13, 100%, $E$13)</f>
        <v>5.8821000000000003</v>
      </c>
    </row>
    <row r="293" spans="1:11" ht="15">
      <c r="A293" s="13">
        <v>50406</v>
      </c>
      <c r="B293" s="63">
        <f>4.8843 * CHOOSE(CONTROL!$C$22, $C$13, 100%, $E$13)</f>
        <v>4.8842999999999996</v>
      </c>
      <c r="C293" s="63">
        <f>4.8843 * CHOOSE(CONTROL!$C$22, $C$13, 100%, $E$13)</f>
        <v>4.8842999999999996</v>
      </c>
      <c r="D293" s="63">
        <f>4.8843 * CHOOSE(CONTROL!$C$22, $C$13, 100%, $E$13)</f>
        <v>4.8842999999999996</v>
      </c>
      <c r="E293" s="64">
        <f>5.9668 * CHOOSE(CONTROL!$C$22, $C$13, 100%, $E$13)</f>
        <v>5.9668000000000001</v>
      </c>
      <c r="F293" s="64">
        <f>5.9668 * CHOOSE(CONTROL!$C$22, $C$13, 100%, $E$13)</f>
        <v>5.9668000000000001</v>
      </c>
      <c r="G293" s="64">
        <f>5.9669 * CHOOSE(CONTROL!$C$22, $C$13, 100%, $E$13)</f>
        <v>5.9668999999999999</v>
      </c>
      <c r="H293" s="64">
        <f>9.9277* CHOOSE(CONTROL!$C$22, $C$13, 100%, $E$13)</f>
        <v>9.9276999999999997</v>
      </c>
      <c r="I293" s="64">
        <f>9.9277 * CHOOSE(CONTROL!$C$22, $C$13, 100%, $E$13)</f>
        <v>9.9276999999999997</v>
      </c>
      <c r="J293" s="64">
        <f>5.9668 * CHOOSE(CONTROL!$C$22, $C$13, 100%, $E$13)</f>
        <v>5.9668000000000001</v>
      </c>
      <c r="K293" s="64">
        <f>5.9669 * CHOOSE(CONTROL!$C$22, $C$13, 100%, $E$13)</f>
        <v>5.9668999999999999</v>
      </c>
    </row>
    <row r="294" spans="1:11" ht="15">
      <c r="A294" s="13">
        <v>50437</v>
      </c>
      <c r="B294" s="63">
        <f>4.8813 * CHOOSE(CONTROL!$C$22, $C$13, 100%, $E$13)</f>
        <v>4.8813000000000004</v>
      </c>
      <c r="C294" s="63">
        <f>4.8813 * CHOOSE(CONTROL!$C$22, $C$13, 100%, $E$13)</f>
        <v>4.8813000000000004</v>
      </c>
      <c r="D294" s="63">
        <f>4.8813 * CHOOSE(CONTROL!$C$22, $C$13, 100%, $E$13)</f>
        <v>4.8813000000000004</v>
      </c>
      <c r="E294" s="64">
        <f>5.8715 * CHOOSE(CONTROL!$C$22, $C$13, 100%, $E$13)</f>
        <v>5.8715000000000002</v>
      </c>
      <c r="F294" s="64">
        <f>5.8715 * CHOOSE(CONTROL!$C$22, $C$13, 100%, $E$13)</f>
        <v>5.8715000000000002</v>
      </c>
      <c r="G294" s="64">
        <f>5.8716 * CHOOSE(CONTROL!$C$22, $C$13, 100%, $E$13)</f>
        <v>5.8715999999999999</v>
      </c>
      <c r="H294" s="64">
        <f>9.9483* CHOOSE(CONTROL!$C$22, $C$13, 100%, $E$13)</f>
        <v>9.9482999999999997</v>
      </c>
      <c r="I294" s="64">
        <f>9.9484 * CHOOSE(CONTROL!$C$22, $C$13, 100%, $E$13)</f>
        <v>9.9483999999999995</v>
      </c>
      <c r="J294" s="64">
        <f>5.8715 * CHOOSE(CONTROL!$C$22, $C$13, 100%, $E$13)</f>
        <v>5.8715000000000002</v>
      </c>
      <c r="K294" s="64">
        <f>5.8716 * CHOOSE(CONTROL!$C$22, $C$13, 100%, $E$13)</f>
        <v>5.8715999999999999</v>
      </c>
    </row>
    <row r="295" spans="1:11" ht="15">
      <c r="A295" s="13">
        <v>50465</v>
      </c>
      <c r="B295" s="63">
        <f>4.8783 * CHOOSE(CONTROL!$C$22, $C$13, 100%, $E$13)</f>
        <v>4.8783000000000003</v>
      </c>
      <c r="C295" s="63">
        <f>4.8783 * CHOOSE(CONTROL!$C$22, $C$13, 100%, $E$13)</f>
        <v>4.8783000000000003</v>
      </c>
      <c r="D295" s="63">
        <f>4.8783 * CHOOSE(CONTROL!$C$22, $C$13, 100%, $E$13)</f>
        <v>4.8783000000000003</v>
      </c>
      <c r="E295" s="64">
        <f>5.9428 * CHOOSE(CONTROL!$C$22, $C$13, 100%, $E$13)</f>
        <v>5.9428000000000001</v>
      </c>
      <c r="F295" s="64">
        <f>5.9428 * CHOOSE(CONTROL!$C$22, $C$13, 100%, $E$13)</f>
        <v>5.9428000000000001</v>
      </c>
      <c r="G295" s="64">
        <f>5.9429 * CHOOSE(CONTROL!$C$22, $C$13, 100%, $E$13)</f>
        <v>5.9428999999999998</v>
      </c>
      <c r="H295" s="64">
        <f>9.9691* CHOOSE(CONTROL!$C$22, $C$13, 100%, $E$13)</f>
        <v>9.9690999999999992</v>
      </c>
      <c r="I295" s="64">
        <f>9.9691 * CHOOSE(CONTROL!$C$22, $C$13, 100%, $E$13)</f>
        <v>9.9690999999999992</v>
      </c>
      <c r="J295" s="64">
        <f>5.9428 * CHOOSE(CONTROL!$C$22, $C$13, 100%, $E$13)</f>
        <v>5.9428000000000001</v>
      </c>
      <c r="K295" s="64">
        <f>5.9429 * CHOOSE(CONTROL!$C$22, $C$13, 100%, $E$13)</f>
        <v>5.9428999999999998</v>
      </c>
    </row>
    <row r="296" spans="1:11" ht="15">
      <c r="A296" s="13">
        <v>50496</v>
      </c>
      <c r="B296" s="63">
        <f>4.8767 * CHOOSE(CONTROL!$C$22, $C$13, 100%, $E$13)</f>
        <v>4.8766999999999996</v>
      </c>
      <c r="C296" s="63">
        <f>4.8767 * CHOOSE(CONTROL!$C$22, $C$13, 100%, $E$13)</f>
        <v>4.8766999999999996</v>
      </c>
      <c r="D296" s="63">
        <f>4.8767 * CHOOSE(CONTROL!$C$22, $C$13, 100%, $E$13)</f>
        <v>4.8766999999999996</v>
      </c>
      <c r="E296" s="64">
        <f>6.0175 * CHOOSE(CONTROL!$C$22, $C$13, 100%, $E$13)</f>
        <v>6.0175000000000001</v>
      </c>
      <c r="F296" s="64">
        <f>6.0175 * CHOOSE(CONTROL!$C$22, $C$13, 100%, $E$13)</f>
        <v>6.0175000000000001</v>
      </c>
      <c r="G296" s="64">
        <f>6.0175 * CHOOSE(CONTROL!$C$22, $C$13, 100%, $E$13)</f>
        <v>6.0175000000000001</v>
      </c>
      <c r="H296" s="64">
        <f>9.9898* CHOOSE(CONTROL!$C$22, $C$13, 100%, $E$13)</f>
        <v>9.9898000000000007</v>
      </c>
      <c r="I296" s="64">
        <f>9.9899 * CHOOSE(CONTROL!$C$22, $C$13, 100%, $E$13)</f>
        <v>9.9899000000000004</v>
      </c>
      <c r="J296" s="64">
        <f>6.0175 * CHOOSE(CONTROL!$C$22, $C$13, 100%, $E$13)</f>
        <v>6.0175000000000001</v>
      </c>
      <c r="K296" s="64">
        <f>6.0175 * CHOOSE(CONTROL!$C$22, $C$13, 100%, $E$13)</f>
        <v>6.0175000000000001</v>
      </c>
    </row>
    <row r="297" spans="1:11" ht="15">
      <c r="A297" s="13">
        <v>50526</v>
      </c>
      <c r="B297" s="63">
        <f>4.8767 * CHOOSE(CONTROL!$C$22, $C$13, 100%, $E$13)</f>
        <v>4.8766999999999996</v>
      </c>
      <c r="C297" s="63">
        <f>4.8767 * CHOOSE(CONTROL!$C$22, $C$13, 100%, $E$13)</f>
        <v>4.8766999999999996</v>
      </c>
      <c r="D297" s="63">
        <f>4.8896 * CHOOSE(CONTROL!$C$22, $C$13, 100%, $E$13)</f>
        <v>4.8895999999999997</v>
      </c>
      <c r="E297" s="64">
        <f>6.047 * CHOOSE(CONTROL!$C$22, $C$13, 100%, $E$13)</f>
        <v>6.0469999999999997</v>
      </c>
      <c r="F297" s="64">
        <f>6.047 * CHOOSE(CONTROL!$C$22, $C$13, 100%, $E$13)</f>
        <v>6.0469999999999997</v>
      </c>
      <c r="G297" s="64">
        <f>6.0627 * CHOOSE(CONTROL!$C$22, $C$13, 100%, $E$13)</f>
        <v>6.0627000000000004</v>
      </c>
      <c r="H297" s="64">
        <f>10.0107* CHOOSE(CONTROL!$C$22, $C$13, 100%, $E$13)</f>
        <v>10.0107</v>
      </c>
      <c r="I297" s="64">
        <f>10.0263 * CHOOSE(CONTROL!$C$22, $C$13, 100%, $E$13)</f>
        <v>10.026300000000001</v>
      </c>
      <c r="J297" s="64">
        <f>6.047 * CHOOSE(CONTROL!$C$22, $C$13, 100%, $E$13)</f>
        <v>6.0469999999999997</v>
      </c>
      <c r="K297" s="64">
        <f>6.0627 * CHOOSE(CONTROL!$C$22, $C$13, 100%, $E$13)</f>
        <v>6.0627000000000004</v>
      </c>
    </row>
    <row r="298" spans="1:11" ht="15">
      <c r="A298" s="13">
        <v>50557</v>
      </c>
      <c r="B298" s="63">
        <f>4.8827 * CHOOSE(CONTROL!$C$22, $C$13, 100%, $E$13)</f>
        <v>4.8826999999999998</v>
      </c>
      <c r="C298" s="63">
        <f>4.8827 * CHOOSE(CONTROL!$C$22, $C$13, 100%, $E$13)</f>
        <v>4.8826999999999998</v>
      </c>
      <c r="D298" s="63">
        <f>4.8957 * CHOOSE(CONTROL!$C$22, $C$13, 100%, $E$13)</f>
        <v>4.8956999999999997</v>
      </c>
      <c r="E298" s="64">
        <f>6.0217 * CHOOSE(CONTROL!$C$22, $C$13, 100%, $E$13)</f>
        <v>6.0217000000000001</v>
      </c>
      <c r="F298" s="64">
        <f>6.0217 * CHOOSE(CONTROL!$C$22, $C$13, 100%, $E$13)</f>
        <v>6.0217000000000001</v>
      </c>
      <c r="G298" s="64">
        <f>6.0374 * CHOOSE(CONTROL!$C$22, $C$13, 100%, $E$13)</f>
        <v>6.0373999999999999</v>
      </c>
      <c r="H298" s="64">
        <f>10.0315* CHOOSE(CONTROL!$C$22, $C$13, 100%, $E$13)</f>
        <v>10.031499999999999</v>
      </c>
      <c r="I298" s="64">
        <f>10.0472 * CHOOSE(CONTROL!$C$22, $C$13, 100%, $E$13)</f>
        <v>10.0472</v>
      </c>
      <c r="J298" s="64">
        <f>6.0217 * CHOOSE(CONTROL!$C$22, $C$13, 100%, $E$13)</f>
        <v>6.0217000000000001</v>
      </c>
      <c r="K298" s="64">
        <f>6.0374 * CHOOSE(CONTROL!$C$22, $C$13, 100%, $E$13)</f>
        <v>6.0373999999999999</v>
      </c>
    </row>
    <row r="299" spans="1:11" ht="15">
      <c r="A299" s="13">
        <v>50587</v>
      </c>
      <c r="B299" s="63">
        <f>4.9646 * CHOOSE(CONTROL!$C$22, $C$13, 100%, $E$13)</f>
        <v>4.9645999999999999</v>
      </c>
      <c r="C299" s="63">
        <f>4.9646 * CHOOSE(CONTROL!$C$22, $C$13, 100%, $E$13)</f>
        <v>4.9645999999999999</v>
      </c>
      <c r="D299" s="63">
        <f>4.9776 * CHOOSE(CONTROL!$C$22, $C$13, 100%, $E$13)</f>
        <v>4.9775999999999998</v>
      </c>
      <c r="E299" s="64">
        <f>6.1322 * CHOOSE(CONTROL!$C$22, $C$13, 100%, $E$13)</f>
        <v>6.1322000000000001</v>
      </c>
      <c r="F299" s="64">
        <f>6.1322 * CHOOSE(CONTROL!$C$22, $C$13, 100%, $E$13)</f>
        <v>6.1322000000000001</v>
      </c>
      <c r="G299" s="64">
        <f>6.1479 * CHOOSE(CONTROL!$C$22, $C$13, 100%, $E$13)</f>
        <v>6.1478999999999999</v>
      </c>
      <c r="H299" s="64">
        <f>10.0524* CHOOSE(CONTROL!$C$22, $C$13, 100%, $E$13)</f>
        <v>10.0524</v>
      </c>
      <c r="I299" s="64">
        <f>10.0681 * CHOOSE(CONTROL!$C$22, $C$13, 100%, $E$13)</f>
        <v>10.068099999999999</v>
      </c>
      <c r="J299" s="64">
        <f>6.1322 * CHOOSE(CONTROL!$C$22, $C$13, 100%, $E$13)</f>
        <v>6.1322000000000001</v>
      </c>
      <c r="K299" s="64">
        <f>6.1479 * CHOOSE(CONTROL!$C$22, $C$13, 100%, $E$13)</f>
        <v>6.1478999999999999</v>
      </c>
    </row>
    <row r="300" spans="1:11" ht="15">
      <c r="A300" s="13">
        <v>50618</v>
      </c>
      <c r="B300" s="63">
        <f>4.9713 * CHOOSE(CONTROL!$C$22, $C$13, 100%, $E$13)</f>
        <v>4.9713000000000003</v>
      </c>
      <c r="C300" s="63">
        <f>4.9713 * CHOOSE(CONTROL!$C$22, $C$13, 100%, $E$13)</f>
        <v>4.9713000000000003</v>
      </c>
      <c r="D300" s="63">
        <f>4.9843 * CHOOSE(CONTROL!$C$22, $C$13, 100%, $E$13)</f>
        <v>4.9843000000000002</v>
      </c>
      <c r="E300" s="64">
        <f>6.0481 * CHOOSE(CONTROL!$C$22, $C$13, 100%, $E$13)</f>
        <v>6.0480999999999998</v>
      </c>
      <c r="F300" s="64">
        <f>6.0481 * CHOOSE(CONTROL!$C$22, $C$13, 100%, $E$13)</f>
        <v>6.0480999999999998</v>
      </c>
      <c r="G300" s="64">
        <f>6.0638 * CHOOSE(CONTROL!$C$22, $C$13, 100%, $E$13)</f>
        <v>6.0637999999999996</v>
      </c>
      <c r="H300" s="64">
        <f>10.0733* CHOOSE(CONTROL!$C$22, $C$13, 100%, $E$13)</f>
        <v>10.0733</v>
      </c>
      <c r="I300" s="64">
        <f>10.089 * CHOOSE(CONTROL!$C$22, $C$13, 100%, $E$13)</f>
        <v>10.089</v>
      </c>
      <c r="J300" s="64">
        <f>6.0481 * CHOOSE(CONTROL!$C$22, $C$13, 100%, $E$13)</f>
        <v>6.0480999999999998</v>
      </c>
      <c r="K300" s="64">
        <f>6.0638 * CHOOSE(CONTROL!$C$22, $C$13, 100%, $E$13)</f>
        <v>6.0637999999999996</v>
      </c>
    </row>
    <row r="301" spans="1:11" ht="15">
      <c r="A301" s="13">
        <v>50649</v>
      </c>
      <c r="B301" s="63">
        <f>4.9683 * CHOOSE(CONTROL!$C$22, $C$13, 100%, $E$13)</f>
        <v>4.9683000000000002</v>
      </c>
      <c r="C301" s="63">
        <f>4.9683 * CHOOSE(CONTROL!$C$22, $C$13, 100%, $E$13)</f>
        <v>4.9683000000000002</v>
      </c>
      <c r="D301" s="63">
        <f>4.9813 * CHOOSE(CONTROL!$C$22, $C$13, 100%, $E$13)</f>
        <v>4.9813000000000001</v>
      </c>
      <c r="E301" s="64">
        <f>6.0361 * CHOOSE(CONTROL!$C$22, $C$13, 100%, $E$13)</f>
        <v>6.0361000000000002</v>
      </c>
      <c r="F301" s="64">
        <f>6.0361 * CHOOSE(CONTROL!$C$22, $C$13, 100%, $E$13)</f>
        <v>6.0361000000000002</v>
      </c>
      <c r="G301" s="64">
        <f>6.0518 * CHOOSE(CONTROL!$C$22, $C$13, 100%, $E$13)</f>
        <v>6.0518000000000001</v>
      </c>
      <c r="H301" s="64">
        <f>10.0943* CHOOSE(CONTROL!$C$22, $C$13, 100%, $E$13)</f>
        <v>10.0943</v>
      </c>
      <c r="I301" s="64">
        <f>10.11 * CHOOSE(CONTROL!$C$22, $C$13, 100%, $E$13)</f>
        <v>10.11</v>
      </c>
      <c r="J301" s="64">
        <f>6.0361 * CHOOSE(CONTROL!$C$22, $C$13, 100%, $E$13)</f>
        <v>6.0361000000000002</v>
      </c>
      <c r="K301" s="64">
        <f>6.0518 * CHOOSE(CONTROL!$C$22, $C$13, 100%, $E$13)</f>
        <v>6.0518000000000001</v>
      </c>
    </row>
    <row r="302" spans="1:11" ht="15">
      <c r="A302" s="13">
        <v>50679</v>
      </c>
      <c r="B302" s="63">
        <f>4.9666 * CHOOSE(CONTROL!$C$22, $C$13, 100%, $E$13)</f>
        <v>4.9665999999999997</v>
      </c>
      <c r="C302" s="63">
        <f>4.9666 * CHOOSE(CONTROL!$C$22, $C$13, 100%, $E$13)</f>
        <v>4.9665999999999997</v>
      </c>
      <c r="D302" s="63">
        <f>4.9666 * CHOOSE(CONTROL!$C$22, $C$13, 100%, $E$13)</f>
        <v>4.9665999999999997</v>
      </c>
      <c r="E302" s="64">
        <f>6.0622 * CHOOSE(CONTROL!$C$22, $C$13, 100%, $E$13)</f>
        <v>6.0621999999999998</v>
      </c>
      <c r="F302" s="64">
        <f>6.0622 * CHOOSE(CONTROL!$C$22, $C$13, 100%, $E$13)</f>
        <v>6.0621999999999998</v>
      </c>
      <c r="G302" s="64">
        <f>6.0622 * CHOOSE(CONTROL!$C$22, $C$13, 100%, $E$13)</f>
        <v>6.0621999999999998</v>
      </c>
      <c r="H302" s="64">
        <f>10.1154* CHOOSE(CONTROL!$C$22, $C$13, 100%, $E$13)</f>
        <v>10.115399999999999</v>
      </c>
      <c r="I302" s="64">
        <f>10.1154 * CHOOSE(CONTROL!$C$22, $C$13, 100%, $E$13)</f>
        <v>10.115399999999999</v>
      </c>
      <c r="J302" s="64">
        <f>6.0622 * CHOOSE(CONTROL!$C$22, $C$13, 100%, $E$13)</f>
        <v>6.0621999999999998</v>
      </c>
      <c r="K302" s="64">
        <f>6.0622 * CHOOSE(CONTROL!$C$22, $C$13, 100%, $E$13)</f>
        <v>6.0621999999999998</v>
      </c>
    </row>
    <row r="303" spans="1:11" ht="15">
      <c r="A303" s="13">
        <v>50710</v>
      </c>
      <c r="B303" s="63">
        <f>4.9696 * CHOOSE(CONTROL!$C$22, $C$13, 100%, $E$13)</f>
        <v>4.9695999999999998</v>
      </c>
      <c r="C303" s="63">
        <f>4.9696 * CHOOSE(CONTROL!$C$22, $C$13, 100%, $E$13)</f>
        <v>4.9695999999999998</v>
      </c>
      <c r="D303" s="63">
        <f>4.9696 * CHOOSE(CONTROL!$C$22, $C$13, 100%, $E$13)</f>
        <v>4.9695999999999998</v>
      </c>
      <c r="E303" s="64">
        <f>6.084 * CHOOSE(CONTROL!$C$22, $C$13, 100%, $E$13)</f>
        <v>6.0839999999999996</v>
      </c>
      <c r="F303" s="64">
        <f>6.084 * CHOOSE(CONTROL!$C$22, $C$13, 100%, $E$13)</f>
        <v>6.0839999999999996</v>
      </c>
      <c r="G303" s="64">
        <f>6.0841 * CHOOSE(CONTROL!$C$22, $C$13, 100%, $E$13)</f>
        <v>6.0841000000000003</v>
      </c>
      <c r="H303" s="64">
        <f>10.1364* CHOOSE(CONTROL!$C$22, $C$13, 100%, $E$13)</f>
        <v>10.1364</v>
      </c>
      <c r="I303" s="64">
        <f>10.1365 * CHOOSE(CONTROL!$C$22, $C$13, 100%, $E$13)</f>
        <v>10.1365</v>
      </c>
      <c r="J303" s="64">
        <f>6.084 * CHOOSE(CONTROL!$C$22, $C$13, 100%, $E$13)</f>
        <v>6.0839999999999996</v>
      </c>
      <c r="K303" s="64">
        <f>6.0841 * CHOOSE(CONTROL!$C$22, $C$13, 100%, $E$13)</f>
        <v>6.0841000000000003</v>
      </c>
    </row>
    <row r="304" spans="1:11" ht="15">
      <c r="A304" s="13">
        <v>50740</v>
      </c>
      <c r="B304" s="63">
        <f>4.9696 * CHOOSE(CONTROL!$C$22, $C$13, 100%, $E$13)</f>
        <v>4.9695999999999998</v>
      </c>
      <c r="C304" s="63">
        <f>4.9696 * CHOOSE(CONTROL!$C$22, $C$13, 100%, $E$13)</f>
        <v>4.9695999999999998</v>
      </c>
      <c r="D304" s="63">
        <f>4.9696 * CHOOSE(CONTROL!$C$22, $C$13, 100%, $E$13)</f>
        <v>4.9695999999999998</v>
      </c>
      <c r="E304" s="64">
        <f>6.061 * CHOOSE(CONTROL!$C$22, $C$13, 100%, $E$13)</f>
        <v>6.0609999999999999</v>
      </c>
      <c r="F304" s="64">
        <f>6.061 * CHOOSE(CONTROL!$C$22, $C$13, 100%, $E$13)</f>
        <v>6.0609999999999999</v>
      </c>
      <c r="G304" s="64">
        <f>6.0611 * CHOOSE(CONTROL!$C$22, $C$13, 100%, $E$13)</f>
        <v>6.0610999999999997</v>
      </c>
      <c r="H304" s="64">
        <f>10.1576* CHOOSE(CONTROL!$C$22, $C$13, 100%, $E$13)</f>
        <v>10.1576</v>
      </c>
      <c r="I304" s="64">
        <f>10.1576 * CHOOSE(CONTROL!$C$22, $C$13, 100%, $E$13)</f>
        <v>10.1576</v>
      </c>
      <c r="J304" s="64">
        <f>6.061 * CHOOSE(CONTROL!$C$22, $C$13, 100%, $E$13)</f>
        <v>6.0609999999999999</v>
      </c>
      <c r="K304" s="64">
        <f>6.0611 * CHOOSE(CONTROL!$C$22, $C$13, 100%, $E$13)</f>
        <v>6.0610999999999997</v>
      </c>
    </row>
    <row r="305" spans="1:11" ht="15">
      <c r="A305" s="13">
        <v>50771</v>
      </c>
      <c r="B305" s="63">
        <f>5.014 * CHOOSE(CONTROL!$C$22, $C$13, 100%, $E$13)</f>
        <v>5.0140000000000002</v>
      </c>
      <c r="C305" s="63">
        <f>5.014 * CHOOSE(CONTROL!$C$22, $C$13, 100%, $E$13)</f>
        <v>5.0140000000000002</v>
      </c>
      <c r="D305" s="63">
        <f>5.014 * CHOOSE(CONTROL!$C$22, $C$13, 100%, $E$13)</f>
        <v>5.0140000000000002</v>
      </c>
      <c r="E305" s="64">
        <f>6.1195 * CHOOSE(CONTROL!$C$22, $C$13, 100%, $E$13)</f>
        <v>6.1195000000000004</v>
      </c>
      <c r="F305" s="64">
        <f>6.1195 * CHOOSE(CONTROL!$C$22, $C$13, 100%, $E$13)</f>
        <v>6.1195000000000004</v>
      </c>
      <c r="G305" s="64">
        <f>6.1195 * CHOOSE(CONTROL!$C$22, $C$13, 100%, $E$13)</f>
        <v>6.1195000000000004</v>
      </c>
      <c r="H305" s="64">
        <f>10.1787* CHOOSE(CONTROL!$C$22, $C$13, 100%, $E$13)</f>
        <v>10.178699999999999</v>
      </c>
      <c r="I305" s="64">
        <f>10.1788 * CHOOSE(CONTROL!$C$22, $C$13, 100%, $E$13)</f>
        <v>10.178800000000001</v>
      </c>
      <c r="J305" s="64">
        <f>6.1195 * CHOOSE(CONTROL!$C$22, $C$13, 100%, $E$13)</f>
        <v>6.1195000000000004</v>
      </c>
      <c r="K305" s="64">
        <f>6.1195 * CHOOSE(CONTROL!$C$22, $C$13, 100%, $E$13)</f>
        <v>6.1195000000000004</v>
      </c>
    </row>
    <row r="306" spans="1:11" ht="15">
      <c r="A306" s="13">
        <v>50802</v>
      </c>
      <c r="B306" s="63">
        <f>5.0109 * CHOOSE(CONTROL!$C$22, $C$13, 100%, $E$13)</f>
        <v>5.0109000000000004</v>
      </c>
      <c r="C306" s="63">
        <f>5.0109 * CHOOSE(CONTROL!$C$22, $C$13, 100%, $E$13)</f>
        <v>5.0109000000000004</v>
      </c>
      <c r="D306" s="63">
        <f>5.0109 * CHOOSE(CONTROL!$C$22, $C$13, 100%, $E$13)</f>
        <v>5.0109000000000004</v>
      </c>
      <c r="E306" s="64">
        <f>6.0216 * CHOOSE(CONTROL!$C$22, $C$13, 100%, $E$13)</f>
        <v>6.0216000000000003</v>
      </c>
      <c r="F306" s="64">
        <f>6.0216 * CHOOSE(CONTROL!$C$22, $C$13, 100%, $E$13)</f>
        <v>6.0216000000000003</v>
      </c>
      <c r="G306" s="64">
        <f>6.0217 * CHOOSE(CONTROL!$C$22, $C$13, 100%, $E$13)</f>
        <v>6.0217000000000001</v>
      </c>
      <c r="H306" s="64">
        <f>10.1999* CHOOSE(CONTROL!$C$22, $C$13, 100%, $E$13)</f>
        <v>10.1999</v>
      </c>
      <c r="I306" s="64">
        <f>10.2 * CHOOSE(CONTROL!$C$22, $C$13, 100%, $E$13)</f>
        <v>10.199999999999999</v>
      </c>
      <c r="J306" s="64">
        <f>6.0216 * CHOOSE(CONTROL!$C$22, $C$13, 100%, $E$13)</f>
        <v>6.0216000000000003</v>
      </c>
      <c r="K306" s="64">
        <f>6.0217 * CHOOSE(CONTROL!$C$22, $C$13, 100%, $E$13)</f>
        <v>6.0217000000000001</v>
      </c>
    </row>
    <row r="307" spans="1:11" ht="15">
      <c r="A307" s="13">
        <v>50830</v>
      </c>
      <c r="B307" s="63">
        <f>5.0079 * CHOOSE(CONTROL!$C$22, $C$13, 100%, $E$13)</f>
        <v>5.0079000000000002</v>
      </c>
      <c r="C307" s="63">
        <f>5.0079 * CHOOSE(CONTROL!$C$22, $C$13, 100%, $E$13)</f>
        <v>5.0079000000000002</v>
      </c>
      <c r="D307" s="63">
        <f>5.0079 * CHOOSE(CONTROL!$C$22, $C$13, 100%, $E$13)</f>
        <v>5.0079000000000002</v>
      </c>
      <c r="E307" s="64">
        <f>6.095 * CHOOSE(CONTROL!$C$22, $C$13, 100%, $E$13)</f>
        <v>6.0949999999999998</v>
      </c>
      <c r="F307" s="64">
        <f>6.095 * CHOOSE(CONTROL!$C$22, $C$13, 100%, $E$13)</f>
        <v>6.0949999999999998</v>
      </c>
      <c r="G307" s="64">
        <f>6.095 * CHOOSE(CONTROL!$C$22, $C$13, 100%, $E$13)</f>
        <v>6.0949999999999998</v>
      </c>
      <c r="H307" s="64">
        <f>10.2212* CHOOSE(CONTROL!$C$22, $C$13, 100%, $E$13)</f>
        <v>10.2212</v>
      </c>
      <c r="I307" s="64">
        <f>10.2213 * CHOOSE(CONTROL!$C$22, $C$13, 100%, $E$13)</f>
        <v>10.221299999999999</v>
      </c>
      <c r="J307" s="64">
        <f>6.095 * CHOOSE(CONTROL!$C$22, $C$13, 100%, $E$13)</f>
        <v>6.0949999999999998</v>
      </c>
      <c r="K307" s="64">
        <f>6.095 * CHOOSE(CONTROL!$C$22, $C$13, 100%, $E$13)</f>
        <v>6.0949999999999998</v>
      </c>
    </row>
    <row r="308" spans="1:11" ht="15">
      <c r="A308" s="13">
        <v>50861</v>
      </c>
      <c r="B308" s="63">
        <f>5.0064 * CHOOSE(CONTROL!$C$22, $C$13, 100%, $E$13)</f>
        <v>5.0064000000000002</v>
      </c>
      <c r="C308" s="63">
        <f>5.0064 * CHOOSE(CONTROL!$C$22, $C$13, 100%, $E$13)</f>
        <v>5.0064000000000002</v>
      </c>
      <c r="D308" s="63">
        <f>5.0064 * CHOOSE(CONTROL!$C$22, $C$13, 100%, $E$13)</f>
        <v>5.0064000000000002</v>
      </c>
      <c r="E308" s="64">
        <f>6.1718 * CHOOSE(CONTROL!$C$22, $C$13, 100%, $E$13)</f>
        <v>6.1718000000000002</v>
      </c>
      <c r="F308" s="64">
        <f>6.1718 * CHOOSE(CONTROL!$C$22, $C$13, 100%, $E$13)</f>
        <v>6.1718000000000002</v>
      </c>
      <c r="G308" s="64">
        <f>6.1718 * CHOOSE(CONTROL!$C$22, $C$13, 100%, $E$13)</f>
        <v>6.1718000000000002</v>
      </c>
      <c r="H308" s="64">
        <f>10.2425* CHOOSE(CONTROL!$C$22, $C$13, 100%, $E$13)</f>
        <v>10.2425</v>
      </c>
      <c r="I308" s="64">
        <f>10.2425 * CHOOSE(CONTROL!$C$22, $C$13, 100%, $E$13)</f>
        <v>10.2425</v>
      </c>
      <c r="J308" s="64">
        <f>6.1718 * CHOOSE(CONTROL!$C$22, $C$13, 100%, $E$13)</f>
        <v>6.1718000000000002</v>
      </c>
      <c r="K308" s="64">
        <f>6.1718 * CHOOSE(CONTROL!$C$22, $C$13, 100%, $E$13)</f>
        <v>6.1718000000000002</v>
      </c>
    </row>
    <row r="309" spans="1:11" ht="15">
      <c r="A309" s="13">
        <v>50891</v>
      </c>
      <c r="B309" s="63">
        <f>5.0064 * CHOOSE(CONTROL!$C$22, $C$13, 100%, $E$13)</f>
        <v>5.0064000000000002</v>
      </c>
      <c r="C309" s="63">
        <f>5.0064 * CHOOSE(CONTROL!$C$22, $C$13, 100%, $E$13)</f>
        <v>5.0064000000000002</v>
      </c>
      <c r="D309" s="63">
        <f>5.0194 * CHOOSE(CONTROL!$C$22, $C$13, 100%, $E$13)</f>
        <v>5.0194000000000001</v>
      </c>
      <c r="E309" s="64">
        <f>6.2021 * CHOOSE(CONTROL!$C$22, $C$13, 100%, $E$13)</f>
        <v>6.2020999999999997</v>
      </c>
      <c r="F309" s="64">
        <f>6.2021 * CHOOSE(CONTROL!$C$22, $C$13, 100%, $E$13)</f>
        <v>6.2020999999999997</v>
      </c>
      <c r="G309" s="64">
        <f>6.2178 * CHOOSE(CONTROL!$C$22, $C$13, 100%, $E$13)</f>
        <v>6.2178000000000004</v>
      </c>
      <c r="H309" s="64">
        <f>10.2638* CHOOSE(CONTROL!$C$22, $C$13, 100%, $E$13)</f>
        <v>10.2638</v>
      </c>
      <c r="I309" s="64">
        <f>10.2795 * CHOOSE(CONTROL!$C$22, $C$13, 100%, $E$13)</f>
        <v>10.279500000000001</v>
      </c>
      <c r="J309" s="64">
        <f>6.2021 * CHOOSE(CONTROL!$C$22, $C$13, 100%, $E$13)</f>
        <v>6.2020999999999997</v>
      </c>
      <c r="K309" s="64">
        <f>6.2178 * CHOOSE(CONTROL!$C$22, $C$13, 100%, $E$13)</f>
        <v>6.2178000000000004</v>
      </c>
    </row>
    <row r="310" spans="1:11" ht="15">
      <c r="A310" s="13">
        <v>50922</v>
      </c>
      <c r="B310" s="63">
        <f>5.0125 * CHOOSE(CONTROL!$C$22, $C$13, 100%, $E$13)</f>
        <v>5.0125000000000002</v>
      </c>
      <c r="C310" s="63">
        <f>5.0125 * CHOOSE(CONTROL!$C$22, $C$13, 100%, $E$13)</f>
        <v>5.0125000000000002</v>
      </c>
      <c r="D310" s="63">
        <f>5.0255 * CHOOSE(CONTROL!$C$22, $C$13, 100%, $E$13)</f>
        <v>5.0255000000000001</v>
      </c>
      <c r="E310" s="64">
        <f>6.176 * CHOOSE(CONTROL!$C$22, $C$13, 100%, $E$13)</f>
        <v>6.1760000000000002</v>
      </c>
      <c r="F310" s="64">
        <f>6.176 * CHOOSE(CONTROL!$C$22, $C$13, 100%, $E$13)</f>
        <v>6.1760000000000002</v>
      </c>
      <c r="G310" s="64">
        <f>6.1917 * CHOOSE(CONTROL!$C$22, $C$13, 100%, $E$13)</f>
        <v>6.1917</v>
      </c>
      <c r="H310" s="64">
        <f>10.2852* CHOOSE(CONTROL!$C$22, $C$13, 100%, $E$13)</f>
        <v>10.2852</v>
      </c>
      <c r="I310" s="64">
        <f>10.3009 * CHOOSE(CONTROL!$C$22, $C$13, 100%, $E$13)</f>
        <v>10.3009</v>
      </c>
      <c r="J310" s="64">
        <f>6.176 * CHOOSE(CONTROL!$C$22, $C$13, 100%, $E$13)</f>
        <v>6.1760000000000002</v>
      </c>
      <c r="K310" s="64">
        <f>6.1917 * CHOOSE(CONTROL!$C$22, $C$13, 100%, $E$13)</f>
        <v>6.1917</v>
      </c>
    </row>
    <row r="311" spans="1:11" ht="15">
      <c r="A311" s="13">
        <v>50952</v>
      </c>
      <c r="B311" s="63">
        <f>5.0952 * CHOOSE(CONTROL!$C$22, $C$13, 100%, $E$13)</f>
        <v>5.0952000000000002</v>
      </c>
      <c r="C311" s="63">
        <f>5.0952 * CHOOSE(CONTROL!$C$22, $C$13, 100%, $E$13)</f>
        <v>5.0952000000000002</v>
      </c>
      <c r="D311" s="63">
        <f>5.1081 * CHOOSE(CONTROL!$C$22, $C$13, 100%, $E$13)</f>
        <v>5.1081000000000003</v>
      </c>
      <c r="E311" s="64">
        <f>6.2809 * CHOOSE(CONTROL!$C$22, $C$13, 100%, $E$13)</f>
        <v>6.2808999999999999</v>
      </c>
      <c r="F311" s="64">
        <f>6.2809 * CHOOSE(CONTROL!$C$22, $C$13, 100%, $E$13)</f>
        <v>6.2808999999999999</v>
      </c>
      <c r="G311" s="64">
        <f>6.2966 * CHOOSE(CONTROL!$C$22, $C$13, 100%, $E$13)</f>
        <v>6.2965999999999998</v>
      </c>
      <c r="H311" s="64">
        <f>10.3066* CHOOSE(CONTROL!$C$22, $C$13, 100%, $E$13)</f>
        <v>10.3066</v>
      </c>
      <c r="I311" s="64">
        <f>10.3223 * CHOOSE(CONTROL!$C$22, $C$13, 100%, $E$13)</f>
        <v>10.3223</v>
      </c>
      <c r="J311" s="64">
        <f>6.2809 * CHOOSE(CONTROL!$C$22, $C$13, 100%, $E$13)</f>
        <v>6.2808999999999999</v>
      </c>
      <c r="K311" s="64">
        <f>6.2966 * CHOOSE(CONTROL!$C$22, $C$13, 100%, $E$13)</f>
        <v>6.2965999999999998</v>
      </c>
    </row>
    <row r="312" spans="1:11" ht="15">
      <c r="A312" s="13">
        <v>50983</v>
      </c>
      <c r="B312" s="63">
        <f>5.1019 * CHOOSE(CONTROL!$C$22, $C$13, 100%, $E$13)</f>
        <v>5.1018999999999997</v>
      </c>
      <c r="C312" s="63">
        <f>5.1019 * CHOOSE(CONTROL!$C$22, $C$13, 100%, $E$13)</f>
        <v>5.1018999999999997</v>
      </c>
      <c r="D312" s="63">
        <f>5.1148 * CHOOSE(CONTROL!$C$22, $C$13, 100%, $E$13)</f>
        <v>5.1147999999999998</v>
      </c>
      <c r="E312" s="64">
        <f>6.1944 * CHOOSE(CONTROL!$C$22, $C$13, 100%, $E$13)</f>
        <v>6.1943999999999999</v>
      </c>
      <c r="F312" s="64">
        <f>6.1944 * CHOOSE(CONTROL!$C$22, $C$13, 100%, $E$13)</f>
        <v>6.1943999999999999</v>
      </c>
      <c r="G312" s="64">
        <f>6.2101 * CHOOSE(CONTROL!$C$22, $C$13, 100%, $E$13)</f>
        <v>6.2100999999999997</v>
      </c>
      <c r="H312" s="64">
        <f>10.3281* CHOOSE(CONTROL!$C$22, $C$13, 100%, $E$13)</f>
        <v>10.328099999999999</v>
      </c>
      <c r="I312" s="64">
        <f>10.3438 * CHOOSE(CONTROL!$C$22, $C$13, 100%, $E$13)</f>
        <v>10.3438</v>
      </c>
      <c r="J312" s="64">
        <f>6.1944 * CHOOSE(CONTROL!$C$22, $C$13, 100%, $E$13)</f>
        <v>6.1943999999999999</v>
      </c>
      <c r="K312" s="64">
        <f>6.2101 * CHOOSE(CONTROL!$C$22, $C$13, 100%, $E$13)</f>
        <v>6.2100999999999997</v>
      </c>
    </row>
    <row r="313" spans="1:11" ht="15">
      <c r="A313" s="13">
        <v>51014</v>
      </c>
      <c r="B313" s="63">
        <f>5.0988 * CHOOSE(CONTROL!$C$22, $C$13, 100%, $E$13)</f>
        <v>5.0987999999999998</v>
      </c>
      <c r="C313" s="63">
        <f>5.0988 * CHOOSE(CONTROL!$C$22, $C$13, 100%, $E$13)</f>
        <v>5.0987999999999998</v>
      </c>
      <c r="D313" s="63">
        <f>5.1118 * CHOOSE(CONTROL!$C$22, $C$13, 100%, $E$13)</f>
        <v>5.1117999999999997</v>
      </c>
      <c r="E313" s="64">
        <f>6.1822 * CHOOSE(CONTROL!$C$22, $C$13, 100%, $E$13)</f>
        <v>6.1821999999999999</v>
      </c>
      <c r="F313" s="64">
        <f>6.1822 * CHOOSE(CONTROL!$C$22, $C$13, 100%, $E$13)</f>
        <v>6.1821999999999999</v>
      </c>
      <c r="G313" s="64">
        <f>6.1979 * CHOOSE(CONTROL!$C$22, $C$13, 100%, $E$13)</f>
        <v>6.1978999999999997</v>
      </c>
      <c r="H313" s="64">
        <f>10.3496* CHOOSE(CONTROL!$C$22, $C$13, 100%, $E$13)</f>
        <v>10.349600000000001</v>
      </c>
      <c r="I313" s="64">
        <f>10.3653 * CHOOSE(CONTROL!$C$22, $C$13, 100%, $E$13)</f>
        <v>10.3653</v>
      </c>
      <c r="J313" s="64">
        <f>6.1822 * CHOOSE(CONTROL!$C$22, $C$13, 100%, $E$13)</f>
        <v>6.1821999999999999</v>
      </c>
      <c r="K313" s="64">
        <f>6.1979 * CHOOSE(CONTROL!$C$22, $C$13, 100%, $E$13)</f>
        <v>6.1978999999999997</v>
      </c>
    </row>
    <row r="314" spans="1:11" ht="15">
      <c r="A314" s="13">
        <v>51044</v>
      </c>
      <c r="B314" s="63">
        <f>5.0975 * CHOOSE(CONTROL!$C$22, $C$13, 100%, $E$13)</f>
        <v>5.0975000000000001</v>
      </c>
      <c r="C314" s="63">
        <f>5.0975 * CHOOSE(CONTROL!$C$22, $C$13, 100%, $E$13)</f>
        <v>5.0975000000000001</v>
      </c>
      <c r="D314" s="63">
        <f>5.0975 * CHOOSE(CONTROL!$C$22, $C$13, 100%, $E$13)</f>
        <v>5.0975000000000001</v>
      </c>
      <c r="E314" s="64">
        <f>6.2093 * CHOOSE(CONTROL!$C$22, $C$13, 100%, $E$13)</f>
        <v>6.2092999999999998</v>
      </c>
      <c r="F314" s="64">
        <f>6.2093 * CHOOSE(CONTROL!$C$22, $C$13, 100%, $E$13)</f>
        <v>6.2092999999999998</v>
      </c>
      <c r="G314" s="64">
        <f>6.2094 * CHOOSE(CONTROL!$C$22, $C$13, 100%, $E$13)</f>
        <v>6.2093999999999996</v>
      </c>
      <c r="H314" s="64">
        <f>10.3712* CHOOSE(CONTROL!$C$22, $C$13, 100%, $E$13)</f>
        <v>10.3712</v>
      </c>
      <c r="I314" s="64">
        <f>10.3712 * CHOOSE(CONTROL!$C$22, $C$13, 100%, $E$13)</f>
        <v>10.3712</v>
      </c>
      <c r="J314" s="64">
        <f>6.2093 * CHOOSE(CONTROL!$C$22, $C$13, 100%, $E$13)</f>
        <v>6.2092999999999998</v>
      </c>
      <c r="K314" s="64">
        <f>6.2094 * CHOOSE(CONTROL!$C$22, $C$13, 100%, $E$13)</f>
        <v>6.2093999999999996</v>
      </c>
    </row>
    <row r="315" spans="1:11" ht="15">
      <c r="A315" s="13">
        <v>51075</v>
      </c>
      <c r="B315" s="63">
        <f>5.1006 * CHOOSE(CONTROL!$C$22, $C$13, 100%, $E$13)</f>
        <v>5.1006</v>
      </c>
      <c r="C315" s="63">
        <f>5.1006 * CHOOSE(CONTROL!$C$22, $C$13, 100%, $E$13)</f>
        <v>5.1006</v>
      </c>
      <c r="D315" s="63">
        <f>5.1006 * CHOOSE(CONTROL!$C$22, $C$13, 100%, $E$13)</f>
        <v>5.1006</v>
      </c>
      <c r="E315" s="64">
        <f>6.2316 * CHOOSE(CONTROL!$C$22, $C$13, 100%, $E$13)</f>
        <v>6.2316000000000003</v>
      </c>
      <c r="F315" s="64">
        <f>6.2316 * CHOOSE(CONTROL!$C$22, $C$13, 100%, $E$13)</f>
        <v>6.2316000000000003</v>
      </c>
      <c r="G315" s="64">
        <f>6.2317 * CHOOSE(CONTROL!$C$22, $C$13, 100%, $E$13)</f>
        <v>6.2317</v>
      </c>
      <c r="H315" s="64">
        <f>10.3928* CHOOSE(CONTROL!$C$22, $C$13, 100%, $E$13)</f>
        <v>10.392799999999999</v>
      </c>
      <c r="I315" s="64">
        <f>10.3929 * CHOOSE(CONTROL!$C$22, $C$13, 100%, $E$13)</f>
        <v>10.392899999999999</v>
      </c>
      <c r="J315" s="64">
        <f>6.2316 * CHOOSE(CONTROL!$C$22, $C$13, 100%, $E$13)</f>
        <v>6.2316000000000003</v>
      </c>
      <c r="K315" s="64">
        <f>6.2317 * CHOOSE(CONTROL!$C$22, $C$13, 100%, $E$13)</f>
        <v>6.2317</v>
      </c>
    </row>
    <row r="316" spans="1:11" ht="15">
      <c r="A316" s="13">
        <v>51105</v>
      </c>
      <c r="B316" s="63">
        <f>5.1006 * CHOOSE(CONTROL!$C$22, $C$13, 100%, $E$13)</f>
        <v>5.1006</v>
      </c>
      <c r="C316" s="63">
        <f>5.1006 * CHOOSE(CONTROL!$C$22, $C$13, 100%, $E$13)</f>
        <v>5.1006</v>
      </c>
      <c r="D316" s="63">
        <f>5.1006 * CHOOSE(CONTROL!$C$22, $C$13, 100%, $E$13)</f>
        <v>5.1006</v>
      </c>
      <c r="E316" s="64">
        <f>6.181 * CHOOSE(CONTROL!$C$22, $C$13, 100%, $E$13)</f>
        <v>6.181</v>
      </c>
      <c r="F316" s="64">
        <f>6.181 * CHOOSE(CONTROL!$C$22, $C$13, 100%, $E$13)</f>
        <v>6.181</v>
      </c>
      <c r="G316" s="64">
        <f>6.1811 * CHOOSE(CONTROL!$C$22, $C$13, 100%, $E$13)</f>
        <v>6.1810999999999998</v>
      </c>
      <c r="H316" s="64">
        <f>10.4144* CHOOSE(CONTROL!$C$22, $C$13, 100%, $E$13)</f>
        <v>10.414400000000001</v>
      </c>
      <c r="I316" s="64">
        <f>10.4145 * CHOOSE(CONTROL!$C$22, $C$13, 100%, $E$13)</f>
        <v>10.4145</v>
      </c>
      <c r="J316" s="64">
        <f>6.181 * CHOOSE(CONTROL!$C$22, $C$13, 100%, $E$13)</f>
        <v>6.181</v>
      </c>
      <c r="K316" s="64">
        <f>6.1811 * CHOOSE(CONTROL!$C$22, $C$13, 100%, $E$13)</f>
        <v>6.1810999999999998</v>
      </c>
    </row>
    <row r="317" spans="1:11" ht="15">
      <c r="A317" s="13">
        <v>51136</v>
      </c>
      <c r="B317" s="63">
        <f>5.146 * CHOOSE(CONTROL!$C$22, $C$13, 100%, $E$13)</f>
        <v>5.1459999999999999</v>
      </c>
      <c r="C317" s="63">
        <f>5.146 * CHOOSE(CONTROL!$C$22, $C$13, 100%, $E$13)</f>
        <v>5.1459999999999999</v>
      </c>
      <c r="D317" s="63">
        <f>5.146 * CHOOSE(CONTROL!$C$22, $C$13, 100%, $E$13)</f>
        <v>5.1459999999999999</v>
      </c>
      <c r="E317" s="64">
        <f>6.2686 * CHOOSE(CONTROL!$C$22, $C$13, 100%, $E$13)</f>
        <v>6.2686000000000002</v>
      </c>
      <c r="F317" s="64">
        <f>6.2686 * CHOOSE(CONTROL!$C$22, $C$13, 100%, $E$13)</f>
        <v>6.2686000000000002</v>
      </c>
      <c r="G317" s="64">
        <f>6.2687 * CHOOSE(CONTROL!$C$22, $C$13, 100%, $E$13)</f>
        <v>6.2686999999999999</v>
      </c>
      <c r="H317" s="64">
        <f>10.4361* CHOOSE(CONTROL!$C$22, $C$13, 100%, $E$13)</f>
        <v>10.4361</v>
      </c>
      <c r="I317" s="64">
        <f>10.4362 * CHOOSE(CONTROL!$C$22, $C$13, 100%, $E$13)</f>
        <v>10.436199999999999</v>
      </c>
      <c r="J317" s="64">
        <f>6.2686 * CHOOSE(CONTROL!$C$22, $C$13, 100%, $E$13)</f>
        <v>6.2686000000000002</v>
      </c>
      <c r="K317" s="64">
        <f>6.2687 * CHOOSE(CONTROL!$C$22, $C$13, 100%, $E$13)</f>
        <v>6.2686999999999999</v>
      </c>
    </row>
    <row r="318" spans="1:11" ht="15">
      <c r="A318" s="13">
        <v>51167</v>
      </c>
      <c r="B318" s="63">
        <f>5.1429 * CHOOSE(CONTROL!$C$22, $C$13, 100%, $E$13)</f>
        <v>5.1429</v>
      </c>
      <c r="C318" s="63">
        <f>5.1429 * CHOOSE(CONTROL!$C$22, $C$13, 100%, $E$13)</f>
        <v>5.1429</v>
      </c>
      <c r="D318" s="63">
        <f>5.1429 * CHOOSE(CONTROL!$C$22, $C$13, 100%, $E$13)</f>
        <v>5.1429</v>
      </c>
      <c r="E318" s="64">
        <f>6.1681 * CHOOSE(CONTROL!$C$22, $C$13, 100%, $E$13)</f>
        <v>6.1680999999999999</v>
      </c>
      <c r="F318" s="64">
        <f>6.1681 * CHOOSE(CONTROL!$C$22, $C$13, 100%, $E$13)</f>
        <v>6.1680999999999999</v>
      </c>
      <c r="G318" s="64">
        <f>6.1682 * CHOOSE(CONTROL!$C$22, $C$13, 100%, $E$13)</f>
        <v>6.1681999999999997</v>
      </c>
      <c r="H318" s="64">
        <f>10.4579* CHOOSE(CONTROL!$C$22, $C$13, 100%, $E$13)</f>
        <v>10.4579</v>
      </c>
      <c r="I318" s="64">
        <f>10.4579 * CHOOSE(CONTROL!$C$22, $C$13, 100%, $E$13)</f>
        <v>10.4579</v>
      </c>
      <c r="J318" s="64">
        <f>6.1681 * CHOOSE(CONTROL!$C$22, $C$13, 100%, $E$13)</f>
        <v>6.1680999999999999</v>
      </c>
      <c r="K318" s="64">
        <f>6.1682 * CHOOSE(CONTROL!$C$22, $C$13, 100%, $E$13)</f>
        <v>6.1681999999999997</v>
      </c>
    </row>
    <row r="319" spans="1:11" ht="15">
      <c r="A319" s="13">
        <v>51196</v>
      </c>
      <c r="B319" s="63">
        <f>5.1399 * CHOOSE(CONTROL!$C$22, $C$13, 100%, $E$13)</f>
        <v>5.1398999999999999</v>
      </c>
      <c r="C319" s="63">
        <f>5.1399 * CHOOSE(CONTROL!$C$22, $C$13, 100%, $E$13)</f>
        <v>5.1398999999999999</v>
      </c>
      <c r="D319" s="63">
        <f>5.1399 * CHOOSE(CONTROL!$C$22, $C$13, 100%, $E$13)</f>
        <v>5.1398999999999999</v>
      </c>
      <c r="E319" s="64">
        <f>6.2435 * CHOOSE(CONTROL!$C$22, $C$13, 100%, $E$13)</f>
        <v>6.2435</v>
      </c>
      <c r="F319" s="64">
        <f>6.2435 * CHOOSE(CONTROL!$C$22, $C$13, 100%, $E$13)</f>
        <v>6.2435</v>
      </c>
      <c r="G319" s="64">
        <f>6.2436 * CHOOSE(CONTROL!$C$22, $C$13, 100%, $E$13)</f>
        <v>6.2435999999999998</v>
      </c>
      <c r="H319" s="64">
        <f>10.4796* CHOOSE(CONTROL!$C$22, $C$13, 100%, $E$13)</f>
        <v>10.4796</v>
      </c>
      <c r="I319" s="64">
        <f>10.4797 * CHOOSE(CONTROL!$C$22, $C$13, 100%, $E$13)</f>
        <v>10.479699999999999</v>
      </c>
      <c r="J319" s="64">
        <f>6.2435 * CHOOSE(CONTROL!$C$22, $C$13, 100%, $E$13)</f>
        <v>6.2435</v>
      </c>
      <c r="K319" s="64">
        <f>6.2436 * CHOOSE(CONTROL!$C$22, $C$13, 100%, $E$13)</f>
        <v>6.2435999999999998</v>
      </c>
    </row>
    <row r="320" spans="1:11" ht="15">
      <c r="A320" s="13">
        <v>51227</v>
      </c>
      <c r="B320" s="63">
        <f>5.1385 * CHOOSE(CONTROL!$C$22, $C$13, 100%, $E$13)</f>
        <v>5.1384999999999996</v>
      </c>
      <c r="C320" s="63">
        <f>5.1385 * CHOOSE(CONTROL!$C$22, $C$13, 100%, $E$13)</f>
        <v>5.1384999999999996</v>
      </c>
      <c r="D320" s="63">
        <f>5.1385 * CHOOSE(CONTROL!$C$22, $C$13, 100%, $E$13)</f>
        <v>5.1384999999999996</v>
      </c>
      <c r="E320" s="64">
        <f>6.3226 * CHOOSE(CONTROL!$C$22, $C$13, 100%, $E$13)</f>
        <v>6.3226000000000004</v>
      </c>
      <c r="F320" s="64">
        <f>6.3226 * CHOOSE(CONTROL!$C$22, $C$13, 100%, $E$13)</f>
        <v>6.3226000000000004</v>
      </c>
      <c r="G320" s="64">
        <f>6.3227 * CHOOSE(CONTROL!$C$22, $C$13, 100%, $E$13)</f>
        <v>6.3227000000000002</v>
      </c>
      <c r="H320" s="64">
        <f>10.5015* CHOOSE(CONTROL!$C$22, $C$13, 100%, $E$13)</f>
        <v>10.5015</v>
      </c>
      <c r="I320" s="64">
        <f>10.5016 * CHOOSE(CONTROL!$C$22, $C$13, 100%, $E$13)</f>
        <v>10.5016</v>
      </c>
      <c r="J320" s="64">
        <f>6.3226 * CHOOSE(CONTROL!$C$22, $C$13, 100%, $E$13)</f>
        <v>6.3226000000000004</v>
      </c>
      <c r="K320" s="64">
        <f>6.3227 * CHOOSE(CONTROL!$C$22, $C$13, 100%, $E$13)</f>
        <v>6.3227000000000002</v>
      </c>
    </row>
    <row r="321" spans="1:11" ht="15">
      <c r="A321" s="13">
        <v>51257</v>
      </c>
      <c r="B321" s="63">
        <f>5.1385 * CHOOSE(CONTROL!$C$22, $C$13, 100%, $E$13)</f>
        <v>5.1384999999999996</v>
      </c>
      <c r="C321" s="63">
        <f>5.1385 * CHOOSE(CONTROL!$C$22, $C$13, 100%, $E$13)</f>
        <v>5.1384999999999996</v>
      </c>
      <c r="D321" s="63">
        <f>5.1515 * CHOOSE(CONTROL!$C$22, $C$13, 100%, $E$13)</f>
        <v>5.1515000000000004</v>
      </c>
      <c r="E321" s="64">
        <f>6.3538 * CHOOSE(CONTROL!$C$22, $C$13, 100%, $E$13)</f>
        <v>6.3537999999999997</v>
      </c>
      <c r="F321" s="64">
        <f>6.3538 * CHOOSE(CONTROL!$C$22, $C$13, 100%, $E$13)</f>
        <v>6.3537999999999997</v>
      </c>
      <c r="G321" s="64">
        <f>6.3695 * CHOOSE(CONTROL!$C$22, $C$13, 100%, $E$13)</f>
        <v>6.3695000000000004</v>
      </c>
      <c r="H321" s="64">
        <f>10.5234* CHOOSE(CONTROL!$C$22, $C$13, 100%, $E$13)</f>
        <v>10.523400000000001</v>
      </c>
      <c r="I321" s="64">
        <f>10.539 * CHOOSE(CONTROL!$C$22, $C$13, 100%, $E$13)</f>
        <v>10.539</v>
      </c>
      <c r="J321" s="64">
        <f>6.3538 * CHOOSE(CONTROL!$C$22, $C$13, 100%, $E$13)</f>
        <v>6.3537999999999997</v>
      </c>
      <c r="K321" s="64">
        <f>6.3695 * CHOOSE(CONTROL!$C$22, $C$13, 100%, $E$13)</f>
        <v>6.3695000000000004</v>
      </c>
    </row>
    <row r="322" spans="1:11" ht="15">
      <c r="A322" s="13">
        <v>51288</v>
      </c>
      <c r="B322" s="63">
        <f>5.1446 * CHOOSE(CONTROL!$C$22, $C$13, 100%, $E$13)</f>
        <v>5.1445999999999996</v>
      </c>
      <c r="C322" s="63">
        <f>5.1446 * CHOOSE(CONTROL!$C$22, $C$13, 100%, $E$13)</f>
        <v>5.1445999999999996</v>
      </c>
      <c r="D322" s="63">
        <f>5.1576 * CHOOSE(CONTROL!$C$22, $C$13, 100%, $E$13)</f>
        <v>5.1576000000000004</v>
      </c>
      <c r="E322" s="64">
        <f>6.3268 * CHOOSE(CONTROL!$C$22, $C$13, 100%, $E$13)</f>
        <v>6.3268000000000004</v>
      </c>
      <c r="F322" s="64">
        <f>6.3268 * CHOOSE(CONTROL!$C$22, $C$13, 100%, $E$13)</f>
        <v>6.3268000000000004</v>
      </c>
      <c r="G322" s="64">
        <f>6.3425 * CHOOSE(CONTROL!$C$22, $C$13, 100%, $E$13)</f>
        <v>6.3425000000000002</v>
      </c>
      <c r="H322" s="64">
        <f>10.5453* CHOOSE(CONTROL!$C$22, $C$13, 100%, $E$13)</f>
        <v>10.545299999999999</v>
      </c>
      <c r="I322" s="64">
        <f>10.561 * CHOOSE(CONTROL!$C$22, $C$13, 100%, $E$13)</f>
        <v>10.561</v>
      </c>
      <c r="J322" s="64">
        <f>6.3268 * CHOOSE(CONTROL!$C$22, $C$13, 100%, $E$13)</f>
        <v>6.3268000000000004</v>
      </c>
      <c r="K322" s="64">
        <f>6.3425 * CHOOSE(CONTROL!$C$22, $C$13, 100%, $E$13)</f>
        <v>6.3425000000000002</v>
      </c>
    </row>
    <row r="323" spans="1:11" ht="15">
      <c r="A323" s="13">
        <v>51318</v>
      </c>
      <c r="B323" s="63">
        <f>5.2293 * CHOOSE(CONTROL!$C$22, $C$13, 100%, $E$13)</f>
        <v>5.2293000000000003</v>
      </c>
      <c r="C323" s="63">
        <f>5.2293 * CHOOSE(CONTROL!$C$22, $C$13, 100%, $E$13)</f>
        <v>5.2293000000000003</v>
      </c>
      <c r="D323" s="63">
        <f>5.2423 * CHOOSE(CONTROL!$C$22, $C$13, 100%, $E$13)</f>
        <v>5.2423000000000002</v>
      </c>
      <c r="E323" s="64">
        <f>6.4346 * CHOOSE(CONTROL!$C$22, $C$13, 100%, $E$13)</f>
        <v>6.4345999999999997</v>
      </c>
      <c r="F323" s="64">
        <f>6.4346 * CHOOSE(CONTROL!$C$22, $C$13, 100%, $E$13)</f>
        <v>6.4345999999999997</v>
      </c>
      <c r="G323" s="64">
        <f>6.4503 * CHOOSE(CONTROL!$C$22, $C$13, 100%, $E$13)</f>
        <v>6.4503000000000004</v>
      </c>
      <c r="H323" s="64">
        <f>10.5673* CHOOSE(CONTROL!$C$22, $C$13, 100%, $E$13)</f>
        <v>10.567299999999999</v>
      </c>
      <c r="I323" s="64">
        <f>10.5829 * CHOOSE(CONTROL!$C$22, $C$13, 100%, $E$13)</f>
        <v>10.5829</v>
      </c>
      <c r="J323" s="64">
        <f>6.4346 * CHOOSE(CONTROL!$C$22, $C$13, 100%, $E$13)</f>
        <v>6.4345999999999997</v>
      </c>
      <c r="K323" s="64">
        <f>6.4503 * CHOOSE(CONTROL!$C$22, $C$13, 100%, $E$13)</f>
        <v>6.4503000000000004</v>
      </c>
    </row>
    <row r="324" spans="1:11" ht="15">
      <c r="A324" s="13">
        <v>51349</v>
      </c>
      <c r="B324" s="63">
        <f>5.236 * CHOOSE(CONTROL!$C$22, $C$13, 100%, $E$13)</f>
        <v>5.2359999999999998</v>
      </c>
      <c r="C324" s="63">
        <f>5.236 * CHOOSE(CONTROL!$C$22, $C$13, 100%, $E$13)</f>
        <v>5.2359999999999998</v>
      </c>
      <c r="D324" s="63">
        <f>5.249 * CHOOSE(CONTROL!$C$22, $C$13, 100%, $E$13)</f>
        <v>5.2489999999999997</v>
      </c>
      <c r="E324" s="64">
        <f>6.3455 * CHOOSE(CONTROL!$C$22, $C$13, 100%, $E$13)</f>
        <v>6.3455000000000004</v>
      </c>
      <c r="F324" s="64">
        <f>6.3455 * CHOOSE(CONTROL!$C$22, $C$13, 100%, $E$13)</f>
        <v>6.3455000000000004</v>
      </c>
      <c r="G324" s="64">
        <f>6.3612 * CHOOSE(CONTROL!$C$22, $C$13, 100%, $E$13)</f>
        <v>6.3612000000000002</v>
      </c>
      <c r="H324" s="64">
        <f>10.5893* CHOOSE(CONTROL!$C$22, $C$13, 100%, $E$13)</f>
        <v>10.5893</v>
      </c>
      <c r="I324" s="64">
        <f>10.6049 * CHOOSE(CONTROL!$C$22, $C$13, 100%, $E$13)</f>
        <v>10.604900000000001</v>
      </c>
      <c r="J324" s="64">
        <f>6.3455 * CHOOSE(CONTROL!$C$22, $C$13, 100%, $E$13)</f>
        <v>6.3455000000000004</v>
      </c>
      <c r="K324" s="64">
        <f>6.3612 * CHOOSE(CONTROL!$C$22, $C$13, 100%, $E$13)</f>
        <v>6.3612000000000002</v>
      </c>
    </row>
    <row r="325" spans="1:11" ht="15">
      <c r="A325" s="13">
        <v>51380</v>
      </c>
      <c r="B325" s="63">
        <f>5.233 * CHOOSE(CONTROL!$C$22, $C$13, 100%, $E$13)</f>
        <v>5.2329999999999997</v>
      </c>
      <c r="C325" s="63">
        <f>5.233 * CHOOSE(CONTROL!$C$22, $C$13, 100%, $E$13)</f>
        <v>5.2329999999999997</v>
      </c>
      <c r="D325" s="63">
        <f>5.2459 * CHOOSE(CONTROL!$C$22, $C$13, 100%, $E$13)</f>
        <v>5.2458999999999998</v>
      </c>
      <c r="E325" s="64">
        <f>6.333 * CHOOSE(CONTROL!$C$22, $C$13, 100%, $E$13)</f>
        <v>6.3330000000000002</v>
      </c>
      <c r="F325" s="64">
        <f>6.333 * CHOOSE(CONTROL!$C$22, $C$13, 100%, $E$13)</f>
        <v>6.3330000000000002</v>
      </c>
      <c r="G325" s="64">
        <f>6.3487 * CHOOSE(CONTROL!$C$22, $C$13, 100%, $E$13)</f>
        <v>6.3487</v>
      </c>
      <c r="H325" s="64">
        <f>10.6113* CHOOSE(CONTROL!$C$22, $C$13, 100%, $E$13)</f>
        <v>10.6113</v>
      </c>
      <c r="I325" s="64">
        <f>10.627 * CHOOSE(CONTROL!$C$22, $C$13, 100%, $E$13)</f>
        <v>10.627000000000001</v>
      </c>
      <c r="J325" s="64">
        <f>6.333 * CHOOSE(CONTROL!$C$22, $C$13, 100%, $E$13)</f>
        <v>6.3330000000000002</v>
      </c>
      <c r="K325" s="64">
        <f>6.3487 * CHOOSE(CONTROL!$C$22, $C$13, 100%, $E$13)</f>
        <v>6.3487</v>
      </c>
    </row>
    <row r="326" spans="1:11" ht="15">
      <c r="A326" s="13">
        <v>51410</v>
      </c>
      <c r="B326" s="63">
        <f>5.2321 * CHOOSE(CONTROL!$C$22, $C$13, 100%, $E$13)</f>
        <v>5.2321</v>
      </c>
      <c r="C326" s="63">
        <f>5.2321 * CHOOSE(CONTROL!$C$22, $C$13, 100%, $E$13)</f>
        <v>5.2321</v>
      </c>
      <c r="D326" s="63">
        <f>5.2321 * CHOOSE(CONTROL!$C$22, $C$13, 100%, $E$13)</f>
        <v>5.2321</v>
      </c>
      <c r="E326" s="64">
        <f>6.3612 * CHOOSE(CONTROL!$C$22, $C$13, 100%, $E$13)</f>
        <v>6.3612000000000002</v>
      </c>
      <c r="F326" s="64">
        <f>6.3612 * CHOOSE(CONTROL!$C$22, $C$13, 100%, $E$13)</f>
        <v>6.3612000000000002</v>
      </c>
      <c r="G326" s="64">
        <f>6.3613 * CHOOSE(CONTROL!$C$22, $C$13, 100%, $E$13)</f>
        <v>6.3613</v>
      </c>
      <c r="H326" s="64">
        <f>10.6334* CHOOSE(CONTROL!$C$22, $C$13, 100%, $E$13)</f>
        <v>10.6334</v>
      </c>
      <c r="I326" s="64">
        <f>10.6335 * CHOOSE(CONTROL!$C$22, $C$13, 100%, $E$13)</f>
        <v>10.6335</v>
      </c>
      <c r="J326" s="64">
        <f>6.3612 * CHOOSE(CONTROL!$C$22, $C$13, 100%, $E$13)</f>
        <v>6.3612000000000002</v>
      </c>
      <c r="K326" s="64">
        <f>6.3613 * CHOOSE(CONTROL!$C$22, $C$13, 100%, $E$13)</f>
        <v>6.3613</v>
      </c>
    </row>
    <row r="327" spans="1:11" ht="15">
      <c r="A327" s="13">
        <v>51441</v>
      </c>
      <c r="B327" s="63">
        <f>5.2352 * CHOOSE(CONTROL!$C$22, $C$13, 100%, $E$13)</f>
        <v>5.2351999999999999</v>
      </c>
      <c r="C327" s="63">
        <f>5.2352 * CHOOSE(CONTROL!$C$22, $C$13, 100%, $E$13)</f>
        <v>5.2351999999999999</v>
      </c>
      <c r="D327" s="63">
        <f>5.2352 * CHOOSE(CONTROL!$C$22, $C$13, 100%, $E$13)</f>
        <v>5.2351999999999999</v>
      </c>
      <c r="E327" s="64">
        <f>6.3842 * CHOOSE(CONTROL!$C$22, $C$13, 100%, $E$13)</f>
        <v>6.3841999999999999</v>
      </c>
      <c r="F327" s="64">
        <f>6.3842 * CHOOSE(CONTROL!$C$22, $C$13, 100%, $E$13)</f>
        <v>6.3841999999999999</v>
      </c>
      <c r="G327" s="64">
        <f>6.3842 * CHOOSE(CONTROL!$C$22, $C$13, 100%, $E$13)</f>
        <v>6.3841999999999999</v>
      </c>
      <c r="H327" s="64">
        <f>10.6556* CHOOSE(CONTROL!$C$22, $C$13, 100%, $E$13)</f>
        <v>10.6556</v>
      </c>
      <c r="I327" s="64">
        <f>10.6557 * CHOOSE(CONTROL!$C$22, $C$13, 100%, $E$13)</f>
        <v>10.6557</v>
      </c>
      <c r="J327" s="64">
        <f>6.3842 * CHOOSE(CONTROL!$C$22, $C$13, 100%, $E$13)</f>
        <v>6.3841999999999999</v>
      </c>
      <c r="K327" s="64">
        <f>6.3842 * CHOOSE(CONTROL!$C$22, $C$13, 100%, $E$13)</f>
        <v>6.3841999999999999</v>
      </c>
    </row>
    <row r="328" spans="1:11" ht="15">
      <c r="A328" s="13">
        <v>51471</v>
      </c>
      <c r="B328" s="63">
        <f>5.2352 * CHOOSE(CONTROL!$C$22, $C$13, 100%, $E$13)</f>
        <v>5.2351999999999999</v>
      </c>
      <c r="C328" s="63">
        <f>5.2352 * CHOOSE(CONTROL!$C$22, $C$13, 100%, $E$13)</f>
        <v>5.2351999999999999</v>
      </c>
      <c r="D328" s="63">
        <f>5.2352 * CHOOSE(CONTROL!$C$22, $C$13, 100%, $E$13)</f>
        <v>5.2351999999999999</v>
      </c>
      <c r="E328" s="64">
        <f>6.3321 * CHOOSE(CONTROL!$C$22, $C$13, 100%, $E$13)</f>
        <v>6.3320999999999996</v>
      </c>
      <c r="F328" s="64">
        <f>6.3321 * CHOOSE(CONTROL!$C$22, $C$13, 100%, $E$13)</f>
        <v>6.3320999999999996</v>
      </c>
      <c r="G328" s="64">
        <f>6.3322 * CHOOSE(CONTROL!$C$22, $C$13, 100%, $E$13)</f>
        <v>6.3322000000000003</v>
      </c>
      <c r="H328" s="64">
        <f>10.6778* CHOOSE(CONTROL!$C$22, $C$13, 100%, $E$13)</f>
        <v>10.6778</v>
      </c>
      <c r="I328" s="64">
        <f>10.6779 * CHOOSE(CONTROL!$C$22, $C$13, 100%, $E$13)</f>
        <v>10.677899999999999</v>
      </c>
      <c r="J328" s="64">
        <f>6.3321 * CHOOSE(CONTROL!$C$22, $C$13, 100%, $E$13)</f>
        <v>6.3320999999999996</v>
      </c>
      <c r="K328" s="64">
        <f>6.3322 * CHOOSE(CONTROL!$C$22, $C$13, 100%, $E$13)</f>
        <v>6.3322000000000003</v>
      </c>
    </row>
    <row r="329" spans="1:11" ht="15">
      <c r="A329" s="13">
        <v>51502</v>
      </c>
      <c r="B329" s="63">
        <f>5.2816 * CHOOSE(CONTROL!$C$22, $C$13, 100%, $E$13)</f>
        <v>5.2816000000000001</v>
      </c>
      <c r="C329" s="63">
        <f>5.2816 * CHOOSE(CONTROL!$C$22, $C$13, 100%, $E$13)</f>
        <v>5.2816000000000001</v>
      </c>
      <c r="D329" s="63">
        <f>5.2816 * CHOOSE(CONTROL!$C$22, $C$13, 100%, $E$13)</f>
        <v>5.2816000000000001</v>
      </c>
      <c r="E329" s="64">
        <f>6.4218 * CHOOSE(CONTROL!$C$22, $C$13, 100%, $E$13)</f>
        <v>6.4218000000000002</v>
      </c>
      <c r="F329" s="64">
        <f>6.4218 * CHOOSE(CONTROL!$C$22, $C$13, 100%, $E$13)</f>
        <v>6.4218000000000002</v>
      </c>
      <c r="G329" s="64">
        <f>6.4219 * CHOOSE(CONTROL!$C$22, $C$13, 100%, $E$13)</f>
        <v>6.4218999999999999</v>
      </c>
      <c r="H329" s="64">
        <f>10.7* CHOOSE(CONTROL!$C$22, $C$13, 100%, $E$13)</f>
        <v>10.7</v>
      </c>
      <c r="I329" s="64">
        <f>10.7001 * CHOOSE(CONTROL!$C$22, $C$13, 100%, $E$13)</f>
        <v>10.700100000000001</v>
      </c>
      <c r="J329" s="64">
        <f>6.4218 * CHOOSE(CONTROL!$C$22, $C$13, 100%, $E$13)</f>
        <v>6.4218000000000002</v>
      </c>
      <c r="K329" s="64">
        <f>6.4219 * CHOOSE(CONTROL!$C$22, $C$13, 100%, $E$13)</f>
        <v>6.4218999999999999</v>
      </c>
    </row>
    <row r="330" spans="1:11" ht="15">
      <c r="A330" s="13">
        <v>51533</v>
      </c>
      <c r="B330" s="63">
        <f>5.2786 * CHOOSE(CONTROL!$C$22, $C$13, 100%, $E$13)</f>
        <v>5.2786</v>
      </c>
      <c r="C330" s="63">
        <f>5.2786 * CHOOSE(CONTROL!$C$22, $C$13, 100%, $E$13)</f>
        <v>5.2786</v>
      </c>
      <c r="D330" s="63">
        <f>5.2786 * CHOOSE(CONTROL!$C$22, $C$13, 100%, $E$13)</f>
        <v>5.2786</v>
      </c>
      <c r="E330" s="64">
        <f>6.3185 * CHOOSE(CONTROL!$C$22, $C$13, 100%, $E$13)</f>
        <v>6.3185000000000002</v>
      </c>
      <c r="F330" s="64">
        <f>6.3185 * CHOOSE(CONTROL!$C$22, $C$13, 100%, $E$13)</f>
        <v>6.3185000000000002</v>
      </c>
      <c r="G330" s="64">
        <f>6.3186 * CHOOSE(CONTROL!$C$22, $C$13, 100%, $E$13)</f>
        <v>6.3186</v>
      </c>
      <c r="H330" s="64">
        <f>10.7223* CHOOSE(CONTROL!$C$22, $C$13, 100%, $E$13)</f>
        <v>10.722300000000001</v>
      </c>
      <c r="I330" s="64">
        <f>10.7224 * CHOOSE(CONTROL!$C$22, $C$13, 100%, $E$13)</f>
        <v>10.7224</v>
      </c>
      <c r="J330" s="64">
        <f>6.3185 * CHOOSE(CONTROL!$C$22, $C$13, 100%, $E$13)</f>
        <v>6.3185000000000002</v>
      </c>
      <c r="K330" s="64">
        <f>6.3186 * CHOOSE(CONTROL!$C$22, $C$13, 100%, $E$13)</f>
        <v>6.3186</v>
      </c>
    </row>
    <row r="331" spans="1:11" ht="15">
      <c r="A331" s="13">
        <v>51561</v>
      </c>
      <c r="B331" s="63">
        <f>5.2755 * CHOOSE(CONTROL!$C$22, $C$13, 100%, $E$13)</f>
        <v>5.2755000000000001</v>
      </c>
      <c r="C331" s="63">
        <f>5.2755 * CHOOSE(CONTROL!$C$22, $C$13, 100%, $E$13)</f>
        <v>5.2755000000000001</v>
      </c>
      <c r="D331" s="63">
        <f>5.2755 * CHOOSE(CONTROL!$C$22, $C$13, 100%, $E$13)</f>
        <v>5.2755000000000001</v>
      </c>
      <c r="E331" s="64">
        <f>6.3961 * CHOOSE(CONTROL!$C$22, $C$13, 100%, $E$13)</f>
        <v>6.3960999999999997</v>
      </c>
      <c r="F331" s="64">
        <f>6.3961 * CHOOSE(CONTROL!$C$22, $C$13, 100%, $E$13)</f>
        <v>6.3960999999999997</v>
      </c>
      <c r="G331" s="64">
        <f>6.3962 * CHOOSE(CONTROL!$C$22, $C$13, 100%, $E$13)</f>
        <v>6.3962000000000003</v>
      </c>
      <c r="H331" s="64">
        <f>10.7447* CHOOSE(CONTROL!$C$22, $C$13, 100%, $E$13)</f>
        <v>10.7447</v>
      </c>
      <c r="I331" s="64">
        <f>10.7447 * CHOOSE(CONTROL!$C$22, $C$13, 100%, $E$13)</f>
        <v>10.7447</v>
      </c>
      <c r="J331" s="64">
        <f>6.3961 * CHOOSE(CONTROL!$C$22, $C$13, 100%, $E$13)</f>
        <v>6.3960999999999997</v>
      </c>
      <c r="K331" s="64">
        <f>6.3962 * CHOOSE(CONTROL!$C$22, $C$13, 100%, $E$13)</f>
        <v>6.3962000000000003</v>
      </c>
    </row>
    <row r="332" spans="1:11" ht="15">
      <c r="A332" s="13">
        <v>51592</v>
      </c>
      <c r="B332" s="63">
        <f>5.2743 * CHOOSE(CONTROL!$C$22, $C$13, 100%, $E$13)</f>
        <v>5.2743000000000002</v>
      </c>
      <c r="C332" s="63">
        <f>5.2743 * CHOOSE(CONTROL!$C$22, $C$13, 100%, $E$13)</f>
        <v>5.2743000000000002</v>
      </c>
      <c r="D332" s="63">
        <f>5.2743 * CHOOSE(CONTROL!$C$22, $C$13, 100%, $E$13)</f>
        <v>5.2743000000000002</v>
      </c>
      <c r="E332" s="64">
        <f>6.4775 * CHOOSE(CONTROL!$C$22, $C$13, 100%, $E$13)</f>
        <v>6.4775</v>
      </c>
      <c r="F332" s="64">
        <f>6.4775 * CHOOSE(CONTROL!$C$22, $C$13, 100%, $E$13)</f>
        <v>6.4775</v>
      </c>
      <c r="G332" s="64">
        <f>6.4776 * CHOOSE(CONTROL!$C$22, $C$13, 100%, $E$13)</f>
        <v>6.4775999999999998</v>
      </c>
      <c r="H332" s="64">
        <f>10.767* CHOOSE(CONTROL!$C$22, $C$13, 100%, $E$13)</f>
        <v>10.766999999999999</v>
      </c>
      <c r="I332" s="64">
        <f>10.7671 * CHOOSE(CONTROL!$C$22, $C$13, 100%, $E$13)</f>
        <v>10.767099999999999</v>
      </c>
      <c r="J332" s="64">
        <f>6.4775 * CHOOSE(CONTROL!$C$22, $C$13, 100%, $E$13)</f>
        <v>6.4775</v>
      </c>
      <c r="K332" s="64">
        <f>6.4776 * CHOOSE(CONTROL!$C$22, $C$13, 100%, $E$13)</f>
        <v>6.4775999999999998</v>
      </c>
    </row>
    <row r="333" spans="1:11" ht="15">
      <c r="A333" s="13">
        <v>51622</v>
      </c>
      <c r="B333" s="63">
        <f>5.2743 * CHOOSE(CONTROL!$C$22, $C$13, 100%, $E$13)</f>
        <v>5.2743000000000002</v>
      </c>
      <c r="C333" s="63">
        <f>5.2743 * CHOOSE(CONTROL!$C$22, $C$13, 100%, $E$13)</f>
        <v>5.2743000000000002</v>
      </c>
      <c r="D333" s="63">
        <f>5.2873 * CHOOSE(CONTROL!$C$22, $C$13, 100%, $E$13)</f>
        <v>5.2873000000000001</v>
      </c>
      <c r="E333" s="64">
        <f>6.5097 * CHOOSE(CONTROL!$C$22, $C$13, 100%, $E$13)</f>
        <v>6.5096999999999996</v>
      </c>
      <c r="F333" s="64">
        <f>6.5097 * CHOOSE(CONTROL!$C$22, $C$13, 100%, $E$13)</f>
        <v>6.5096999999999996</v>
      </c>
      <c r="G333" s="64">
        <f>6.5253 * CHOOSE(CONTROL!$C$22, $C$13, 100%, $E$13)</f>
        <v>6.5252999999999997</v>
      </c>
      <c r="H333" s="64">
        <f>10.7895* CHOOSE(CONTROL!$C$22, $C$13, 100%, $E$13)</f>
        <v>10.7895</v>
      </c>
      <c r="I333" s="64">
        <f>10.8052 * CHOOSE(CONTROL!$C$22, $C$13, 100%, $E$13)</f>
        <v>10.805199999999999</v>
      </c>
      <c r="J333" s="64">
        <f>6.5097 * CHOOSE(CONTROL!$C$22, $C$13, 100%, $E$13)</f>
        <v>6.5096999999999996</v>
      </c>
      <c r="K333" s="64">
        <f>6.5253 * CHOOSE(CONTROL!$C$22, $C$13, 100%, $E$13)</f>
        <v>6.5252999999999997</v>
      </c>
    </row>
    <row r="334" spans="1:11" ht="15">
      <c r="A334" s="13">
        <v>51653</v>
      </c>
      <c r="B334" s="63">
        <f>5.2804 * CHOOSE(CONTROL!$C$22, $C$13, 100%, $E$13)</f>
        <v>5.2804000000000002</v>
      </c>
      <c r="C334" s="63">
        <f>5.2804 * CHOOSE(CONTROL!$C$22, $C$13, 100%, $E$13)</f>
        <v>5.2804000000000002</v>
      </c>
      <c r="D334" s="63">
        <f>5.2933 * CHOOSE(CONTROL!$C$22, $C$13, 100%, $E$13)</f>
        <v>5.2933000000000003</v>
      </c>
      <c r="E334" s="64">
        <f>6.4818 * CHOOSE(CONTROL!$C$22, $C$13, 100%, $E$13)</f>
        <v>6.4817999999999998</v>
      </c>
      <c r="F334" s="64">
        <f>6.4818 * CHOOSE(CONTROL!$C$22, $C$13, 100%, $E$13)</f>
        <v>6.4817999999999998</v>
      </c>
      <c r="G334" s="64">
        <f>6.4975 * CHOOSE(CONTROL!$C$22, $C$13, 100%, $E$13)</f>
        <v>6.4974999999999996</v>
      </c>
      <c r="H334" s="64">
        <f>10.812* CHOOSE(CONTROL!$C$22, $C$13, 100%, $E$13)</f>
        <v>10.811999999999999</v>
      </c>
      <c r="I334" s="64">
        <f>10.8276 * CHOOSE(CONTROL!$C$22, $C$13, 100%, $E$13)</f>
        <v>10.8276</v>
      </c>
      <c r="J334" s="64">
        <f>6.4818 * CHOOSE(CONTROL!$C$22, $C$13, 100%, $E$13)</f>
        <v>6.4817999999999998</v>
      </c>
      <c r="K334" s="64">
        <f>6.4975 * CHOOSE(CONTROL!$C$22, $C$13, 100%, $E$13)</f>
        <v>6.4974999999999996</v>
      </c>
    </row>
    <row r="335" spans="1:11" ht="15">
      <c r="A335" s="13">
        <v>51683</v>
      </c>
      <c r="B335" s="63">
        <f>5.3669 * CHOOSE(CONTROL!$C$22, $C$13, 100%, $E$13)</f>
        <v>5.3669000000000002</v>
      </c>
      <c r="C335" s="63">
        <f>5.3669 * CHOOSE(CONTROL!$C$22, $C$13, 100%, $E$13)</f>
        <v>5.3669000000000002</v>
      </c>
      <c r="D335" s="63">
        <f>5.3798 * CHOOSE(CONTROL!$C$22, $C$13, 100%, $E$13)</f>
        <v>5.3798000000000004</v>
      </c>
      <c r="E335" s="64">
        <f>6.5916 * CHOOSE(CONTROL!$C$22, $C$13, 100%, $E$13)</f>
        <v>6.5915999999999997</v>
      </c>
      <c r="F335" s="64">
        <f>6.5916 * CHOOSE(CONTROL!$C$22, $C$13, 100%, $E$13)</f>
        <v>6.5915999999999997</v>
      </c>
      <c r="G335" s="64">
        <f>6.6073 * CHOOSE(CONTROL!$C$22, $C$13, 100%, $E$13)</f>
        <v>6.6073000000000004</v>
      </c>
      <c r="H335" s="64">
        <f>10.8345* CHOOSE(CONTROL!$C$22, $C$13, 100%, $E$13)</f>
        <v>10.8345</v>
      </c>
      <c r="I335" s="64">
        <f>10.8502 * CHOOSE(CONTROL!$C$22, $C$13, 100%, $E$13)</f>
        <v>10.850199999999999</v>
      </c>
      <c r="J335" s="64">
        <f>6.5916 * CHOOSE(CONTROL!$C$22, $C$13, 100%, $E$13)</f>
        <v>6.5915999999999997</v>
      </c>
      <c r="K335" s="64">
        <f>6.6073 * CHOOSE(CONTROL!$C$22, $C$13, 100%, $E$13)</f>
        <v>6.6073000000000004</v>
      </c>
    </row>
    <row r="336" spans="1:11" ht="15">
      <c r="A336" s="13">
        <v>51714</v>
      </c>
      <c r="B336" s="63">
        <f>5.3736 * CHOOSE(CONTROL!$C$22, $C$13, 100%, $E$13)</f>
        <v>5.3735999999999997</v>
      </c>
      <c r="C336" s="63">
        <f>5.3736 * CHOOSE(CONTROL!$C$22, $C$13, 100%, $E$13)</f>
        <v>5.3735999999999997</v>
      </c>
      <c r="D336" s="63">
        <f>5.3865 * CHOOSE(CONTROL!$C$22, $C$13, 100%, $E$13)</f>
        <v>5.3864999999999998</v>
      </c>
      <c r="E336" s="64">
        <f>6.4999 * CHOOSE(CONTROL!$C$22, $C$13, 100%, $E$13)</f>
        <v>6.4999000000000002</v>
      </c>
      <c r="F336" s="64">
        <f>6.4999 * CHOOSE(CONTROL!$C$22, $C$13, 100%, $E$13)</f>
        <v>6.4999000000000002</v>
      </c>
      <c r="G336" s="64">
        <f>6.5156 * CHOOSE(CONTROL!$C$22, $C$13, 100%, $E$13)</f>
        <v>6.5156000000000001</v>
      </c>
      <c r="H336" s="64">
        <f>10.8571* CHOOSE(CONTROL!$C$22, $C$13, 100%, $E$13)</f>
        <v>10.857100000000001</v>
      </c>
      <c r="I336" s="64">
        <f>10.8727 * CHOOSE(CONTROL!$C$22, $C$13, 100%, $E$13)</f>
        <v>10.8727</v>
      </c>
      <c r="J336" s="64">
        <f>6.4999 * CHOOSE(CONTROL!$C$22, $C$13, 100%, $E$13)</f>
        <v>6.4999000000000002</v>
      </c>
      <c r="K336" s="64">
        <f>6.5156 * CHOOSE(CONTROL!$C$22, $C$13, 100%, $E$13)</f>
        <v>6.5156000000000001</v>
      </c>
    </row>
    <row r="337" spans="1:11" ht="15">
      <c r="A337" s="13">
        <v>51745</v>
      </c>
      <c r="B337" s="63">
        <f>5.3705 * CHOOSE(CONTROL!$C$22, $C$13, 100%, $E$13)</f>
        <v>5.3704999999999998</v>
      </c>
      <c r="C337" s="63">
        <f>5.3705 * CHOOSE(CONTROL!$C$22, $C$13, 100%, $E$13)</f>
        <v>5.3704999999999998</v>
      </c>
      <c r="D337" s="63">
        <f>5.3835 * CHOOSE(CONTROL!$C$22, $C$13, 100%, $E$13)</f>
        <v>5.3834999999999997</v>
      </c>
      <c r="E337" s="64">
        <f>6.4871 * CHOOSE(CONTROL!$C$22, $C$13, 100%, $E$13)</f>
        <v>6.4870999999999999</v>
      </c>
      <c r="F337" s="64">
        <f>6.4871 * CHOOSE(CONTROL!$C$22, $C$13, 100%, $E$13)</f>
        <v>6.4870999999999999</v>
      </c>
      <c r="G337" s="64">
        <f>6.5028 * CHOOSE(CONTROL!$C$22, $C$13, 100%, $E$13)</f>
        <v>6.5027999999999997</v>
      </c>
      <c r="H337" s="64">
        <f>10.8797* CHOOSE(CONTROL!$C$22, $C$13, 100%, $E$13)</f>
        <v>10.8797</v>
      </c>
      <c r="I337" s="64">
        <f>10.8954 * CHOOSE(CONTROL!$C$22, $C$13, 100%, $E$13)</f>
        <v>10.8954</v>
      </c>
      <c r="J337" s="64">
        <f>6.4871 * CHOOSE(CONTROL!$C$22, $C$13, 100%, $E$13)</f>
        <v>6.4870999999999999</v>
      </c>
      <c r="K337" s="64">
        <f>6.5028 * CHOOSE(CONTROL!$C$22, $C$13, 100%, $E$13)</f>
        <v>6.5027999999999997</v>
      </c>
    </row>
    <row r="338" spans="1:11" ht="15">
      <c r="A338" s="13">
        <v>51775</v>
      </c>
      <c r="B338" s="63">
        <f>5.3701 * CHOOSE(CONTROL!$C$22, $C$13, 100%, $E$13)</f>
        <v>5.3700999999999999</v>
      </c>
      <c r="C338" s="63">
        <f>5.3701 * CHOOSE(CONTROL!$C$22, $C$13, 100%, $E$13)</f>
        <v>5.3700999999999999</v>
      </c>
      <c r="D338" s="63">
        <f>5.3701 * CHOOSE(CONTROL!$C$22, $C$13, 100%, $E$13)</f>
        <v>5.3700999999999999</v>
      </c>
      <c r="E338" s="64">
        <f>6.5165 * CHOOSE(CONTROL!$C$22, $C$13, 100%, $E$13)</f>
        <v>6.5164999999999997</v>
      </c>
      <c r="F338" s="64">
        <f>6.5165 * CHOOSE(CONTROL!$C$22, $C$13, 100%, $E$13)</f>
        <v>6.5164999999999997</v>
      </c>
      <c r="G338" s="64">
        <f>6.5166 * CHOOSE(CONTROL!$C$22, $C$13, 100%, $E$13)</f>
        <v>6.5166000000000004</v>
      </c>
      <c r="H338" s="64">
        <f>10.9023* CHOOSE(CONTROL!$C$22, $C$13, 100%, $E$13)</f>
        <v>10.9023</v>
      </c>
      <c r="I338" s="64">
        <f>10.9024 * CHOOSE(CONTROL!$C$22, $C$13, 100%, $E$13)</f>
        <v>10.9024</v>
      </c>
      <c r="J338" s="64">
        <f>6.5165 * CHOOSE(CONTROL!$C$22, $C$13, 100%, $E$13)</f>
        <v>6.5164999999999997</v>
      </c>
      <c r="K338" s="64">
        <f>6.5166 * CHOOSE(CONTROL!$C$22, $C$13, 100%, $E$13)</f>
        <v>6.5166000000000004</v>
      </c>
    </row>
    <row r="339" spans="1:11" ht="15">
      <c r="A339" s="13">
        <v>51806</v>
      </c>
      <c r="B339" s="63">
        <f>5.3732 * CHOOSE(CONTROL!$C$22, $C$13, 100%, $E$13)</f>
        <v>5.3731999999999998</v>
      </c>
      <c r="C339" s="63">
        <f>5.3732 * CHOOSE(CONTROL!$C$22, $C$13, 100%, $E$13)</f>
        <v>5.3731999999999998</v>
      </c>
      <c r="D339" s="63">
        <f>5.3732 * CHOOSE(CONTROL!$C$22, $C$13, 100%, $E$13)</f>
        <v>5.3731999999999998</v>
      </c>
      <c r="E339" s="64">
        <f>6.54 * CHOOSE(CONTROL!$C$22, $C$13, 100%, $E$13)</f>
        <v>6.54</v>
      </c>
      <c r="F339" s="64">
        <f>6.54 * CHOOSE(CONTROL!$C$22, $C$13, 100%, $E$13)</f>
        <v>6.54</v>
      </c>
      <c r="G339" s="64">
        <f>6.5401 * CHOOSE(CONTROL!$C$22, $C$13, 100%, $E$13)</f>
        <v>6.5400999999999998</v>
      </c>
      <c r="H339" s="64">
        <f>10.9251* CHOOSE(CONTROL!$C$22, $C$13, 100%, $E$13)</f>
        <v>10.9251</v>
      </c>
      <c r="I339" s="64">
        <f>10.9251 * CHOOSE(CONTROL!$C$22, $C$13, 100%, $E$13)</f>
        <v>10.9251</v>
      </c>
      <c r="J339" s="64">
        <f>6.54 * CHOOSE(CONTROL!$C$22, $C$13, 100%, $E$13)</f>
        <v>6.54</v>
      </c>
      <c r="K339" s="64">
        <f>6.5401 * CHOOSE(CONTROL!$C$22, $C$13, 100%, $E$13)</f>
        <v>6.5400999999999998</v>
      </c>
    </row>
    <row r="340" spans="1:11" ht="15">
      <c r="A340" s="13">
        <v>51836</v>
      </c>
      <c r="B340" s="63">
        <f>5.3732 * CHOOSE(CONTROL!$C$22, $C$13, 100%, $E$13)</f>
        <v>5.3731999999999998</v>
      </c>
      <c r="C340" s="63">
        <f>5.3732 * CHOOSE(CONTROL!$C$22, $C$13, 100%, $E$13)</f>
        <v>5.3731999999999998</v>
      </c>
      <c r="D340" s="63">
        <f>5.3732 * CHOOSE(CONTROL!$C$22, $C$13, 100%, $E$13)</f>
        <v>5.3731999999999998</v>
      </c>
      <c r="E340" s="64">
        <f>6.4865 * CHOOSE(CONTROL!$C$22, $C$13, 100%, $E$13)</f>
        <v>6.4865000000000004</v>
      </c>
      <c r="F340" s="64">
        <f>6.4865 * CHOOSE(CONTROL!$C$22, $C$13, 100%, $E$13)</f>
        <v>6.4865000000000004</v>
      </c>
      <c r="G340" s="64">
        <f>6.4866 * CHOOSE(CONTROL!$C$22, $C$13, 100%, $E$13)</f>
        <v>6.4866000000000001</v>
      </c>
      <c r="H340" s="64">
        <f>10.9478* CHOOSE(CONTROL!$C$22, $C$13, 100%, $E$13)</f>
        <v>10.947800000000001</v>
      </c>
      <c r="I340" s="64">
        <f>10.9479 * CHOOSE(CONTROL!$C$22, $C$13, 100%, $E$13)</f>
        <v>10.947900000000001</v>
      </c>
      <c r="J340" s="64">
        <f>6.4865 * CHOOSE(CONTROL!$C$22, $C$13, 100%, $E$13)</f>
        <v>6.4865000000000004</v>
      </c>
      <c r="K340" s="64">
        <f>6.4866 * CHOOSE(CONTROL!$C$22, $C$13, 100%, $E$13)</f>
        <v>6.4866000000000001</v>
      </c>
    </row>
    <row r="341" spans="1:11" ht="15">
      <c r="A341" s="13">
        <v>51867</v>
      </c>
      <c r="B341" s="63">
        <f>5.4207 * CHOOSE(CONTROL!$C$22, $C$13, 100%, $E$13)</f>
        <v>5.4207000000000001</v>
      </c>
      <c r="C341" s="63">
        <f>5.4207 * CHOOSE(CONTROL!$C$22, $C$13, 100%, $E$13)</f>
        <v>5.4207000000000001</v>
      </c>
      <c r="D341" s="63">
        <f>5.4207 * CHOOSE(CONTROL!$C$22, $C$13, 100%, $E$13)</f>
        <v>5.4207000000000001</v>
      </c>
      <c r="E341" s="64">
        <f>6.5785 * CHOOSE(CONTROL!$C$22, $C$13, 100%, $E$13)</f>
        <v>6.5785</v>
      </c>
      <c r="F341" s="64">
        <f>6.5785 * CHOOSE(CONTROL!$C$22, $C$13, 100%, $E$13)</f>
        <v>6.5785</v>
      </c>
      <c r="G341" s="64">
        <f>6.5786 * CHOOSE(CONTROL!$C$22, $C$13, 100%, $E$13)</f>
        <v>6.5785999999999998</v>
      </c>
      <c r="H341" s="64">
        <f>10.9706* CHOOSE(CONTROL!$C$22, $C$13, 100%, $E$13)</f>
        <v>10.970599999999999</v>
      </c>
      <c r="I341" s="64">
        <f>10.9707 * CHOOSE(CONTROL!$C$22, $C$13, 100%, $E$13)</f>
        <v>10.970700000000001</v>
      </c>
      <c r="J341" s="64">
        <f>6.5785 * CHOOSE(CONTROL!$C$22, $C$13, 100%, $E$13)</f>
        <v>6.5785</v>
      </c>
      <c r="K341" s="64">
        <f>6.5786 * CHOOSE(CONTROL!$C$22, $C$13, 100%, $E$13)</f>
        <v>6.5785999999999998</v>
      </c>
    </row>
    <row r="342" spans="1:11" ht="15">
      <c r="A342" s="13">
        <v>51898</v>
      </c>
      <c r="B342" s="63">
        <f>5.4177 * CHOOSE(CONTROL!$C$22, $C$13, 100%, $E$13)</f>
        <v>5.4177</v>
      </c>
      <c r="C342" s="63">
        <f>5.4177 * CHOOSE(CONTROL!$C$22, $C$13, 100%, $E$13)</f>
        <v>5.4177</v>
      </c>
      <c r="D342" s="63">
        <f>5.4177 * CHOOSE(CONTROL!$C$22, $C$13, 100%, $E$13)</f>
        <v>5.4177</v>
      </c>
      <c r="E342" s="64">
        <f>6.4724 * CHOOSE(CONTROL!$C$22, $C$13, 100%, $E$13)</f>
        <v>6.4724000000000004</v>
      </c>
      <c r="F342" s="64">
        <f>6.4724 * CHOOSE(CONTROL!$C$22, $C$13, 100%, $E$13)</f>
        <v>6.4724000000000004</v>
      </c>
      <c r="G342" s="64">
        <f>6.4725 * CHOOSE(CONTROL!$C$22, $C$13, 100%, $E$13)</f>
        <v>6.4725000000000001</v>
      </c>
      <c r="H342" s="64">
        <f>10.9935* CHOOSE(CONTROL!$C$22, $C$13, 100%, $E$13)</f>
        <v>10.993499999999999</v>
      </c>
      <c r="I342" s="64">
        <f>10.9936 * CHOOSE(CONTROL!$C$22, $C$13, 100%, $E$13)</f>
        <v>10.993600000000001</v>
      </c>
      <c r="J342" s="64">
        <f>6.4724 * CHOOSE(CONTROL!$C$22, $C$13, 100%, $E$13)</f>
        <v>6.4724000000000004</v>
      </c>
      <c r="K342" s="64">
        <f>6.4725 * CHOOSE(CONTROL!$C$22, $C$13, 100%, $E$13)</f>
        <v>6.4725000000000001</v>
      </c>
    </row>
    <row r="343" spans="1:11" ht="15">
      <c r="A343" s="13">
        <v>51926</v>
      </c>
      <c r="B343" s="63">
        <f>5.4147 * CHOOSE(CONTROL!$C$22, $C$13, 100%, $E$13)</f>
        <v>5.4146999999999998</v>
      </c>
      <c r="C343" s="63">
        <f>5.4147 * CHOOSE(CONTROL!$C$22, $C$13, 100%, $E$13)</f>
        <v>5.4146999999999998</v>
      </c>
      <c r="D343" s="63">
        <f>5.4147 * CHOOSE(CONTROL!$C$22, $C$13, 100%, $E$13)</f>
        <v>5.4146999999999998</v>
      </c>
      <c r="E343" s="64">
        <f>6.5523 * CHOOSE(CONTROL!$C$22, $C$13, 100%, $E$13)</f>
        <v>6.5522999999999998</v>
      </c>
      <c r="F343" s="64">
        <f>6.5523 * CHOOSE(CONTROL!$C$22, $C$13, 100%, $E$13)</f>
        <v>6.5522999999999998</v>
      </c>
      <c r="G343" s="64">
        <f>6.5523 * CHOOSE(CONTROL!$C$22, $C$13, 100%, $E$13)</f>
        <v>6.5522999999999998</v>
      </c>
      <c r="H343" s="64">
        <f>11.0164* CHOOSE(CONTROL!$C$22, $C$13, 100%, $E$13)</f>
        <v>11.016400000000001</v>
      </c>
      <c r="I343" s="64">
        <f>11.0165 * CHOOSE(CONTROL!$C$22, $C$13, 100%, $E$13)</f>
        <v>11.016500000000001</v>
      </c>
      <c r="J343" s="64">
        <f>6.5523 * CHOOSE(CONTROL!$C$22, $C$13, 100%, $E$13)</f>
        <v>6.5522999999999998</v>
      </c>
      <c r="K343" s="64">
        <f>6.5523 * CHOOSE(CONTROL!$C$22, $C$13, 100%, $E$13)</f>
        <v>6.5522999999999998</v>
      </c>
    </row>
    <row r="344" spans="1:11" ht="15">
      <c r="A344" s="13">
        <v>51957</v>
      </c>
      <c r="B344" s="63">
        <f>5.4135 * CHOOSE(CONTROL!$C$22, $C$13, 100%, $E$13)</f>
        <v>5.4135</v>
      </c>
      <c r="C344" s="63">
        <f>5.4135 * CHOOSE(CONTROL!$C$22, $C$13, 100%, $E$13)</f>
        <v>5.4135</v>
      </c>
      <c r="D344" s="63">
        <f>5.4135 * CHOOSE(CONTROL!$C$22, $C$13, 100%, $E$13)</f>
        <v>5.4135</v>
      </c>
      <c r="E344" s="64">
        <f>6.6361 * CHOOSE(CONTROL!$C$22, $C$13, 100%, $E$13)</f>
        <v>6.6360999999999999</v>
      </c>
      <c r="F344" s="64">
        <f>6.6361 * CHOOSE(CONTROL!$C$22, $C$13, 100%, $E$13)</f>
        <v>6.6360999999999999</v>
      </c>
      <c r="G344" s="64">
        <f>6.6362 * CHOOSE(CONTROL!$C$22, $C$13, 100%, $E$13)</f>
        <v>6.6361999999999997</v>
      </c>
      <c r="H344" s="64">
        <f>11.0393* CHOOSE(CONTROL!$C$22, $C$13, 100%, $E$13)</f>
        <v>11.039300000000001</v>
      </c>
      <c r="I344" s="64">
        <f>11.0394 * CHOOSE(CONTROL!$C$22, $C$13, 100%, $E$13)</f>
        <v>11.039400000000001</v>
      </c>
      <c r="J344" s="64">
        <f>6.6361 * CHOOSE(CONTROL!$C$22, $C$13, 100%, $E$13)</f>
        <v>6.6360999999999999</v>
      </c>
      <c r="K344" s="64">
        <f>6.6362 * CHOOSE(CONTROL!$C$22, $C$13, 100%, $E$13)</f>
        <v>6.6361999999999997</v>
      </c>
    </row>
    <row r="345" spans="1:11" ht="15">
      <c r="A345" s="13">
        <v>51987</v>
      </c>
      <c r="B345" s="63">
        <f>5.4135 * CHOOSE(CONTROL!$C$22, $C$13, 100%, $E$13)</f>
        <v>5.4135</v>
      </c>
      <c r="C345" s="63">
        <f>5.4135 * CHOOSE(CONTROL!$C$22, $C$13, 100%, $E$13)</f>
        <v>5.4135</v>
      </c>
      <c r="D345" s="63">
        <f>5.4265 * CHOOSE(CONTROL!$C$22, $C$13, 100%, $E$13)</f>
        <v>5.4264999999999999</v>
      </c>
      <c r="E345" s="64">
        <f>6.6691 * CHOOSE(CONTROL!$C$22, $C$13, 100%, $E$13)</f>
        <v>6.6691000000000003</v>
      </c>
      <c r="F345" s="64">
        <f>6.6691 * CHOOSE(CONTROL!$C$22, $C$13, 100%, $E$13)</f>
        <v>6.6691000000000003</v>
      </c>
      <c r="G345" s="64">
        <f>6.6848 * CHOOSE(CONTROL!$C$22, $C$13, 100%, $E$13)</f>
        <v>6.6848000000000001</v>
      </c>
      <c r="H345" s="64">
        <f>11.0623* CHOOSE(CONTROL!$C$22, $C$13, 100%, $E$13)</f>
        <v>11.0623</v>
      </c>
      <c r="I345" s="64">
        <f>11.078 * CHOOSE(CONTROL!$C$22, $C$13, 100%, $E$13)</f>
        <v>11.077999999999999</v>
      </c>
      <c r="J345" s="64">
        <f>6.6691 * CHOOSE(CONTROL!$C$22, $C$13, 100%, $E$13)</f>
        <v>6.6691000000000003</v>
      </c>
      <c r="K345" s="64">
        <f>6.6848 * CHOOSE(CONTROL!$C$22, $C$13, 100%, $E$13)</f>
        <v>6.6848000000000001</v>
      </c>
    </row>
    <row r="346" spans="1:11" ht="15">
      <c r="A346" s="13">
        <v>52018</v>
      </c>
      <c r="B346" s="63">
        <f>5.4196 * CHOOSE(CONTROL!$C$22, $C$13, 100%, $E$13)</f>
        <v>5.4196</v>
      </c>
      <c r="C346" s="63">
        <f>5.4196 * CHOOSE(CONTROL!$C$22, $C$13, 100%, $E$13)</f>
        <v>5.4196</v>
      </c>
      <c r="D346" s="63">
        <f>5.4326 * CHOOSE(CONTROL!$C$22, $C$13, 100%, $E$13)</f>
        <v>5.4325999999999999</v>
      </c>
      <c r="E346" s="64">
        <f>6.6403 * CHOOSE(CONTROL!$C$22, $C$13, 100%, $E$13)</f>
        <v>6.6402999999999999</v>
      </c>
      <c r="F346" s="64">
        <f>6.6403 * CHOOSE(CONTROL!$C$22, $C$13, 100%, $E$13)</f>
        <v>6.6402999999999999</v>
      </c>
      <c r="G346" s="64">
        <f>6.656 * CHOOSE(CONTROL!$C$22, $C$13, 100%, $E$13)</f>
        <v>6.6559999999999997</v>
      </c>
      <c r="H346" s="64">
        <f>11.0854* CHOOSE(CONTROL!$C$22, $C$13, 100%, $E$13)</f>
        <v>11.0854</v>
      </c>
      <c r="I346" s="64">
        <f>11.1011 * CHOOSE(CONTROL!$C$22, $C$13, 100%, $E$13)</f>
        <v>11.101100000000001</v>
      </c>
      <c r="J346" s="64">
        <f>6.6403 * CHOOSE(CONTROL!$C$22, $C$13, 100%, $E$13)</f>
        <v>6.6402999999999999</v>
      </c>
      <c r="K346" s="64">
        <f>6.656 * CHOOSE(CONTROL!$C$22, $C$13, 100%, $E$13)</f>
        <v>6.6559999999999997</v>
      </c>
    </row>
    <row r="347" spans="1:11" ht="15">
      <c r="A347" s="13">
        <v>52048</v>
      </c>
      <c r="B347" s="63">
        <f>5.5082 * CHOOSE(CONTROL!$C$22, $C$13, 100%, $E$13)</f>
        <v>5.5082000000000004</v>
      </c>
      <c r="C347" s="63">
        <f>5.5082 * CHOOSE(CONTROL!$C$22, $C$13, 100%, $E$13)</f>
        <v>5.5082000000000004</v>
      </c>
      <c r="D347" s="63">
        <f>5.5212 * CHOOSE(CONTROL!$C$22, $C$13, 100%, $E$13)</f>
        <v>5.5212000000000003</v>
      </c>
      <c r="E347" s="64">
        <f>6.7527 * CHOOSE(CONTROL!$C$22, $C$13, 100%, $E$13)</f>
        <v>6.7526999999999999</v>
      </c>
      <c r="F347" s="64">
        <f>6.7527 * CHOOSE(CONTROL!$C$22, $C$13, 100%, $E$13)</f>
        <v>6.7526999999999999</v>
      </c>
      <c r="G347" s="64">
        <f>6.7684 * CHOOSE(CONTROL!$C$22, $C$13, 100%, $E$13)</f>
        <v>6.7683999999999997</v>
      </c>
      <c r="H347" s="64">
        <f>11.1085* CHOOSE(CONTROL!$C$22, $C$13, 100%, $E$13)</f>
        <v>11.108499999999999</v>
      </c>
      <c r="I347" s="64">
        <f>11.1241 * CHOOSE(CONTROL!$C$22, $C$13, 100%, $E$13)</f>
        <v>11.1241</v>
      </c>
      <c r="J347" s="64">
        <f>6.7527 * CHOOSE(CONTROL!$C$22, $C$13, 100%, $E$13)</f>
        <v>6.7526999999999999</v>
      </c>
      <c r="K347" s="64">
        <f>6.7684 * CHOOSE(CONTROL!$C$22, $C$13, 100%, $E$13)</f>
        <v>6.7683999999999997</v>
      </c>
    </row>
    <row r="348" spans="1:11" ht="15">
      <c r="A348" s="13">
        <v>52079</v>
      </c>
      <c r="B348" s="63">
        <f>5.5149 * CHOOSE(CONTROL!$C$22, $C$13, 100%, $E$13)</f>
        <v>5.5148999999999999</v>
      </c>
      <c r="C348" s="63">
        <f>5.5149 * CHOOSE(CONTROL!$C$22, $C$13, 100%, $E$13)</f>
        <v>5.5148999999999999</v>
      </c>
      <c r="D348" s="63">
        <f>5.5279 * CHOOSE(CONTROL!$C$22, $C$13, 100%, $E$13)</f>
        <v>5.5278999999999998</v>
      </c>
      <c r="E348" s="64">
        <f>6.6583 * CHOOSE(CONTROL!$C$22, $C$13, 100%, $E$13)</f>
        <v>6.6582999999999997</v>
      </c>
      <c r="F348" s="64">
        <f>6.6583 * CHOOSE(CONTROL!$C$22, $C$13, 100%, $E$13)</f>
        <v>6.6582999999999997</v>
      </c>
      <c r="G348" s="64">
        <f>6.674 * CHOOSE(CONTROL!$C$22, $C$13, 100%, $E$13)</f>
        <v>6.6740000000000004</v>
      </c>
      <c r="H348" s="64">
        <f>11.1316* CHOOSE(CONTROL!$C$22, $C$13, 100%, $E$13)</f>
        <v>11.131600000000001</v>
      </c>
      <c r="I348" s="64">
        <f>11.1473 * CHOOSE(CONTROL!$C$22, $C$13, 100%, $E$13)</f>
        <v>11.1473</v>
      </c>
      <c r="J348" s="64">
        <f>6.6583 * CHOOSE(CONTROL!$C$22, $C$13, 100%, $E$13)</f>
        <v>6.6582999999999997</v>
      </c>
      <c r="K348" s="64">
        <f>6.674 * CHOOSE(CONTROL!$C$22, $C$13, 100%, $E$13)</f>
        <v>6.6740000000000004</v>
      </c>
    </row>
    <row r="349" spans="1:11" ht="15">
      <c r="A349" s="13">
        <v>52110</v>
      </c>
      <c r="B349" s="63">
        <f>5.5119 * CHOOSE(CONTROL!$C$22, $C$13, 100%, $E$13)</f>
        <v>5.5118999999999998</v>
      </c>
      <c r="C349" s="63">
        <f>5.5119 * CHOOSE(CONTROL!$C$22, $C$13, 100%, $E$13)</f>
        <v>5.5118999999999998</v>
      </c>
      <c r="D349" s="63">
        <f>5.5248 * CHOOSE(CONTROL!$C$22, $C$13, 100%, $E$13)</f>
        <v>5.5247999999999999</v>
      </c>
      <c r="E349" s="64">
        <f>6.6452 * CHOOSE(CONTROL!$C$22, $C$13, 100%, $E$13)</f>
        <v>6.6452</v>
      </c>
      <c r="F349" s="64">
        <f>6.6452 * CHOOSE(CONTROL!$C$22, $C$13, 100%, $E$13)</f>
        <v>6.6452</v>
      </c>
      <c r="G349" s="64">
        <f>6.6609 * CHOOSE(CONTROL!$C$22, $C$13, 100%, $E$13)</f>
        <v>6.6608999999999998</v>
      </c>
      <c r="H349" s="64">
        <f>11.1548* CHOOSE(CONTROL!$C$22, $C$13, 100%, $E$13)</f>
        <v>11.1548</v>
      </c>
      <c r="I349" s="64">
        <f>11.1705 * CHOOSE(CONTROL!$C$22, $C$13, 100%, $E$13)</f>
        <v>11.170500000000001</v>
      </c>
      <c r="J349" s="64">
        <f>6.6452 * CHOOSE(CONTROL!$C$22, $C$13, 100%, $E$13)</f>
        <v>6.6452</v>
      </c>
      <c r="K349" s="64">
        <f>6.6609 * CHOOSE(CONTROL!$C$22, $C$13, 100%, $E$13)</f>
        <v>6.6608999999999998</v>
      </c>
    </row>
    <row r="350" spans="1:11" ht="15">
      <c r="A350" s="13">
        <v>52140</v>
      </c>
      <c r="B350" s="63">
        <f>5.5119 * CHOOSE(CONTROL!$C$22, $C$13, 100%, $E$13)</f>
        <v>5.5118999999999998</v>
      </c>
      <c r="C350" s="63">
        <f>5.5119 * CHOOSE(CONTROL!$C$22, $C$13, 100%, $E$13)</f>
        <v>5.5118999999999998</v>
      </c>
      <c r="D350" s="63">
        <f>5.5119 * CHOOSE(CONTROL!$C$22, $C$13, 100%, $E$13)</f>
        <v>5.5118999999999998</v>
      </c>
      <c r="E350" s="64">
        <f>6.6758 * CHOOSE(CONTROL!$C$22, $C$13, 100%, $E$13)</f>
        <v>6.6757999999999997</v>
      </c>
      <c r="F350" s="64">
        <f>6.6758 * CHOOSE(CONTROL!$C$22, $C$13, 100%, $E$13)</f>
        <v>6.6757999999999997</v>
      </c>
      <c r="G350" s="64">
        <f>6.6759 * CHOOSE(CONTROL!$C$22, $C$13, 100%, $E$13)</f>
        <v>6.6759000000000004</v>
      </c>
      <c r="H350" s="64">
        <f>11.178* CHOOSE(CONTROL!$C$22, $C$13, 100%, $E$13)</f>
        <v>11.178000000000001</v>
      </c>
      <c r="I350" s="64">
        <f>11.1781 * CHOOSE(CONTROL!$C$22, $C$13, 100%, $E$13)</f>
        <v>11.178100000000001</v>
      </c>
      <c r="J350" s="64">
        <f>6.6758 * CHOOSE(CONTROL!$C$22, $C$13, 100%, $E$13)</f>
        <v>6.6757999999999997</v>
      </c>
      <c r="K350" s="64">
        <f>6.6759 * CHOOSE(CONTROL!$C$22, $C$13, 100%, $E$13)</f>
        <v>6.6759000000000004</v>
      </c>
    </row>
    <row r="351" spans="1:11" ht="15">
      <c r="A351" s="13">
        <v>52171</v>
      </c>
      <c r="B351" s="63">
        <f>5.515 * CHOOSE(CONTROL!$C$22, $C$13, 100%, $E$13)</f>
        <v>5.5149999999999997</v>
      </c>
      <c r="C351" s="63">
        <f>5.515 * CHOOSE(CONTROL!$C$22, $C$13, 100%, $E$13)</f>
        <v>5.5149999999999997</v>
      </c>
      <c r="D351" s="63">
        <f>5.515 * CHOOSE(CONTROL!$C$22, $C$13, 100%, $E$13)</f>
        <v>5.5149999999999997</v>
      </c>
      <c r="E351" s="64">
        <f>6.6999 * CHOOSE(CONTROL!$C$22, $C$13, 100%, $E$13)</f>
        <v>6.6999000000000004</v>
      </c>
      <c r="F351" s="64">
        <f>6.6999 * CHOOSE(CONTROL!$C$22, $C$13, 100%, $E$13)</f>
        <v>6.6999000000000004</v>
      </c>
      <c r="G351" s="64">
        <f>6.7 * CHOOSE(CONTROL!$C$22, $C$13, 100%, $E$13)</f>
        <v>6.7</v>
      </c>
      <c r="H351" s="64">
        <f>11.2013* CHOOSE(CONTROL!$C$22, $C$13, 100%, $E$13)</f>
        <v>11.2013</v>
      </c>
      <c r="I351" s="64">
        <f>11.2014 * CHOOSE(CONTROL!$C$22, $C$13, 100%, $E$13)</f>
        <v>11.2014</v>
      </c>
      <c r="J351" s="64">
        <f>6.6999 * CHOOSE(CONTROL!$C$22, $C$13, 100%, $E$13)</f>
        <v>6.6999000000000004</v>
      </c>
      <c r="K351" s="64">
        <f>6.7 * CHOOSE(CONTROL!$C$22, $C$13, 100%, $E$13)</f>
        <v>6.7</v>
      </c>
    </row>
    <row r="352" spans="1:11" ht="15">
      <c r="A352" s="13">
        <v>52201</v>
      </c>
      <c r="B352" s="63">
        <f>5.515 * CHOOSE(CONTROL!$C$22, $C$13, 100%, $E$13)</f>
        <v>5.5149999999999997</v>
      </c>
      <c r="C352" s="63">
        <f>5.515 * CHOOSE(CONTROL!$C$22, $C$13, 100%, $E$13)</f>
        <v>5.5149999999999997</v>
      </c>
      <c r="D352" s="63">
        <f>5.515 * CHOOSE(CONTROL!$C$22, $C$13, 100%, $E$13)</f>
        <v>5.5149999999999997</v>
      </c>
      <c r="E352" s="64">
        <f>6.6449 * CHOOSE(CONTROL!$C$22, $C$13, 100%, $E$13)</f>
        <v>6.6448999999999998</v>
      </c>
      <c r="F352" s="64">
        <f>6.6449 * CHOOSE(CONTROL!$C$22, $C$13, 100%, $E$13)</f>
        <v>6.6448999999999998</v>
      </c>
      <c r="G352" s="64">
        <f>6.645 * CHOOSE(CONTROL!$C$22, $C$13, 100%, $E$13)</f>
        <v>6.6449999999999996</v>
      </c>
      <c r="H352" s="64">
        <f>11.2247* CHOOSE(CONTROL!$C$22, $C$13, 100%, $E$13)</f>
        <v>11.2247</v>
      </c>
      <c r="I352" s="64">
        <f>11.2247 * CHOOSE(CONTROL!$C$22, $C$13, 100%, $E$13)</f>
        <v>11.2247</v>
      </c>
      <c r="J352" s="64">
        <f>6.6449 * CHOOSE(CONTROL!$C$22, $C$13, 100%, $E$13)</f>
        <v>6.6448999999999998</v>
      </c>
      <c r="K352" s="64">
        <f>6.645 * CHOOSE(CONTROL!$C$22, $C$13, 100%, $E$13)</f>
        <v>6.6449999999999996</v>
      </c>
    </row>
    <row r="353" spans="1:11" ht="15">
      <c r="A353" s="13">
        <v>52232</v>
      </c>
      <c r="B353" s="63">
        <f>5.5637 * CHOOSE(CONTROL!$C$22, $C$13, 100%, $E$13)</f>
        <v>5.5636999999999999</v>
      </c>
      <c r="C353" s="63">
        <f>5.5637 * CHOOSE(CONTROL!$C$22, $C$13, 100%, $E$13)</f>
        <v>5.5636999999999999</v>
      </c>
      <c r="D353" s="63">
        <f>5.5637 * CHOOSE(CONTROL!$C$22, $C$13, 100%, $E$13)</f>
        <v>5.5636999999999999</v>
      </c>
      <c r="E353" s="64">
        <f>6.7392 * CHOOSE(CONTROL!$C$22, $C$13, 100%, $E$13)</f>
        <v>6.7392000000000003</v>
      </c>
      <c r="F353" s="64">
        <f>6.7392 * CHOOSE(CONTROL!$C$22, $C$13, 100%, $E$13)</f>
        <v>6.7392000000000003</v>
      </c>
      <c r="G353" s="64">
        <f>6.7393 * CHOOSE(CONTROL!$C$22, $C$13, 100%, $E$13)</f>
        <v>6.7393000000000001</v>
      </c>
      <c r="H353" s="64">
        <f>11.2481* CHOOSE(CONTROL!$C$22, $C$13, 100%, $E$13)</f>
        <v>11.248100000000001</v>
      </c>
      <c r="I353" s="64">
        <f>11.2481 * CHOOSE(CONTROL!$C$22, $C$13, 100%, $E$13)</f>
        <v>11.248100000000001</v>
      </c>
      <c r="J353" s="64">
        <f>6.7392 * CHOOSE(CONTROL!$C$22, $C$13, 100%, $E$13)</f>
        <v>6.7392000000000003</v>
      </c>
      <c r="K353" s="64">
        <f>6.7393 * CHOOSE(CONTROL!$C$22, $C$13, 100%, $E$13)</f>
        <v>6.7393000000000001</v>
      </c>
    </row>
    <row r="354" spans="1:11" ht="15">
      <c r="A354" s="13">
        <v>52263</v>
      </c>
      <c r="B354" s="63">
        <f>5.5606 * CHOOSE(CONTROL!$C$22, $C$13, 100%, $E$13)</f>
        <v>5.5606</v>
      </c>
      <c r="C354" s="63">
        <f>5.5606 * CHOOSE(CONTROL!$C$22, $C$13, 100%, $E$13)</f>
        <v>5.5606</v>
      </c>
      <c r="D354" s="63">
        <f>5.5606 * CHOOSE(CONTROL!$C$22, $C$13, 100%, $E$13)</f>
        <v>5.5606</v>
      </c>
      <c r="E354" s="64">
        <f>6.6302 * CHOOSE(CONTROL!$C$22, $C$13, 100%, $E$13)</f>
        <v>6.6302000000000003</v>
      </c>
      <c r="F354" s="64">
        <f>6.6302 * CHOOSE(CONTROL!$C$22, $C$13, 100%, $E$13)</f>
        <v>6.6302000000000003</v>
      </c>
      <c r="G354" s="64">
        <f>6.6303 * CHOOSE(CONTROL!$C$22, $C$13, 100%, $E$13)</f>
        <v>6.6303000000000001</v>
      </c>
      <c r="H354" s="64">
        <f>11.2715* CHOOSE(CONTROL!$C$22, $C$13, 100%, $E$13)</f>
        <v>11.2715</v>
      </c>
      <c r="I354" s="64">
        <f>11.2716 * CHOOSE(CONTROL!$C$22, $C$13, 100%, $E$13)</f>
        <v>11.271599999999999</v>
      </c>
      <c r="J354" s="64">
        <f>6.6302 * CHOOSE(CONTROL!$C$22, $C$13, 100%, $E$13)</f>
        <v>6.6302000000000003</v>
      </c>
      <c r="K354" s="64">
        <f>6.6303 * CHOOSE(CONTROL!$C$22, $C$13, 100%, $E$13)</f>
        <v>6.6303000000000001</v>
      </c>
    </row>
    <row r="355" spans="1:11" ht="15">
      <c r="A355" s="13">
        <v>52291</v>
      </c>
      <c r="B355" s="63">
        <f>5.5576 * CHOOSE(CONTROL!$C$22, $C$13, 100%, $E$13)</f>
        <v>5.5575999999999999</v>
      </c>
      <c r="C355" s="63">
        <f>5.5576 * CHOOSE(CONTROL!$C$22, $C$13, 100%, $E$13)</f>
        <v>5.5575999999999999</v>
      </c>
      <c r="D355" s="63">
        <f>5.5576 * CHOOSE(CONTROL!$C$22, $C$13, 100%, $E$13)</f>
        <v>5.5575999999999999</v>
      </c>
      <c r="E355" s="64">
        <f>6.7123 * CHOOSE(CONTROL!$C$22, $C$13, 100%, $E$13)</f>
        <v>6.7122999999999999</v>
      </c>
      <c r="F355" s="64">
        <f>6.7123 * CHOOSE(CONTROL!$C$22, $C$13, 100%, $E$13)</f>
        <v>6.7122999999999999</v>
      </c>
      <c r="G355" s="64">
        <f>6.7124 * CHOOSE(CONTROL!$C$22, $C$13, 100%, $E$13)</f>
        <v>6.7123999999999997</v>
      </c>
      <c r="H355" s="64">
        <f>11.295* CHOOSE(CONTROL!$C$22, $C$13, 100%, $E$13)</f>
        <v>11.295</v>
      </c>
      <c r="I355" s="64">
        <f>11.295 * CHOOSE(CONTROL!$C$22, $C$13, 100%, $E$13)</f>
        <v>11.295</v>
      </c>
      <c r="J355" s="64">
        <f>6.7123 * CHOOSE(CONTROL!$C$22, $C$13, 100%, $E$13)</f>
        <v>6.7122999999999999</v>
      </c>
      <c r="K355" s="64">
        <f>6.7124 * CHOOSE(CONTROL!$C$22, $C$13, 100%, $E$13)</f>
        <v>6.7123999999999997</v>
      </c>
    </row>
    <row r="356" spans="1:11" ht="15">
      <c r="A356" s="13">
        <v>52322</v>
      </c>
      <c r="B356" s="63">
        <f>5.5566 * CHOOSE(CONTROL!$C$22, $C$13, 100%, $E$13)</f>
        <v>5.5566000000000004</v>
      </c>
      <c r="C356" s="63">
        <f>5.5566 * CHOOSE(CONTROL!$C$22, $C$13, 100%, $E$13)</f>
        <v>5.5566000000000004</v>
      </c>
      <c r="D356" s="63">
        <f>5.5566 * CHOOSE(CONTROL!$C$22, $C$13, 100%, $E$13)</f>
        <v>5.5566000000000004</v>
      </c>
      <c r="E356" s="64">
        <f>6.7986 * CHOOSE(CONTROL!$C$22, $C$13, 100%, $E$13)</f>
        <v>6.7986000000000004</v>
      </c>
      <c r="F356" s="64">
        <f>6.7986 * CHOOSE(CONTROL!$C$22, $C$13, 100%, $E$13)</f>
        <v>6.7986000000000004</v>
      </c>
      <c r="G356" s="64">
        <f>6.7987 * CHOOSE(CONTROL!$C$22, $C$13, 100%, $E$13)</f>
        <v>6.7987000000000002</v>
      </c>
      <c r="H356" s="64">
        <f>11.3185* CHOOSE(CONTROL!$C$22, $C$13, 100%, $E$13)</f>
        <v>11.3185</v>
      </c>
      <c r="I356" s="64">
        <f>11.3186 * CHOOSE(CONTROL!$C$22, $C$13, 100%, $E$13)</f>
        <v>11.3186</v>
      </c>
      <c r="J356" s="64">
        <f>6.7986 * CHOOSE(CONTROL!$C$22, $C$13, 100%, $E$13)</f>
        <v>6.7986000000000004</v>
      </c>
      <c r="K356" s="64">
        <f>6.7987 * CHOOSE(CONTROL!$C$22, $C$13, 100%, $E$13)</f>
        <v>6.7987000000000002</v>
      </c>
    </row>
    <row r="357" spans="1:11" ht="15">
      <c r="A357" s="13">
        <v>52352</v>
      </c>
      <c r="B357" s="63">
        <f>5.5566 * CHOOSE(CONTROL!$C$22, $C$13, 100%, $E$13)</f>
        <v>5.5566000000000004</v>
      </c>
      <c r="C357" s="63">
        <f>5.5566 * CHOOSE(CONTROL!$C$22, $C$13, 100%, $E$13)</f>
        <v>5.5566000000000004</v>
      </c>
      <c r="D357" s="63">
        <f>5.5696 * CHOOSE(CONTROL!$C$22, $C$13, 100%, $E$13)</f>
        <v>5.5696000000000003</v>
      </c>
      <c r="E357" s="64">
        <f>6.8326 * CHOOSE(CONTROL!$C$22, $C$13, 100%, $E$13)</f>
        <v>6.8326000000000002</v>
      </c>
      <c r="F357" s="64">
        <f>6.8326 * CHOOSE(CONTROL!$C$22, $C$13, 100%, $E$13)</f>
        <v>6.8326000000000002</v>
      </c>
      <c r="G357" s="64">
        <f>6.8482 * CHOOSE(CONTROL!$C$22, $C$13, 100%, $E$13)</f>
        <v>6.8482000000000003</v>
      </c>
      <c r="H357" s="64">
        <f>11.3421* CHOOSE(CONTROL!$C$22, $C$13, 100%, $E$13)</f>
        <v>11.3421</v>
      </c>
      <c r="I357" s="64">
        <f>11.3578 * CHOOSE(CONTROL!$C$22, $C$13, 100%, $E$13)</f>
        <v>11.357799999999999</v>
      </c>
      <c r="J357" s="64">
        <f>6.8326 * CHOOSE(CONTROL!$C$22, $C$13, 100%, $E$13)</f>
        <v>6.8326000000000002</v>
      </c>
      <c r="K357" s="64">
        <f>6.8482 * CHOOSE(CONTROL!$C$22, $C$13, 100%, $E$13)</f>
        <v>6.8482000000000003</v>
      </c>
    </row>
    <row r="358" spans="1:11" ht="15">
      <c r="A358" s="13">
        <v>52383</v>
      </c>
      <c r="B358" s="63">
        <f>5.5627 * CHOOSE(CONTROL!$C$22, $C$13, 100%, $E$13)</f>
        <v>5.5627000000000004</v>
      </c>
      <c r="C358" s="63">
        <f>5.5627 * CHOOSE(CONTROL!$C$22, $C$13, 100%, $E$13)</f>
        <v>5.5627000000000004</v>
      </c>
      <c r="D358" s="63">
        <f>5.5756 * CHOOSE(CONTROL!$C$22, $C$13, 100%, $E$13)</f>
        <v>5.5755999999999997</v>
      </c>
      <c r="E358" s="64">
        <f>6.8029 * CHOOSE(CONTROL!$C$22, $C$13, 100%, $E$13)</f>
        <v>6.8029000000000002</v>
      </c>
      <c r="F358" s="64">
        <f>6.8029 * CHOOSE(CONTROL!$C$22, $C$13, 100%, $E$13)</f>
        <v>6.8029000000000002</v>
      </c>
      <c r="G358" s="64">
        <f>6.8185 * CHOOSE(CONTROL!$C$22, $C$13, 100%, $E$13)</f>
        <v>6.8185000000000002</v>
      </c>
      <c r="H358" s="64">
        <f>11.3657* CHOOSE(CONTROL!$C$22, $C$13, 100%, $E$13)</f>
        <v>11.3657</v>
      </c>
      <c r="I358" s="64">
        <f>11.3814 * CHOOSE(CONTROL!$C$22, $C$13, 100%, $E$13)</f>
        <v>11.381399999999999</v>
      </c>
      <c r="J358" s="64">
        <f>6.8029 * CHOOSE(CONTROL!$C$22, $C$13, 100%, $E$13)</f>
        <v>6.8029000000000002</v>
      </c>
      <c r="K358" s="64">
        <f>6.8185 * CHOOSE(CONTROL!$C$22, $C$13, 100%, $E$13)</f>
        <v>6.8185000000000002</v>
      </c>
    </row>
    <row r="359" spans="1:11" ht="15">
      <c r="A359" s="13">
        <v>52413</v>
      </c>
      <c r="B359" s="63">
        <f>5.6532 * CHOOSE(CONTROL!$C$22, $C$13, 100%, $E$13)</f>
        <v>5.6532</v>
      </c>
      <c r="C359" s="63">
        <f>5.6532 * CHOOSE(CONTROL!$C$22, $C$13, 100%, $E$13)</f>
        <v>5.6532</v>
      </c>
      <c r="D359" s="63">
        <f>5.6662 * CHOOSE(CONTROL!$C$22, $C$13, 100%, $E$13)</f>
        <v>5.6661999999999999</v>
      </c>
      <c r="E359" s="64">
        <f>6.9177 * CHOOSE(CONTROL!$C$22, $C$13, 100%, $E$13)</f>
        <v>6.9177</v>
      </c>
      <c r="F359" s="64">
        <f>6.9177 * CHOOSE(CONTROL!$C$22, $C$13, 100%, $E$13)</f>
        <v>6.9177</v>
      </c>
      <c r="G359" s="64">
        <f>6.9333 * CHOOSE(CONTROL!$C$22, $C$13, 100%, $E$13)</f>
        <v>6.9333</v>
      </c>
      <c r="H359" s="64">
        <f>11.3894* CHOOSE(CONTROL!$C$22, $C$13, 100%, $E$13)</f>
        <v>11.3894</v>
      </c>
      <c r="I359" s="64">
        <f>11.4051 * CHOOSE(CONTROL!$C$22, $C$13, 100%, $E$13)</f>
        <v>11.405099999999999</v>
      </c>
      <c r="J359" s="64">
        <f>6.9177 * CHOOSE(CONTROL!$C$22, $C$13, 100%, $E$13)</f>
        <v>6.9177</v>
      </c>
      <c r="K359" s="64">
        <f>6.9333 * CHOOSE(CONTROL!$C$22, $C$13, 100%, $E$13)</f>
        <v>6.9333</v>
      </c>
    </row>
    <row r="360" spans="1:11" ht="15">
      <c r="A360" s="13">
        <v>52444</v>
      </c>
      <c r="B360" s="63">
        <f>5.6599 * CHOOSE(CONTROL!$C$22, $C$13, 100%, $E$13)</f>
        <v>5.6599000000000004</v>
      </c>
      <c r="C360" s="63">
        <f>5.6599 * CHOOSE(CONTROL!$C$22, $C$13, 100%, $E$13)</f>
        <v>5.6599000000000004</v>
      </c>
      <c r="D360" s="63">
        <f>5.6729 * CHOOSE(CONTROL!$C$22, $C$13, 100%, $E$13)</f>
        <v>5.6729000000000003</v>
      </c>
      <c r="E360" s="64">
        <f>6.8205 * CHOOSE(CONTROL!$C$22, $C$13, 100%, $E$13)</f>
        <v>6.8205</v>
      </c>
      <c r="F360" s="64">
        <f>6.8205 * CHOOSE(CONTROL!$C$22, $C$13, 100%, $E$13)</f>
        <v>6.8205</v>
      </c>
      <c r="G360" s="64">
        <f>6.8362 * CHOOSE(CONTROL!$C$22, $C$13, 100%, $E$13)</f>
        <v>6.8361999999999998</v>
      </c>
      <c r="H360" s="64">
        <f>11.4131* CHOOSE(CONTROL!$C$22, $C$13, 100%, $E$13)</f>
        <v>11.4131</v>
      </c>
      <c r="I360" s="64">
        <f>11.4288 * CHOOSE(CONTROL!$C$22, $C$13, 100%, $E$13)</f>
        <v>11.428800000000001</v>
      </c>
      <c r="J360" s="64">
        <f>6.8205 * CHOOSE(CONTROL!$C$22, $C$13, 100%, $E$13)</f>
        <v>6.8205</v>
      </c>
      <c r="K360" s="64">
        <f>6.8362 * CHOOSE(CONTROL!$C$22, $C$13, 100%, $E$13)</f>
        <v>6.8361999999999998</v>
      </c>
    </row>
    <row r="361" spans="1:11" ht="15">
      <c r="A361" s="13">
        <v>52475</v>
      </c>
      <c r="B361" s="63">
        <f>5.6569 * CHOOSE(CONTROL!$C$22, $C$13, 100%, $E$13)</f>
        <v>5.6569000000000003</v>
      </c>
      <c r="C361" s="63">
        <f>5.6569 * CHOOSE(CONTROL!$C$22, $C$13, 100%, $E$13)</f>
        <v>5.6569000000000003</v>
      </c>
      <c r="D361" s="63">
        <f>5.6698 * CHOOSE(CONTROL!$C$22, $C$13, 100%, $E$13)</f>
        <v>5.6698000000000004</v>
      </c>
      <c r="E361" s="64">
        <f>6.8071 * CHOOSE(CONTROL!$C$22, $C$13, 100%, $E$13)</f>
        <v>6.8071000000000002</v>
      </c>
      <c r="F361" s="64">
        <f>6.8071 * CHOOSE(CONTROL!$C$22, $C$13, 100%, $E$13)</f>
        <v>6.8071000000000002</v>
      </c>
      <c r="G361" s="64">
        <f>6.8227 * CHOOSE(CONTROL!$C$22, $C$13, 100%, $E$13)</f>
        <v>6.8227000000000002</v>
      </c>
      <c r="H361" s="64">
        <f>11.4369* CHOOSE(CONTROL!$C$22, $C$13, 100%, $E$13)</f>
        <v>11.4369</v>
      </c>
      <c r="I361" s="64">
        <f>11.4526 * CHOOSE(CONTROL!$C$22, $C$13, 100%, $E$13)</f>
        <v>11.4526</v>
      </c>
      <c r="J361" s="64">
        <f>6.8071 * CHOOSE(CONTROL!$C$22, $C$13, 100%, $E$13)</f>
        <v>6.8071000000000002</v>
      </c>
      <c r="K361" s="64">
        <f>6.8227 * CHOOSE(CONTROL!$C$22, $C$13, 100%, $E$13)</f>
        <v>6.8227000000000002</v>
      </c>
    </row>
    <row r="362" spans="1:11" ht="15">
      <c r="A362" s="13">
        <v>52505</v>
      </c>
      <c r="B362" s="63">
        <f>5.6574 * CHOOSE(CONTROL!$C$22, $C$13, 100%, $E$13)</f>
        <v>5.6574</v>
      </c>
      <c r="C362" s="63">
        <f>5.6574 * CHOOSE(CONTROL!$C$22, $C$13, 100%, $E$13)</f>
        <v>5.6574</v>
      </c>
      <c r="D362" s="63">
        <f>5.6574 * CHOOSE(CONTROL!$C$22, $C$13, 100%, $E$13)</f>
        <v>5.6574</v>
      </c>
      <c r="E362" s="64">
        <f>6.8389 * CHOOSE(CONTROL!$C$22, $C$13, 100%, $E$13)</f>
        <v>6.8388999999999998</v>
      </c>
      <c r="F362" s="64">
        <f>6.8389 * CHOOSE(CONTROL!$C$22, $C$13, 100%, $E$13)</f>
        <v>6.8388999999999998</v>
      </c>
      <c r="G362" s="64">
        <f>6.839 * CHOOSE(CONTROL!$C$22, $C$13, 100%, $E$13)</f>
        <v>6.8390000000000004</v>
      </c>
      <c r="H362" s="64">
        <f>11.4607* CHOOSE(CONTROL!$C$22, $C$13, 100%, $E$13)</f>
        <v>11.460699999999999</v>
      </c>
      <c r="I362" s="64">
        <f>11.4608 * CHOOSE(CONTROL!$C$22, $C$13, 100%, $E$13)</f>
        <v>11.460800000000001</v>
      </c>
      <c r="J362" s="64">
        <f>6.8389 * CHOOSE(CONTROL!$C$22, $C$13, 100%, $E$13)</f>
        <v>6.8388999999999998</v>
      </c>
      <c r="K362" s="64">
        <f>6.839 * CHOOSE(CONTROL!$C$22, $C$13, 100%, $E$13)</f>
        <v>6.8390000000000004</v>
      </c>
    </row>
    <row r="363" spans="1:11" ht="15">
      <c r="A363" s="13">
        <v>52536</v>
      </c>
      <c r="B363" s="63">
        <f>5.6605 * CHOOSE(CONTROL!$C$22, $C$13, 100%, $E$13)</f>
        <v>5.6604999999999999</v>
      </c>
      <c r="C363" s="63">
        <f>5.6605 * CHOOSE(CONTROL!$C$22, $C$13, 100%, $E$13)</f>
        <v>5.6604999999999999</v>
      </c>
      <c r="D363" s="63">
        <f>5.6605 * CHOOSE(CONTROL!$C$22, $C$13, 100%, $E$13)</f>
        <v>5.6604999999999999</v>
      </c>
      <c r="E363" s="64">
        <f>6.8636 * CHOOSE(CONTROL!$C$22, $C$13, 100%, $E$13)</f>
        <v>6.8635999999999999</v>
      </c>
      <c r="F363" s="64">
        <f>6.8636 * CHOOSE(CONTROL!$C$22, $C$13, 100%, $E$13)</f>
        <v>6.8635999999999999</v>
      </c>
      <c r="G363" s="64">
        <f>6.8637 * CHOOSE(CONTROL!$C$22, $C$13, 100%, $E$13)</f>
        <v>6.8636999999999997</v>
      </c>
      <c r="H363" s="64">
        <f>11.4846* CHOOSE(CONTROL!$C$22, $C$13, 100%, $E$13)</f>
        <v>11.4846</v>
      </c>
      <c r="I363" s="64">
        <f>11.4847 * CHOOSE(CONTROL!$C$22, $C$13, 100%, $E$13)</f>
        <v>11.4847</v>
      </c>
      <c r="J363" s="64">
        <f>6.8636 * CHOOSE(CONTROL!$C$22, $C$13, 100%, $E$13)</f>
        <v>6.8635999999999999</v>
      </c>
      <c r="K363" s="64">
        <f>6.8637 * CHOOSE(CONTROL!$C$22, $C$13, 100%, $E$13)</f>
        <v>6.8636999999999997</v>
      </c>
    </row>
    <row r="364" spans="1:11" ht="15">
      <c r="A364" s="13">
        <v>52566</v>
      </c>
      <c r="B364" s="63">
        <f>5.6605 * CHOOSE(CONTROL!$C$22, $C$13, 100%, $E$13)</f>
        <v>5.6604999999999999</v>
      </c>
      <c r="C364" s="63">
        <f>5.6605 * CHOOSE(CONTROL!$C$22, $C$13, 100%, $E$13)</f>
        <v>5.6604999999999999</v>
      </c>
      <c r="D364" s="63">
        <f>5.6605 * CHOOSE(CONTROL!$C$22, $C$13, 100%, $E$13)</f>
        <v>5.6604999999999999</v>
      </c>
      <c r="E364" s="64">
        <f>6.8071 * CHOOSE(CONTROL!$C$22, $C$13, 100%, $E$13)</f>
        <v>6.8071000000000002</v>
      </c>
      <c r="F364" s="64">
        <f>6.8071 * CHOOSE(CONTROL!$C$22, $C$13, 100%, $E$13)</f>
        <v>6.8071000000000002</v>
      </c>
      <c r="G364" s="64">
        <f>6.8072 * CHOOSE(CONTROL!$C$22, $C$13, 100%, $E$13)</f>
        <v>6.8071999999999999</v>
      </c>
      <c r="H364" s="64">
        <f>11.5085* CHOOSE(CONTROL!$C$22, $C$13, 100%, $E$13)</f>
        <v>11.5085</v>
      </c>
      <c r="I364" s="64">
        <f>11.5086 * CHOOSE(CONTROL!$C$22, $C$13, 100%, $E$13)</f>
        <v>11.508599999999999</v>
      </c>
      <c r="J364" s="64">
        <f>6.8071 * CHOOSE(CONTROL!$C$22, $C$13, 100%, $E$13)</f>
        <v>6.8071000000000002</v>
      </c>
      <c r="K364" s="64">
        <f>6.8072 * CHOOSE(CONTROL!$C$22, $C$13, 100%, $E$13)</f>
        <v>6.8071999999999999</v>
      </c>
    </row>
    <row r="365" spans="1:11" ht="15">
      <c r="A365" s="13">
        <v>52597</v>
      </c>
      <c r="B365" s="63">
        <f>5.7103 * CHOOSE(CONTROL!$C$22, $C$13, 100%, $E$13)</f>
        <v>5.7103000000000002</v>
      </c>
      <c r="C365" s="63">
        <f>5.7103 * CHOOSE(CONTROL!$C$22, $C$13, 100%, $E$13)</f>
        <v>5.7103000000000002</v>
      </c>
      <c r="D365" s="63">
        <f>5.7103 * CHOOSE(CONTROL!$C$22, $C$13, 100%, $E$13)</f>
        <v>5.7103000000000002</v>
      </c>
      <c r="E365" s="64">
        <f>6.9038 * CHOOSE(CONTROL!$C$22, $C$13, 100%, $E$13)</f>
        <v>6.9038000000000004</v>
      </c>
      <c r="F365" s="64">
        <f>6.9038 * CHOOSE(CONTROL!$C$22, $C$13, 100%, $E$13)</f>
        <v>6.9038000000000004</v>
      </c>
      <c r="G365" s="64">
        <f>6.9039 * CHOOSE(CONTROL!$C$22, $C$13, 100%, $E$13)</f>
        <v>6.9039000000000001</v>
      </c>
      <c r="H365" s="64">
        <f>11.5325* CHOOSE(CONTROL!$C$22, $C$13, 100%, $E$13)</f>
        <v>11.532500000000001</v>
      </c>
      <c r="I365" s="64">
        <f>11.5326 * CHOOSE(CONTROL!$C$22, $C$13, 100%, $E$13)</f>
        <v>11.5326</v>
      </c>
      <c r="J365" s="64">
        <f>6.9038 * CHOOSE(CONTROL!$C$22, $C$13, 100%, $E$13)</f>
        <v>6.9038000000000004</v>
      </c>
      <c r="K365" s="64">
        <f>6.9039 * CHOOSE(CONTROL!$C$22, $C$13, 100%, $E$13)</f>
        <v>6.9039000000000001</v>
      </c>
    </row>
    <row r="366" spans="1:11" ht="15">
      <c r="A366" s="13">
        <v>52628</v>
      </c>
      <c r="B366" s="63">
        <f>5.7073 * CHOOSE(CONTROL!$C$22, $C$13, 100%, $E$13)</f>
        <v>5.7073</v>
      </c>
      <c r="C366" s="63">
        <f>5.7073 * CHOOSE(CONTROL!$C$22, $C$13, 100%, $E$13)</f>
        <v>5.7073</v>
      </c>
      <c r="D366" s="63">
        <f>5.7073 * CHOOSE(CONTROL!$C$22, $C$13, 100%, $E$13)</f>
        <v>5.7073</v>
      </c>
      <c r="E366" s="64">
        <f>6.7917 * CHOOSE(CONTROL!$C$22, $C$13, 100%, $E$13)</f>
        <v>6.7916999999999996</v>
      </c>
      <c r="F366" s="64">
        <f>6.7917 * CHOOSE(CONTROL!$C$22, $C$13, 100%, $E$13)</f>
        <v>6.7916999999999996</v>
      </c>
      <c r="G366" s="64">
        <f>6.7918 * CHOOSE(CONTROL!$C$22, $C$13, 100%, $E$13)</f>
        <v>6.7918000000000003</v>
      </c>
      <c r="H366" s="64">
        <f>11.5565* CHOOSE(CONTROL!$C$22, $C$13, 100%, $E$13)</f>
        <v>11.5565</v>
      </c>
      <c r="I366" s="64">
        <f>11.5566 * CHOOSE(CONTROL!$C$22, $C$13, 100%, $E$13)</f>
        <v>11.5566</v>
      </c>
      <c r="J366" s="64">
        <f>6.7917 * CHOOSE(CONTROL!$C$22, $C$13, 100%, $E$13)</f>
        <v>6.7916999999999996</v>
      </c>
      <c r="K366" s="64">
        <f>6.7918 * CHOOSE(CONTROL!$C$22, $C$13, 100%, $E$13)</f>
        <v>6.7918000000000003</v>
      </c>
    </row>
    <row r="367" spans="1:11" ht="15">
      <c r="A367" s="13">
        <v>52657</v>
      </c>
      <c r="B367" s="63">
        <f>5.7042 * CHOOSE(CONTROL!$C$22, $C$13, 100%, $E$13)</f>
        <v>5.7042000000000002</v>
      </c>
      <c r="C367" s="63">
        <f>5.7042 * CHOOSE(CONTROL!$C$22, $C$13, 100%, $E$13)</f>
        <v>5.7042000000000002</v>
      </c>
      <c r="D367" s="63">
        <f>5.7042 * CHOOSE(CONTROL!$C$22, $C$13, 100%, $E$13)</f>
        <v>5.7042000000000002</v>
      </c>
      <c r="E367" s="64">
        <f>6.8763 * CHOOSE(CONTROL!$C$22, $C$13, 100%, $E$13)</f>
        <v>6.8762999999999996</v>
      </c>
      <c r="F367" s="64">
        <f>6.8763 * CHOOSE(CONTROL!$C$22, $C$13, 100%, $E$13)</f>
        <v>6.8762999999999996</v>
      </c>
      <c r="G367" s="64">
        <f>6.8764 * CHOOSE(CONTROL!$C$22, $C$13, 100%, $E$13)</f>
        <v>6.8764000000000003</v>
      </c>
      <c r="H367" s="64">
        <f>11.5806* CHOOSE(CONTROL!$C$22, $C$13, 100%, $E$13)</f>
        <v>11.5806</v>
      </c>
      <c r="I367" s="64">
        <f>11.5807 * CHOOSE(CONTROL!$C$22, $C$13, 100%, $E$13)</f>
        <v>11.5807</v>
      </c>
      <c r="J367" s="64">
        <f>6.8763 * CHOOSE(CONTROL!$C$22, $C$13, 100%, $E$13)</f>
        <v>6.8762999999999996</v>
      </c>
      <c r="K367" s="64">
        <f>6.8764 * CHOOSE(CONTROL!$C$22, $C$13, 100%, $E$13)</f>
        <v>6.8764000000000003</v>
      </c>
    </row>
    <row r="368" spans="1:11" ht="15">
      <c r="A368" s="13">
        <v>52688</v>
      </c>
      <c r="B368" s="63">
        <f>5.7034 * CHOOSE(CONTROL!$C$22, $C$13, 100%, $E$13)</f>
        <v>5.7034000000000002</v>
      </c>
      <c r="C368" s="63">
        <f>5.7034 * CHOOSE(CONTROL!$C$22, $C$13, 100%, $E$13)</f>
        <v>5.7034000000000002</v>
      </c>
      <c r="D368" s="63">
        <f>5.7034 * CHOOSE(CONTROL!$C$22, $C$13, 100%, $E$13)</f>
        <v>5.7034000000000002</v>
      </c>
      <c r="E368" s="64">
        <f>6.9651 * CHOOSE(CONTROL!$C$22, $C$13, 100%, $E$13)</f>
        <v>6.9650999999999996</v>
      </c>
      <c r="F368" s="64">
        <f>6.9651 * CHOOSE(CONTROL!$C$22, $C$13, 100%, $E$13)</f>
        <v>6.9650999999999996</v>
      </c>
      <c r="G368" s="64">
        <f>6.9652 * CHOOSE(CONTROL!$C$22, $C$13, 100%, $E$13)</f>
        <v>6.9652000000000003</v>
      </c>
      <c r="H368" s="64">
        <f>11.6047* CHOOSE(CONTROL!$C$22, $C$13, 100%, $E$13)</f>
        <v>11.604699999999999</v>
      </c>
      <c r="I368" s="64">
        <f>11.6048 * CHOOSE(CONTROL!$C$22, $C$13, 100%, $E$13)</f>
        <v>11.604799999999999</v>
      </c>
      <c r="J368" s="64">
        <f>6.9651 * CHOOSE(CONTROL!$C$22, $C$13, 100%, $E$13)</f>
        <v>6.9650999999999996</v>
      </c>
      <c r="K368" s="64">
        <f>6.9652 * CHOOSE(CONTROL!$C$22, $C$13, 100%, $E$13)</f>
        <v>6.9652000000000003</v>
      </c>
    </row>
    <row r="369" spans="1:11" ht="15">
      <c r="A369" s="13">
        <v>52718</v>
      </c>
      <c r="B369" s="63">
        <f>5.7034 * CHOOSE(CONTROL!$C$22, $C$13, 100%, $E$13)</f>
        <v>5.7034000000000002</v>
      </c>
      <c r="C369" s="63">
        <f>5.7034 * CHOOSE(CONTROL!$C$22, $C$13, 100%, $E$13)</f>
        <v>5.7034000000000002</v>
      </c>
      <c r="D369" s="63">
        <f>5.7163 * CHOOSE(CONTROL!$C$22, $C$13, 100%, $E$13)</f>
        <v>5.7163000000000004</v>
      </c>
      <c r="E369" s="64">
        <f>7 * CHOOSE(CONTROL!$C$22, $C$13, 100%, $E$13)</f>
        <v>7</v>
      </c>
      <c r="F369" s="64">
        <f>7 * CHOOSE(CONTROL!$C$22, $C$13, 100%, $E$13)</f>
        <v>7</v>
      </c>
      <c r="G369" s="64">
        <f>7.0157 * CHOOSE(CONTROL!$C$22, $C$13, 100%, $E$13)</f>
        <v>7.0156999999999998</v>
      </c>
      <c r="H369" s="64">
        <f>11.6289* CHOOSE(CONTROL!$C$22, $C$13, 100%, $E$13)</f>
        <v>11.6289</v>
      </c>
      <c r="I369" s="64">
        <f>11.6446 * CHOOSE(CONTROL!$C$22, $C$13, 100%, $E$13)</f>
        <v>11.644600000000001</v>
      </c>
      <c r="J369" s="64">
        <f>7 * CHOOSE(CONTROL!$C$22, $C$13, 100%, $E$13)</f>
        <v>7</v>
      </c>
      <c r="K369" s="64">
        <f>7.0157 * CHOOSE(CONTROL!$C$22, $C$13, 100%, $E$13)</f>
        <v>7.0156999999999998</v>
      </c>
    </row>
    <row r="370" spans="1:11" ht="15">
      <c r="A370" s="13">
        <v>52749</v>
      </c>
      <c r="B370" s="63">
        <f>5.7094 * CHOOSE(CONTROL!$C$22, $C$13, 100%, $E$13)</f>
        <v>5.7093999999999996</v>
      </c>
      <c r="C370" s="63">
        <f>5.7094 * CHOOSE(CONTROL!$C$22, $C$13, 100%, $E$13)</f>
        <v>5.7093999999999996</v>
      </c>
      <c r="D370" s="63">
        <f>5.7224 * CHOOSE(CONTROL!$C$22, $C$13, 100%, $E$13)</f>
        <v>5.7224000000000004</v>
      </c>
      <c r="E370" s="64">
        <f>6.9693 * CHOOSE(CONTROL!$C$22, $C$13, 100%, $E$13)</f>
        <v>6.9692999999999996</v>
      </c>
      <c r="F370" s="64">
        <f>6.9693 * CHOOSE(CONTROL!$C$22, $C$13, 100%, $E$13)</f>
        <v>6.9692999999999996</v>
      </c>
      <c r="G370" s="64">
        <f>6.985 * CHOOSE(CONTROL!$C$22, $C$13, 100%, $E$13)</f>
        <v>6.9850000000000003</v>
      </c>
      <c r="H370" s="64">
        <f>11.6531* CHOOSE(CONTROL!$C$22, $C$13, 100%, $E$13)</f>
        <v>11.6531</v>
      </c>
      <c r="I370" s="64">
        <f>11.6688 * CHOOSE(CONTROL!$C$22, $C$13, 100%, $E$13)</f>
        <v>11.668799999999999</v>
      </c>
      <c r="J370" s="64">
        <f>6.9693 * CHOOSE(CONTROL!$C$22, $C$13, 100%, $E$13)</f>
        <v>6.9692999999999996</v>
      </c>
      <c r="K370" s="64">
        <f>6.985 * CHOOSE(CONTROL!$C$22, $C$13, 100%, $E$13)</f>
        <v>6.9850000000000003</v>
      </c>
    </row>
    <row r="371" spans="1:11" ht="15">
      <c r="A371" s="13">
        <v>52779</v>
      </c>
      <c r="B371" s="63">
        <f>5.8021 * CHOOSE(CONTROL!$C$22, $C$13, 100%, $E$13)</f>
        <v>5.8021000000000003</v>
      </c>
      <c r="C371" s="63">
        <f>5.8021 * CHOOSE(CONTROL!$C$22, $C$13, 100%, $E$13)</f>
        <v>5.8021000000000003</v>
      </c>
      <c r="D371" s="63">
        <f>5.8151 * CHOOSE(CONTROL!$C$22, $C$13, 100%, $E$13)</f>
        <v>5.8151000000000002</v>
      </c>
      <c r="E371" s="64">
        <f>7.0867 * CHOOSE(CONTROL!$C$22, $C$13, 100%, $E$13)</f>
        <v>7.0867000000000004</v>
      </c>
      <c r="F371" s="64">
        <f>7.0867 * CHOOSE(CONTROL!$C$22, $C$13, 100%, $E$13)</f>
        <v>7.0867000000000004</v>
      </c>
      <c r="G371" s="64">
        <f>7.1024 * CHOOSE(CONTROL!$C$22, $C$13, 100%, $E$13)</f>
        <v>7.1024000000000003</v>
      </c>
      <c r="H371" s="64">
        <f>11.6774* CHOOSE(CONTROL!$C$22, $C$13, 100%, $E$13)</f>
        <v>11.6774</v>
      </c>
      <c r="I371" s="64">
        <f>11.6931 * CHOOSE(CONTROL!$C$22, $C$13, 100%, $E$13)</f>
        <v>11.693099999999999</v>
      </c>
      <c r="J371" s="64">
        <f>7.0867 * CHOOSE(CONTROL!$C$22, $C$13, 100%, $E$13)</f>
        <v>7.0867000000000004</v>
      </c>
      <c r="K371" s="64">
        <f>7.1024 * CHOOSE(CONTROL!$C$22, $C$13, 100%, $E$13)</f>
        <v>7.1024000000000003</v>
      </c>
    </row>
    <row r="372" spans="1:11" ht="15">
      <c r="A372" s="13">
        <v>52810</v>
      </c>
      <c r="B372" s="63">
        <f>5.8088 * CHOOSE(CONTROL!$C$22, $C$13, 100%, $E$13)</f>
        <v>5.8087999999999997</v>
      </c>
      <c r="C372" s="63">
        <f>5.8088 * CHOOSE(CONTROL!$C$22, $C$13, 100%, $E$13)</f>
        <v>5.8087999999999997</v>
      </c>
      <c r="D372" s="63">
        <f>5.8218 * CHOOSE(CONTROL!$C$22, $C$13, 100%, $E$13)</f>
        <v>5.8217999999999996</v>
      </c>
      <c r="E372" s="64">
        <f>6.9867 * CHOOSE(CONTROL!$C$22, $C$13, 100%, $E$13)</f>
        <v>6.9866999999999999</v>
      </c>
      <c r="F372" s="64">
        <f>6.9867 * CHOOSE(CONTROL!$C$22, $C$13, 100%, $E$13)</f>
        <v>6.9866999999999999</v>
      </c>
      <c r="G372" s="64">
        <f>7.0024 * CHOOSE(CONTROL!$C$22, $C$13, 100%, $E$13)</f>
        <v>7.0023999999999997</v>
      </c>
      <c r="H372" s="64">
        <f>11.7017* CHOOSE(CONTROL!$C$22, $C$13, 100%, $E$13)</f>
        <v>11.701700000000001</v>
      </c>
      <c r="I372" s="64">
        <f>11.7174 * CHOOSE(CONTROL!$C$22, $C$13, 100%, $E$13)</f>
        <v>11.7174</v>
      </c>
      <c r="J372" s="64">
        <f>6.9867 * CHOOSE(CONTROL!$C$22, $C$13, 100%, $E$13)</f>
        <v>6.9866999999999999</v>
      </c>
      <c r="K372" s="64">
        <f>7.0024 * CHOOSE(CONTROL!$C$22, $C$13, 100%, $E$13)</f>
        <v>7.0023999999999997</v>
      </c>
    </row>
    <row r="373" spans="1:11" ht="15">
      <c r="A373" s="13">
        <v>52841</v>
      </c>
      <c r="B373" s="63">
        <f>5.8058 * CHOOSE(CONTROL!$C$22, $C$13, 100%, $E$13)</f>
        <v>5.8057999999999996</v>
      </c>
      <c r="C373" s="63">
        <f>5.8058 * CHOOSE(CONTROL!$C$22, $C$13, 100%, $E$13)</f>
        <v>5.8057999999999996</v>
      </c>
      <c r="D373" s="63">
        <f>5.8188 * CHOOSE(CONTROL!$C$22, $C$13, 100%, $E$13)</f>
        <v>5.8188000000000004</v>
      </c>
      <c r="E373" s="64">
        <f>6.9729 * CHOOSE(CONTROL!$C$22, $C$13, 100%, $E$13)</f>
        <v>6.9729000000000001</v>
      </c>
      <c r="F373" s="64">
        <f>6.9729 * CHOOSE(CONTROL!$C$22, $C$13, 100%, $E$13)</f>
        <v>6.9729000000000001</v>
      </c>
      <c r="G373" s="64">
        <f>6.9886 * CHOOSE(CONTROL!$C$22, $C$13, 100%, $E$13)</f>
        <v>6.9885999999999999</v>
      </c>
      <c r="H373" s="64">
        <f>11.7261* CHOOSE(CONTROL!$C$22, $C$13, 100%, $E$13)</f>
        <v>11.726100000000001</v>
      </c>
      <c r="I373" s="64">
        <f>11.7418 * CHOOSE(CONTROL!$C$22, $C$13, 100%, $E$13)</f>
        <v>11.7418</v>
      </c>
      <c r="J373" s="64">
        <f>6.9729 * CHOOSE(CONTROL!$C$22, $C$13, 100%, $E$13)</f>
        <v>6.9729000000000001</v>
      </c>
      <c r="K373" s="64">
        <f>6.9886 * CHOOSE(CONTROL!$C$22, $C$13, 100%, $E$13)</f>
        <v>6.9885999999999999</v>
      </c>
    </row>
    <row r="374" spans="1:11" ht="15">
      <c r="A374" s="13">
        <v>52871</v>
      </c>
      <c r="B374" s="63">
        <f>5.8068 * CHOOSE(CONTROL!$C$22, $C$13, 100%, $E$13)</f>
        <v>5.8068</v>
      </c>
      <c r="C374" s="63">
        <f>5.8068 * CHOOSE(CONTROL!$C$22, $C$13, 100%, $E$13)</f>
        <v>5.8068</v>
      </c>
      <c r="D374" s="63">
        <f>5.8068 * CHOOSE(CONTROL!$C$22, $C$13, 100%, $E$13)</f>
        <v>5.8068</v>
      </c>
      <c r="E374" s="64">
        <f>7.0061 * CHOOSE(CONTROL!$C$22, $C$13, 100%, $E$13)</f>
        <v>7.0061</v>
      </c>
      <c r="F374" s="64">
        <f>7.0061 * CHOOSE(CONTROL!$C$22, $C$13, 100%, $E$13)</f>
        <v>7.0061</v>
      </c>
      <c r="G374" s="64">
        <f>7.0061 * CHOOSE(CONTROL!$C$22, $C$13, 100%, $E$13)</f>
        <v>7.0061</v>
      </c>
      <c r="H374" s="64">
        <f>11.7505* CHOOSE(CONTROL!$C$22, $C$13, 100%, $E$13)</f>
        <v>11.750500000000001</v>
      </c>
      <c r="I374" s="64">
        <f>11.7506 * CHOOSE(CONTROL!$C$22, $C$13, 100%, $E$13)</f>
        <v>11.7506</v>
      </c>
      <c r="J374" s="64">
        <f>7.0061 * CHOOSE(CONTROL!$C$22, $C$13, 100%, $E$13)</f>
        <v>7.0061</v>
      </c>
      <c r="K374" s="64">
        <f>7.0061 * CHOOSE(CONTROL!$C$22, $C$13, 100%, $E$13)</f>
        <v>7.0061</v>
      </c>
    </row>
    <row r="375" spans="1:11" ht="15">
      <c r="A375" s="13">
        <v>52902</v>
      </c>
      <c r="B375" s="63">
        <f>5.8099 * CHOOSE(CONTROL!$C$22, $C$13, 100%, $E$13)</f>
        <v>5.8098999999999998</v>
      </c>
      <c r="C375" s="63">
        <f>5.8099 * CHOOSE(CONTROL!$C$22, $C$13, 100%, $E$13)</f>
        <v>5.8098999999999998</v>
      </c>
      <c r="D375" s="63">
        <f>5.8099 * CHOOSE(CONTROL!$C$22, $C$13, 100%, $E$13)</f>
        <v>5.8098999999999998</v>
      </c>
      <c r="E375" s="64">
        <f>7.0314 * CHOOSE(CONTROL!$C$22, $C$13, 100%, $E$13)</f>
        <v>7.0313999999999997</v>
      </c>
      <c r="F375" s="64">
        <f>7.0314 * CHOOSE(CONTROL!$C$22, $C$13, 100%, $E$13)</f>
        <v>7.0313999999999997</v>
      </c>
      <c r="G375" s="64">
        <f>7.0315 * CHOOSE(CONTROL!$C$22, $C$13, 100%, $E$13)</f>
        <v>7.0315000000000003</v>
      </c>
      <c r="H375" s="64">
        <f>11.775* CHOOSE(CONTROL!$C$22, $C$13, 100%, $E$13)</f>
        <v>11.775</v>
      </c>
      <c r="I375" s="64">
        <f>11.7751 * CHOOSE(CONTROL!$C$22, $C$13, 100%, $E$13)</f>
        <v>11.7751</v>
      </c>
      <c r="J375" s="64">
        <f>7.0314 * CHOOSE(CONTROL!$C$22, $C$13, 100%, $E$13)</f>
        <v>7.0313999999999997</v>
      </c>
      <c r="K375" s="64">
        <f>7.0315 * CHOOSE(CONTROL!$C$22, $C$13, 100%, $E$13)</f>
        <v>7.0315000000000003</v>
      </c>
    </row>
    <row r="376" spans="1:11" ht="15">
      <c r="A376" s="13">
        <v>52932</v>
      </c>
      <c r="B376" s="63">
        <f>5.8099 * CHOOSE(CONTROL!$C$22, $C$13, 100%, $E$13)</f>
        <v>5.8098999999999998</v>
      </c>
      <c r="C376" s="63">
        <f>5.8099 * CHOOSE(CONTROL!$C$22, $C$13, 100%, $E$13)</f>
        <v>5.8098999999999998</v>
      </c>
      <c r="D376" s="63">
        <f>5.8099 * CHOOSE(CONTROL!$C$22, $C$13, 100%, $E$13)</f>
        <v>5.8098999999999998</v>
      </c>
      <c r="E376" s="64">
        <f>6.9733 * CHOOSE(CONTROL!$C$22, $C$13, 100%, $E$13)</f>
        <v>6.9733000000000001</v>
      </c>
      <c r="F376" s="64">
        <f>6.9733 * CHOOSE(CONTROL!$C$22, $C$13, 100%, $E$13)</f>
        <v>6.9733000000000001</v>
      </c>
      <c r="G376" s="64">
        <f>6.9734 * CHOOSE(CONTROL!$C$22, $C$13, 100%, $E$13)</f>
        <v>6.9733999999999998</v>
      </c>
      <c r="H376" s="64">
        <f>11.7996* CHOOSE(CONTROL!$C$22, $C$13, 100%, $E$13)</f>
        <v>11.7996</v>
      </c>
      <c r="I376" s="64">
        <f>11.7996 * CHOOSE(CONTROL!$C$22, $C$13, 100%, $E$13)</f>
        <v>11.7996</v>
      </c>
      <c r="J376" s="64">
        <f>6.9733 * CHOOSE(CONTROL!$C$22, $C$13, 100%, $E$13)</f>
        <v>6.9733000000000001</v>
      </c>
      <c r="K376" s="64">
        <f>6.9734 * CHOOSE(CONTROL!$C$22, $C$13, 100%, $E$13)</f>
        <v>6.9733999999999998</v>
      </c>
    </row>
    <row r="377" spans="1:11" ht="15">
      <c r="A377" s="13">
        <v>52963</v>
      </c>
      <c r="B377" s="63">
        <f>5.8609 * CHOOSE(CONTROL!$C$22, $C$13, 100%, $E$13)</f>
        <v>5.8609</v>
      </c>
      <c r="C377" s="63">
        <f>5.8609 * CHOOSE(CONTROL!$C$22, $C$13, 100%, $E$13)</f>
        <v>5.8609</v>
      </c>
      <c r="D377" s="63">
        <f>5.8609 * CHOOSE(CONTROL!$C$22, $C$13, 100%, $E$13)</f>
        <v>5.8609</v>
      </c>
      <c r="E377" s="64">
        <f>7.0724 * CHOOSE(CONTROL!$C$22, $C$13, 100%, $E$13)</f>
        <v>7.0724</v>
      </c>
      <c r="F377" s="64">
        <f>7.0724 * CHOOSE(CONTROL!$C$22, $C$13, 100%, $E$13)</f>
        <v>7.0724</v>
      </c>
      <c r="G377" s="64">
        <f>7.0725 * CHOOSE(CONTROL!$C$22, $C$13, 100%, $E$13)</f>
        <v>7.0724999999999998</v>
      </c>
      <c r="H377" s="64">
        <f>11.8241* CHOOSE(CONTROL!$C$22, $C$13, 100%, $E$13)</f>
        <v>11.8241</v>
      </c>
      <c r="I377" s="64">
        <f>11.8242 * CHOOSE(CONTROL!$C$22, $C$13, 100%, $E$13)</f>
        <v>11.824199999999999</v>
      </c>
      <c r="J377" s="64">
        <f>7.0724 * CHOOSE(CONTROL!$C$22, $C$13, 100%, $E$13)</f>
        <v>7.0724</v>
      </c>
      <c r="K377" s="64">
        <f>7.0725 * CHOOSE(CONTROL!$C$22, $C$13, 100%, $E$13)</f>
        <v>7.0724999999999998</v>
      </c>
    </row>
    <row r="378" spans="1:11" ht="15">
      <c r="A378" s="13">
        <v>52994</v>
      </c>
      <c r="B378" s="63">
        <f>5.8579 * CHOOSE(CONTROL!$C$22, $C$13, 100%, $E$13)</f>
        <v>5.8578999999999999</v>
      </c>
      <c r="C378" s="63">
        <f>5.8579 * CHOOSE(CONTROL!$C$22, $C$13, 100%, $E$13)</f>
        <v>5.8578999999999999</v>
      </c>
      <c r="D378" s="63">
        <f>5.8579 * CHOOSE(CONTROL!$C$22, $C$13, 100%, $E$13)</f>
        <v>5.8578999999999999</v>
      </c>
      <c r="E378" s="64">
        <f>6.9573 * CHOOSE(CONTROL!$C$22, $C$13, 100%, $E$13)</f>
        <v>6.9573</v>
      </c>
      <c r="F378" s="64">
        <f>6.9573 * CHOOSE(CONTROL!$C$22, $C$13, 100%, $E$13)</f>
        <v>6.9573</v>
      </c>
      <c r="G378" s="64">
        <f>6.9574 * CHOOSE(CONTROL!$C$22, $C$13, 100%, $E$13)</f>
        <v>6.9573999999999998</v>
      </c>
      <c r="H378" s="64">
        <f>11.8488* CHOOSE(CONTROL!$C$22, $C$13, 100%, $E$13)</f>
        <v>11.848800000000001</v>
      </c>
      <c r="I378" s="64">
        <f>11.8488 * CHOOSE(CONTROL!$C$22, $C$13, 100%, $E$13)</f>
        <v>11.848800000000001</v>
      </c>
      <c r="J378" s="64">
        <f>6.9573 * CHOOSE(CONTROL!$C$22, $C$13, 100%, $E$13)</f>
        <v>6.9573</v>
      </c>
      <c r="K378" s="64">
        <f>6.9574 * CHOOSE(CONTROL!$C$22, $C$13, 100%, $E$13)</f>
        <v>6.9573999999999998</v>
      </c>
    </row>
    <row r="379" spans="1:11" ht="15">
      <c r="A379" s="13">
        <v>53022</v>
      </c>
      <c r="B379" s="63">
        <f>5.8548 * CHOOSE(CONTROL!$C$22, $C$13, 100%, $E$13)</f>
        <v>5.8548</v>
      </c>
      <c r="C379" s="63">
        <f>5.8548 * CHOOSE(CONTROL!$C$22, $C$13, 100%, $E$13)</f>
        <v>5.8548</v>
      </c>
      <c r="D379" s="63">
        <f>5.8548 * CHOOSE(CONTROL!$C$22, $C$13, 100%, $E$13)</f>
        <v>5.8548</v>
      </c>
      <c r="E379" s="64">
        <f>7.0443 * CHOOSE(CONTROL!$C$22, $C$13, 100%, $E$13)</f>
        <v>7.0442999999999998</v>
      </c>
      <c r="F379" s="64">
        <f>7.0443 * CHOOSE(CONTROL!$C$22, $C$13, 100%, $E$13)</f>
        <v>7.0442999999999998</v>
      </c>
      <c r="G379" s="64">
        <f>7.0443 * CHOOSE(CONTROL!$C$22, $C$13, 100%, $E$13)</f>
        <v>7.0442999999999998</v>
      </c>
      <c r="H379" s="64">
        <f>11.8735* CHOOSE(CONTROL!$C$22, $C$13, 100%, $E$13)</f>
        <v>11.8735</v>
      </c>
      <c r="I379" s="64">
        <f>11.8735 * CHOOSE(CONTROL!$C$22, $C$13, 100%, $E$13)</f>
        <v>11.8735</v>
      </c>
      <c r="J379" s="64">
        <f>7.0443 * CHOOSE(CONTROL!$C$22, $C$13, 100%, $E$13)</f>
        <v>7.0442999999999998</v>
      </c>
      <c r="K379" s="64">
        <f>7.0443 * CHOOSE(CONTROL!$C$22, $C$13, 100%, $E$13)</f>
        <v>7.0442999999999998</v>
      </c>
    </row>
    <row r="380" spans="1:11" ht="15">
      <c r="A380" s="13">
        <v>53053</v>
      </c>
      <c r="B380" s="63">
        <f>5.8541 * CHOOSE(CONTROL!$C$22, $C$13, 100%, $E$13)</f>
        <v>5.8540999999999999</v>
      </c>
      <c r="C380" s="63">
        <f>5.8541 * CHOOSE(CONTROL!$C$22, $C$13, 100%, $E$13)</f>
        <v>5.8540999999999999</v>
      </c>
      <c r="D380" s="63">
        <f>5.8541 * CHOOSE(CONTROL!$C$22, $C$13, 100%, $E$13)</f>
        <v>5.8540999999999999</v>
      </c>
      <c r="E380" s="64">
        <f>7.1357 * CHOOSE(CONTROL!$C$22, $C$13, 100%, $E$13)</f>
        <v>7.1356999999999999</v>
      </c>
      <c r="F380" s="64">
        <f>7.1357 * CHOOSE(CONTROL!$C$22, $C$13, 100%, $E$13)</f>
        <v>7.1356999999999999</v>
      </c>
      <c r="G380" s="64">
        <f>7.1358 * CHOOSE(CONTROL!$C$22, $C$13, 100%, $E$13)</f>
        <v>7.1357999999999997</v>
      </c>
      <c r="H380" s="64">
        <f>11.8982* CHOOSE(CONTROL!$C$22, $C$13, 100%, $E$13)</f>
        <v>11.898199999999999</v>
      </c>
      <c r="I380" s="64">
        <f>11.8983 * CHOOSE(CONTROL!$C$22, $C$13, 100%, $E$13)</f>
        <v>11.898300000000001</v>
      </c>
      <c r="J380" s="64">
        <f>7.1357 * CHOOSE(CONTROL!$C$22, $C$13, 100%, $E$13)</f>
        <v>7.1356999999999999</v>
      </c>
      <c r="K380" s="64">
        <f>7.1358 * CHOOSE(CONTROL!$C$22, $C$13, 100%, $E$13)</f>
        <v>7.1357999999999997</v>
      </c>
    </row>
    <row r="381" spans="1:11" ht="15">
      <c r="A381" s="13">
        <v>53083</v>
      </c>
      <c r="B381" s="63">
        <f>5.8541 * CHOOSE(CONTROL!$C$22, $C$13, 100%, $E$13)</f>
        <v>5.8540999999999999</v>
      </c>
      <c r="C381" s="63">
        <f>5.8541 * CHOOSE(CONTROL!$C$22, $C$13, 100%, $E$13)</f>
        <v>5.8540999999999999</v>
      </c>
      <c r="D381" s="63">
        <f>5.8671 * CHOOSE(CONTROL!$C$22, $C$13, 100%, $E$13)</f>
        <v>5.8670999999999998</v>
      </c>
      <c r="E381" s="64">
        <f>7.1716 * CHOOSE(CONTROL!$C$22, $C$13, 100%, $E$13)</f>
        <v>7.1715999999999998</v>
      </c>
      <c r="F381" s="64">
        <f>7.1716 * CHOOSE(CONTROL!$C$22, $C$13, 100%, $E$13)</f>
        <v>7.1715999999999998</v>
      </c>
      <c r="G381" s="64">
        <f>7.1873 * CHOOSE(CONTROL!$C$22, $C$13, 100%, $E$13)</f>
        <v>7.1872999999999996</v>
      </c>
      <c r="H381" s="64">
        <f>11.923* CHOOSE(CONTROL!$C$22, $C$13, 100%, $E$13)</f>
        <v>11.923</v>
      </c>
      <c r="I381" s="64">
        <f>11.9387 * CHOOSE(CONTROL!$C$22, $C$13, 100%, $E$13)</f>
        <v>11.938700000000001</v>
      </c>
      <c r="J381" s="64">
        <f>7.1716 * CHOOSE(CONTROL!$C$22, $C$13, 100%, $E$13)</f>
        <v>7.1715999999999998</v>
      </c>
      <c r="K381" s="64">
        <f>7.1873 * CHOOSE(CONTROL!$C$22, $C$13, 100%, $E$13)</f>
        <v>7.1872999999999996</v>
      </c>
    </row>
    <row r="382" spans="1:11" ht="15">
      <c r="A382" s="13">
        <v>53114</v>
      </c>
      <c r="B382" s="63">
        <f>5.8602 * CHOOSE(CONTROL!$C$22, $C$13, 100%, $E$13)</f>
        <v>5.8601999999999999</v>
      </c>
      <c r="C382" s="63">
        <f>5.8602 * CHOOSE(CONTROL!$C$22, $C$13, 100%, $E$13)</f>
        <v>5.8601999999999999</v>
      </c>
      <c r="D382" s="63">
        <f>5.8731 * CHOOSE(CONTROL!$C$22, $C$13, 100%, $E$13)</f>
        <v>5.8731</v>
      </c>
      <c r="E382" s="64">
        <f>7.1399 * CHOOSE(CONTROL!$C$22, $C$13, 100%, $E$13)</f>
        <v>7.1398999999999999</v>
      </c>
      <c r="F382" s="64">
        <f>7.1399 * CHOOSE(CONTROL!$C$22, $C$13, 100%, $E$13)</f>
        <v>7.1398999999999999</v>
      </c>
      <c r="G382" s="64">
        <f>7.1556 * CHOOSE(CONTROL!$C$22, $C$13, 100%, $E$13)</f>
        <v>7.1555999999999997</v>
      </c>
      <c r="H382" s="64">
        <f>11.9478* CHOOSE(CONTROL!$C$22, $C$13, 100%, $E$13)</f>
        <v>11.947800000000001</v>
      </c>
      <c r="I382" s="64">
        <f>11.9635 * CHOOSE(CONTROL!$C$22, $C$13, 100%, $E$13)</f>
        <v>11.9635</v>
      </c>
      <c r="J382" s="64">
        <f>7.1399 * CHOOSE(CONTROL!$C$22, $C$13, 100%, $E$13)</f>
        <v>7.1398999999999999</v>
      </c>
      <c r="K382" s="64">
        <f>7.1556 * CHOOSE(CONTROL!$C$22, $C$13, 100%, $E$13)</f>
        <v>7.1555999999999997</v>
      </c>
    </row>
    <row r="383" spans="1:11" ht="15">
      <c r="A383" s="13">
        <v>53144</v>
      </c>
      <c r="B383" s="63">
        <f>5.955 * CHOOSE(CONTROL!$C$22, $C$13, 100%, $E$13)</f>
        <v>5.9550000000000001</v>
      </c>
      <c r="C383" s="63">
        <f>5.955 * CHOOSE(CONTROL!$C$22, $C$13, 100%, $E$13)</f>
        <v>5.9550000000000001</v>
      </c>
      <c r="D383" s="63">
        <f>5.968 * CHOOSE(CONTROL!$C$22, $C$13, 100%, $E$13)</f>
        <v>5.968</v>
      </c>
      <c r="E383" s="64">
        <f>7.2599 * CHOOSE(CONTROL!$C$22, $C$13, 100%, $E$13)</f>
        <v>7.2599</v>
      </c>
      <c r="F383" s="64">
        <f>7.2599 * CHOOSE(CONTROL!$C$22, $C$13, 100%, $E$13)</f>
        <v>7.2599</v>
      </c>
      <c r="G383" s="64">
        <f>7.2756 * CHOOSE(CONTROL!$C$22, $C$13, 100%, $E$13)</f>
        <v>7.2755999999999998</v>
      </c>
      <c r="H383" s="64">
        <f>11.9727* CHOOSE(CONTROL!$C$22, $C$13, 100%, $E$13)</f>
        <v>11.9727</v>
      </c>
      <c r="I383" s="64">
        <f>11.9884 * CHOOSE(CONTROL!$C$22, $C$13, 100%, $E$13)</f>
        <v>11.9884</v>
      </c>
      <c r="J383" s="64">
        <f>7.2599 * CHOOSE(CONTROL!$C$22, $C$13, 100%, $E$13)</f>
        <v>7.2599</v>
      </c>
      <c r="K383" s="64">
        <f>7.2756 * CHOOSE(CONTROL!$C$22, $C$13, 100%, $E$13)</f>
        <v>7.2755999999999998</v>
      </c>
    </row>
    <row r="384" spans="1:11" ht="15">
      <c r="A384" s="13">
        <v>53175</v>
      </c>
      <c r="B384" s="63">
        <f>5.9617 * CHOOSE(CONTROL!$C$22, $C$13, 100%, $E$13)</f>
        <v>5.9617000000000004</v>
      </c>
      <c r="C384" s="63">
        <f>5.9617 * CHOOSE(CONTROL!$C$22, $C$13, 100%, $E$13)</f>
        <v>5.9617000000000004</v>
      </c>
      <c r="D384" s="63">
        <f>5.9746 * CHOOSE(CONTROL!$C$22, $C$13, 100%, $E$13)</f>
        <v>5.9745999999999997</v>
      </c>
      <c r="E384" s="64">
        <f>7.1569 * CHOOSE(CONTROL!$C$22, $C$13, 100%, $E$13)</f>
        <v>7.1569000000000003</v>
      </c>
      <c r="F384" s="64">
        <f>7.1569 * CHOOSE(CONTROL!$C$22, $C$13, 100%, $E$13)</f>
        <v>7.1569000000000003</v>
      </c>
      <c r="G384" s="64">
        <f>7.1726 * CHOOSE(CONTROL!$C$22, $C$13, 100%, $E$13)</f>
        <v>7.1726000000000001</v>
      </c>
      <c r="H384" s="64">
        <f>11.9977* CHOOSE(CONTROL!$C$22, $C$13, 100%, $E$13)</f>
        <v>11.9977</v>
      </c>
      <c r="I384" s="64">
        <f>12.0133 * CHOOSE(CONTROL!$C$22, $C$13, 100%, $E$13)</f>
        <v>12.013299999999999</v>
      </c>
      <c r="J384" s="64">
        <f>7.1569 * CHOOSE(CONTROL!$C$22, $C$13, 100%, $E$13)</f>
        <v>7.1569000000000003</v>
      </c>
      <c r="K384" s="64">
        <f>7.1726 * CHOOSE(CONTROL!$C$22, $C$13, 100%, $E$13)</f>
        <v>7.1726000000000001</v>
      </c>
    </row>
    <row r="385" spans="1:11" ht="15">
      <c r="A385" s="13">
        <v>53206</v>
      </c>
      <c r="B385" s="63">
        <f>5.9586 * CHOOSE(CONTROL!$C$22, $C$13, 100%, $E$13)</f>
        <v>5.9585999999999997</v>
      </c>
      <c r="C385" s="63">
        <f>5.9586 * CHOOSE(CONTROL!$C$22, $C$13, 100%, $E$13)</f>
        <v>5.9585999999999997</v>
      </c>
      <c r="D385" s="63">
        <f>5.9716 * CHOOSE(CONTROL!$C$22, $C$13, 100%, $E$13)</f>
        <v>5.9715999999999996</v>
      </c>
      <c r="E385" s="64">
        <f>7.1429 * CHOOSE(CONTROL!$C$22, $C$13, 100%, $E$13)</f>
        <v>7.1429</v>
      </c>
      <c r="F385" s="64">
        <f>7.1429 * CHOOSE(CONTROL!$C$22, $C$13, 100%, $E$13)</f>
        <v>7.1429</v>
      </c>
      <c r="G385" s="64">
        <f>7.1585 * CHOOSE(CONTROL!$C$22, $C$13, 100%, $E$13)</f>
        <v>7.1585000000000001</v>
      </c>
      <c r="H385" s="64">
        <f>12.0226* CHOOSE(CONTROL!$C$22, $C$13, 100%, $E$13)</f>
        <v>12.022600000000001</v>
      </c>
      <c r="I385" s="64">
        <f>12.0383 * CHOOSE(CONTROL!$C$22, $C$13, 100%, $E$13)</f>
        <v>12.0383</v>
      </c>
      <c r="J385" s="64">
        <f>7.1429 * CHOOSE(CONTROL!$C$22, $C$13, 100%, $E$13)</f>
        <v>7.1429</v>
      </c>
      <c r="K385" s="64">
        <f>7.1585 * CHOOSE(CONTROL!$C$22, $C$13, 100%, $E$13)</f>
        <v>7.1585000000000001</v>
      </c>
    </row>
    <row r="386" spans="1:11" ht="15">
      <c r="A386" s="13">
        <v>53236</v>
      </c>
      <c r="B386" s="63">
        <f>5.9602 * CHOOSE(CONTROL!$C$22, $C$13, 100%, $E$13)</f>
        <v>5.9602000000000004</v>
      </c>
      <c r="C386" s="63">
        <f>5.9602 * CHOOSE(CONTROL!$C$22, $C$13, 100%, $E$13)</f>
        <v>5.9602000000000004</v>
      </c>
      <c r="D386" s="63">
        <f>5.9602 * CHOOSE(CONTROL!$C$22, $C$13, 100%, $E$13)</f>
        <v>5.9602000000000004</v>
      </c>
      <c r="E386" s="64">
        <f>7.1773 * CHOOSE(CONTROL!$C$22, $C$13, 100%, $E$13)</f>
        <v>7.1772999999999998</v>
      </c>
      <c r="F386" s="64">
        <f>7.1773 * CHOOSE(CONTROL!$C$22, $C$13, 100%, $E$13)</f>
        <v>7.1772999999999998</v>
      </c>
      <c r="G386" s="64">
        <f>7.1774 * CHOOSE(CONTROL!$C$22, $C$13, 100%, $E$13)</f>
        <v>7.1773999999999996</v>
      </c>
      <c r="H386" s="64">
        <f>12.0477* CHOOSE(CONTROL!$C$22, $C$13, 100%, $E$13)</f>
        <v>12.047700000000001</v>
      </c>
      <c r="I386" s="64">
        <f>12.0478 * CHOOSE(CONTROL!$C$22, $C$13, 100%, $E$13)</f>
        <v>12.047800000000001</v>
      </c>
      <c r="J386" s="64">
        <f>7.1773 * CHOOSE(CONTROL!$C$22, $C$13, 100%, $E$13)</f>
        <v>7.1772999999999998</v>
      </c>
      <c r="K386" s="64">
        <f>7.1774 * CHOOSE(CONTROL!$C$22, $C$13, 100%, $E$13)</f>
        <v>7.1773999999999996</v>
      </c>
    </row>
    <row r="387" spans="1:11" ht="15">
      <c r="A387" s="13">
        <v>53267</v>
      </c>
      <c r="B387" s="63">
        <f>5.9632 * CHOOSE(CONTROL!$C$22, $C$13, 100%, $E$13)</f>
        <v>5.9631999999999996</v>
      </c>
      <c r="C387" s="63">
        <f>5.9632 * CHOOSE(CONTROL!$C$22, $C$13, 100%, $E$13)</f>
        <v>5.9631999999999996</v>
      </c>
      <c r="D387" s="63">
        <f>5.9632 * CHOOSE(CONTROL!$C$22, $C$13, 100%, $E$13)</f>
        <v>5.9631999999999996</v>
      </c>
      <c r="E387" s="64">
        <f>7.2033 * CHOOSE(CONTROL!$C$22, $C$13, 100%, $E$13)</f>
        <v>7.2032999999999996</v>
      </c>
      <c r="F387" s="64">
        <f>7.2033 * CHOOSE(CONTROL!$C$22, $C$13, 100%, $E$13)</f>
        <v>7.2032999999999996</v>
      </c>
      <c r="G387" s="64">
        <f>7.2034 * CHOOSE(CONTROL!$C$22, $C$13, 100%, $E$13)</f>
        <v>7.2034000000000002</v>
      </c>
      <c r="H387" s="64">
        <f>12.0728* CHOOSE(CONTROL!$C$22, $C$13, 100%, $E$13)</f>
        <v>12.072800000000001</v>
      </c>
      <c r="I387" s="64">
        <f>12.0729 * CHOOSE(CONTROL!$C$22, $C$13, 100%, $E$13)</f>
        <v>12.072900000000001</v>
      </c>
      <c r="J387" s="64">
        <f>7.2033 * CHOOSE(CONTROL!$C$22, $C$13, 100%, $E$13)</f>
        <v>7.2032999999999996</v>
      </c>
      <c r="K387" s="64">
        <f>7.2034 * CHOOSE(CONTROL!$C$22, $C$13, 100%, $E$13)</f>
        <v>7.2034000000000002</v>
      </c>
    </row>
    <row r="388" spans="1:11" ht="15">
      <c r="A388" s="13">
        <v>53297</v>
      </c>
      <c r="B388" s="63">
        <f>5.9632 * CHOOSE(CONTROL!$C$22, $C$13, 100%, $E$13)</f>
        <v>5.9631999999999996</v>
      </c>
      <c r="C388" s="63">
        <f>5.9632 * CHOOSE(CONTROL!$C$22, $C$13, 100%, $E$13)</f>
        <v>5.9631999999999996</v>
      </c>
      <c r="D388" s="63">
        <f>5.9632 * CHOOSE(CONTROL!$C$22, $C$13, 100%, $E$13)</f>
        <v>5.9631999999999996</v>
      </c>
      <c r="E388" s="64">
        <f>7.1435 * CHOOSE(CONTROL!$C$22, $C$13, 100%, $E$13)</f>
        <v>7.1435000000000004</v>
      </c>
      <c r="F388" s="64">
        <f>7.1435 * CHOOSE(CONTROL!$C$22, $C$13, 100%, $E$13)</f>
        <v>7.1435000000000004</v>
      </c>
      <c r="G388" s="64">
        <f>7.1436 * CHOOSE(CONTROL!$C$22, $C$13, 100%, $E$13)</f>
        <v>7.1436000000000002</v>
      </c>
      <c r="H388" s="64">
        <f>12.0979* CHOOSE(CONTROL!$C$22, $C$13, 100%, $E$13)</f>
        <v>12.097899999999999</v>
      </c>
      <c r="I388" s="64">
        <f>12.098 * CHOOSE(CONTROL!$C$22, $C$13, 100%, $E$13)</f>
        <v>12.098000000000001</v>
      </c>
      <c r="J388" s="64">
        <f>7.1435 * CHOOSE(CONTROL!$C$22, $C$13, 100%, $E$13)</f>
        <v>7.1435000000000004</v>
      </c>
      <c r="K388" s="64">
        <f>7.1436 * CHOOSE(CONTROL!$C$22, $C$13, 100%, $E$13)</f>
        <v>7.1436000000000002</v>
      </c>
    </row>
    <row r="389" spans="1:11" ht="15">
      <c r="A389" s="13">
        <v>53328</v>
      </c>
      <c r="B389" s="63">
        <f>6.0155 * CHOOSE(CONTROL!$C$22, $C$13, 100%, $E$13)</f>
        <v>6.0155000000000003</v>
      </c>
      <c r="C389" s="63">
        <f>6.0155 * CHOOSE(CONTROL!$C$22, $C$13, 100%, $E$13)</f>
        <v>6.0155000000000003</v>
      </c>
      <c r="D389" s="63">
        <f>6.0155 * CHOOSE(CONTROL!$C$22, $C$13, 100%, $E$13)</f>
        <v>6.0155000000000003</v>
      </c>
      <c r="E389" s="64">
        <f>7.2452 * CHOOSE(CONTROL!$C$22, $C$13, 100%, $E$13)</f>
        <v>7.2451999999999996</v>
      </c>
      <c r="F389" s="64">
        <f>7.2452 * CHOOSE(CONTROL!$C$22, $C$13, 100%, $E$13)</f>
        <v>7.2451999999999996</v>
      </c>
      <c r="G389" s="64">
        <f>7.2453 * CHOOSE(CONTROL!$C$22, $C$13, 100%, $E$13)</f>
        <v>7.2453000000000003</v>
      </c>
      <c r="H389" s="64">
        <f>12.1231* CHOOSE(CONTROL!$C$22, $C$13, 100%, $E$13)</f>
        <v>12.123100000000001</v>
      </c>
      <c r="I389" s="64">
        <f>12.1232 * CHOOSE(CONTROL!$C$22, $C$13, 100%, $E$13)</f>
        <v>12.123200000000001</v>
      </c>
      <c r="J389" s="64">
        <f>7.2452 * CHOOSE(CONTROL!$C$22, $C$13, 100%, $E$13)</f>
        <v>7.2451999999999996</v>
      </c>
      <c r="K389" s="64">
        <f>7.2453 * CHOOSE(CONTROL!$C$22, $C$13, 100%, $E$13)</f>
        <v>7.2453000000000003</v>
      </c>
    </row>
    <row r="390" spans="1:11" ht="15">
      <c r="A390" s="13">
        <v>53359</v>
      </c>
      <c r="B390" s="63">
        <f>6.0125 * CHOOSE(CONTROL!$C$22, $C$13, 100%, $E$13)</f>
        <v>6.0125000000000002</v>
      </c>
      <c r="C390" s="63">
        <f>6.0125 * CHOOSE(CONTROL!$C$22, $C$13, 100%, $E$13)</f>
        <v>6.0125000000000002</v>
      </c>
      <c r="D390" s="63">
        <f>6.0125 * CHOOSE(CONTROL!$C$22, $C$13, 100%, $E$13)</f>
        <v>6.0125000000000002</v>
      </c>
      <c r="E390" s="64">
        <f>7.1269 * CHOOSE(CONTROL!$C$22, $C$13, 100%, $E$13)</f>
        <v>7.1269</v>
      </c>
      <c r="F390" s="64">
        <f>7.1269 * CHOOSE(CONTROL!$C$22, $C$13, 100%, $E$13)</f>
        <v>7.1269</v>
      </c>
      <c r="G390" s="64">
        <f>7.127 * CHOOSE(CONTROL!$C$22, $C$13, 100%, $E$13)</f>
        <v>7.1269999999999998</v>
      </c>
      <c r="H390" s="64">
        <f>12.1484* CHOOSE(CONTROL!$C$22, $C$13, 100%, $E$13)</f>
        <v>12.148400000000001</v>
      </c>
      <c r="I390" s="64">
        <f>12.1485 * CHOOSE(CONTROL!$C$22, $C$13, 100%, $E$13)</f>
        <v>12.1485</v>
      </c>
      <c r="J390" s="64">
        <f>7.1269 * CHOOSE(CONTROL!$C$22, $C$13, 100%, $E$13)</f>
        <v>7.1269</v>
      </c>
      <c r="K390" s="64">
        <f>7.127 * CHOOSE(CONTROL!$C$22, $C$13, 100%, $E$13)</f>
        <v>7.1269999999999998</v>
      </c>
    </row>
    <row r="391" spans="1:11" ht="15">
      <c r="A391" s="13">
        <v>53387</v>
      </c>
      <c r="B391" s="63">
        <f>6.0094 * CHOOSE(CONTROL!$C$22, $C$13, 100%, $E$13)</f>
        <v>6.0094000000000003</v>
      </c>
      <c r="C391" s="63">
        <f>6.0094 * CHOOSE(CONTROL!$C$22, $C$13, 100%, $E$13)</f>
        <v>6.0094000000000003</v>
      </c>
      <c r="D391" s="63">
        <f>6.0094 * CHOOSE(CONTROL!$C$22, $C$13, 100%, $E$13)</f>
        <v>6.0094000000000003</v>
      </c>
      <c r="E391" s="64">
        <f>7.2164 * CHOOSE(CONTROL!$C$22, $C$13, 100%, $E$13)</f>
        <v>7.2164000000000001</v>
      </c>
      <c r="F391" s="64">
        <f>7.2164 * CHOOSE(CONTROL!$C$22, $C$13, 100%, $E$13)</f>
        <v>7.2164000000000001</v>
      </c>
      <c r="G391" s="64">
        <f>7.2164 * CHOOSE(CONTROL!$C$22, $C$13, 100%, $E$13)</f>
        <v>7.2164000000000001</v>
      </c>
      <c r="H391" s="64">
        <f>12.1737* CHOOSE(CONTROL!$C$22, $C$13, 100%, $E$13)</f>
        <v>12.1737</v>
      </c>
      <c r="I391" s="64">
        <f>12.1738 * CHOOSE(CONTROL!$C$22, $C$13, 100%, $E$13)</f>
        <v>12.1738</v>
      </c>
      <c r="J391" s="64">
        <f>7.2164 * CHOOSE(CONTROL!$C$22, $C$13, 100%, $E$13)</f>
        <v>7.2164000000000001</v>
      </c>
      <c r="K391" s="64">
        <f>7.2164 * CHOOSE(CONTROL!$C$22, $C$13, 100%, $E$13)</f>
        <v>7.2164000000000001</v>
      </c>
    </row>
    <row r="392" spans="1:11" ht="15">
      <c r="A392" s="13">
        <v>53418</v>
      </c>
      <c r="B392" s="63">
        <f>6.0088 * CHOOSE(CONTROL!$C$22, $C$13, 100%, $E$13)</f>
        <v>6.0087999999999999</v>
      </c>
      <c r="C392" s="63">
        <f>6.0088 * CHOOSE(CONTROL!$C$22, $C$13, 100%, $E$13)</f>
        <v>6.0087999999999999</v>
      </c>
      <c r="D392" s="63">
        <f>6.0088 * CHOOSE(CONTROL!$C$22, $C$13, 100%, $E$13)</f>
        <v>6.0087999999999999</v>
      </c>
      <c r="E392" s="64">
        <f>7.3105 * CHOOSE(CONTROL!$C$22, $C$13, 100%, $E$13)</f>
        <v>7.3105000000000002</v>
      </c>
      <c r="F392" s="64">
        <f>7.3105 * CHOOSE(CONTROL!$C$22, $C$13, 100%, $E$13)</f>
        <v>7.3105000000000002</v>
      </c>
      <c r="G392" s="64">
        <f>7.3106 * CHOOSE(CONTROL!$C$22, $C$13, 100%, $E$13)</f>
        <v>7.3106</v>
      </c>
      <c r="H392" s="64">
        <f>12.1991* CHOOSE(CONTROL!$C$22, $C$13, 100%, $E$13)</f>
        <v>12.1991</v>
      </c>
      <c r="I392" s="64">
        <f>12.1992 * CHOOSE(CONTROL!$C$22, $C$13, 100%, $E$13)</f>
        <v>12.199199999999999</v>
      </c>
      <c r="J392" s="64">
        <f>7.3105 * CHOOSE(CONTROL!$C$22, $C$13, 100%, $E$13)</f>
        <v>7.3105000000000002</v>
      </c>
      <c r="K392" s="64">
        <f>7.3106 * CHOOSE(CONTROL!$C$22, $C$13, 100%, $E$13)</f>
        <v>7.3106</v>
      </c>
    </row>
    <row r="393" spans="1:11" ht="15">
      <c r="A393" s="13">
        <v>53448</v>
      </c>
      <c r="B393" s="63">
        <f>6.0088 * CHOOSE(CONTROL!$C$22, $C$13, 100%, $E$13)</f>
        <v>6.0087999999999999</v>
      </c>
      <c r="C393" s="63">
        <f>6.0088 * CHOOSE(CONTROL!$C$22, $C$13, 100%, $E$13)</f>
        <v>6.0087999999999999</v>
      </c>
      <c r="D393" s="63">
        <f>6.0218 * CHOOSE(CONTROL!$C$22, $C$13, 100%, $E$13)</f>
        <v>6.0217999999999998</v>
      </c>
      <c r="E393" s="64">
        <f>7.3474 * CHOOSE(CONTROL!$C$22, $C$13, 100%, $E$13)</f>
        <v>7.3474000000000004</v>
      </c>
      <c r="F393" s="64">
        <f>7.3474 * CHOOSE(CONTROL!$C$22, $C$13, 100%, $E$13)</f>
        <v>7.3474000000000004</v>
      </c>
      <c r="G393" s="64">
        <f>7.363 * CHOOSE(CONTROL!$C$22, $C$13, 100%, $E$13)</f>
        <v>7.3630000000000004</v>
      </c>
      <c r="H393" s="64">
        <f>12.2245* CHOOSE(CONTROL!$C$22, $C$13, 100%, $E$13)</f>
        <v>12.224500000000001</v>
      </c>
      <c r="I393" s="64">
        <f>12.2402 * CHOOSE(CONTROL!$C$22, $C$13, 100%, $E$13)</f>
        <v>12.2402</v>
      </c>
      <c r="J393" s="64">
        <f>7.3474 * CHOOSE(CONTROL!$C$22, $C$13, 100%, $E$13)</f>
        <v>7.3474000000000004</v>
      </c>
      <c r="K393" s="64">
        <f>7.363 * CHOOSE(CONTROL!$C$22, $C$13, 100%, $E$13)</f>
        <v>7.3630000000000004</v>
      </c>
    </row>
    <row r="394" spans="1:11" ht="15">
      <c r="A394" s="13">
        <v>53479</v>
      </c>
      <c r="B394" s="63">
        <f>6.0149 * CHOOSE(CONTROL!$C$22, $C$13, 100%, $E$13)</f>
        <v>6.0148999999999999</v>
      </c>
      <c r="C394" s="63">
        <f>6.0149 * CHOOSE(CONTROL!$C$22, $C$13, 100%, $E$13)</f>
        <v>6.0148999999999999</v>
      </c>
      <c r="D394" s="63">
        <f>6.0279 * CHOOSE(CONTROL!$C$22, $C$13, 100%, $E$13)</f>
        <v>6.0278999999999998</v>
      </c>
      <c r="E394" s="64">
        <f>7.3147 * CHOOSE(CONTROL!$C$22, $C$13, 100%, $E$13)</f>
        <v>7.3147000000000002</v>
      </c>
      <c r="F394" s="64">
        <f>7.3147 * CHOOSE(CONTROL!$C$22, $C$13, 100%, $E$13)</f>
        <v>7.3147000000000002</v>
      </c>
      <c r="G394" s="64">
        <f>7.3304 * CHOOSE(CONTROL!$C$22, $C$13, 100%, $E$13)</f>
        <v>7.3304</v>
      </c>
      <c r="H394" s="64">
        <f>12.25* CHOOSE(CONTROL!$C$22, $C$13, 100%, $E$13)</f>
        <v>12.25</v>
      </c>
      <c r="I394" s="64">
        <f>12.2656 * CHOOSE(CONTROL!$C$22, $C$13, 100%, $E$13)</f>
        <v>12.265599999999999</v>
      </c>
      <c r="J394" s="64">
        <f>7.3147 * CHOOSE(CONTROL!$C$22, $C$13, 100%, $E$13)</f>
        <v>7.3147000000000002</v>
      </c>
      <c r="K394" s="64">
        <f>7.3304 * CHOOSE(CONTROL!$C$22, $C$13, 100%, $E$13)</f>
        <v>7.3304</v>
      </c>
    </row>
    <row r="395" spans="1:11" ht="15">
      <c r="A395" s="13">
        <v>53509</v>
      </c>
      <c r="B395" s="63">
        <f>6.1119 * CHOOSE(CONTROL!$C$22, $C$13, 100%, $E$13)</f>
        <v>6.1119000000000003</v>
      </c>
      <c r="C395" s="63">
        <f>6.1119 * CHOOSE(CONTROL!$C$22, $C$13, 100%, $E$13)</f>
        <v>6.1119000000000003</v>
      </c>
      <c r="D395" s="63">
        <f>6.1249 * CHOOSE(CONTROL!$C$22, $C$13, 100%, $E$13)</f>
        <v>6.1249000000000002</v>
      </c>
      <c r="E395" s="64">
        <f>7.4374 * CHOOSE(CONTROL!$C$22, $C$13, 100%, $E$13)</f>
        <v>7.4374000000000002</v>
      </c>
      <c r="F395" s="64">
        <f>7.4374 * CHOOSE(CONTROL!$C$22, $C$13, 100%, $E$13)</f>
        <v>7.4374000000000002</v>
      </c>
      <c r="G395" s="64">
        <f>7.453 * CHOOSE(CONTROL!$C$22, $C$13, 100%, $E$13)</f>
        <v>7.4530000000000003</v>
      </c>
      <c r="H395" s="64">
        <f>12.2755* CHOOSE(CONTROL!$C$22, $C$13, 100%, $E$13)</f>
        <v>12.275499999999999</v>
      </c>
      <c r="I395" s="64">
        <f>12.2912 * CHOOSE(CONTROL!$C$22, $C$13, 100%, $E$13)</f>
        <v>12.2912</v>
      </c>
      <c r="J395" s="64">
        <f>7.4374 * CHOOSE(CONTROL!$C$22, $C$13, 100%, $E$13)</f>
        <v>7.4374000000000002</v>
      </c>
      <c r="K395" s="64">
        <f>7.453 * CHOOSE(CONTROL!$C$22, $C$13, 100%, $E$13)</f>
        <v>7.4530000000000003</v>
      </c>
    </row>
    <row r="396" spans="1:11" ht="15">
      <c r="A396" s="13">
        <v>53540</v>
      </c>
      <c r="B396" s="63">
        <f>6.1186 * CHOOSE(CONTROL!$C$22, $C$13, 100%, $E$13)</f>
        <v>6.1185999999999998</v>
      </c>
      <c r="C396" s="63">
        <f>6.1186 * CHOOSE(CONTROL!$C$22, $C$13, 100%, $E$13)</f>
        <v>6.1185999999999998</v>
      </c>
      <c r="D396" s="63">
        <f>6.1316 * CHOOSE(CONTROL!$C$22, $C$13, 100%, $E$13)</f>
        <v>6.1315999999999997</v>
      </c>
      <c r="E396" s="64">
        <f>7.3314 * CHOOSE(CONTROL!$C$22, $C$13, 100%, $E$13)</f>
        <v>7.3314000000000004</v>
      </c>
      <c r="F396" s="64">
        <f>7.3314 * CHOOSE(CONTROL!$C$22, $C$13, 100%, $E$13)</f>
        <v>7.3314000000000004</v>
      </c>
      <c r="G396" s="64">
        <f>7.3471 * CHOOSE(CONTROL!$C$22, $C$13, 100%, $E$13)</f>
        <v>7.3471000000000002</v>
      </c>
      <c r="H396" s="64">
        <f>12.3011* CHOOSE(CONTROL!$C$22, $C$13, 100%, $E$13)</f>
        <v>12.3011</v>
      </c>
      <c r="I396" s="64">
        <f>12.3167 * CHOOSE(CONTROL!$C$22, $C$13, 100%, $E$13)</f>
        <v>12.316700000000001</v>
      </c>
      <c r="J396" s="64">
        <f>7.3314 * CHOOSE(CONTROL!$C$22, $C$13, 100%, $E$13)</f>
        <v>7.3314000000000004</v>
      </c>
      <c r="K396" s="64">
        <f>7.3471 * CHOOSE(CONTROL!$C$22, $C$13, 100%, $E$13)</f>
        <v>7.3471000000000002</v>
      </c>
    </row>
    <row r="397" spans="1:11" ht="15">
      <c r="A397" s="13">
        <v>53571</v>
      </c>
      <c r="B397" s="63">
        <f>6.1156 * CHOOSE(CONTROL!$C$22, $C$13, 100%, $E$13)</f>
        <v>6.1155999999999997</v>
      </c>
      <c r="C397" s="63">
        <f>6.1156 * CHOOSE(CONTROL!$C$22, $C$13, 100%, $E$13)</f>
        <v>6.1155999999999997</v>
      </c>
      <c r="D397" s="63">
        <f>6.1286 * CHOOSE(CONTROL!$C$22, $C$13, 100%, $E$13)</f>
        <v>6.1285999999999996</v>
      </c>
      <c r="E397" s="64">
        <f>7.317 * CHOOSE(CONTROL!$C$22, $C$13, 100%, $E$13)</f>
        <v>7.3170000000000002</v>
      </c>
      <c r="F397" s="64">
        <f>7.317 * CHOOSE(CONTROL!$C$22, $C$13, 100%, $E$13)</f>
        <v>7.3170000000000002</v>
      </c>
      <c r="G397" s="64">
        <f>7.3326 * CHOOSE(CONTROL!$C$22, $C$13, 100%, $E$13)</f>
        <v>7.3326000000000002</v>
      </c>
      <c r="H397" s="64">
        <f>12.3267* CHOOSE(CONTROL!$C$22, $C$13, 100%, $E$13)</f>
        <v>12.326700000000001</v>
      </c>
      <c r="I397" s="64">
        <f>12.3424 * CHOOSE(CONTROL!$C$22, $C$13, 100%, $E$13)</f>
        <v>12.3424</v>
      </c>
      <c r="J397" s="64">
        <f>7.317 * CHOOSE(CONTROL!$C$22, $C$13, 100%, $E$13)</f>
        <v>7.3170000000000002</v>
      </c>
      <c r="K397" s="64">
        <f>7.3326 * CHOOSE(CONTROL!$C$22, $C$13, 100%, $E$13)</f>
        <v>7.3326000000000002</v>
      </c>
    </row>
    <row r="398" spans="1:11" ht="15">
      <c r="A398" s="13">
        <v>53601</v>
      </c>
      <c r="B398" s="63">
        <f>6.1176 * CHOOSE(CONTROL!$C$22, $C$13, 100%, $E$13)</f>
        <v>6.1176000000000004</v>
      </c>
      <c r="C398" s="63">
        <f>6.1176 * CHOOSE(CONTROL!$C$22, $C$13, 100%, $E$13)</f>
        <v>6.1176000000000004</v>
      </c>
      <c r="D398" s="63">
        <f>6.1177 * CHOOSE(CONTROL!$C$22, $C$13, 100%, $E$13)</f>
        <v>6.1177000000000001</v>
      </c>
      <c r="E398" s="64">
        <f>7.3527 * CHOOSE(CONTROL!$C$22, $C$13, 100%, $E$13)</f>
        <v>7.3526999999999996</v>
      </c>
      <c r="F398" s="64">
        <f>7.3527 * CHOOSE(CONTROL!$C$22, $C$13, 100%, $E$13)</f>
        <v>7.3526999999999996</v>
      </c>
      <c r="G398" s="64">
        <f>7.3528 * CHOOSE(CONTROL!$C$22, $C$13, 100%, $E$13)</f>
        <v>7.3528000000000002</v>
      </c>
      <c r="H398" s="64">
        <f>12.3524* CHOOSE(CONTROL!$C$22, $C$13, 100%, $E$13)</f>
        <v>12.352399999999999</v>
      </c>
      <c r="I398" s="64">
        <f>12.3524 * CHOOSE(CONTROL!$C$22, $C$13, 100%, $E$13)</f>
        <v>12.352399999999999</v>
      </c>
      <c r="J398" s="64">
        <f>7.3527 * CHOOSE(CONTROL!$C$22, $C$13, 100%, $E$13)</f>
        <v>7.3526999999999996</v>
      </c>
      <c r="K398" s="64">
        <f>7.3528 * CHOOSE(CONTROL!$C$22, $C$13, 100%, $E$13)</f>
        <v>7.3528000000000002</v>
      </c>
    </row>
    <row r="399" spans="1:11" ht="15">
      <c r="A399" s="13">
        <v>53632</v>
      </c>
      <c r="B399" s="63">
        <f>6.1207 * CHOOSE(CONTROL!$C$22, $C$13, 100%, $E$13)</f>
        <v>6.1207000000000003</v>
      </c>
      <c r="C399" s="63">
        <f>6.1207 * CHOOSE(CONTROL!$C$22, $C$13, 100%, $E$13)</f>
        <v>6.1207000000000003</v>
      </c>
      <c r="D399" s="63">
        <f>6.1207 * CHOOSE(CONTROL!$C$22, $C$13, 100%, $E$13)</f>
        <v>6.1207000000000003</v>
      </c>
      <c r="E399" s="64">
        <f>7.3794 * CHOOSE(CONTROL!$C$22, $C$13, 100%, $E$13)</f>
        <v>7.3794000000000004</v>
      </c>
      <c r="F399" s="64">
        <f>7.3794 * CHOOSE(CONTROL!$C$22, $C$13, 100%, $E$13)</f>
        <v>7.3794000000000004</v>
      </c>
      <c r="G399" s="64">
        <f>7.3795 * CHOOSE(CONTROL!$C$22, $C$13, 100%, $E$13)</f>
        <v>7.3795000000000002</v>
      </c>
      <c r="H399" s="64">
        <f>12.3781* CHOOSE(CONTROL!$C$22, $C$13, 100%, $E$13)</f>
        <v>12.3781</v>
      </c>
      <c r="I399" s="64">
        <f>12.3782 * CHOOSE(CONTROL!$C$22, $C$13, 100%, $E$13)</f>
        <v>12.3782</v>
      </c>
      <c r="J399" s="64">
        <f>7.3794 * CHOOSE(CONTROL!$C$22, $C$13, 100%, $E$13)</f>
        <v>7.3794000000000004</v>
      </c>
      <c r="K399" s="64">
        <f>7.3795 * CHOOSE(CONTROL!$C$22, $C$13, 100%, $E$13)</f>
        <v>7.3795000000000002</v>
      </c>
    </row>
    <row r="400" spans="1:11" ht="15">
      <c r="A400" s="13">
        <v>53662</v>
      </c>
      <c r="B400" s="63">
        <f>6.1207 * CHOOSE(CONTROL!$C$22, $C$13, 100%, $E$13)</f>
        <v>6.1207000000000003</v>
      </c>
      <c r="C400" s="63">
        <f>6.1207 * CHOOSE(CONTROL!$C$22, $C$13, 100%, $E$13)</f>
        <v>6.1207000000000003</v>
      </c>
      <c r="D400" s="63">
        <f>6.1207 * CHOOSE(CONTROL!$C$22, $C$13, 100%, $E$13)</f>
        <v>6.1207000000000003</v>
      </c>
      <c r="E400" s="64">
        <f>7.318 * CHOOSE(CONTROL!$C$22, $C$13, 100%, $E$13)</f>
        <v>7.3179999999999996</v>
      </c>
      <c r="F400" s="64">
        <f>7.318 * CHOOSE(CONTROL!$C$22, $C$13, 100%, $E$13)</f>
        <v>7.3179999999999996</v>
      </c>
      <c r="G400" s="64">
        <f>7.318 * CHOOSE(CONTROL!$C$22, $C$13, 100%, $E$13)</f>
        <v>7.3179999999999996</v>
      </c>
      <c r="H400" s="64">
        <f>12.4039* CHOOSE(CONTROL!$C$22, $C$13, 100%, $E$13)</f>
        <v>12.4039</v>
      </c>
      <c r="I400" s="64">
        <f>12.404 * CHOOSE(CONTROL!$C$22, $C$13, 100%, $E$13)</f>
        <v>12.404</v>
      </c>
      <c r="J400" s="64">
        <f>7.318 * CHOOSE(CONTROL!$C$22, $C$13, 100%, $E$13)</f>
        <v>7.3179999999999996</v>
      </c>
      <c r="K400" s="64">
        <f>7.318 * CHOOSE(CONTROL!$C$22, $C$13, 100%, $E$13)</f>
        <v>7.3179999999999996</v>
      </c>
    </row>
    <row r="401" spans="1:11" ht="15">
      <c r="A401" s="13">
        <v>53693</v>
      </c>
      <c r="B401" s="63">
        <f>6.1742 * CHOOSE(CONTROL!$C$22, $C$13, 100%, $E$13)</f>
        <v>6.1741999999999999</v>
      </c>
      <c r="C401" s="63">
        <f>6.1742 * CHOOSE(CONTROL!$C$22, $C$13, 100%, $E$13)</f>
        <v>6.1741999999999999</v>
      </c>
      <c r="D401" s="63">
        <f>6.1742 * CHOOSE(CONTROL!$C$22, $C$13, 100%, $E$13)</f>
        <v>6.1741999999999999</v>
      </c>
      <c r="E401" s="64">
        <f>7.4222 * CHOOSE(CONTROL!$C$22, $C$13, 100%, $E$13)</f>
        <v>7.4222000000000001</v>
      </c>
      <c r="F401" s="64">
        <f>7.4222 * CHOOSE(CONTROL!$C$22, $C$13, 100%, $E$13)</f>
        <v>7.4222000000000001</v>
      </c>
      <c r="G401" s="64">
        <f>7.4223 * CHOOSE(CONTROL!$C$22, $C$13, 100%, $E$13)</f>
        <v>7.4222999999999999</v>
      </c>
      <c r="H401" s="64">
        <f>12.4297* CHOOSE(CONTROL!$C$22, $C$13, 100%, $E$13)</f>
        <v>12.4297</v>
      </c>
      <c r="I401" s="64">
        <f>12.4298 * CHOOSE(CONTROL!$C$22, $C$13, 100%, $E$13)</f>
        <v>12.4298</v>
      </c>
      <c r="J401" s="64">
        <f>7.4222 * CHOOSE(CONTROL!$C$22, $C$13, 100%, $E$13)</f>
        <v>7.4222000000000001</v>
      </c>
      <c r="K401" s="64">
        <f>7.4223 * CHOOSE(CONTROL!$C$22, $C$13, 100%, $E$13)</f>
        <v>7.4222999999999999</v>
      </c>
    </row>
    <row r="402" spans="1:11" ht="15">
      <c r="A402" s="13">
        <v>53724</v>
      </c>
      <c r="B402" s="63">
        <f>6.1712 * CHOOSE(CONTROL!$C$22, $C$13, 100%, $E$13)</f>
        <v>6.1711999999999998</v>
      </c>
      <c r="C402" s="63">
        <f>6.1712 * CHOOSE(CONTROL!$C$22, $C$13, 100%, $E$13)</f>
        <v>6.1711999999999998</v>
      </c>
      <c r="D402" s="63">
        <f>6.1712 * CHOOSE(CONTROL!$C$22, $C$13, 100%, $E$13)</f>
        <v>6.1711999999999998</v>
      </c>
      <c r="E402" s="64">
        <f>7.3006 * CHOOSE(CONTROL!$C$22, $C$13, 100%, $E$13)</f>
        <v>7.3006000000000002</v>
      </c>
      <c r="F402" s="64">
        <f>7.3006 * CHOOSE(CONTROL!$C$22, $C$13, 100%, $E$13)</f>
        <v>7.3006000000000002</v>
      </c>
      <c r="G402" s="64">
        <f>7.3007 * CHOOSE(CONTROL!$C$22, $C$13, 100%, $E$13)</f>
        <v>7.3007</v>
      </c>
      <c r="H402" s="64">
        <f>12.4556* CHOOSE(CONTROL!$C$22, $C$13, 100%, $E$13)</f>
        <v>12.4556</v>
      </c>
      <c r="I402" s="64">
        <f>12.4557 * CHOOSE(CONTROL!$C$22, $C$13, 100%, $E$13)</f>
        <v>12.4557</v>
      </c>
      <c r="J402" s="64">
        <f>7.3006 * CHOOSE(CONTROL!$C$22, $C$13, 100%, $E$13)</f>
        <v>7.3006000000000002</v>
      </c>
      <c r="K402" s="64">
        <f>7.3007 * CHOOSE(CONTROL!$C$22, $C$13, 100%, $E$13)</f>
        <v>7.3007</v>
      </c>
    </row>
    <row r="403" spans="1:11" ht="15">
      <c r="A403" s="13">
        <v>53752</v>
      </c>
      <c r="B403" s="63">
        <f>6.1681 * CHOOSE(CONTROL!$C$22, $C$13, 100%, $E$13)</f>
        <v>6.1680999999999999</v>
      </c>
      <c r="C403" s="63">
        <f>6.1681 * CHOOSE(CONTROL!$C$22, $C$13, 100%, $E$13)</f>
        <v>6.1680999999999999</v>
      </c>
      <c r="D403" s="63">
        <f>6.1682 * CHOOSE(CONTROL!$C$22, $C$13, 100%, $E$13)</f>
        <v>6.1681999999999997</v>
      </c>
      <c r="E403" s="64">
        <f>7.3927 * CHOOSE(CONTROL!$C$22, $C$13, 100%, $E$13)</f>
        <v>7.3926999999999996</v>
      </c>
      <c r="F403" s="64">
        <f>7.3927 * CHOOSE(CONTROL!$C$22, $C$13, 100%, $E$13)</f>
        <v>7.3926999999999996</v>
      </c>
      <c r="G403" s="64">
        <f>7.3928 * CHOOSE(CONTROL!$C$22, $C$13, 100%, $E$13)</f>
        <v>7.3928000000000003</v>
      </c>
      <c r="H403" s="64">
        <f>12.4816* CHOOSE(CONTROL!$C$22, $C$13, 100%, $E$13)</f>
        <v>12.4816</v>
      </c>
      <c r="I403" s="64">
        <f>12.4817 * CHOOSE(CONTROL!$C$22, $C$13, 100%, $E$13)</f>
        <v>12.4817</v>
      </c>
      <c r="J403" s="64">
        <f>7.3927 * CHOOSE(CONTROL!$C$22, $C$13, 100%, $E$13)</f>
        <v>7.3926999999999996</v>
      </c>
      <c r="K403" s="64">
        <f>7.3928 * CHOOSE(CONTROL!$C$22, $C$13, 100%, $E$13)</f>
        <v>7.3928000000000003</v>
      </c>
    </row>
    <row r="404" spans="1:11" ht="15">
      <c r="A404" s="13">
        <v>53783</v>
      </c>
      <c r="B404" s="63">
        <f>6.1677 * CHOOSE(CONTROL!$C$22, $C$13, 100%, $E$13)</f>
        <v>6.1677</v>
      </c>
      <c r="C404" s="63">
        <f>6.1677 * CHOOSE(CONTROL!$C$22, $C$13, 100%, $E$13)</f>
        <v>6.1677</v>
      </c>
      <c r="D404" s="63">
        <f>6.1677 * CHOOSE(CONTROL!$C$22, $C$13, 100%, $E$13)</f>
        <v>6.1677</v>
      </c>
      <c r="E404" s="64">
        <f>7.4896 * CHOOSE(CONTROL!$C$22, $C$13, 100%, $E$13)</f>
        <v>7.4896000000000003</v>
      </c>
      <c r="F404" s="64">
        <f>7.4896 * CHOOSE(CONTROL!$C$22, $C$13, 100%, $E$13)</f>
        <v>7.4896000000000003</v>
      </c>
      <c r="G404" s="64">
        <f>7.4896 * CHOOSE(CONTROL!$C$22, $C$13, 100%, $E$13)</f>
        <v>7.4896000000000003</v>
      </c>
      <c r="H404" s="64">
        <f>12.5076* CHOOSE(CONTROL!$C$22, $C$13, 100%, $E$13)</f>
        <v>12.5076</v>
      </c>
      <c r="I404" s="64">
        <f>12.5077 * CHOOSE(CONTROL!$C$22, $C$13, 100%, $E$13)</f>
        <v>12.5077</v>
      </c>
      <c r="J404" s="64">
        <f>7.4896 * CHOOSE(CONTROL!$C$22, $C$13, 100%, $E$13)</f>
        <v>7.4896000000000003</v>
      </c>
      <c r="K404" s="64">
        <f>7.4896 * CHOOSE(CONTROL!$C$22, $C$13, 100%, $E$13)</f>
        <v>7.4896000000000003</v>
      </c>
    </row>
    <row r="405" spans="1:11" ht="15">
      <c r="A405" s="13">
        <v>53813</v>
      </c>
      <c r="B405" s="63">
        <f>6.1677 * CHOOSE(CONTROL!$C$22, $C$13, 100%, $E$13)</f>
        <v>6.1677</v>
      </c>
      <c r="C405" s="63">
        <f>6.1677 * CHOOSE(CONTROL!$C$22, $C$13, 100%, $E$13)</f>
        <v>6.1677</v>
      </c>
      <c r="D405" s="63">
        <f>6.1806 * CHOOSE(CONTROL!$C$22, $C$13, 100%, $E$13)</f>
        <v>6.1806000000000001</v>
      </c>
      <c r="E405" s="64">
        <f>7.5275 * CHOOSE(CONTROL!$C$22, $C$13, 100%, $E$13)</f>
        <v>7.5274999999999999</v>
      </c>
      <c r="F405" s="64">
        <f>7.5275 * CHOOSE(CONTROL!$C$22, $C$13, 100%, $E$13)</f>
        <v>7.5274999999999999</v>
      </c>
      <c r="G405" s="64">
        <f>7.5432 * CHOOSE(CONTROL!$C$22, $C$13, 100%, $E$13)</f>
        <v>7.5431999999999997</v>
      </c>
      <c r="H405" s="64">
        <f>12.5336* CHOOSE(CONTROL!$C$22, $C$13, 100%, $E$13)</f>
        <v>12.5336</v>
      </c>
      <c r="I405" s="64">
        <f>12.5493 * CHOOSE(CONTROL!$C$22, $C$13, 100%, $E$13)</f>
        <v>12.549300000000001</v>
      </c>
      <c r="J405" s="64">
        <f>7.5275 * CHOOSE(CONTROL!$C$22, $C$13, 100%, $E$13)</f>
        <v>7.5274999999999999</v>
      </c>
      <c r="K405" s="64">
        <f>7.5432 * CHOOSE(CONTROL!$C$22, $C$13, 100%, $E$13)</f>
        <v>7.5431999999999997</v>
      </c>
    </row>
    <row r="406" spans="1:11" ht="15">
      <c r="A406" s="13">
        <v>53844</v>
      </c>
      <c r="B406" s="63">
        <f>6.1737 * CHOOSE(CONTROL!$C$22, $C$13, 100%, $E$13)</f>
        <v>6.1737000000000002</v>
      </c>
      <c r="C406" s="63">
        <f>6.1737 * CHOOSE(CONTROL!$C$22, $C$13, 100%, $E$13)</f>
        <v>6.1737000000000002</v>
      </c>
      <c r="D406" s="63">
        <f>6.1867 * CHOOSE(CONTROL!$C$22, $C$13, 100%, $E$13)</f>
        <v>6.1867000000000001</v>
      </c>
      <c r="E406" s="64">
        <f>7.4938 * CHOOSE(CONTROL!$C$22, $C$13, 100%, $E$13)</f>
        <v>7.4938000000000002</v>
      </c>
      <c r="F406" s="64">
        <f>7.4938 * CHOOSE(CONTROL!$C$22, $C$13, 100%, $E$13)</f>
        <v>7.4938000000000002</v>
      </c>
      <c r="G406" s="64">
        <f>7.5095 * CHOOSE(CONTROL!$C$22, $C$13, 100%, $E$13)</f>
        <v>7.5095000000000001</v>
      </c>
      <c r="H406" s="64">
        <f>12.5597* CHOOSE(CONTROL!$C$22, $C$13, 100%, $E$13)</f>
        <v>12.559699999999999</v>
      </c>
      <c r="I406" s="64">
        <f>12.5754 * CHOOSE(CONTROL!$C$22, $C$13, 100%, $E$13)</f>
        <v>12.5754</v>
      </c>
      <c r="J406" s="64">
        <f>7.4938 * CHOOSE(CONTROL!$C$22, $C$13, 100%, $E$13)</f>
        <v>7.4938000000000002</v>
      </c>
      <c r="K406" s="64">
        <f>7.5095 * CHOOSE(CONTROL!$C$22, $C$13, 100%, $E$13)</f>
        <v>7.5095000000000001</v>
      </c>
    </row>
    <row r="407" spans="1:11" ht="15">
      <c r="A407" s="13">
        <v>53874</v>
      </c>
      <c r="B407" s="63">
        <f>6.273 * CHOOSE(CONTROL!$C$22, $C$13, 100%, $E$13)</f>
        <v>6.2729999999999997</v>
      </c>
      <c r="C407" s="63">
        <f>6.273 * CHOOSE(CONTROL!$C$22, $C$13, 100%, $E$13)</f>
        <v>6.2729999999999997</v>
      </c>
      <c r="D407" s="63">
        <f>6.286 * CHOOSE(CONTROL!$C$22, $C$13, 100%, $E$13)</f>
        <v>6.2859999999999996</v>
      </c>
      <c r="E407" s="64">
        <f>7.6192 * CHOOSE(CONTROL!$C$22, $C$13, 100%, $E$13)</f>
        <v>7.6192000000000002</v>
      </c>
      <c r="F407" s="64">
        <f>7.6192 * CHOOSE(CONTROL!$C$22, $C$13, 100%, $E$13)</f>
        <v>7.6192000000000002</v>
      </c>
      <c r="G407" s="64">
        <f>7.6348 * CHOOSE(CONTROL!$C$22, $C$13, 100%, $E$13)</f>
        <v>7.6348000000000003</v>
      </c>
      <c r="H407" s="64">
        <f>12.5859* CHOOSE(CONTROL!$C$22, $C$13, 100%, $E$13)</f>
        <v>12.585900000000001</v>
      </c>
      <c r="I407" s="64">
        <f>12.6016 * CHOOSE(CONTROL!$C$22, $C$13, 100%, $E$13)</f>
        <v>12.601599999999999</v>
      </c>
      <c r="J407" s="64">
        <f>7.6192 * CHOOSE(CONTROL!$C$22, $C$13, 100%, $E$13)</f>
        <v>7.6192000000000002</v>
      </c>
      <c r="K407" s="64">
        <f>7.6348 * CHOOSE(CONTROL!$C$22, $C$13, 100%, $E$13)</f>
        <v>7.6348000000000003</v>
      </c>
    </row>
    <row r="408" spans="1:11" ht="15">
      <c r="A408" s="13">
        <v>53905</v>
      </c>
      <c r="B408" s="63">
        <f>6.2797 * CHOOSE(CONTROL!$C$22, $C$13, 100%, $E$13)</f>
        <v>6.2797000000000001</v>
      </c>
      <c r="C408" s="63">
        <f>6.2797 * CHOOSE(CONTROL!$C$22, $C$13, 100%, $E$13)</f>
        <v>6.2797000000000001</v>
      </c>
      <c r="D408" s="63">
        <f>6.2927 * CHOOSE(CONTROL!$C$22, $C$13, 100%, $E$13)</f>
        <v>6.2927</v>
      </c>
      <c r="E408" s="64">
        <f>7.5101 * CHOOSE(CONTROL!$C$22, $C$13, 100%, $E$13)</f>
        <v>7.5101000000000004</v>
      </c>
      <c r="F408" s="64">
        <f>7.5101 * CHOOSE(CONTROL!$C$22, $C$13, 100%, $E$13)</f>
        <v>7.5101000000000004</v>
      </c>
      <c r="G408" s="64">
        <f>7.5258 * CHOOSE(CONTROL!$C$22, $C$13, 100%, $E$13)</f>
        <v>7.5258000000000003</v>
      </c>
      <c r="H408" s="64">
        <f>12.6121* CHOOSE(CONTROL!$C$22, $C$13, 100%, $E$13)</f>
        <v>12.6121</v>
      </c>
      <c r="I408" s="64">
        <f>12.6278 * CHOOSE(CONTROL!$C$22, $C$13, 100%, $E$13)</f>
        <v>12.627800000000001</v>
      </c>
      <c r="J408" s="64">
        <f>7.5101 * CHOOSE(CONTROL!$C$22, $C$13, 100%, $E$13)</f>
        <v>7.5101000000000004</v>
      </c>
      <c r="K408" s="64">
        <f>7.5258 * CHOOSE(CONTROL!$C$22, $C$13, 100%, $E$13)</f>
        <v>7.5258000000000003</v>
      </c>
    </row>
    <row r="409" spans="1:11" ht="15">
      <c r="A409" s="13">
        <v>53936</v>
      </c>
      <c r="B409" s="63">
        <f>6.2767 * CHOOSE(CONTROL!$C$22, $C$13, 100%, $E$13)</f>
        <v>6.2766999999999999</v>
      </c>
      <c r="C409" s="63">
        <f>6.2767 * CHOOSE(CONTROL!$C$22, $C$13, 100%, $E$13)</f>
        <v>6.2766999999999999</v>
      </c>
      <c r="D409" s="63">
        <f>6.2897 * CHOOSE(CONTROL!$C$22, $C$13, 100%, $E$13)</f>
        <v>6.2896999999999998</v>
      </c>
      <c r="E409" s="64">
        <f>7.4953 * CHOOSE(CONTROL!$C$22, $C$13, 100%, $E$13)</f>
        <v>7.4953000000000003</v>
      </c>
      <c r="F409" s="64">
        <f>7.4953 * CHOOSE(CONTROL!$C$22, $C$13, 100%, $E$13)</f>
        <v>7.4953000000000003</v>
      </c>
      <c r="G409" s="64">
        <f>7.511 * CHOOSE(CONTROL!$C$22, $C$13, 100%, $E$13)</f>
        <v>7.5110000000000001</v>
      </c>
      <c r="H409" s="64">
        <f>12.6384* CHOOSE(CONTROL!$C$22, $C$13, 100%, $E$13)</f>
        <v>12.638400000000001</v>
      </c>
      <c r="I409" s="64">
        <f>12.6541 * CHOOSE(CONTROL!$C$22, $C$13, 100%, $E$13)</f>
        <v>12.6541</v>
      </c>
      <c r="J409" s="64">
        <f>7.4953 * CHOOSE(CONTROL!$C$22, $C$13, 100%, $E$13)</f>
        <v>7.4953000000000003</v>
      </c>
      <c r="K409" s="64">
        <f>7.511 * CHOOSE(CONTROL!$C$22, $C$13, 100%, $E$13)</f>
        <v>7.5110000000000001</v>
      </c>
    </row>
    <row r="410" spans="1:11" ht="15">
      <c r="A410" s="13">
        <v>53966</v>
      </c>
      <c r="B410" s="63">
        <f>6.2793 * CHOOSE(CONTROL!$C$22, $C$13, 100%, $E$13)</f>
        <v>6.2793000000000001</v>
      </c>
      <c r="C410" s="63">
        <f>6.2793 * CHOOSE(CONTROL!$C$22, $C$13, 100%, $E$13)</f>
        <v>6.2793000000000001</v>
      </c>
      <c r="D410" s="63">
        <f>6.2793 * CHOOSE(CONTROL!$C$22, $C$13, 100%, $E$13)</f>
        <v>6.2793000000000001</v>
      </c>
      <c r="E410" s="64">
        <f>7.5325 * CHOOSE(CONTROL!$C$22, $C$13, 100%, $E$13)</f>
        <v>7.5324999999999998</v>
      </c>
      <c r="F410" s="64">
        <f>7.5325 * CHOOSE(CONTROL!$C$22, $C$13, 100%, $E$13)</f>
        <v>7.5324999999999998</v>
      </c>
      <c r="G410" s="64">
        <f>7.5325 * CHOOSE(CONTROL!$C$22, $C$13, 100%, $E$13)</f>
        <v>7.5324999999999998</v>
      </c>
      <c r="H410" s="64">
        <f>12.6647* CHOOSE(CONTROL!$C$22, $C$13, 100%, $E$13)</f>
        <v>12.6647</v>
      </c>
      <c r="I410" s="64">
        <f>12.6648 * CHOOSE(CONTROL!$C$22, $C$13, 100%, $E$13)</f>
        <v>12.6648</v>
      </c>
      <c r="J410" s="64">
        <f>7.5325 * CHOOSE(CONTROL!$C$22, $C$13, 100%, $E$13)</f>
        <v>7.5324999999999998</v>
      </c>
      <c r="K410" s="64">
        <f>7.5325 * CHOOSE(CONTROL!$C$22, $C$13, 100%, $E$13)</f>
        <v>7.5324999999999998</v>
      </c>
    </row>
    <row r="411" spans="1:11" ht="15">
      <c r="A411" s="13">
        <v>53997</v>
      </c>
      <c r="B411" s="63">
        <f>6.2823 * CHOOSE(CONTROL!$C$22, $C$13, 100%, $E$13)</f>
        <v>6.2823000000000002</v>
      </c>
      <c r="C411" s="63">
        <f>6.2823 * CHOOSE(CONTROL!$C$22, $C$13, 100%, $E$13)</f>
        <v>6.2823000000000002</v>
      </c>
      <c r="D411" s="63">
        <f>6.2823 * CHOOSE(CONTROL!$C$22, $C$13, 100%, $E$13)</f>
        <v>6.2823000000000002</v>
      </c>
      <c r="E411" s="64">
        <f>7.5599 * CHOOSE(CONTROL!$C$22, $C$13, 100%, $E$13)</f>
        <v>7.5598999999999998</v>
      </c>
      <c r="F411" s="64">
        <f>7.5599 * CHOOSE(CONTROL!$C$22, $C$13, 100%, $E$13)</f>
        <v>7.5598999999999998</v>
      </c>
      <c r="G411" s="64">
        <f>7.5599 * CHOOSE(CONTROL!$C$22, $C$13, 100%, $E$13)</f>
        <v>7.5598999999999998</v>
      </c>
      <c r="H411" s="64">
        <f>12.6911* CHOOSE(CONTROL!$C$22, $C$13, 100%, $E$13)</f>
        <v>12.6911</v>
      </c>
      <c r="I411" s="64">
        <f>12.6912 * CHOOSE(CONTROL!$C$22, $C$13, 100%, $E$13)</f>
        <v>12.6912</v>
      </c>
      <c r="J411" s="64">
        <f>7.5599 * CHOOSE(CONTROL!$C$22, $C$13, 100%, $E$13)</f>
        <v>7.5598999999999998</v>
      </c>
      <c r="K411" s="64">
        <f>7.5599 * CHOOSE(CONTROL!$C$22, $C$13, 100%, $E$13)</f>
        <v>7.5598999999999998</v>
      </c>
    </row>
    <row r="412" spans="1:11" ht="15">
      <c r="A412" s="13">
        <v>54027</v>
      </c>
      <c r="B412" s="63">
        <f>6.2823 * CHOOSE(CONTROL!$C$22, $C$13, 100%, $E$13)</f>
        <v>6.2823000000000002</v>
      </c>
      <c r="C412" s="63">
        <f>6.2823 * CHOOSE(CONTROL!$C$22, $C$13, 100%, $E$13)</f>
        <v>6.2823000000000002</v>
      </c>
      <c r="D412" s="63">
        <f>6.2823 * CHOOSE(CONTROL!$C$22, $C$13, 100%, $E$13)</f>
        <v>6.2823000000000002</v>
      </c>
      <c r="E412" s="64">
        <f>7.4967 * CHOOSE(CONTROL!$C$22, $C$13, 100%, $E$13)</f>
        <v>7.4966999999999997</v>
      </c>
      <c r="F412" s="64">
        <f>7.4967 * CHOOSE(CONTROL!$C$22, $C$13, 100%, $E$13)</f>
        <v>7.4966999999999997</v>
      </c>
      <c r="G412" s="64">
        <f>7.4967 * CHOOSE(CONTROL!$C$22, $C$13, 100%, $E$13)</f>
        <v>7.4966999999999997</v>
      </c>
      <c r="H412" s="64">
        <f>12.7176* CHOOSE(CONTROL!$C$22, $C$13, 100%, $E$13)</f>
        <v>12.717599999999999</v>
      </c>
      <c r="I412" s="64">
        <f>12.7176 * CHOOSE(CONTROL!$C$22, $C$13, 100%, $E$13)</f>
        <v>12.717599999999999</v>
      </c>
      <c r="J412" s="64">
        <f>7.4967 * CHOOSE(CONTROL!$C$22, $C$13, 100%, $E$13)</f>
        <v>7.4966999999999997</v>
      </c>
      <c r="K412" s="64">
        <f>7.4967 * CHOOSE(CONTROL!$C$22, $C$13, 100%, $E$13)</f>
        <v>7.4966999999999997</v>
      </c>
    </row>
    <row r="413" spans="1:11" ht="15">
      <c r="A413" s="13">
        <v>54058</v>
      </c>
      <c r="B413" s="63">
        <f>6.3372 * CHOOSE(CONTROL!$C$22, $C$13, 100%, $E$13)</f>
        <v>6.3372000000000002</v>
      </c>
      <c r="C413" s="63">
        <f>6.3372 * CHOOSE(CONTROL!$C$22, $C$13, 100%, $E$13)</f>
        <v>6.3372000000000002</v>
      </c>
      <c r="D413" s="63">
        <f>6.3372 * CHOOSE(CONTROL!$C$22, $C$13, 100%, $E$13)</f>
        <v>6.3372000000000002</v>
      </c>
      <c r="E413" s="64">
        <f>7.6035 * CHOOSE(CONTROL!$C$22, $C$13, 100%, $E$13)</f>
        <v>7.6035000000000004</v>
      </c>
      <c r="F413" s="64">
        <f>7.6035 * CHOOSE(CONTROL!$C$22, $C$13, 100%, $E$13)</f>
        <v>7.6035000000000004</v>
      </c>
      <c r="G413" s="64">
        <f>7.6036 * CHOOSE(CONTROL!$C$22, $C$13, 100%, $E$13)</f>
        <v>7.6036000000000001</v>
      </c>
      <c r="H413" s="64">
        <f>12.7441* CHOOSE(CONTROL!$C$22, $C$13, 100%, $E$13)</f>
        <v>12.7441</v>
      </c>
      <c r="I413" s="64">
        <f>12.7441 * CHOOSE(CONTROL!$C$22, $C$13, 100%, $E$13)</f>
        <v>12.7441</v>
      </c>
      <c r="J413" s="64">
        <f>7.6035 * CHOOSE(CONTROL!$C$22, $C$13, 100%, $E$13)</f>
        <v>7.6035000000000004</v>
      </c>
      <c r="K413" s="64">
        <f>7.6036 * CHOOSE(CONTROL!$C$22, $C$13, 100%, $E$13)</f>
        <v>7.6036000000000001</v>
      </c>
    </row>
    <row r="414" spans="1:11" ht="15">
      <c r="A414" s="13">
        <v>54089</v>
      </c>
      <c r="B414" s="63">
        <f>6.3341 * CHOOSE(CONTROL!$C$22, $C$13, 100%, $E$13)</f>
        <v>6.3341000000000003</v>
      </c>
      <c r="C414" s="63">
        <f>6.3341 * CHOOSE(CONTROL!$C$22, $C$13, 100%, $E$13)</f>
        <v>6.3341000000000003</v>
      </c>
      <c r="D414" s="63">
        <f>6.3341 * CHOOSE(CONTROL!$C$22, $C$13, 100%, $E$13)</f>
        <v>6.3341000000000003</v>
      </c>
      <c r="E414" s="64">
        <f>7.4786 * CHOOSE(CONTROL!$C$22, $C$13, 100%, $E$13)</f>
        <v>7.4786000000000001</v>
      </c>
      <c r="F414" s="64">
        <f>7.4786 * CHOOSE(CONTROL!$C$22, $C$13, 100%, $E$13)</f>
        <v>7.4786000000000001</v>
      </c>
      <c r="G414" s="64">
        <f>7.4787 * CHOOSE(CONTROL!$C$22, $C$13, 100%, $E$13)</f>
        <v>7.4786999999999999</v>
      </c>
      <c r="H414" s="64">
        <f>12.7706* CHOOSE(CONTROL!$C$22, $C$13, 100%, $E$13)</f>
        <v>12.7706</v>
      </c>
      <c r="I414" s="64">
        <f>12.7707 * CHOOSE(CONTROL!$C$22, $C$13, 100%, $E$13)</f>
        <v>12.7707</v>
      </c>
      <c r="J414" s="64">
        <f>7.4786 * CHOOSE(CONTROL!$C$22, $C$13, 100%, $E$13)</f>
        <v>7.4786000000000001</v>
      </c>
      <c r="K414" s="64">
        <f>7.4787 * CHOOSE(CONTROL!$C$22, $C$13, 100%, $E$13)</f>
        <v>7.4786999999999999</v>
      </c>
    </row>
    <row r="415" spans="1:11" ht="15">
      <c r="A415" s="13">
        <v>54118</v>
      </c>
      <c r="B415" s="63">
        <f>6.3311 * CHOOSE(CONTROL!$C$22, $C$13, 100%, $E$13)</f>
        <v>6.3311000000000002</v>
      </c>
      <c r="C415" s="63">
        <f>6.3311 * CHOOSE(CONTROL!$C$22, $C$13, 100%, $E$13)</f>
        <v>6.3311000000000002</v>
      </c>
      <c r="D415" s="63">
        <f>6.3311 * CHOOSE(CONTROL!$C$22, $C$13, 100%, $E$13)</f>
        <v>6.3311000000000002</v>
      </c>
      <c r="E415" s="64">
        <f>7.5733 * CHOOSE(CONTROL!$C$22, $C$13, 100%, $E$13)</f>
        <v>7.5732999999999997</v>
      </c>
      <c r="F415" s="64">
        <f>7.5733 * CHOOSE(CONTROL!$C$22, $C$13, 100%, $E$13)</f>
        <v>7.5732999999999997</v>
      </c>
      <c r="G415" s="64">
        <f>7.5734 * CHOOSE(CONTROL!$C$22, $C$13, 100%, $E$13)</f>
        <v>7.5734000000000004</v>
      </c>
      <c r="H415" s="64">
        <f>12.7972* CHOOSE(CONTROL!$C$22, $C$13, 100%, $E$13)</f>
        <v>12.7972</v>
      </c>
      <c r="I415" s="64">
        <f>12.7973 * CHOOSE(CONTROL!$C$22, $C$13, 100%, $E$13)</f>
        <v>12.7973</v>
      </c>
      <c r="J415" s="64">
        <f>7.5733 * CHOOSE(CONTROL!$C$22, $C$13, 100%, $E$13)</f>
        <v>7.5732999999999997</v>
      </c>
      <c r="K415" s="64">
        <f>7.5734 * CHOOSE(CONTROL!$C$22, $C$13, 100%, $E$13)</f>
        <v>7.5734000000000004</v>
      </c>
    </row>
    <row r="416" spans="1:11" ht="15">
      <c r="A416" s="13">
        <v>54149</v>
      </c>
      <c r="B416" s="63">
        <f>6.3307 * CHOOSE(CONTROL!$C$22, $C$13, 100%, $E$13)</f>
        <v>6.3307000000000002</v>
      </c>
      <c r="C416" s="63">
        <f>6.3307 * CHOOSE(CONTROL!$C$22, $C$13, 100%, $E$13)</f>
        <v>6.3307000000000002</v>
      </c>
      <c r="D416" s="63">
        <f>6.3307 * CHOOSE(CONTROL!$C$22, $C$13, 100%, $E$13)</f>
        <v>6.3307000000000002</v>
      </c>
      <c r="E416" s="64">
        <f>7.673 * CHOOSE(CONTROL!$C$22, $C$13, 100%, $E$13)</f>
        <v>7.673</v>
      </c>
      <c r="F416" s="64">
        <f>7.673 * CHOOSE(CONTROL!$C$22, $C$13, 100%, $E$13)</f>
        <v>7.673</v>
      </c>
      <c r="G416" s="64">
        <f>7.6731 * CHOOSE(CONTROL!$C$22, $C$13, 100%, $E$13)</f>
        <v>7.6730999999999998</v>
      </c>
      <c r="H416" s="64">
        <f>12.8239* CHOOSE(CONTROL!$C$22, $C$13, 100%, $E$13)</f>
        <v>12.8239</v>
      </c>
      <c r="I416" s="64">
        <f>12.824 * CHOOSE(CONTROL!$C$22, $C$13, 100%, $E$13)</f>
        <v>12.824</v>
      </c>
      <c r="J416" s="64">
        <f>7.673 * CHOOSE(CONTROL!$C$22, $C$13, 100%, $E$13)</f>
        <v>7.673</v>
      </c>
      <c r="K416" s="64">
        <f>7.6731 * CHOOSE(CONTROL!$C$22, $C$13, 100%, $E$13)</f>
        <v>7.6730999999999998</v>
      </c>
    </row>
    <row r="417" spans="1:11" ht="15">
      <c r="A417" s="13">
        <v>54179</v>
      </c>
      <c r="B417" s="63">
        <f>6.3307 * CHOOSE(CONTROL!$C$22, $C$13, 100%, $E$13)</f>
        <v>6.3307000000000002</v>
      </c>
      <c r="C417" s="63">
        <f>6.3307 * CHOOSE(CONTROL!$C$22, $C$13, 100%, $E$13)</f>
        <v>6.3307000000000002</v>
      </c>
      <c r="D417" s="63">
        <f>6.3437 * CHOOSE(CONTROL!$C$22, $C$13, 100%, $E$13)</f>
        <v>6.3437000000000001</v>
      </c>
      <c r="E417" s="64">
        <f>7.712 * CHOOSE(CONTROL!$C$22, $C$13, 100%, $E$13)</f>
        <v>7.7119999999999997</v>
      </c>
      <c r="F417" s="64">
        <f>7.712 * CHOOSE(CONTROL!$C$22, $C$13, 100%, $E$13)</f>
        <v>7.7119999999999997</v>
      </c>
      <c r="G417" s="64">
        <f>7.7277 * CHOOSE(CONTROL!$C$22, $C$13, 100%, $E$13)</f>
        <v>7.7276999999999996</v>
      </c>
      <c r="H417" s="64">
        <f>12.8506* CHOOSE(CONTROL!$C$22, $C$13, 100%, $E$13)</f>
        <v>12.8506</v>
      </c>
      <c r="I417" s="64">
        <f>12.8663 * CHOOSE(CONTROL!$C$22, $C$13, 100%, $E$13)</f>
        <v>12.866300000000001</v>
      </c>
      <c r="J417" s="64">
        <f>7.712 * CHOOSE(CONTROL!$C$22, $C$13, 100%, $E$13)</f>
        <v>7.7119999999999997</v>
      </c>
      <c r="K417" s="64">
        <f>7.7277 * CHOOSE(CONTROL!$C$22, $C$13, 100%, $E$13)</f>
        <v>7.7276999999999996</v>
      </c>
    </row>
    <row r="418" spans="1:11" ht="15">
      <c r="A418" s="13">
        <v>54210</v>
      </c>
      <c r="B418" s="63">
        <f>6.3368 * CHOOSE(CONTROL!$C$22, $C$13, 100%, $E$13)</f>
        <v>6.3368000000000002</v>
      </c>
      <c r="C418" s="63">
        <f>6.3368 * CHOOSE(CONTROL!$C$22, $C$13, 100%, $E$13)</f>
        <v>6.3368000000000002</v>
      </c>
      <c r="D418" s="63">
        <f>6.3498 * CHOOSE(CONTROL!$C$22, $C$13, 100%, $E$13)</f>
        <v>6.3498000000000001</v>
      </c>
      <c r="E418" s="64">
        <f>7.6773 * CHOOSE(CONTROL!$C$22, $C$13, 100%, $E$13)</f>
        <v>7.6772999999999998</v>
      </c>
      <c r="F418" s="64">
        <f>7.6773 * CHOOSE(CONTROL!$C$22, $C$13, 100%, $E$13)</f>
        <v>7.6772999999999998</v>
      </c>
      <c r="G418" s="64">
        <f>7.693 * CHOOSE(CONTROL!$C$22, $C$13, 100%, $E$13)</f>
        <v>7.6929999999999996</v>
      </c>
      <c r="H418" s="64">
        <f>12.8774* CHOOSE(CONTROL!$C$22, $C$13, 100%, $E$13)</f>
        <v>12.8774</v>
      </c>
      <c r="I418" s="64">
        <f>12.893 * CHOOSE(CONTROL!$C$22, $C$13, 100%, $E$13)</f>
        <v>12.893000000000001</v>
      </c>
      <c r="J418" s="64">
        <f>7.6773 * CHOOSE(CONTROL!$C$22, $C$13, 100%, $E$13)</f>
        <v>7.6772999999999998</v>
      </c>
      <c r="K418" s="64">
        <f>7.693 * CHOOSE(CONTROL!$C$22, $C$13, 100%, $E$13)</f>
        <v>7.6929999999999996</v>
      </c>
    </row>
    <row r="419" spans="1:11" ht="15">
      <c r="A419" s="13">
        <v>54240</v>
      </c>
      <c r="B419" s="63">
        <f>6.4385 * CHOOSE(CONTROL!$C$22, $C$13, 100%, $E$13)</f>
        <v>6.4385000000000003</v>
      </c>
      <c r="C419" s="63">
        <f>6.4385 * CHOOSE(CONTROL!$C$22, $C$13, 100%, $E$13)</f>
        <v>6.4385000000000003</v>
      </c>
      <c r="D419" s="63">
        <f>6.4514 * CHOOSE(CONTROL!$C$22, $C$13, 100%, $E$13)</f>
        <v>6.4513999999999996</v>
      </c>
      <c r="E419" s="64">
        <f>7.8054 * CHOOSE(CONTROL!$C$22, $C$13, 100%, $E$13)</f>
        <v>7.8053999999999997</v>
      </c>
      <c r="F419" s="64">
        <f>7.8054 * CHOOSE(CONTROL!$C$22, $C$13, 100%, $E$13)</f>
        <v>7.8053999999999997</v>
      </c>
      <c r="G419" s="64">
        <f>7.8211 * CHOOSE(CONTROL!$C$22, $C$13, 100%, $E$13)</f>
        <v>7.8211000000000004</v>
      </c>
      <c r="H419" s="64">
        <f>12.9042* CHOOSE(CONTROL!$C$22, $C$13, 100%, $E$13)</f>
        <v>12.904199999999999</v>
      </c>
      <c r="I419" s="64">
        <f>12.9199 * CHOOSE(CONTROL!$C$22, $C$13, 100%, $E$13)</f>
        <v>12.9199</v>
      </c>
      <c r="J419" s="64">
        <f>7.8054 * CHOOSE(CONTROL!$C$22, $C$13, 100%, $E$13)</f>
        <v>7.8053999999999997</v>
      </c>
      <c r="K419" s="64">
        <f>7.8211 * CHOOSE(CONTROL!$C$22, $C$13, 100%, $E$13)</f>
        <v>7.8211000000000004</v>
      </c>
    </row>
    <row r="420" spans="1:11" ht="15">
      <c r="A420" s="13">
        <v>54271</v>
      </c>
      <c r="B420" s="63">
        <f>6.4451 * CHOOSE(CONTROL!$C$22, $C$13, 100%, $E$13)</f>
        <v>6.4451000000000001</v>
      </c>
      <c r="C420" s="63">
        <f>6.4451 * CHOOSE(CONTROL!$C$22, $C$13, 100%, $E$13)</f>
        <v>6.4451000000000001</v>
      </c>
      <c r="D420" s="63">
        <f>6.4581 * CHOOSE(CONTROL!$C$22, $C$13, 100%, $E$13)</f>
        <v>6.4581</v>
      </c>
      <c r="E420" s="64">
        <f>7.6932 * CHOOSE(CONTROL!$C$22, $C$13, 100%, $E$13)</f>
        <v>7.6932</v>
      </c>
      <c r="F420" s="64">
        <f>7.6932 * CHOOSE(CONTROL!$C$22, $C$13, 100%, $E$13)</f>
        <v>7.6932</v>
      </c>
      <c r="G420" s="64">
        <f>7.7088 * CHOOSE(CONTROL!$C$22, $C$13, 100%, $E$13)</f>
        <v>7.7088000000000001</v>
      </c>
      <c r="H420" s="64">
        <f>12.9311* CHOOSE(CONTROL!$C$22, $C$13, 100%, $E$13)</f>
        <v>12.931100000000001</v>
      </c>
      <c r="I420" s="64">
        <f>12.9468 * CHOOSE(CONTROL!$C$22, $C$13, 100%, $E$13)</f>
        <v>12.9468</v>
      </c>
      <c r="J420" s="64">
        <f>7.6932 * CHOOSE(CONTROL!$C$22, $C$13, 100%, $E$13)</f>
        <v>7.6932</v>
      </c>
      <c r="K420" s="64">
        <f>7.7088 * CHOOSE(CONTROL!$C$22, $C$13, 100%, $E$13)</f>
        <v>7.7088000000000001</v>
      </c>
    </row>
    <row r="421" spans="1:11" ht="15">
      <c r="A421" s="13">
        <v>54302</v>
      </c>
      <c r="B421" s="63">
        <f>6.4421 * CHOOSE(CONTROL!$C$22, $C$13, 100%, $E$13)</f>
        <v>6.4420999999999999</v>
      </c>
      <c r="C421" s="63">
        <f>6.4421 * CHOOSE(CONTROL!$C$22, $C$13, 100%, $E$13)</f>
        <v>6.4420999999999999</v>
      </c>
      <c r="D421" s="63">
        <f>6.4551 * CHOOSE(CONTROL!$C$22, $C$13, 100%, $E$13)</f>
        <v>6.4550999999999998</v>
      </c>
      <c r="E421" s="64">
        <f>7.678 * CHOOSE(CONTROL!$C$22, $C$13, 100%, $E$13)</f>
        <v>7.6779999999999999</v>
      </c>
      <c r="F421" s="64">
        <f>7.678 * CHOOSE(CONTROL!$C$22, $C$13, 100%, $E$13)</f>
        <v>7.6779999999999999</v>
      </c>
      <c r="G421" s="64">
        <f>7.6937 * CHOOSE(CONTROL!$C$22, $C$13, 100%, $E$13)</f>
        <v>7.6936999999999998</v>
      </c>
      <c r="H421" s="64">
        <f>12.958* CHOOSE(CONTROL!$C$22, $C$13, 100%, $E$13)</f>
        <v>12.958</v>
      </c>
      <c r="I421" s="64">
        <f>12.9737 * CHOOSE(CONTROL!$C$22, $C$13, 100%, $E$13)</f>
        <v>12.973699999999999</v>
      </c>
      <c r="J421" s="64">
        <f>7.678 * CHOOSE(CONTROL!$C$22, $C$13, 100%, $E$13)</f>
        <v>7.6779999999999999</v>
      </c>
      <c r="K421" s="64">
        <f>7.6937 * CHOOSE(CONTROL!$C$22, $C$13, 100%, $E$13)</f>
        <v>7.6936999999999998</v>
      </c>
    </row>
    <row r="422" spans="1:11" ht="15">
      <c r="A422" s="13">
        <v>54332</v>
      </c>
      <c r="B422" s="63">
        <f>6.4452 * CHOOSE(CONTROL!$C$22, $C$13, 100%, $E$13)</f>
        <v>6.4451999999999998</v>
      </c>
      <c r="C422" s="63">
        <f>6.4452 * CHOOSE(CONTROL!$C$22, $C$13, 100%, $E$13)</f>
        <v>6.4451999999999998</v>
      </c>
      <c r="D422" s="63">
        <f>6.4452 * CHOOSE(CONTROL!$C$22, $C$13, 100%, $E$13)</f>
        <v>6.4451999999999998</v>
      </c>
      <c r="E422" s="64">
        <f>7.7166 * CHOOSE(CONTROL!$C$22, $C$13, 100%, $E$13)</f>
        <v>7.7165999999999997</v>
      </c>
      <c r="F422" s="64">
        <f>7.7166 * CHOOSE(CONTROL!$C$22, $C$13, 100%, $E$13)</f>
        <v>7.7165999999999997</v>
      </c>
      <c r="G422" s="64">
        <f>7.7167 * CHOOSE(CONTROL!$C$22, $C$13, 100%, $E$13)</f>
        <v>7.7167000000000003</v>
      </c>
      <c r="H422" s="64">
        <f>12.985* CHOOSE(CONTROL!$C$22, $C$13, 100%, $E$13)</f>
        <v>12.984999999999999</v>
      </c>
      <c r="I422" s="64">
        <f>12.9851 * CHOOSE(CONTROL!$C$22, $C$13, 100%, $E$13)</f>
        <v>12.985099999999999</v>
      </c>
      <c r="J422" s="64">
        <f>7.7166 * CHOOSE(CONTROL!$C$22, $C$13, 100%, $E$13)</f>
        <v>7.7165999999999997</v>
      </c>
      <c r="K422" s="64">
        <f>7.7167 * CHOOSE(CONTROL!$C$22, $C$13, 100%, $E$13)</f>
        <v>7.7167000000000003</v>
      </c>
    </row>
    <row r="423" spans="1:11" ht="15">
      <c r="A423" s="13">
        <v>54363</v>
      </c>
      <c r="B423" s="63">
        <f>6.4483 * CHOOSE(CONTROL!$C$22, $C$13, 100%, $E$13)</f>
        <v>6.4482999999999997</v>
      </c>
      <c r="C423" s="63">
        <f>6.4483 * CHOOSE(CONTROL!$C$22, $C$13, 100%, $E$13)</f>
        <v>6.4482999999999997</v>
      </c>
      <c r="D423" s="63">
        <f>6.4483 * CHOOSE(CONTROL!$C$22, $C$13, 100%, $E$13)</f>
        <v>6.4482999999999997</v>
      </c>
      <c r="E423" s="64">
        <f>7.7447 * CHOOSE(CONTROL!$C$22, $C$13, 100%, $E$13)</f>
        <v>7.7446999999999999</v>
      </c>
      <c r="F423" s="64">
        <f>7.7447 * CHOOSE(CONTROL!$C$22, $C$13, 100%, $E$13)</f>
        <v>7.7446999999999999</v>
      </c>
      <c r="G423" s="64">
        <f>7.7448 * CHOOSE(CONTROL!$C$22, $C$13, 100%, $E$13)</f>
        <v>7.7447999999999997</v>
      </c>
      <c r="H423" s="64">
        <f>13.0121* CHOOSE(CONTROL!$C$22, $C$13, 100%, $E$13)</f>
        <v>13.0121</v>
      </c>
      <c r="I423" s="64">
        <f>13.0121 * CHOOSE(CONTROL!$C$22, $C$13, 100%, $E$13)</f>
        <v>13.0121</v>
      </c>
      <c r="J423" s="64">
        <f>7.7447 * CHOOSE(CONTROL!$C$22, $C$13, 100%, $E$13)</f>
        <v>7.7446999999999999</v>
      </c>
      <c r="K423" s="64">
        <f>7.7448 * CHOOSE(CONTROL!$C$22, $C$13, 100%, $E$13)</f>
        <v>7.7447999999999997</v>
      </c>
    </row>
    <row r="424" spans="1:11" ht="15">
      <c r="A424" s="13">
        <v>54393</v>
      </c>
      <c r="B424" s="63">
        <f>6.4483 * CHOOSE(CONTROL!$C$22, $C$13, 100%, $E$13)</f>
        <v>6.4482999999999997</v>
      </c>
      <c r="C424" s="63">
        <f>6.4483 * CHOOSE(CONTROL!$C$22, $C$13, 100%, $E$13)</f>
        <v>6.4482999999999997</v>
      </c>
      <c r="D424" s="63">
        <f>6.4483 * CHOOSE(CONTROL!$C$22, $C$13, 100%, $E$13)</f>
        <v>6.4482999999999997</v>
      </c>
      <c r="E424" s="64">
        <f>7.6797 * CHOOSE(CONTROL!$C$22, $C$13, 100%, $E$13)</f>
        <v>7.6797000000000004</v>
      </c>
      <c r="F424" s="64">
        <f>7.6797 * CHOOSE(CONTROL!$C$22, $C$13, 100%, $E$13)</f>
        <v>7.6797000000000004</v>
      </c>
      <c r="G424" s="64">
        <f>7.6798 * CHOOSE(CONTROL!$C$22, $C$13, 100%, $E$13)</f>
        <v>7.6798000000000002</v>
      </c>
      <c r="H424" s="64">
        <f>13.0392* CHOOSE(CONTROL!$C$22, $C$13, 100%, $E$13)</f>
        <v>13.039199999999999</v>
      </c>
      <c r="I424" s="64">
        <f>13.0392 * CHOOSE(CONTROL!$C$22, $C$13, 100%, $E$13)</f>
        <v>13.039199999999999</v>
      </c>
      <c r="J424" s="64">
        <f>7.6797 * CHOOSE(CONTROL!$C$22, $C$13, 100%, $E$13)</f>
        <v>7.6797000000000004</v>
      </c>
      <c r="K424" s="64">
        <f>7.6798 * CHOOSE(CONTROL!$C$22, $C$13, 100%, $E$13)</f>
        <v>7.6798000000000002</v>
      </c>
    </row>
    <row r="425" spans="1:11" ht="15">
      <c r="A425" s="13">
        <v>54424</v>
      </c>
      <c r="B425" s="63">
        <f>6.5044 * CHOOSE(CONTROL!$C$22, $C$13, 100%, $E$13)</f>
        <v>6.5044000000000004</v>
      </c>
      <c r="C425" s="63">
        <f>6.5044 * CHOOSE(CONTROL!$C$22, $C$13, 100%, $E$13)</f>
        <v>6.5044000000000004</v>
      </c>
      <c r="D425" s="63">
        <f>6.5045 * CHOOSE(CONTROL!$C$22, $C$13, 100%, $E$13)</f>
        <v>6.5045000000000002</v>
      </c>
      <c r="E425" s="64">
        <f>7.7893 * CHOOSE(CONTROL!$C$22, $C$13, 100%, $E$13)</f>
        <v>7.7892999999999999</v>
      </c>
      <c r="F425" s="64">
        <f>7.7893 * CHOOSE(CONTROL!$C$22, $C$13, 100%, $E$13)</f>
        <v>7.7892999999999999</v>
      </c>
      <c r="G425" s="64">
        <f>7.7894 * CHOOSE(CONTROL!$C$22, $C$13, 100%, $E$13)</f>
        <v>7.7893999999999997</v>
      </c>
      <c r="H425" s="64">
        <f>13.0663* CHOOSE(CONTROL!$C$22, $C$13, 100%, $E$13)</f>
        <v>13.0663</v>
      </c>
      <c r="I425" s="64">
        <f>13.0664 * CHOOSE(CONTROL!$C$22, $C$13, 100%, $E$13)</f>
        <v>13.0664</v>
      </c>
      <c r="J425" s="64">
        <f>7.7893 * CHOOSE(CONTROL!$C$22, $C$13, 100%, $E$13)</f>
        <v>7.7892999999999999</v>
      </c>
      <c r="K425" s="64">
        <f>7.7894 * CHOOSE(CONTROL!$C$22, $C$13, 100%, $E$13)</f>
        <v>7.7893999999999997</v>
      </c>
    </row>
    <row r="426" spans="1:11" ht="15">
      <c r="A426" s="13">
        <v>54455</v>
      </c>
      <c r="B426" s="63">
        <f>6.5014 * CHOOSE(CONTROL!$C$22, $C$13, 100%, $E$13)</f>
        <v>6.5014000000000003</v>
      </c>
      <c r="C426" s="63">
        <f>6.5014 * CHOOSE(CONTROL!$C$22, $C$13, 100%, $E$13)</f>
        <v>6.5014000000000003</v>
      </c>
      <c r="D426" s="63">
        <f>6.5014 * CHOOSE(CONTROL!$C$22, $C$13, 100%, $E$13)</f>
        <v>6.5014000000000003</v>
      </c>
      <c r="E426" s="64">
        <f>7.661 * CHOOSE(CONTROL!$C$22, $C$13, 100%, $E$13)</f>
        <v>7.6609999999999996</v>
      </c>
      <c r="F426" s="64">
        <f>7.661 * CHOOSE(CONTROL!$C$22, $C$13, 100%, $E$13)</f>
        <v>7.6609999999999996</v>
      </c>
      <c r="G426" s="64">
        <f>7.6611 * CHOOSE(CONTROL!$C$22, $C$13, 100%, $E$13)</f>
        <v>7.6611000000000002</v>
      </c>
      <c r="H426" s="64">
        <f>13.0936* CHOOSE(CONTROL!$C$22, $C$13, 100%, $E$13)</f>
        <v>13.0936</v>
      </c>
      <c r="I426" s="64">
        <f>13.0936 * CHOOSE(CONTROL!$C$22, $C$13, 100%, $E$13)</f>
        <v>13.0936</v>
      </c>
      <c r="J426" s="64">
        <f>7.661 * CHOOSE(CONTROL!$C$22, $C$13, 100%, $E$13)</f>
        <v>7.6609999999999996</v>
      </c>
      <c r="K426" s="64">
        <f>7.6611 * CHOOSE(CONTROL!$C$22, $C$13, 100%, $E$13)</f>
        <v>7.6611000000000002</v>
      </c>
    </row>
    <row r="427" spans="1:11" ht="15">
      <c r="A427" s="13">
        <v>54483</v>
      </c>
      <c r="B427" s="63">
        <f>6.4984 * CHOOSE(CONTROL!$C$22, $C$13, 100%, $E$13)</f>
        <v>6.4984000000000002</v>
      </c>
      <c r="C427" s="63">
        <f>6.4984 * CHOOSE(CONTROL!$C$22, $C$13, 100%, $E$13)</f>
        <v>6.4984000000000002</v>
      </c>
      <c r="D427" s="63">
        <f>6.4984 * CHOOSE(CONTROL!$C$22, $C$13, 100%, $E$13)</f>
        <v>6.4984000000000002</v>
      </c>
      <c r="E427" s="64">
        <f>7.7584 * CHOOSE(CONTROL!$C$22, $C$13, 100%, $E$13)</f>
        <v>7.7584</v>
      </c>
      <c r="F427" s="64">
        <f>7.7584 * CHOOSE(CONTROL!$C$22, $C$13, 100%, $E$13)</f>
        <v>7.7584</v>
      </c>
      <c r="G427" s="64">
        <f>7.7585 * CHOOSE(CONTROL!$C$22, $C$13, 100%, $E$13)</f>
        <v>7.7584999999999997</v>
      </c>
      <c r="H427" s="64">
        <f>13.1208* CHOOSE(CONTROL!$C$22, $C$13, 100%, $E$13)</f>
        <v>13.120799999999999</v>
      </c>
      <c r="I427" s="64">
        <f>13.1209 * CHOOSE(CONTROL!$C$22, $C$13, 100%, $E$13)</f>
        <v>13.120900000000001</v>
      </c>
      <c r="J427" s="64">
        <f>7.7584 * CHOOSE(CONTROL!$C$22, $C$13, 100%, $E$13)</f>
        <v>7.7584</v>
      </c>
      <c r="K427" s="64">
        <f>7.7585 * CHOOSE(CONTROL!$C$22, $C$13, 100%, $E$13)</f>
        <v>7.7584999999999997</v>
      </c>
    </row>
    <row r="428" spans="1:11" ht="15">
      <c r="A428" s="13">
        <v>54514</v>
      </c>
      <c r="B428" s="63">
        <f>6.4982 * CHOOSE(CONTROL!$C$22, $C$13, 100%, $E$13)</f>
        <v>6.4981999999999998</v>
      </c>
      <c r="C428" s="63">
        <f>6.4982 * CHOOSE(CONTROL!$C$22, $C$13, 100%, $E$13)</f>
        <v>6.4981999999999998</v>
      </c>
      <c r="D428" s="63">
        <f>6.4982 * CHOOSE(CONTROL!$C$22, $C$13, 100%, $E$13)</f>
        <v>6.4981999999999998</v>
      </c>
      <c r="E428" s="64">
        <f>7.861 * CHOOSE(CONTROL!$C$22, $C$13, 100%, $E$13)</f>
        <v>7.8609999999999998</v>
      </c>
      <c r="F428" s="64">
        <f>7.861 * CHOOSE(CONTROL!$C$22, $C$13, 100%, $E$13)</f>
        <v>7.8609999999999998</v>
      </c>
      <c r="G428" s="64">
        <f>7.8611 * CHOOSE(CONTROL!$C$22, $C$13, 100%, $E$13)</f>
        <v>7.8611000000000004</v>
      </c>
      <c r="H428" s="64">
        <f>13.1482* CHOOSE(CONTROL!$C$22, $C$13, 100%, $E$13)</f>
        <v>13.148199999999999</v>
      </c>
      <c r="I428" s="64">
        <f>13.1482 * CHOOSE(CONTROL!$C$22, $C$13, 100%, $E$13)</f>
        <v>13.148199999999999</v>
      </c>
      <c r="J428" s="64">
        <f>7.861 * CHOOSE(CONTROL!$C$22, $C$13, 100%, $E$13)</f>
        <v>7.8609999999999998</v>
      </c>
      <c r="K428" s="64">
        <f>7.8611 * CHOOSE(CONTROL!$C$22, $C$13, 100%, $E$13)</f>
        <v>7.8611000000000004</v>
      </c>
    </row>
    <row r="429" spans="1:11" ht="15">
      <c r="A429" s="13">
        <v>54544</v>
      </c>
      <c r="B429" s="63">
        <f>6.4982 * CHOOSE(CONTROL!$C$22, $C$13, 100%, $E$13)</f>
        <v>6.4981999999999998</v>
      </c>
      <c r="C429" s="63">
        <f>6.4982 * CHOOSE(CONTROL!$C$22, $C$13, 100%, $E$13)</f>
        <v>6.4981999999999998</v>
      </c>
      <c r="D429" s="63">
        <f>6.5111 * CHOOSE(CONTROL!$C$22, $C$13, 100%, $E$13)</f>
        <v>6.5110999999999999</v>
      </c>
      <c r="E429" s="64">
        <f>7.9011 * CHOOSE(CONTROL!$C$22, $C$13, 100%, $E$13)</f>
        <v>7.9010999999999996</v>
      </c>
      <c r="F429" s="64">
        <f>7.9011 * CHOOSE(CONTROL!$C$22, $C$13, 100%, $E$13)</f>
        <v>7.9010999999999996</v>
      </c>
      <c r="G429" s="64">
        <f>7.9168 * CHOOSE(CONTROL!$C$22, $C$13, 100%, $E$13)</f>
        <v>7.9168000000000003</v>
      </c>
      <c r="H429" s="64">
        <f>13.1756* CHOOSE(CONTROL!$C$22, $C$13, 100%, $E$13)</f>
        <v>13.175599999999999</v>
      </c>
      <c r="I429" s="64">
        <f>13.1912 * CHOOSE(CONTROL!$C$22, $C$13, 100%, $E$13)</f>
        <v>13.1912</v>
      </c>
      <c r="J429" s="64">
        <f>7.9011 * CHOOSE(CONTROL!$C$22, $C$13, 100%, $E$13)</f>
        <v>7.9010999999999996</v>
      </c>
      <c r="K429" s="64">
        <f>7.9168 * CHOOSE(CONTROL!$C$22, $C$13, 100%, $E$13)</f>
        <v>7.9168000000000003</v>
      </c>
    </row>
    <row r="430" spans="1:11" ht="15">
      <c r="A430" s="13">
        <v>54575</v>
      </c>
      <c r="B430" s="63">
        <f>6.5042 * CHOOSE(CONTROL!$C$22, $C$13, 100%, $E$13)</f>
        <v>6.5042</v>
      </c>
      <c r="C430" s="63">
        <f>6.5042 * CHOOSE(CONTROL!$C$22, $C$13, 100%, $E$13)</f>
        <v>6.5042</v>
      </c>
      <c r="D430" s="63">
        <f>6.5172 * CHOOSE(CONTROL!$C$22, $C$13, 100%, $E$13)</f>
        <v>6.5171999999999999</v>
      </c>
      <c r="E430" s="64">
        <f>7.8653 * CHOOSE(CONTROL!$C$22, $C$13, 100%, $E$13)</f>
        <v>7.8653000000000004</v>
      </c>
      <c r="F430" s="64">
        <f>7.8653 * CHOOSE(CONTROL!$C$22, $C$13, 100%, $E$13)</f>
        <v>7.8653000000000004</v>
      </c>
      <c r="G430" s="64">
        <f>7.8809 * CHOOSE(CONTROL!$C$22, $C$13, 100%, $E$13)</f>
        <v>7.8808999999999996</v>
      </c>
      <c r="H430" s="64">
        <f>13.203* CHOOSE(CONTROL!$C$22, $C$13, 100%, $E$13)</f>
        <v>13.202999999999999</v>
      </c>
      <c r="I430" s="64">
        <f>13.2187 * CHOOSE(CONTROL!$C$22, $C$13, 100%, $E$13)</f>
        <v>13.2187</v>
      </c>
      <c r="J430" s="64">
        <f>7.8653 * CHOOSE(CONTROL!$C$22, $C$13, 100%, $E$13)</f>
        <v>7.8653000000000004</v>
      </c>
      <c r="K430" s="64">
        <f>7.8809 * CHOOSE(CONTROL!$C$22, $C$13, 100%, $E$13)</f>
        <v>7.8808999999999996</v>
      </c>
    </row>
    <row r="431" spans="1:11" ht="15">
      <c r="A431" s="13">
        <v>54605</v>
      </c>
      <c r="B431" s="63">
        <f>6.6083 * CHOOSE(CONTROL!$C$22, $C$13, 100%, $E$13)</f>
        <v>6.6082999999999998</v>
      </c>
      <c r="C431" s="63">
        <f>6.6083 * CHOOSE(CONTROL!$C$22, $C$13, 100%, $E$13)</f>
        <v>6.6082999999999998</v>
      </c>
      <c r="D431" s="63">
        <f>6.6212 * CHOOSE(CONTROL!$C$22, $C$13, 100%, $E$13)</f>
        <v>6.6212</v>
      </c>
      <c r="E431" s="64">
        <f>7.9963 * CHOOSE(CONTROL!$C$22, $C$13, 100%, $E$13)</f>
        <v>7.9962999999999997</v>
      </c>
      <c r="F431" s="64">
        <f>7.9963 * CHOOSE(CONTROL!$C$22, $C$13, 100%, $E$13)</f>
        <v>7.9962999999999997</v>
      </c>
      <c r="G431" s="64">
        <f>8.012 * CHOOSE(CONTROL!$C$22, $C$13, 100%, $E$13)</f>
        <v>8.0120000000000005</v>
      </c>
      <c r="H431" s="64">
        <f>13.2305* CHOOSE(CONTROL!$C$22, $C$13, 100%, $E$13)</f>
        <v>13.230499999999999</v>
      </c>
      <c r="I431" s="64">
        <f>13.2462 * CHOOSE(CONTROL!$C$22, $C$13, 100%, $E$13)</f>
        <v>13.2462</v>
      </c>
      <c r="J431" s="64">
        <f>7.9963 * CHOOSE(CONTROL!$C$22, $C$13, 100%, $E$13)</f>
        <v>7.9962999999999997</v>
      </c>
      <c r="K431" s="64">
        <f>8.012 * CHOOSE(CONTROL!$C$22, $C$13, 100%, $E$13)</f>
        <v>8.0120000000000005</v>
      </c>
    </row>
    <row r="432" spans="1:11" ht="15">
      <c r="A432" s="13">
        <v>54636</v>
      </c>
      <c r="B432" s="63">
        <f>6.615 * CHOOSE(CONTROL!$C$22, $C$13, 100%, $E$13)</f>
        <v>6.6150000000000002</v>
      </c>
      <c r="C432" s="63">
        <f>6.615 * CHOOSE(CONTROL!$C$22, $C$13, 100%, $E$13)</f>
        <v>6.6150000000000002</v>
      </c>
      <c r="D432" s="63">
        <f>6.6279 * CHOOSE(CONTROL!$C$22, $C$13, 100%, $E$13)</f>
        <v>6.6279000000000003</v>
      </c>
      <c r="E432" s="64">
        <f>7.8807 * CHOOSE(CONTROL!$C$22, $C$13, 100%, $E$13)</f>
        <v>7.8807</v>
      </c>
      <c r="F432" s="64">
        <f>7.8807 * CHOOSE(CONTROL!$C$22, $C$13, 100%, $E$13)</f>
        <v>7.8807</v>
      </c>
      <c r="G432" s="64">
        <f>7.8964 * CHOOSE(CONTROL!$C$22, $C$13, 100%, $E$13)</f>
        <v>7.8963999999999999</v>
      </c>
      <c r="H432" s="64">
        <f>13.2581* CHOOSE(CONTROL!$C$22, $C$13, 100%, $E$13)</f>
        <v>13.258100000000001</v>
      </c>
      <c r="I432" s="64">
        <f>13.2738 * CHOOSE(CONTROL!$C$22, $C$13, 100%, $E$13)</f>
        <v>13.2738</v>
      </c>
      <c r="J432" s="64">
        <f>7.8807 * CHOOSE(CONTROL!$C$22, $C$13, 100%, $E$13)</f>
        <v>7.8807</v>
      </c>
      <c r="K432" s="64">
        <f>7.8964 * CHOOSE(CONTROL!$C$22, $C$13, 100%, $E$13)</f>
        <v>7.8963999999999999</v>
      </c>
    </row>
    <row r="433" spans="1:11" ht="15">
      <c r="A433" s="13">
        <v>54667</v>
      </c>
      <c r="B433" s="63">
        <f>6.6119 * CHOOSE(CONTROL!$C$22, $C$13, 100%, $E$13)</f>
        <v>6.6119000000000003</v>
      </c>
      <c r="C433" s="63">
        <f>6.6119 * CHOOSE(CONTROL!$C$22, $C$13, 100%, $E$13)</f>
        <v>6.6119000000000003</v>
      </c>
      <c r="D433" s="63">
        <f>6.6249 * CHOOSE(CONTROL!$C$22, $C$13, 100%, $E$13)</f>
        <v>6.6249000000000002</v>
      </c>
      <c r="E433" s="64">
        <f>7.8653 * CHOOSE(CONTROL!$C$22, $C$13, 100%, $E$13)</f>
        <v>7.8653000000000004</v>
      </c>
      <c r="F433" s="64">
        <f>7.8653 * CHOOSE(CONTROL!$C$22, $C$13, 100%, $E$13)</f>
        <v>7.8653000000000004</v>
      </c>
      <c r="G433" s="64">
        <f>7.8809 * CHOOSE(CONTROL!$C$22, $C$13, 100%, $E$13)</f>
        <v>7.8808999999999996</v>
      </c>
      <c r="H433" s="64">
        <f>13.2857* CHOOSE(CONTROL!$C$22, $C$13, 100%, $E$13)</f>
        <v>13.2857</v>
      </c>
      <c r="I433" s="64">
        <f>13.3014 * CHOOSE(CONTROL!$C$22, $C$13, 100%, $E$13)</f>
        <v>13.301399999999999</v>
      </c>
      <c r="J433" s="64">
        <f>7.8653 * CHOOSE(CONTROL!$C$22, $C$13, 100%, $E$13)</f>
        <v>7.8653000000000004</v>
      </c>
      <c r="K433" s="64">
        <f>7.8809 * CHOOSE(CONTROL!$C$22, $C$13, 100%, $E$13)</f>
        <v>7.8808999999999996</v>
      </c>
    </row>
    <row r="434" spans="1:11" ht="15">
      <c r="A434" s="13">
        <v>54697</v>
      </c>
      <c r="B434" s="63">
        <f>6.6156 * CHOOSE(CONTROL!$C$22, $C$13, 100%, $E$13)</f>
        <v>6.6155999999999997</v>
      </c>
      <c r="C434" s="63">
        <f>6.6156 * CHOOSE(CONTROL!$C$22, $C$13, 100%, $E$13)</f>
        <v>6.6155999999999997</v>
      </c>
      <c r="D434" s="63">
        <f>6.6156 * CHOOSE(CONTROL!$C$22, $C$13, 100%, $E$13)</f>
        <v>6.6155999999999997</v>
      </c>
      <c r="E434" s="64">
        <f>7.9053 * CHOOSE(CONTROL!$C$22, $C$13, 100%, $E$13)</f>
        <v>7.9053000000000004</v>
      </c>
      <c r="F434" s="64">
        <f>7.9053 * CHOOSE(CONTROL!$C$22, $C$13, 100%, $E$13)</f>
        <v>7.9053000000000004</v>
      </c>
      <c r="G434" s="64">
        <f>7.9054 * CHOOSE(CONTROL!$C$22, $C$13, 100%, $E$13)</f>
        <v>7.9054000000000002</v>
      </c>
      <c r="H434" s="64">
        <f>13.3134* CHOOSE(CONTROL!$C$22, $C$13, 100%, $E$13)</f>
        <v>13.3134</v>
      </c>
      <c r="I434" s="64">
        <f>13.3135 * CHOOSE(CONTROL!$C$22, $C$13, 100%, $E$13)</f>
        <v>13.313499999999999</v>
      </c>
      <c r="J434" s="64">
        <f>7.9053 * CHOOSE(CONTROL!$C$22, $C$13, 100%, $E$13)</f>
        <v>7.9053000000000004</v>
      </c>
      <c r="K434" s="64">
        <f>7.9054 * CHOOSE(CONTROL!$C$22, $C$13, 100%, $E$13)</f>
        <v>7.9054000000000002</v>
      </c>
    </row>
    <row r="435" spans="1:11" ht="15">
      <c r="A435" s="13">
        <v>54728</v>
      </c>
      <c r="B435" s="63">
        <f>6.6186 * CHOOSE(CONTROL!$C$22, $C$13, 100%, $E$13)</f>
        <v>6.6185999999999998</v>
      </c>
      <c r="C435" s="63">
        <f>6.6186 * CHOOSE(CONTROL!$C$22, $C$13, 100%, $E$13)</f>
        <v>6.6185999999999998</v>
      </c>
      <c r="D435" s="63">
        <f>6.6187 * CHOOSE(CONTROL!$C$22, $C$13, 100%, $E$13)</f>
        <v>6.6186999999999996</v>
      </c>
      <c r="E435" s="64">
        <f>7.9341 * CHOOSE(CONTROL!$C$22, $C$13, 100%, $E$13)</f>
        <v>7.9340999999999999</v>
      </c>
      <c r="F435" s="64">
        <f>7.9341 * CHOOSE(CONTROL!$C$22, $C$13, 100%, $E$13)</f>
        <v>7.9340999999999999</v>
      </c>
      <c r="G435" s="64">
        <f>7.9342 * CHOOSE(CONTROL!$C$22, $C$13, 100%, $E$13)</f>
        <v>7.9341999999999997</v>
      </c>
      <c r="H435" s="64">
        <f>13.3411* CHOOSE(CONTROL!$C$22, $C$13, 100%, $E$13)</f>
        <v>13.341100000000001</v>
      </c>
      <c r="I435" s="64">
        <f>13.3412 * CHOOSE(CONTROL!$C$22, $C$13, 100%, $E$13)</f>
        <v>13.341200000000001</v>
      </c>
      <c r="J435" s="64">
        <f>7.9341 * CHOOSE(CONTROL!$C$22, $C$13, 100%, $E$13)</f>
        <v>7.9340999999999999</v>
      </c>
      <c r="K435" s="64">
        <f>7.9342 * CHOOSE(CONTROL!$C$22, $C$13, 100%, $E$13)</f>
        <v>7.9341999999999997</v>
      </c>
    </row>
    <row r="436" spans="1:11" ht="15">
      <c r="A436" s="13">
        <v>54758</v>
      </c>
      <c r="B436" s="63">
        <f>6.6186 * CHOOSE(CONTROL!$C$22, $C$13, 100%, $E$13)</f>
        <v>6.6185999999999998</v>
      </c>
      <c r="C436" s="63">
        <f>6.6186 * CHOOSE(CONTROL!$C$22, $C$13, 100%, $E$13)</f>
        <v>6.6185999999999998</v>
      </c>
      <c r="D436" s="63">
        <f>6.6187 * CHOOSE(CONTROL!$C$22, $C$13, 100%, $E$13)</f>
        <v>6.6186999999999996</v>
      </c>
      <c r="E436" s="64">
        <f>7.8673 * CHOOSE(CONTROL!$C$22, $C$13, 100%, $E$13)</f>
        <v>7.8673000000000002</v>
      </c>
      <c r="F436" s="64">
        <f>7.8673 * CHOOSE(CONTROL!$C$22, $C$13, 100%, $E$13)</f>
        <v>7.8673000000000002</v>
      </c>
      <c r="G436" s="64">
        <f>7.8674 * CHOOSE(CONTROL!$C$22, $C$13, 100%, $E$13)</f>
        <v>7.8673999999999999</v>
      </c>
      <c r="H436" s="64">
        <f>13.3689* CHOOSE(CONTROL!$C$22, $C$13, 100%, $E$13)</f>
        <v>13.3689</v>
      </c>
      <c r="I436" s="64">
        <f>13.369 * CHOOSE(CONTROL!$C$22, $C$13, 100%, $E$13)</f>
        <v>13.369</v>
      </c>
      <c r="J436" s="64">
        <f>7.8673 * CHOOSE(CONTROL!$C$22, $C$13, 100%, $E$13)</f>
        <v>7.8673000000000002</v>
      </c>
      <c r="K436" s="64">
        <f>7.8674 * CHOOSE(CONTROL!$C$22, $C$13, 100%, $E$13)</f>
        <v>7.8673999999999999</v>
      </c>
    </row>
    <row r="437" spans="1:11" ht="15">
      <c r="A437" s="13">
        <v>54789</v>
      </c>
      <c r="B437" s="63">
        <f>6.6762 * CHOOSE(CONTROL!$C$22, $C$13, 100%, $E$13)</f>
        <v>6.6761999999999997</v>
      </c>
      <c r="C437" s="63">
        <f>6.6762 * CHOOSE(CONTROL!$C$22, $C$13, 100%, $E$13)</f>
        <v>6.6761999999999997</v>
      </c>
      <c r="D437" s="63">
        <f>6.6762 * CHOOSE(CONTROL!$C$22, $C$13, 100%, $E$13)</f>
        <v>6.6761999999999997</v>
      </c>
      <c r="E437" s="64">
        <f>7.9797 * CHOOSE(CONTROL!$C$22, $C$13, 100%, $E$13)</f>
        <v>7.9797000000000002</v>
      </c>
      <c r="F437" s="64">
        <f>7.9797 * CHOOSE(CONTROL!$C$22, $C$13, 100%, $E$13)</f>
        <v>7.9797000000000002</v>
      </c>
      <c r="G437" s="64">
        <f>7.9798 * CHOOSE(CONTROL!$C$22, $C$13, 100%, $E$13)</f>
        <v>7.9798</v>
      </c>
      <c r="H437" s="64">
        <f>13.3968* CHOOSE(CONTROL!$C$22, $C$13, 100%, $E$13)</f>
        <v>13.396800000000001</v>
      </c>
      <c r="I437" s="64">
        <f>13.3968 * CHOOSE(CONTROL!$C$22, $C$13, 100%, $E$13)</f>
        <v>13.396800000000001</v>
      </c>
      <c r="J437" s="64">
        <f>7.9797 * CHOOSE(CONTROL!$C$22, $C$13, 100%, $E$13)</f>
        <v>7.9797000000000002</v>
      </c>
      <c r="K437" s="64">
        <f>7.9798 * CHOOSE(CONTROL!$C$22, $C$13, 100%, $E$13)</f>
        <v>7.9798</v>
      </c>
    </row>
    <row r="438" spans="1:11" ht="15">
      <c r="A438" s="13">
        <v>54820</v>
      </c>
      <c r="B438" s="63">
        <f>6.6731 * CHOOSE(CONTROL!$C$22, $C$13, 100%, $E$13)</f>
        <v>6.6730999999999998</v>
      </c>
      <c r="C438" s="63">
        <f>6.6731 * CHOOSE(CONTROL!$C$22, $C$13, 100%, $E$13)</f>
        <v>6.6730999999999998</v>
      </c>
      <c r="D438" s="63">
        <f>6.6731 * CHOOSE(CONTROL!$C$22, $C$13, 100%, $E$13)</f>
        <v>6.6730999999999998</v>
      </c>
      <c r="E438" s="64">
        <f>7.8478 * CHOOSE(CONTROL!$C$22, $C$13, 100%, $E$13)</f>
        <v>7.8478000000000003</v>
      </c>
      <c r="F438" s="64">
        <f>7.8478 * CHOOSE(CONTROL!$C$22, $C$13, 100%, $E$13)</f>
        <v>7.8478000000000003</v>
      </c>
      <c r="G438" s="64">
        <f>7.8479 * CHOOSE(CONTROL!$C$22, $C$13, 100%, $E$13)</f>
        <v>7.8479000000000001</v>
      </c>
      <c r="H438" s="64">
        <f>13.4247* CHOOSE(CONTROL!$C$22, $C$13, 100%, $E$13)</f>
        <v>13.4247</v>
      </c>
      <c r="I438" s="64">
        <f>13.4247 * CHOOSE(CONTROL!$C$22, $C$13, 100%, $E$13)</f>
        <v>13.4247</v>
      </c>
      <c r="J438" s="64">
        <f>7.8478 * CHOOSE(CONTROL!$C$22, $C$13, 100%, $E$13)</f>
        <v>7.8478000000000003</v>
      </c>
      <c r="K438" s="64">
        <f>7.8479 * CHOOSE(CONTROL!$C$22, $C$13, 100%, $E$13)</f>
        <v>7.8479000000000001</v>
      </c>
    </row>
    <row r="439" spans="1:11" ht="15">
      <c r="A439" s="13">
        <v>54848</v>
      </c>
      <c r="B439" s="63">
        <f>6.6701 * CHOOSE(CONTROL!$C$22, $C$13, 100%, $E$13)</f>
        <v>6.6700999999999997</v>
      </c>
      <c r="C439" s="63">
        <f>6.6701 * CHOOSE(CONTROL!$C$22, $C$13, 100%, $E$13)</f>
        <v>6.6700999999999997</v>
      </c>
      <c r="D439" s="63">
        <f>6.6701 * CHOOSE(CONTROL!$C$22, $C$13, 100%, $E$13)</f>
        <v>6.6700999999999997</v>
      </c>
      <c r="E439" s="64">
        <f>7.948 * CHOOSE(CONTROL!$C$22, $C$13, 100%, $E$13)</f>
        <v>7.9480000000000004</v>
      </c>
      <c r="F439" s="64">
        <f>7.948 * CHOOSE(CONTROL!$C$22, $C$13, 100%, $E$13)</f>
        <v>7.9480000000000004</v>
      </c>
      <c r="G439" s="64">
        <f>7.9481 * CHOOSE(CONTROL!$C$22, $C$13, 100%, $E$13)</f>
        <v>7.9481000000000002</v>
      </c>
      <c r="H439" s="64">
        <f>13.4526* CHOOSE(CONTROL!$C$22, $C$13, 100%, $E$13)</f>
        <v>13.4526</v>
      </c>
      <c r="I439" s="64">
        <f>13.4527 * CHOOSE(CONTROL!$C$22, $C$13, 100%, $E$13)</f>
        <v>13.4527</v>
      </c>
      <c r="J439" s="64">
        <f>7.948 * CHOOSE(CONTROL!$C$22, $C$13, 100%, $E$13)</f>
        <v>7.9480000000000004</v>
      </c>
      <c r="K439" s="64">
        <f>7.9481 * CHOOSE(CONTROL!$C$22, $C$13, 100%, $E$13)</f>
        <v>7.9481000000000002</v>
      </c>
    </row>
    <row r="440" spans="1:11" ht="15">
      <c r="A440" s="13">
        <v>54879</v>
      </c>
      <c r="B440" s="63">
        <f>6.67 * CHOOSE(CONTROL!$C$22, $C$13, 100%, $E$13)</f>
        <v>6.67</v>
      </c>
      <c r="C440" s="63">
        <f>6.67 * CHOOSE(CONTROL!$C$22, $C$13, 100%, $E$13)</f>
        <v>6.67</v>
      </c>
      <c r="D440" s="63">
        <f>6.6701 * CHOOSE(CONTROL!$C$22, $C$13, 100%, $E$13)</f>
        <v>6.6700999999999997</v>
      </c>
      <c r="E440" s="64">
        <f>8.0536 * CHOOSE(CONTROL!$C$22, $C$13, 100%, $E$13)</f>
        <v>8.0535999999999994</v>
      </c>
      <c r="F440" s="64">
        <f>8.0536 * CHOOSE(CONTROL!$C$22, $C$13, 100%, $E$13)</f>
        <v>8.0535999999999994</v>
      </c>
      <c r="G440" s="64">
        <f>8.0537 * CHOOSE(CONTROL!$C$22, $C$13, 100%, $E$13)</f>
        <v>8.0536999999999992</v>
      </c>
      <c r="H440" s="64">
        <f>13.4807* CHOOSE(CONTROL!$C$22, $C$13, 100%, $E$13)</f>
        <v>13.480700000000001</v>
      </c>
      <c r="I440" s="64">
        <f>13.4807 * CHOOSE(CONTROL!$C$22, $C$13, 100%, $E$13)</f>
        <v>13.480700000000001</v>
      </c>
      <c r="J440" s="64">
        <f>8.0536 * CHOOSE(CONTROL!$C$22, $C$13, 100%, $E$13)</f>
        <v>8.0535999999999994</v>
      </c>
      <c r="K440" s="64">
        <f>8.0537 * CHOOSE(CONTROL!$C$22, $C$13, 100%, $E$13)</f>
        <v>8.0536999999999992</v>
      </c>
    </row>
    <row r="441" spans="1:11" ht="15">
      <c r="A441" s="13">
        <v>54909</v>
      </c>
      <c r="B441" s="63">
        <f>6.67 * CHOOSE(CONTROL!$C$22, $C$13, 100%, $E$13)</f>
        <v>6.67</v>
      </c>
      <c r="C441" s="63">
        <f>6.67 * CHOOSE(CONTROL!$C$22, $C$13, 100%, $E$13)</f>
        <v>6.67</v>
      </c>
      <c r="D441" s="63">
        <f>6.683 * CHOOSE(CONTROL!$C$22, $C$13, 100%, $E$13)</f>
        <v>6.6829999999999998</v>
      </c>
      <c r="E441" s="64">
        <f>8.0948 * CHOOSE(CONTROL!$C$22, $C$13, 100%, $E$13)</f>
        <v>8.0947999999999993</v>
      </c>
      <c r="F441" s="64">
        <f>8.0948 * CHOOSE(CONTROL!$C$22, $C$13, 100%, $E$13)</f>
        <v>8.0947999999999993</v>
      </c>
      <c r="G441" s="64">
        <f>8.1105 * CHOOSE(CONTROL!$C$22, $C$13, 100%, $E$13)</f>
        <v>8.1105</v>
      </c>
      <c r="H441" s="64">
        <f>13.5087* CHOOSE(CONTROL!$C$22, $C$13, 100%, $E$13)</f>
        <v>13.508699999999999</v>
      </c>
      <c r="I441" s="64">
        <f>13.5244 * CHOOSE(CONTROL!$C$22, $C$13, 100%, $E$13)</f>
        <v>13.5244</v>
      </c>
      <c r="J441" s="64">
        <f>8.0948 * CHOOSE(CONTROL!$C$22, $C$13, 100%, $E$13)</f>
        <v>8.0947999999999993</v>
      </c>
      <c r="K441" s="64">
        <f>8.1105 * CHOOSE(CONTROL!$C$22, $C$13, 100%, $E$13)</f>
        <v>8.1105</v>
      </c>
    </row>
    <row r="442" spans="1:11" ht="15">
      <c r="A442" s="13">
        <v>54940</v>
      </c>
      <c r="B442" s="63">
        <f>6.6761 * CHOOSE(CONTROL!$C$22, $C$13, 100%, $E$13)</f>
        <v>6.6760999999999999</v>
      </c>
      <c r="C442" s="63">
        <f>6.6761 * CHOOSE(CONTROL!$C$22, $C$13, 100%, $E$13)</f>
        <v>6.6760999999999999</v>
      </c>
      <c r="D442" s="63">
        <f>6.6891 * CHOOSE(CONTROL!$C$22, $C$13, 100%, $E$13)</f>
        <v>6.6890999999999998</v>
      </c>
      <c r="E442" s="64">
        <f>8.0579 * CHOOSE(CONTROL!$C$22, $C$13, 100%, $E$13)</f>
        <v>8.0579000000000001</v>
      </c>
      <c r="F442" s="64">
        <f>8.0579 * CHOOSE(CONTROL!$C$22, $C$13, 100%, $E$13)</f>
        <v>8.0579000000000001</v>
      </c>
      <c r="G442" s="64">
        <f>8.0736 * CHOOSE(CONTROL!$C$22, $C$13, 100%, $E$13)</f>
        <v>8.0736000000000008</v>
      </c>
      <c r="H442" s="64">
        <f>13.5369* CHOOSE(CONTROL!$C$22, $C$13, 100%, $E$13)</f>
        <v>13.536899999999999</v>
      </c>
      <c r="I442" s="64">
        <f>13.5526 * CHOOSE(CONTROL!$C$22, $C$13, 100%, $E$13)</f>
        <v>13.5526</v>
      </c>
      <c r="J442" s="64">
        <f>8.0579 * CHOOSE(CONTROL!$C$22, $C$13, 100%, $E$13)</f>
        <v>8.0579000000000001</v>
      </c>
      <c r="K442" s="64">
        <f>8.0736 * CHOOSE(CONTROL!$C$22, $C$13, 100%, $E$13)</f>
        <v>8.0736000000000008</v>
      </c>
    </row>
    <row r="443" spans="1:11" ht="15">
      <c r="A443" s="13">
        <v>54970</v>
      </c>
      <c r="B443" s="63">
        <f>6.7826 * CHOOSE(CONTROL!$C$22, $C$13, 100%, $E$13)</f>
        <v>6.7826000000000004</v>
      </c>
      <c r="C443" s="63">
        <f>6.7826 * CHOOSE(CONTROL!$C$22, $C$13, 100%, $E$13)</f>
        <v>6.7826000000000004</v>
      </c>
      <c r="D443" s="63">
        <f>6.7956 * CHOOSE(CONTROL!$C$22, $C$13, 100%, $E$13)</f>
        <v>6.7956000000000003</v>
      </c>
      <c r="E443" s="64">
        <f>8.1919 * CHOOSE(CONTROL!$C$22, $C$13, 100%, $E$13)</f>
        <v>8.1919000000000004</v>
      </c>
      <c r="F443" s="64">
        <f>8.1919 * CHOOSE(CONTROL!$C$22, $C$13, 100%, $E$13)</f>
        <v>8.1919000000000004</v>
      </c>
      <c r="G443" s="64">
        <f>8.2075 * CHOOSE(CONTROL!$C$22, $C$13, 100%, $E$13)</f>
        <v>8.2074999999999996</v>
      </c>
      <c r="H443" s="64">
        <f>13.5651* CHOOSE(CONTROL!$C$22, $C$13, 100%, $E$13)</f>
        <v>13.565099999999999</v>
      </c>
      <c r="I443" s="64">
        <f>13.5808 * CHOOSE(CONTROL!$C$22, $C$13, 100%, $E$13)</f>
        <v>13.5808</v>
      </c>
      <c r="J443" s="64">
        <f>8.1919 * CHOOSE(CONTROL!$C$22, $C$13, 100%, $E$13)</f>
        <v>8.1919000000000004</v>
      </c>
      <c r="K443" s="64">
        <f>8.2075 * CHOOSE(CONTROL!$C$22, $C$13, 100%, $E$13)</f>
        <v>8.2074999999999996</v>
      </c>
    </row>
    <row r="444" spans="1:11" ht="15">
      <c r="A444" s="13">
        <v>55001</v>
      </c>
      <c r="B444" s="63">
        <f>6.7893 * CHOOSE(CONTROL!$C$22, $C$13, 100%, $E$13)</f>
        <v>6.7892999999999999</v>
      </c>
      <c r="C444" s="63">
        <f>6.7893 * CHOOSE(CONTROL!$C$22, $C$13, 100%, $E$13)</f>
        <v>6.7892999999999999</v>
      </c>
      <c r="D444" s="63">
        <f>6.8023 * CHOOSE(CONTROL!$C$22, $C$13, 100%, $E$13)</f>
        <v>6.8022999999999998</v>
      </c>
      <c r="E444" s="64">
        <f>8.0729 * CHOOSE(CONTROL!$C$22, $C$13, 100%, $E$13)</f>
        <v>8.0729000000000006</v>
      </c>
      <c r="F444" s="64">
        <f>8.0729 * CHOOSE(CONTROL!$C$22, $C$13, 100%, $E$13)</f>
        <v>8.0729000000000006</v>
      </c>
      <c r="G444" s="64">
        <f>8.0886 * CHOOSE(CONTROL!$C$22, $C$13, 100%, $E$13)</f>
        <v>8.0885999999999996</v>
      </c>
      <c r="H444" s="64">
        <f>13.5934* CHOOSE(CONTROL!$C$22, $C$13, 100%, $E$13)</f>
        <v>13.593400000000001</v>
      </c>
      <c r="I444" s="64">
        <f>13.609 * CHOOSE(CONTROL!$C$22, $C$13, 100%, $E$13)</f>
        <v>13.609</v>
      </c>
      <c r="J444" s="64">
        <f>8.0729 * CHOOSE(CONTROL!$C$22, $C$13, 100%, $E$13)</f>
        <v>8.0729000000000006</v>
      </c>
      <c r="K444" s="64">
        <f>8.0886 * CHOOSE(CONTROL!$C$22, $C$13, 100%, $E$13)</f>
        <v>8.0885999999999996</v>
      </c>
    </row>
    <row r="445" spans="1:11" ht="15">
      <c r="A445" s="13">
        <v>55032</v>
      </c>
      <c r="B445" s="63">
        <f>6.7863 * CHOOSE(CONTROL!$C$22, $C$13, 100%, $E$13)</f>
        <v>6.7862999999999998</v>
      </c>
      <c r="C445" s="63">
        <f>6.7863 * CHOOSE(CONTROL!$C$22, $C$13, 100%, $E$13)</f>
        <v>6.7862999999999998</v>
      </c>
      <c r="D445" s="63">
        <f>6.7992 * CHOOSE(CONTROL!$C$22, $C$13, 100%, $E$13)</f>
        <v>6.7991999999999999</v>
      </c>
      <c r="E445" s="64">
        <f>8.0571 * CHOOSE(CONTROL!$C$22, $C$13, 100%, $E$13)</f>
        <v>8.0571000000000002</v>
      </c>
      <c r="F445" s="64">
        <f>8.0571 * CHOOSE(CONTROL!$C$22, $C$13, 100%, $E$13)</f>
        <v>8.0571000000000002</v>
      </c>
      <c r="G445" s="64">
        <f>8.0727 * CHOOSE(CONTROL!$C$22, $C$13, 100%, $E$13)</f>
        <v>8.0726999999999993</v>
      </c>
      <c r="H445" s="64">
        <f>13.6217* CHOOSE(CONTROL!$C$22, $C$13, 100%, $E$13)</f>
        <v>13.621700000000001</v>
      </c>
      <c r="I445" s="64">
        <f>13.6374 * CHOOSE(CONTROL!$C$22, $C$13, 100%, $E$13)</f>
        <v>13.6374</v>
      </c>
      <c r="J445" s="64">
        <f>8.0571 * CHOOSE(CONTROL!$C$22, $C$13, 100%, $E$13)</f>
        <v>8.0571000000000002</v>
      </c>
      <c r="K445" s="64">
        <f>8.0727 * CHOOSE(CONTROL!$C$22, $C$13, 100%, $E$13)</f>
        <v>8.0726999999999993</v>
      </c>
    </row>
    <row r="446" spans="1:11" ht="15">
      <c r="A446" s="13">
        <v>55062</v>
      </c>
      <c r="B446" s="63">
        <f>6.7905 * CHOOSE(CONTROL!$C$22, $C$13, 100%, $E$13)</f>
        <v>6.7904999999999998</v>
      </c>
      <c r="C446" s="63">
        <f>6.7905 * CHOOSE(CONTROL!$C$22, $C$13, 100%, $E$13)</f>
        <v>6.7904999999999998</v>
      </c>
      <c r="D446" s="63">
        <f>6.7905 * CHOOSE(CONTROL!$C$22, $C$13, 100%, $E$13)</f>
        <v>6.7904999999999998</v>
      </c>
      <c r="E446" s="64">
        <f>8.0986 * CHOOSE(CONTROL!$C$22, $C$13, 100%, $E$13)</f>
        <v>8.0985999999999994</v>
      </c>
      <c r="F446" s="64">
        <f>8.0986 * CHOOSE(CONTROL!$C$22, $C$13, 100%, $E$13)</f>
        <v>8.0985999999999994</v>
      </c>
      <c r="G446" s="64">
        <f>8.0987 * CHOOSE(CONTROL!$C$22, $C$13, 100%, $E$13)</f>
        <v>8.0986999999999991</v>
      </c>
      <c r="H446" s="64">
        <f>13.6501* CHOOSE(CONTROL!$C$22, $C$13, 100%, $E$13)</f>
        <v>13.6501</v>
      </c>
      <c r="I446" s="64">
        <f>13.6501 * CHOOSE(CONTROL!$C$22, $C$13, 100%, $E$13)</f>
        <v>13.6501</v>
      </c>
      <c r="J446" s="64">
        <f>8.0986 * CHOOSE(CONTROL!$C$22, $C$13, 100%, $E$13)</f>
        <v>8.0985999999999994</v>
      </c>
      <c r="K446" s="64">
        <f>8.0987 * CHOOSE(CONTROL!$C$22, $C$13, 100%, $E$13)</f>
        <v>8.0986999999999991</v>
      </c>
    </row>
    <row r="447" spans="1:11" ht="15">
      <c r="A447" s="13">
        <v>55093</v>
      </c>
      <c r="B447" s="63">
        <f>6.7936 * CHOOSE(CONTROL!$C$22, $C$13, 100%, $E$13)</f>
        <v>6.7935999999999996</v>
      </c>
      <c r="C447" s="63">
        <f>6.7936 * CHOOSE(CONTROL!$C$22, $C$13, 100%, $E$13)</f>
        <v>6.7935999999999996</v>
      </c>
      <c r="D447" s="63">
        <f>6.7936 * CHOOSE(CONTROL!$C$22, $C$13, 100%, $E$13)</f>
        <v>6.7935999999999996</v>
      </c>
      <c r="E447" s="64">
        <f>8.1282 * CHOOSE(CONTROL!$C$22, $C$13, 100%, $E$13)</f>
        <v>8.1281999999999996</v>
      </c>
      <c r="F447" s="64">
        <f>8.1282 * CHOOSE(CONTROL!$C$22, $C$13, 100%, $E$13)</f>
        <v>8.1281999999999996</v>
      </c>
      <c r="G447" s="64">
        <f>8.1282 * CHOOSE(CONTROL!$C$22, $C$13, 100%, $E$13)</f>
        <v>8.1281999999999996</v>
      </c>
      <c r="H447" s="64">
        <f>13.6785* CHOOSE(CONTROL!$C$22, $C$13, 100%, $E$13)</f>
        <v>13.6785</v>
      </c>
      <c r="I447" s="64">
        <f>13.6786 * CHOOSE(CONTROL!$C$22, $C$13, 100%, $E$13)</f>
        <v>13.678599999999999</v>
      </c>
      <c r="J447" s="64">
        <f>8.1282 * CHOOSE(CONTROL!$C$22, $C$13, 100%, $E$13)</f>
        <v>8.1281999999999996</v>
      </c>
      <c r="K447" s="64">
        <f>8.1282 * CHOOSE(CONTROL!$C$22, $C$13, 100%, $E$13)</f>
        <v>8.1281999999999996</v>
      </c>
    </row>
    <row r="448" spans="1:11" ht="15">
      <c r="A448" s="13">
        <v>55123</v>
      </c>
      <c r="B448" s="63">
        <f>6.7936 * CHOOSE(CONTROL!$C$22, $C$13, 100%, $E$13)</f>
        <v>6.7935999999999996</v>
      </c>
      <c r="C448" s="63">
        <f>6.7936 * CHOOSE(CONTROL!$C$22, $C$13, 100%, $E$13)</f>
        <v>6.7935999999999996</v>
      </c>
      <c r="D448" s="63">
        <f>6.7936 * CHOOSE(CONTROL!$C$22, $C$13, 100%, $E$13)</f>
        <v>6.7935999999999996</v>
      </c>
      <c r="E448" s="64">
        <f>8.0595 * CHOOSE(CONTROL!$C$22, $C$13, 100%, $E$13)</f>
        <v>8.0594999999999999</v>
      </c>
      <c r="F448" s="64">
        <f>8.0595 * CHOOSE(CONTROL!$C$22, $C$13, 100%, $E$13)</f>
        <v>8.0594999999999999</v>
      </c>
      <c r="G448" s="64">
        <f>8.0596 * CHOOSE(CONTROL!$C$22, $C$13, 100%, $E$13)</f>
        <v>8.0595999999999997</v>
      </c>
      <c r="H448" s="64">
        <f>13.707* CHOOSE(CONTROL!$C$22, $C$13, 100%, $E$13)</f>
        <v>13.707000000000001</v>
      </c>
      <c r="I448" s="64">
        <f>13.7071 * CHOOSE(CONTROL!$C$22, $C$13, 100%, $E$13)</f>
        <v>13.707100000000001</v>
      </c>
      <c r="J448" s="64">
        <f>8.0595 * CHOOSE(CONTROL!$C$22, $C$13, 100%, $E$13)</f>
        <v>8.0594999999999999</v>
      </c>
      <c r="K448" s="64">
        <f>8.0596 * CHOOSE(CONTROL!$C$22, $C$13, 100%, $E$13)</f>
        <v>8.0595999999999997</v>
      </c>
    </row>
    <row r="449" spans="1:11" ht="15">
      <c r="A449" s="13">
        <v>55154</v>
      </c>
      <c r="B449" s="63">
        <f>6.8525 * CHOOSE(CONTROL!$C$22, $C$13, 100%, $E$13)</f>
        <v>6.8525</v>
      </c>
      <c r="C449" s="63">
        <f>6.8525 * CHOOSE(CONTROL!$C$22, $C$13, 100%, $E$13)</f>
        <v>6.8525</v>
      </c>
      <c r="D449" s="63">
        <f>6.8525 * CHOOSE(CONTROL!$C$22, $C$13, 100%, $E$13)</f>
        <v>6.8525</v>
      </c>
      <c r="E449" s="64">
        <f>8.1748 * CHOOSE(CONTROL!$C$22, $C$13, 100%, $E$13)</f>
        <v>8.1747999999999994</v>
      </c>
      <c r="F449" s="64">
        <f>8.1748 * CHOOSE(CONTROL!$C$22, $C$13, 100%, $E$13)</f>
        <v>8.1747999999999994</v>
      </c>
      <c r="G449" s="64">
        <f>8.1748 * CHOOSE(CONTROL!$C$22, $C$13, 100%, $E$13)</f>
        <v>8.1747999999999994</v>
      </c>
      <c r="H449" s="64">
        <f>13.7355* CHOOSE(CONTROL!$C$22, $C$13, 100%, $E$13)</f>
        <v>13.7355</v>
      </c>
      <c r="I449" s="64">
        <f>13.7356 * CHOOSE(CONTROL!$C$22, $C$13, 100%, $E$13)</f>
        <v>13.7356</v>
      </c>
      <c r="J449" s="64">
        <f>8.1748 * CHOOSE(CONTROL!$C$22, $C$13, 100%, $E$13)</f>
        <v>8.1747999999999994</v>
      </c>
      <c r="K449" s="64">
        <f>8.1748 * CHOOSE(CONTROL!$C$22, $C$13, 100%, $E$13)</f>
        <v>8.1747999999999994</v>
      </c>
    </row>
    <row r="450" spans="1:11" ht="15">
      <c r="A450" s="13">
        <v>55185</v>
      </c>
      <c r="B450" s="63">
        <f>6.8495 * CHOOSE(CONTROL!$C$22, $C$13, 100%, $E$13)</f>
        <v>6.8494999999999999</v>
      </c>
      <c r="C450" s="63">
        <f>6.8495 * CHOOSE(CONTROL!$C$22, $C$13, 100%, $E$13)</f>
        <v>6.8494999999999999</v>
      </c>
      <c r="D450" s="63">
        <f>6.8495 * CHOOSE(CONTROL!$C$22, $C$13, 100%, $E$13)</f>
        <v>6.8494999999999999</v>
      </c>
      <c r="E450" s="64">
        <f>8.0392 * CHOOSE(CONTROL!$C$22, $C$13, 100%, $E$13)</f>
        <v>8.0391999999999992</v>
      </c>
      <c r="F450" s="64">
        <f>8.0392 * CHOOSE(CONTROL!$C$22, $C$13, 100%, $E$13)</f>
        <v>8.0391999999999992</v>
      </c>
      <c r="G450" s="64">
        <f>8.0393 * CHOOSE(CONTROL!$C$22, $C$13, 100%, $E$13)</f>
        <v>8.0393000000000008</v>
      </c>
      <c r="H450" s="64">
        <f>13.7642* CHOOSE(CONTROL!$C$22, $C$13, 100%, $E$13)</f>
        <v>13.764200000000001</v>
      </c>
      <c r="I450" s="64">
        <f>13.7642 * CHOOSE(CONTROL!$C$22, $C$13, 100%, $E$13)</f>
        <v>13.764200000000001</v>
      </c>
      <c r="J450" s="64">
        <f>8.0392 * CHOOSE(CONTROL!$C$22, $C$13, 100%, $E$13)</f>
        <v>8.0391999999999992</v>
      </c>
      <c r="K450" s="64">
        <f>8.0393 * CHOOSE(CONTROL!$C$22, $C$13, 100%, $E$13)</f>
        <v>8.0393000000000008</v>
      </c>
    </row>
    <row r="451" spans="1:11" ht="15">
      <c r="A451" s="13">
        <v>55213</v>
      </c>
      <c r="B451" s="63">
        <f>6.8464 * CHOOSE(CONTROL!$C$22, $C$13, 100%, $E$13)</f>
        <v>6.8464</v>
      </c>
      <c r="C451" s="63">
        <f>6.8464 * CHOOSE(CONTROL!$C$22, $C$13, 100%, $E$13)</f>
        <v>6.8464</v>
      </c>
      <c r="D451" s="63">
        <f>6.8464 * CHOOSE(CONTROL!$C$22, $C$13, 100%, $E$13)</f>
        <v>6.8464</v>
      </c>
      <c r="E451" s="64">
        <f>8.1423 * CHOOSE(CONTROL!$C$22, $C$13, 100%, $E$13)</f>
        <v>8.1423000000000005</v>
      </c>
      <c r="F451" s="64">
        <f>8.1423 * CHOOSE(CONTROL!$C$22, $C$13, 100%, $E$13)</f>
        <v>8.1423000000000005</v>
      </c>
      <c r="G451" s="64">
        <f>8.1424 * CHOOSE(CONTROL!$C$22, $C$13, 100%, $E$13)</f>
        <v>8.1424000000000003</v>
      </c>
      <c r="H451" s="64">
        <f>13.7928* CHOOSE(CONTROL!$C$22, $C$13, 100%, $E$13)</f>
        <v>13.7928</v>
      </c>
      <c r="I451" s="64">
        <f>13.7929 * CHOOSE(CONTROL!$C$22, $C$13, 100%, $E$13)</f>
        <v>13.792899999999999</v>
      </c>
      <c r="J451" s="64">
        <f>8.1423 * CHOOSE(CONTROL!$C$22, $C$13, 100%, $E$13)</f>
        <v>8.1423000000000005</v>
      </c>
      <c r="K451" s="64">
        <f>8.1424 * CHOOSE(CONTROL!$C$22, $C$13, 100%, $E$13)</f>
        <v>8.1424000000000003</v>
      </c>
    </row>
    <row r="452" spans="1:11" ht="15">
      <c r="A452" s="13">
        <v>55244</v>
      </c>
      <c r="B452" s="63">
        <f>6.8465 * CHOOSE(CONTROL!$C$22, $C$13, 100%, $E$13)</f>
        <v>6.8464999999999998</v>
      </c>
      <c r="C452" s="63">
        <f>6.8465 * CHOOSE(CONTROL!$C$22, $C$13, 100%, $E$13)</f>
        <v>6.8464999999999998</v>
      </c>
      <c r="D452" s="63">
        <f>6.8465 * CHOOSE(CONTROL!$C$22, $C$13, 100%, $E$13)</f>
        <v>6.8464999999999998</v>
      </c>
      <c r="E452" s="64">
        <f>8.251 * CHOOSE(CONTROL!$C$22, $C$13, 100%, $E$13)</f>
        <v>8.2509999999999994</v>
      </c>
      <c r="F452" s="64">
        <f>8.251 * CHOOSE(CONTROL!$C$22, $C$13, 100%, $E$13)</f>
        <v>8.2509999999999994</v>
      </c>
      <c r="G452" s="64">
        <f>8.2511 * CHOOSE(CONTROL!$C$22, $C$13, 100%, $E$13)</f>
        <v>8.2510999999999992</v>
      </c>
      <c r="H452" s="64">
        <f>13.8216* CHOOSE(CONTROL!$C$22, $C$13, 100%, $E$13)</f>
        <v>13.8216</v>
      </c>
      <c r="I452" s="64">
        <f>13.8216 * CHOOSE(CONTROL!$C$22, $C$13, 100%, $E$13)</f>
        <v>13.8216</v>
      </c>
      <c r="J452" s="64">
        <f>8.251 * CHOOSE(CONTROL!$C$22, $C$13, 100%, $E$13)</f>
        <v>8.2509999999999994</v>
      </c>
      <c r="K452" s="64">
        <f>8.2511 * CHOOSE(CONTROL!$C$22, $C$13, 100%, $E$13)</f>
        <v>8.2510999999999992</v>
      </c>
    </row>
    <row r="453" spans="1:11" ht="15">
      <c r="A453" s="13">
        <v>55274</v>
      </c>
      <c r="B453" s="63">
        <f>6.8465 * CHOOSE(CONTROL!$C$22, $C$13, 100%, $E$13)</f>
        <v>6.8464999999999998</v>
      </c>
      <c r="C453" s="63">
        <f>6.8465 * CHOOSE(CONTROL!$C$22, $C$13, 100%, $E$13)</f>
        <v>6.8464999999999998</v>
      </c>
      <c r="D453" s="63">
        <f>6.8595 * CHOOSE(CONTROL!$C$22, $C$13, 100%, $E$13)</f>
        <v>6.8594999999999997</v>
      </c>
      <c r="E453" s="64">
        <f>8.2934 * CHOOSE(CONTROL!$C$22, $C$13, 100%, $E$13)</f>
        <v>8.2934000000000001</v>
      </c>
      <c r="F453" s="64">
        <f>8.2934 * CHOOSE(CONTROL!$C$22, $C$13, 100%, $E$13)</f>
        <v>8.2934000000000001</v>
      </c>
      <c r="G453" s="64">
        <f>8.309 * CHOOSE(CONTROL!$C$22, $C$13, 100%, $E$13)</f>
        <v>8.3089999999999993</v>
      </c>
      <c r="H453" s="64">
        <f>13.8504* CHOOSE(CONTROL!$C$22, $C$13, 100%, $E$13)</f>
        <v>13.8504</v>
      </c>
      <c r="I453" s="64">
        <f>13.866 * CHOOSE(CONTROL!$C$22, $C$13, 100%, $E$13)</f>
        <v>13.866</v>
      </c>
      <c r="J453" s="64">
        <f>8.2934 * CHOOSE(CONTROL!$C$22, $C$13, 100%, $E$13)</f>
        <v>8.2934000000000001</v>
      </c>
      <c r="K453" s="64">
        <f>8.309 * CHOOSE(CONTROL!$C$22, $C$13, 100%, $E$13)</f>
        <v>8.3089999999999993</v>
      </c>
    </row>
    <row r="454" spans="1:11" ht="15">
      <c r="A454" s="13">
        <v>55305</v>
      </c>
      <c r="B454" s="63">
        <f>6.8526 * CHOOSE(CONTROL!$C$22, $C$13, 100%, $E$13)</f>
        <v>6.8525999999999998</v>
      </c>
      <c r="C454" s="63">
        <f>6.8526 * CHOOSE(CONTROL!$C$22, $C$13, 100%, $E$13)</f>
        <v>6.8525999999999998</v>
      </c>
      <c r="D454" s="63">
        <f>6.8656 * CHOOSE(CONTROL!$C$22, $C$13, 100%, $E$13)</f>
        <v>6.8655999999999997</v>
      </c>
      <c r="E454" s="64">
        <f>8.2552 * CHOOSE(CONTROL!$C$22, $C$13, 100%, $E$13)</f>
        <v>8.2552000000000003</v>
      </c>
      <c r="F454" s="64">
        <f>8.2552 * CHOOSE(CONTROL!$C$22, $C$13, 100%, $E$13)</f>
        <v>8.2552000000000003</v>
      </c>
      <c r="G454" s="64">
        <f>8.2709 * CHOOSE(CONTROL!$C$22, $C$13, 100%, $E$13)</f>
        <v>8.2708999999999993</v>
      </c>
      <c r="H454" s="64">
        <f>13.8792* CHOOSE(CONTROL!$C$22, $C$13, 100%, $E$13)</f>
        <v>13.879200000000001</v>
      </c>
      <c r="I454" s="64">
        <f>13.8949 * CHOOSE(CONTROL!$C$22, $C$13, 100%, $E$13)</f>
        <v>13.8949</v>
      </c>
      <c r="J454" s="64">
        <f>8.2552 * CHOOSE(CONTROL!$C$22, $C$13, 100%, $E$13)</f>
        <v>8.2552000000000003</v>
      </c>
      <c r="K454" s="64">
        <f>8.2709 * CHOOSE(CONTROL!$C$22, $C$13, 100%, $E$13)</f>
        <v>8.2708999999999993</v>
      </c>
    </row>
    <row r="455" spans="1:11" ht="15">
      <c r="A455" s="13">
        <v>55335</v>
      </c>
      <c r="B455" s="63">
        <f>6.9616 * CHOOSE(CONTROL!$C$22, $C$13, 100%, $E$13)</f>
        <v>6.9615999999999998</v>
      </c>
      <c r="C455" s="63">
        <f>6.9616 * CHOOSE(CONTROL!$C$22, $C$13, 100%, $E$13)</f>
        <v>6.9615999999999998</v>
      </c>
      <c r="D455" s="63">
        <f>6.9746 * CHOOSE(CONTROL!$C$22, $C$13, 100%, $E$13)</f>
        <v>6.9745999999999997</v>
      </c>
      <c r="E455" s="64">
        <f>8.3922 * CHOOSE(CONTROL!$C$22, $C$13, 100%, $E$13)</f>
        <v>8.3922000000000008</v>
      </c>
      <c r="F455" s="64">
        <f>8.3922 * CHOOSE(CONTROL!$C$22, $C$13, 100%, $E$13)</f>
        <v>8.3922000000000008</v>
      </c>
      <c r="G455" s="64">
        <f>8.4079 * CHOOSE(CONTROL!$C$22, $C$13, 100%, $E$13)</f>
        <v>8.4078999999999997</v>
      </c>
      <c r="H455" s="64">
        <f>13.9081* CHOOSE(CONTROL!$C$22, $C$13, 100%, $E$13)</f>
        <v>13.908099999999999</v>
      </c>
      <c r="I455" s="64">
        <f>13.9238 * CHOOSE(CONTROL!$C$22, $C$13, 100%, $E$13)</f>
        <v>13.9238</v>
      </c>
      <c r="J455" s="64">
        <f>8.3922 * CHOOSE(CONTROL!$C$22, $C$13, 100%, $E$13)</f>
        <v>8.3922000000000008</v>
      </c>
      <c r="K455" s="64">
        <f>8.4079 * CHOOSE(CONTROL!$C$22, $C$13, 100%, $E$13)</f>
        <v>8.4078999999999997</v>
      </c>
    </row>
    <row r="456" spans="1:11" ht="15">
      <c r="A456" s="13">
        <v>55366</v>
      </c>
      <c r="B456" s="63">
        <f>6.9683 * CHOOSE(CONTROL!$C$22, $C$13, 100%, $E$13)</f>
        <v>6.9683000000000002</v>
      </c>
      <c r="C456" s="63">
        <f>6.9683 * CHOOSE(CONTROL!$C$22, $C$13, 100%, $E$13)</f>
        <v>6.9683000000000002</v>
      </c>
      <c r="D456" s="63">
        <f>6.9813 * CHOOSE(CONTROL!$C$22, $C$13, 100%, $E$13)</f>
        <v>6.9813000000000001</v>
      </c>
      <c r="E456" s="64">
        <f>8.2698 * CHOOSE(CONTROL!$C$22, $C$13, 100%, $E$13)</f>
        <v>8.2698</v>
      </c>
      <c r="F456" s="64">
        <f>8.2698 * CHOOSE(CONTROL!$C$22, $C$13, 100%, $E$13)</f>
        <v>8.2698</v>
      </c>
      <c r="G456" s="64">
        <f>8.2855 * CHOOSE(CONTROL!$C$22, $C$13, 100%, $E$13)</f>
        <v>8.2855000000000008</v>
      </c>
      <c r="H456" s="64">
        <f>13.9371* CHOOSE(CONTROL!$C$22, $C$13, 100%, $E$13)</f>
        <v>13.937099999999999</v>
      </c>
      <c r="I456" s="64">
        <f>13.9528 * CHOOSE(CONTROL!$C$22, $C$13, 100%, $E$13)</f>
        <v>13.9528</v>
      </c>
      <c r="J456" s="64">
        <f>8.2698 * CHOOSE(CONTROL!$C$22, $C$13, 100%, $E$13)</f>
        <v>8.2698</v>
      </c>
      <c r="K456" s="64">
        <f>8.2855 * CHOOSE(CONTROL!$C$22, $C$13, 100%, $E$13)</f>
        <v>8.2855000000000008</v>
      </c>
    </row>
    <row r="457" spans="1:11" ht="15">
      <c r="A457" s="13">
        <v>55397</v>
      </c>
      <c r="B457" s="63">
        <f>6.9653 * CHOOSE(CONTROL!$C$22, $C$13, 100%, $E$13)</f>
        <v>6.9653</v>
      </c>
      <c r="C457" s="63">
        <f>6.9653 * CHOOSE(CONTROL!$C$22, $C$13, 100%, $E$13)</f>
        <v>6.9653</v>
      </c>
      <c r="D457" s="63">
        <f>6.9782 * CHOOSE(CONTROL!$C$22, $C$13, 100%, $E$13)</f>
        <v>6.9782000000000002</v>
      </c>
      <c r="E457" s="64">
        <f>8.2536 * CHOOSE(CONTROL!$C$22, $C$13, 100%, $E$13)</f>
        <v>8.2536000000000005</v>
      </c>
      <c r="F457" s="64">
        <f>8.2536 * CHOOSE(CONTROL!$C$22, $C$13, 100%, $E$13)</f>
        <v>8.2536000000000005</v>
      </c>
      <c r="G457" s="64">
        <f>8.2692 * CHOOSE(CONTROL!$C$22, $C$13, 100%, $E$13)</f>
        <v>8.2691999999999997</v>
      </c>
      <c r="H457" s="64">
        <f>13.9661* CHOOSE(CONTROL!$C$22, $C$13, 100%, $E$13)</f>
        <v>13.966100000000001</v>
      </c>
      <c r="I457" s="64">
        <f>13.9818 * CHOOSE(CONTROL!$C$22, $C$13, 100%, $E$13)</f>
        <v>13.9818</v>
      </c>
      <c r="J457" s="64">
        <f>8.2536 * CHOOSE(CONTROL!$C$22, $C$13, 100%, $E$13)</f>
        <v>8.2536000000000005</v>
      </c>
      <c r="K457" s="64">
        <f>8.2692 * CHOOSE(CONTROL!$C$22, $C$13, 100%, $E$13)</f>
        <v>8.2691999999999997</v>
      </c>
    </row>
    <row r="458" spans="1:11" ht="15">
      <c r="A458" s="13">
        <v>55427</v>
      </c>
      <c r="B458" s="63">
        <f>6.9701 * CHOOSE(CONTROL!$C$22, $C$13, 100%, $E$13)</f>
        <v>6.9701000000000004</v>
      </c>
      <c r="C458" s="63">
        <f>6.9701 * CHOOSE(CONTROL!$C$22, $C$13, 100%, $E$13)</f>
        <v>6.9701000000000004</v>
      </c>
      <c r="D458" s="63">
        <f>6.9701 * CHOOSE(CONTROL!$C$22, $C$13, 100%, $E$13)</f>
        <v>6.9701000000000004</v>
      </c>
      <c r="E458" s="64">
        <f>8.2966 * CHOOSE(CONTROL!$C$22, $C$13, 100%, $E$13)</f>
        <v>8.2965999999999998</v>
      </c>
      <c r="F458" s="64">
        <f>8.2966 * CHOOSE(CONTROL!$C$22, $C$13, 100%, $E$13)</f>
        <v>8.2965999999999998</v>
      </c>
      <c r="G458" s="64">
        <f>8.2967 * CHOOSE(CONTROL!$C$22, $C$13, 100%, $E$13)</f>
        <v>8.2966999999999995</v>
      </c>
      <c r="H458" s="64">
        <f>13.9952* CHOOSE(CONTROL!$C$22, $C$13, 100%, $E$13)</f>
        <v>13.995200000000001</v>
      </c>
      <c r="I458" s="64">
        <f>13.9953 * CHOOSE(CONTROL!$C$22, $C$13, 100%, $E$13)</f>
        <v>13.9953</v>
      </c>
      <c r="J458" s="64">
        <f>8.2966 * CHOOSE(CONTROL!$C$22, $C$13, 100%, $E$13)</f>
        <v>8.2965999999999998</v>
      </c>
      <c r="K458" s="64">
        <f>8.2967 * CHOOSE(CONTROL!$C$22, $C$13, 100%, $E$13)</f>
        <v>8.2966999999999995</v>
      </c>
    </row>
    <row r="459" spans="1:11" ht="15">
      <c r="A459" s="13">
        <v>55458</v>
      </c>
      <c r="B459" s="63">
        <f>6.9731 * CHOOSE(CONTROL!$C$22, $C$13, 100%, $E$13)</f>
        <v>6.9730999999999996</v>
      </c>
      <c r="C459" s="63">
        <f>6.9731 * CHOOSE(CONTROL!$C$22, $C$13, 100%, $E$13)</f>
        <v>6.9730999999999996</v>
      </c>
      <c r="D459" s="63">
        <f>6.9731 * CHOOSE(CONTROL!$C$22, $C$13, 100%, $E$13)</f>
        <v>6.9730999999999996</v>
      </c>
      <c r="E459" s="64">
        <f>8.327 * CHOOSE(CONTROL!$C$22, $C$13, 100%, $E$13)</f>
        <v>8.327</v>
      </c>
      <c r="F459" s="64">
        <f>8.327 * CHOOSE(CONTROL!$C$22, $C$13, 100%, $E$13)</f>
        <v>8.327</v>
      </c>
      <c r="G459" s="64">
        <f>8.3271 * CHOOSE(CONTROL!$C$22, $C$13, 100%, $E$13)</f>
        <v>8.3270999999999997</v>
      </c>
      <c r="H459" s="64">
        <f>14.0244* CHOOSE(CONTROL!$C$22, $C$13, 100%, $E$13)</f>
        <v>14.0244</v>
      </c>
      <c r="I459" s="64">
        <f>14.0245 * CHOOSE(CONTROL!$C$22, $C$13, 100%, $E$13)</f>
        <v>14.0245</v>
      </c>
      <c r="J459" s="64">
        <f>8.327 * CHOOSE(CONTROL!$C$22, $C$13, 100%, $E$13)</f>
        <v>8.327</v>
      </c>
      <c r="K459" s="64">
        <f>8.3271 * CHOOSE(CONTROL!$C$22, $C$13, 100%, $E$13)</f>
        <v>8.3270999999999997</v>
      </c>
    </row>
    <row r="460" spans="1:11" ht="15">
      <c r="A460" s="13">
        <v>55488</v>
      </c>
      <c r="B460" s="63">
        <f>6.9731 * CHOOSE(CONTROL!$C$22, $C$13, 100%, $E$13)</f>
        <v>6.9730999999999996</v>
      </c>
      <c r="C460" s="63">
        <f>6.9731 * CHOOSE(CONTROL!$C$22, $C$13, 100%, $E$13)</f>
        <v>6.9730999999999996</v>
      </c>
      <c r="D460" s="63">
        <f>6.9731 * CHOOSE(CONTROL!$C$22, $C$13, 100%, $E$13)</f>
        <v>6.9730999999999996</v>
      </c>
      <c r="E460" s="64">
        <f>8.2564 * CHOOSE(CONTROL!$C$22, $C$13, 100%, $E$13)</f>
        <v>8.2563999999999993</v>
      </c>
      <c r="F460" s="64">
        <f>8.2564 * CHOOSE(CONTROL!$C$22, $C$13, 100%, $E$13)</f>
        <v>8.2563999999999993</v>
      </c>
      <c r="G460" s="64">
        <f>8.2565 * CHOOSE(CONTROL!$C$22, $C$13, 100%, $E$13)</f>
        <v>8.2565000000000008</v>
      </c>
      <c r="H460" s="64">
        <f>14.0536* CHOOSE(CONTROL!$C$22, $C$13, 100%, $E$13)</f>
        <v>14.053599999999999</v>
      </c>
      <c r="I460" s="64">
        <f>14.0537 * CHOOSE(CONTROL!$C$22, $C$13, 100%, $E$13)</f>
        <v>14.053699999999999</v>
      </c>
      <c r="J460" s="64">
        <f>8.2564 * CHOOSE(CONTROL!$C$22, $C$13, 100%, $E$13)</f>
        <v>8.2563999999999993</v>
      </c>
      <c r="K460" s="64">
        <f>8.2565 * CHOOSE(CONTROL!$C$22, $C$13, 100%, $E$13)</f>
        <v>8.2565000000000008</v>
      </c>
    </row>
    <row r="461" spans="1:11" ht="15">
      <c r="A461" s="13">
        <v>55519</v>
      </c>
      <c r="B461" s="63">
        <f>7.0335 * CHOOSE(CONTROL!$C$22, $C$13, 100%, $E$13)</f>
        <v>7.0335000000000001</v>
      </c>
      <c r="C461" s="63">
        <f>7.0335 * CHOOSE(CONTROL!$C$22, $C$13, 100%, $E$13)</f>
        <v>7.0335000000000001</v>
      </c>
      <c r="D461" s="63">
        <f>7.0335 * CHOOSE(CONTROL!$C$22, $C$13, 100%, $E$13)</f>
        <v>7.0335000000000001</v>
      </c>
      <c r="E461" s="64">
        <f>8.3746 * CHOOSE(CONTROL!$C$22, $C$13, 100%, $E$13)</f>
        <v>8.3745999999999992</v>
      </c>
      <c r="F461" s="64">
        <f>8.3746 * CHOOSE(CONTROL!$C$22, $C$13, 100%, $E$13)</f>
        <v>8.3745999999999992</v>
      </c>
      <c r="G461" s="64">
        <f>8.3747 * CHOOSE(CONTROL!$C$22, $C$13, 100%, $E$13)</f>
        <v>8.3747000000000007</v>
      </c>
      <c r="H461" s="64">
        <f>14.0829* CHOOSE(CONTROL!$C$22, $C$13, 100%, $E$13)</f>
        <v>14.0829</v>
      </c>
      <c r="I461" s="64">
        <f>14.083 * CHOOSE(CONTROL!$C$22, $C$13, 100%, $E$13)</f>
        <v>14.083</v>
      </c>
      <c r="J461" s="64">
        <f>8.3746 * CHOOSE(CONTROL!$C$22, $C$13, 100%, $E$13)</f>
        <v>8.3745999999999992</v>
      </c>
      <c r="K461" s="64">
        <f>8.3747 * CHOOSE(CONTROL!$C$22, $C$13, 100%, $E$13)</f>
        <v>8.3747000000000007</v>
      </c>
    </row>
    <row r="462" spans="1:11" ht="15">
      <c r="A462" s="13">
        <v>55550</v>
      </c>
      <c r="B462" s="63">
        <f>7.0305 * CHOOSE(CONTROL!$C$22, $C$13, 100%, $E$13)</f>
        <v>7.0305</v>
      </c>
      <c r="C462" s="63">
        <f>7.0305 * CHOOSE(CONTROL!$C$22, $C$13, 100%, $E$13)</f>
        <v>7.0305</v>
      </c>
      <c r="D462" s="63">
        <f>7.0305 * CHOOSE(CONTROL!$C$22, $C$13, 100%, $E$13)</f>
        <v>7.0305</v>
      </c>
      <c r="E462" s="64">
        <f>8.2353 * CHOOSE(CONTROL!$C$22, $C$13, 100%, $E$13)</f>
        <v>8.2353000000000005</v>
      </c>
      <c r="F462" s="64">
        <f>8.2353 * CHOOSE(CONTROL!$C$22, $C$13, 100%, $E$13)</f>
        <v>8.2353000000000005</v>
      </c>
      <c r="G462" s="64">
        <f>8.2354 * CHOOSE(CONTROL!$C$22, $C$13, 100%, $E$13)</f>
        <v>8.2354000000000003</v>
      </c>
      <c r="H462" s="64">
        <f>14.1122* CHOOSE(CONTROL!$C$22, $C$13, 100%, $E$13)</f>
        <v>14.1122</v>
      </c>
      <c r="I462" s="64">
        <f>14.1123 * CHOOSE(CONTROL!$C$22, $C$13, 100%, $E$13)</f>
        <v>14.112299999999999</v>
      </c>
      <c r="J462" s="64">
        <f>8.2353 * CHOOSE(CONTROL!$C$22, $C$13, 100%, $E$13)</f>
        <v>8.2353000000000005</v>
      </c>
      <c r="K462" s="64">
        <f>8.2354 * CHOOSE(CONTROL!$C$22, $C$13, 100%, $E$13)</f>
        <v>8.2354000000000003</v>
      </c>
    </row>
    <row r="463" spans="1:11" ht="15">
      <c r="A463" s="13">
        <v>55579</v>
      </c>
      <c r="B463" s="63">
        <f>7.0274 * CHOOSE(CONTROL!$C$22, $C$13, 100%, $E$13)</f>
        <v>7.0274000000000001</v>
      </c>
      <c r="C463" s="63">
        <f>7.0274 * CHOOSE(CONTROL!$C$22, $C$13, 100%, $E$13)</f>
        <v>7.0274000000000001</v>
      </c>
      <c r="D463" s="63">
        <f>7.0274 * CHOOSE(CONTROL!$C$22, $C$13, 100%, $E$13)</f>
        <v>7.0274000000000001</v>
      </c>
      <c r="E463" s="64">
        <f>8.3413 * CHOOSE(CONTROL!$C$22, $C$13, 100%, $E$13)</f>
        <v>8.3413000000000004</v>
      </c>
      <c r="F463" s="64">
        <f>8.3413 * CHOOSE(CONTROL!$C$22, $C$13, 100%, $E$13)</f>
        <v>8.3413000000000004</v>
      </c>
      <c r="G463" s="64">
        <f>8.3414 * CHOOSE(CONTROL!$C$22, $C$13, 100%, $E$13)</f>
        <v>8.3414000000000001</v>
      </c>
      <c r="H463" s="64">
        <f>14.1416* CHOOSE(CONTROL!$C$22, $C$13, 100%, $E$13)</f>
        <v>14.1416</v>
      </c>
      <c r="I463" s="64">
        <f>14.1417 * CHOOSE(CONTROL!$C$22, $C$13, 100%, $E$13)</f>
        <v>14.1417</v>
      </c>
      <c r="J463" s="64">
        <f>8.3413 * CHOOSE(CONTROL!$C$22, $C$13, 100%, $E$13)</f>
        <v>8.3413000000000004</v>
      </c>
      <c r="K463" s="64">
        <f>8.3414 * CHOOSE(CONTROL!$C$22, $C$13, 100%, $E$13)</f>
        <v>8.3414000000000001</v>
      </c>
    </row>
    <row r="464" spans="1:11" ht="15">
      <c r="A464" s="13">
        <v>55610</v>
      </c>
      <c r="B464" s="63">
        <f>7.0277 * CHOOSE(CONTROL!$C$22, $C$13, 100%, $E$13)</f>
        <v>7.0277000000000003</v>
      </c>
      <c r="C464" s="63">
        <f>7.0277 * CHOOSE(CONTROL!$C$22, $C$13, 100%, $E$13)</f>
        <v>7.0277000000000003</v>
      </c>
      <c r="D464" s="63">
        <f>7.0277 * CHOOSE(CONTROL!$C$22, $C$13, 100%, $E$13)</f>
        <v>7.0277000000000003</v>
      </c>
      <c r="E464" s="64">
        <f>8.4532 * CHOOSE(CONTROL!$C$22, $C$13, 100%, $E$13)</f>
        <v>8.4532000000000007</v>
      </c>
      <c r="F464" s="64">
        <f>8.4532 * CHOOSE(CONTROL!$C$22, $C$13, 100%, $E$13)</f>
        <v>8.4532000000000007</v>
      </c>
      <c r="G464" s="64">
        <f>8.4533 * CHOOSE(CONTROL!$C$22, $C$13, 100%, $E$13)</f>
        <v>8.4533000000000005</v>
      </c>
      <c r="H464" s="64">
        <f>14.1711* CHOOSE(CONTROL!$C$22, $C$13, 100%, $E$13)</f>
        <v>14.171099999999999</v>
      </c>
      <c r="I464" s="64">
        <f>14.1712 * CHOOSE(CONTROL!$C$22, $C$13, 100%, $E$13)</f>
        <v>14.171200000000001</v>
      </c>
      <c r="J464" s="64">
        <f>8.4532 * CHOOSE(CONTROL!$C$22, $C$13, 100%, $E$13)</f>
        <v>8.4532000000000007</v>
      </c>
      <c r="K464" s="64">
        <f>8.4533 * CHOOSE(CONTROL!$C$22, $C$13, 100%, $E$13)</f>
        <v>8.4533000000000005</v>
      </c>
    </row>
    <row r="465" spans="1:11" ht="15">
      <c r="A465" s="13">
        <v>55640</v>
      </c>
      <c r="B465" s="63">
        <f>7.0277 * CHOOSE(CONTROL!$C$22, $C$13, 100%, $E$13)</f>
        <v>7.0277000000000003</v>
      </c>
      <c r="C465" s="63">
        <f>7.0277 * CHOOSE(CONTROL!$C$22, $C$13, 100%, $E$13)</f>
        <v>7.0277000000000003</v>
      </c>
      <c r="D465" s="63">
        <f>7.0407 * CHOOSE(CONTROL!$C$22, $C$13, 100%, $E$13)</f>
        <v>7.0407000000000002</v>
      </c>
      <c r="E465" s="64">
        <f>8.4967 * CHOOSE(CONTROL!$C$22, $C$13, 100%, $E$13)</f>
        <v>8.4967000000000006</v>
      </c>
      <c r="F465" s="64">
        <f>8.4967 * CHOOSE(CONTROL!$C$22, $C$13, 100%, $E$13)</f>
        <v>8.4967000000000006</v>
      </c>
      <c r="G465" s="64">
        <f>8.5124 * CHOOSE(CONTROL!$C$22, $C$13, 100%, $E$13)</f>
        <v>8.5123999999999995</v>
      </c>
      <c r="H465" s="64">
        <f>14.2006* CHOOSE(CONTROL!$C$22, $C$13, 100%, $E$13)</f>
        <v>14.2006</v>
      </c>
      <c r="I465" s="64">
        <f>14.2163 * CHOOSE(CONTROL!$C$22, $C$13, 100%, $E$13)</f>
        <v>14.2163</v>
      </c>
      <c r="J465" s="64">
        <f>8.4967 * CHOOSE(CONTROL!$C$22, $C$13, 100%, $E$13)</f>
        <v>8.4967000000000006</v>
      </c>
      <c r="K465" s="64">
        <f>8.5124 * CHOOSE(CONTROL!$C$22, $C$13, 100%, $E$13)</f>
        <v>8.5123999999999995</v>
      </c>
    </row>
    <row r="466" spans="1:11" ht="15">
      <c r="A466" s="13">
        <v>55671</v>
      </c>
      <c r="B466" s="63">
        <f>7.0338 * CHOOSE(CONTROL!$C$22, $C$13, 100%, $E$13)</f>
        <v>7.0338000000000003</v>
      </c>
      <c r="C466" s="63">
        <f>7.0338 * CHOOSE(CONTROL!$C$22, $C$13, 100%, $E$13)</f>
        <v>7.0338000000000003</v>
      </c>
      <c r="D466" s="63">
        <f>7.0467 * CHOOSE(CONTROL!$C$22, $C$13, 100%, $E$13)</f>
        <v>7.0467000000000004</v>
      </c>
      <c r="E466" s="64">
        <f>8.4574 * CHOOSE(CONTROL!$C$22, $C$13, 100%, $E$13)</f>
        <v>8.4573999999999998</v>
      </c>
      <c r="F466" s="64">
        <f>8.4574 * CHOOSE(CONTROL!$C$22, $C$13, 100%, $E$13)</f>
        <v>8.4573999999999998</v>
      </c>
      <c r="G466" s="64">
        <f>8.4731 * CHOOSE(CONTROL!$C$22, $C$13, 100%, $E$13)</f>
        <v>8.4731000000000005</v>
      </c>
      <c r="H466" s="64">
        <f>14.2302* CHOOSE(CONTROL!$C$22, $C$13, 100%, $E$13)</f>
        <v>14.2302</v>
      </c>
      <c r="I466" s="64">
        <f>14.2459 * CHOOSE(CONTROL!$C$22, $C$13, 100%, $E$13)</f>
        <v>14.245900000000001</v>
      </c>
      <c r="J466" s="64">
        <f>8.4574 * CHOOSE(CONTROL!$C$22, $C$13, 100%, $E$13)</f>
        <v>8.4573999999999998</v>
      </c>
      <c r="K466" s="64">
        <f>8.4731 * CHOOSE(CONTROL!$C$22, $C$13, 100%, $E$13)</f>
        <v>8.4731000000000005</v>
      </c>
    </row>
    <row r="467" spans="1:11" ht="15">
      <c r="A467" s="13">
        <v>55701</v>
      </c>
      <c r="B467" s="63">
        <f>7.1454 * CHOOSE(CONTROL!$C$22, $C$13, 100%, $E$13)</f>
        <v>7.1454000000000004</v>
      </c>
      <c r="C467" s="63">
        <f>7.1454 * CHOOSE(CONTROL!$C$22, $C$13, 100%, $E$13)</f>
        <v>7.1454000000000004</v>
      </c>
      <c r="D467" s="63">
        <f>7.1583 * CHOOSE(CONTROL!$C$22, $C$13, 100%, $E$13)</f>
        <v>7.1582999999999997</v>
      </c>
      <c r="E467" s="64">
        <f>8.5975 * CHOOSE(CONTROL!$C$22, $C$13, 100%, $E$13)</f>
        <v>8.5975000000000001</v>
      </c>
      <c r="F467" s="64">
        <f>8.5975 * CHOOSE(CONTROL!$C$22, $C$13, 100%, $E$13)</f>
        <v>8.5975000000000001</v>
      </c>
      <c r="G467" s="64">
        <f>8.6132 * CHOOSE(CONTROL!$C$22, $C$13, 100%, $E$13)</f>
        <v>8.6132000000000009</v>
      </c>
      <c r="H467" s="64">
        <f>14.2598* CHOOSE(CONTROL!$C$22, $C$13, 100%, $E$13)</f>
        <v>14.2598</v>
      </c>
      <c r="I467" s="64">
        <f>14.2755 * CHOOSE(CONTROL!$C$22, $C$13, 100%, $E$13)</f>
        <v>14.275499999999999</v>
      </c>
      <c r="J467" s="64">
        <f>8.5975 * CHOOSE(CONTROL!$C$22, $C$13, 100%, $E$13)</f>
        <v>8.5975000000000001</v>
      </c>
      <c r="K467" s="64">
        <f>8.6132 * CHOOSE(CONTROL!$C$22, $C$13, 100%, $E$13)</f>
        <v>8.6132000000000009</v>
      </c>
    </row>
    <row r="468" spans="1:11" ht="15">
      <c r="A468" s="13">
        <v>55732</v>
      </c>
      <c r="B468" s="63">
        <f>7.1521 * CHOOSE(CONTROL!$C$22, $C$13, 100%, $E$13)</f>
        <v>7.1520999999999999</v>
      </c>
      <c r="C468" s="63">
        <f>7.1521 * CHOOSE(CONTROL!$C$22, $C$13, 100%, $E$13)</f>
        <v>7.1520999999999999</v>
      </c>
      <c r="D468" s="63">
        <f>7.165 * CHOOSE(CONTROL!$C$22, $C$13, 100%, $E$13)</f>
        <v>7.165</v>
      </c>
      <c r="E468" s="64">
        <f>8.4715 * CHOOSE(CONTROL!$C$22, $C$13, 100%, $E$13)</f>
        <v>8.4715000000000007</v>
      </c>
      <c r="F468" s="64">
        <f>8.4715 * CHOOSE(CONTROL!$C$22, $C$13, 100%, $E$13)</f>
        <v>8.4715000000000007</v>
      </c>
      <c r="G468" s="64">
        <f>8.4872 * CHOOSE(CONTROL!$C$22, $C$13, 100%, $E$13)</f>
        <v>8.4871999999999996</v>
      </c>
      <c r="H468" s="64">
        <f>14.2896* CHOOSE(CONTROL!$C$22, $C$13, 100%, $E$13)</f>
        <v>14.2896</v>
      </c>
      <c r="I468" s="64">
        <f>14.3052 * CHOOSE(CONTROL!$C$22, $C$13, 100%, $E$13)</f>
        <v>14.305199999999999</v>
      </c>
      <c r="J468" s="64">
        <f>8.4715 * CHOOSE(CONTROL!$C$22, $C$13, 100%, $E$13)</f>
        <v>8.4715000000000007</v>
      </c>
      <c r="K468" s="64">
        <f>8.4872 * CHOOSE(CONTROL!$C$22, $C$13, 100%, $E$13)</f>
        <v>8.4871999999999996</v>
      </c>
    </row>
    <row r="469" spans="1:11" ht="15">
      <c r="A469" s="13">
        <v>55763</v>
      </c>
      <c r="B469" s="63">
        <f>7.149 * CHOOSE(CONTROL!$C$22, $C$13, 100%, $E$13)</f>
        <v>7.149</v>
      </c>
      <c r="C469" s="63">
        <f>7.149 * CHOOSE(CONTROL!$C$22, $C$13, 100%, $E$13)</f>
        <v>7.149</v>
      </c>
      <c r="D469" s="63">
        <f>7.162 * CHOOSE(CONTROL!$C$22, $C$13, 100%, $E$13)</f>
        <v>7.1619999999999999</v>
      </c>
      <c r="E469" s="64">
        <f>8.4549 * CHOOSE(CONTROL!$C$22, $C$13, 100%, $E$13)</f>
        <v>8.4549000000000003</v>
      </c>
      <c r="F469" s="64">
        <f>8.4549 * CHOOSE(CONTROL!$C$22, $C$13, 100%, $E$13)</f>
        <v>8.4549000000000003</v>
      </c>
      <c r="G469" s="64">
        <f>8.4706 * CHOOSE(CONTROL!$C$22, $C$13, 100%, $E$13)</f>
        <v>8.4705999999999992</v>
      </c>
      <c r="H469" s="64">
        <f>14.3193* CHOOSE(CONTROL!$C$22, $C$13, 100%, $E$13)</f>
        <v>14.3193</v>
      </c>
      <c r="I469" s="64">
        <f>14.335 * CHOOSE(CONTROL!$C$22, $C$13, 100%, $E$13)</f>
        <v>14.335000000000001</v>
      </c>
      <c r="J469" s="64">
        <f>8.4549 * CHOOSE(CONTROL!$C$22, $C$13, 100%, $E$13)</f>
        <v>8.4549000000000003</v>
      </c>
      <c r="K469" s="64">
        <f>8.4706 * CHOOSE(CONTROL!$C$22, $C$13, 100%, $E$13)</f>
        <v>8.4705999999999992</v>
      </c>
    </row>
    <row r="470" spans="1:11" ht="15">
      <c r="A470" s="13">
        <v>55793</v>
      </c>
      <c r="B470" s="63">
        <f>7.1545 * CHOOSE(CONTROL!$C$22, $C$13, 100%, $E$13)</f>
        <v>7.1544999999999996</v>
      </c>
      <c r="C470" s="63">
        <f>7.1545 * CHOOSE(CONTROL!$C$22, $C$13, 100%, $E$13)</f>
        <v>7.1544999999999996</v>
      </c>
      <c r="D470" s="63">
        <f>7.1545 * CHOOSE(CONTROL!$C$22, $C$13, 100%, $E$13)</f>
        <v>7.1544999999999996</v>
      </c>
      <c r="E470" s="64">
        <f>8.4995 * CHOOSE(CONTROL!$C$22, $C$13, 100%, $E$13)</f>
        <v>8.4994999999999994</v>
      </c>
      <c r="F470" s="64">
        <f>8.4995 * CHOOSE(CONTROL!$C$22, $C$13, 100%, $E$13)</f>
        <v>8.4994999999999994</v>
      </c>
      <c r="G470" s="64">
        <f>8.4996 * CHOOSE(CONTROL!$C$22, $C$13, 100%, $E$13)</f>
        <v>8.4995999999999992</v>
      </c>
      <c r="H470" s="64">
        <f>14.3492* CHOOSE(CONTROL!$C$22, $C$13, 100%, $E$13)</f>
        <v>14.3492</v>
      </c>
      <c r="I470" s="64">
        <f>14.3492 * CHOOSE(CONTROL!$C$22, $C$13, 100%, $E$13)</f>
        <v>14.3492</v>
      </c>
      <c r="J470" s="64">
        <f>8.4995 * CHOOSE(CONTROL!$C$22, $C$13, 100%, $E$13)</f>
        <v>8.4994999999999994</v>
      </c>
      <c r="K470" s="64">
        <f>8.4996 * CHOOSE(CONTROL!$C$22, $C$13, 100%, $E$13)</f>
        <v>8.4995999999999992</v>
      </c>
    </row>
    <row r="471" spans="1:11" ht="15">
      <c r="A471" s="13">
        <v>55824</v>
      </c>
      <c r="B471" s="63">
        <f>7.1575 * CHOOSE(CONTROL!$C$22, $C$13, 100%, $E$13)</f>
        <v>7.1574999999999998</v>
      </c>
      <c r="C471" s="63">
        <f>7.1575 * CHOOSE(CONTROL!$C$22, $C$13, 100%, $E$13)</f>
        <v>7.1574999999999998</v>
      </c>
      <c r="D471" s="63">
        <f>7.1575 * CHOOSE(CONTROL!$C$22, $C$13, 100%, $E$13)</f>
        <v>7.1574999999999998</v>
      </c>
      <c r="E471" s="64">
        <f>8.5307 * CHOOSE(CONTROL!$C$22, $C$13, 100%, $E$13)</f>
        <v>8.5306999999999995</v>
      </c>
      <c r="F471" s="64">
        <f>8.5307 * CHOOSE(CONTROL!$C$22, $C$13, 100%, $E$13)</f>
        <v>8.5306999999999995</v>
      </c>
      <c r="G471" s="64">
        <f>8.5308 * CHOOSE(CONTROL!$C$22, $C$13, 100%, $E$13)</f>
        <v>8.5307999999999993</v>
      </c>
      <c r="H471" s="64">
        <f>14.3791* CHOOSE(CONTROL!$C$22, $C$13, 100%, $E$13)</f>
        <v>14.379099999999999</v>
      </c>
      <c r="I471" s="64">
        <f>14.3791 * CHOOSE(CONTROL!$C$22, $C$13, 100%, $E$13)</f>
        <v>14.379099999999999</v>
      </c>
      <c r="J471" s="64">
        <f>8.5307 * CHOOSE(CONTROL!$C$22, $C$13, 100%, $E$13)</f>
        <v>8.5306999999999995</v>
      </c>
      <c r="K471" s="64">
        <f>8.5308 * CHOOSE(CONTROL!$C$22, $C$13, 100%, $E$13)</f>
        <v>8.5307999999999993</v>
      </c>
    </row>
    <row r="472" spans="1:11" ht="15">
      <c r="A472" s="13">
        <v>55854</v>
      </c>
      <c r="B472" s="63">
        <f>7.1575 * CHOOSE(CONTROL!$C$22, $C$13, 100%, $E$13)</f>
        <v>7.1574999999999998</v>
      </c>
      <c r="C472" s="63">
        <f>7.1575 * CHOOSE(CONTROL!$C$22, $C$13, 100%, $E$13)</f>
        <v>7.1574999999999998</v>
      </c>
      <c r="D472" s="63">
        <f>7.1575 * CHOOSE(CONTROL!$C$22, $C$13, 100%, $E$13)</f>
        <v>7.1574999999999998</v>
      </c>
      <c r="E472" s="64">
        <f>8.4581 * CHOOSE(CONTROL!$C$22, $C$13, 100%, $E$13)</f>
        <v>8.4581</v>
      </c>
      <c r="F472" s="64">
        <f>8.4581 * CHOOSE(CONTROL!$C$22, $C$13, 100%, $E$13)</f>
        <v>8.4581</v>
      </c>
      <c r="G472" s="64">
        <f>8.4582 * CHOOSE(CONTROL!$C$22, $C$13, 100%, $E$13)</f>
        <v>8.4581999999999997</v>
      </c>
      <c r="H472" s="64">
        <f>14.409* CHOOSE(CONTROL!$C$22, $C$13, 100%, $E$13)</f>
        <v>14.409000000000001</v>
      </c>
      <c r="I472" s="64">
        <f>14.4091 * CHOOSE(CONTROL!$C$22, $C$13, 100%, $E$13)</f>
        <v>14.4091</v>
      </c>
      <c r="J472" s="64">
        <f>8.4581 * CHOOSE(CONTROL!$C$22, $C$13, 100%, $E$13)</f>
        <v>8.4581</v>
      </c>
      <c r="K472" s="64">
        <f>8.4582 * CHOOSE(CONTROL!$C$22, $C$13, 100%, $E$13)</f>
        <v>8.4581999999999997</v>
      </c>
    </row>
    <row r="473" spans="1:11" ht="15">
      <c r="A473" s="13">
        <v>55885</v>
      </c>
      <c r="B473" s="63">
        <f>7.2193 * CHOOSE(CONTROL!$C$22, $C$13, 100%, $E$13)</f>
        <v>7.2192999999999996</v>
      </c>
      <c r="C473" s="63">
        <f>7.2193 * CHOOSE(CONTROL!$C$22, $C$13, 100%, $E$13)</f>
        <v>7.2192999999999996</v>
      </c>
      <c r="D473" s="63">
        <f>7.2194 * CHOOSE(CONTROL!$C$22, $C$13, 100%, $E$13)</f>
        <v>7.2194000000000003</v>
      </c>
      <c r="E473" s="64">
        <f>8.5793 * CHOOSE(CONTROL!$C$22, $C$13, 100%, $E$13)</f>
        <v>8.5792999999999999</v>
      </c>
      <c r="F473" s="64">
        <f>8.5793 * CHOOSE(CONTROL!$C$22, $C$13, 100%, $E$13)</f>
        <v>8.5792999999999999</v>
      </c>
      <c r="G473" s="64">
        <f>8.5794 * CHOOSE(CONTROL!$C$22, $C$13, 100%, $E$13)</f>
        <v>8.5793999999999997</v>
      </c>
      <c r="H473" s="64">
        <f>14.439* CHOOSE(CONTROL!$C$22, $C$13, 100%, $E$13)</f>
        <v>14.439</v>
      </c>
      <c r="I473" s="64">
        <f>14.4391 * CHOOSE(CONTROL!$C$22, $C$13, 100%, $E$13)</f>
        <v>14.4391</v>
      </c>
      <c r="J473" s="64">
        <f>8.5793 * CHOOSE(CONTROL!$C$22, $C$13, 100%, $E$13)</f>
        <v>8.5792999999999999</v>
      </c>
      <c r="K473" s="64">
        <f>8.5794 * CHOOSE(CONTROL!$C$22, $C$13, 100%, $E$13)</f>
        <v>8.5793999999999997</v>
      </c>
    </row>
    <row r="474" spans="1:11" ht="15">
      <c r="A474" s="13">
        <v>55916</v>
      </c>
      <c r="B474" s="63">
        <f>7.2163 * CHOOSE(CONTROL!$C$22, $C$13, 100%, $E$13)</f>
        <v>7.2163000000000004</v>
      </c>
      <c r="C474" s="63">
        <f>7.2163 * CHOOSE(CONTROL!$C$22, $C$13, 100%, $E$13)</f>
        <v>7.2163000000000004</v>
      </c>
      <c r="D474" s="63">
        <f>7.2163 * CHOOSE(CONTROL!$C$22, $C$13, 100%, $E$13)</f>
        <v>7.2163000000000004</v>
      </c>
      <c r="E474" s="64">
        <f>8.4362 * CHOOSE(CONTROL!$C$22, $C$13, 100%, $E$13)</f>
        <v>8.4361999999999995</v>
      </c>
      <c r="F474" s="64">
        <f>8.4362 * CHOOSE(CONTROL!$C$22, $C$13, 100%, $E$13)</f>
        <v>8.4361999999999995</v>
      </c>
      <c r="G474" s="64">
        <f>8.4363 * CHOOSE(CONTROL!$C$22, $C$13, 100%, $E$13)</f>
        <v>8.4362999999999992</v>
      </c>
      <c r="H474" s="64">
        <f>14.4691* CHOOSE(CONTROL!$C$22, $C$13, 100%, $E$13)</f>
        <v>14.469099999999999</v>
      </c>
      <c r="I474" s="64">
        <f>14.4692 * CHOOSE(CONTROL!$C$22, $C$13, 100%, $E$13)</f>
        <v>14.469200000000001</v>
      </c>
      <c r="J474" s="64">
        <f>8.4362 * CHOOSE(CONTROL!$C$22, $C$13, 100%, $E$13)</f>
        <v>8.4361999999999995</v>
      </c>
      <c r="K474" s="64">
        <f>8.4363 * CHOOSE(CONTROL!$C$22, $C$13, 100%, $E$13)</f>
        <v>8.4362999999999992</v>
      </c>
    </row>
    <row r="475" spans="1:11" ht="15">
      <c r="A475" s="13">
        <v>55944</v>
      </c>
      <c r="B475" s="63">
        <f>7.2133 * CHOOSE(CONTROL!$C$22, $C$13, 100%, $E$13)</f>
        <v>7.2133000000000003</v>
      </c>
      <c r="C475" s="63">
        <f>7.2133 * CHOOSE(CONTROL!$C$22, $C$13, 100%, $E$13)</f>
        <v>7.2133000000000003</v>
      </c>
      <c r="D475" s="63">
        <f>7.2133 * CHOOSE(CONTROL!$C$22, $C$13, 100%, $E$13)</f>
        <v>7.2133000000000003</v>
      </c>
      <c r="E475" s="64">
        <f>8.5452 * CHOOSE(CONTROL!$C$22, $C$13, 100%, $E$13)</f>
        <v>8.5451999999999995</v>
      </c>
      <c r="F475" s="64">
        <f>8.5452 * CHOOSE(CONTROL!$C$22, $C$13, 100%, $E$13)</f>
        <v>8.5451999999999995</v>
      </c>
      <c r="G475" s="64">
        <f>8.5453 * CHOOSE(CONTROL!$C$22, $C$13, 100%, $E$13)</f>
        <v>8.5452999999999992</v>
      </c>
      <c r="H475" s="64">
        <f>14.4993* CHOOSE(CONTROL!$C$22, $C$13, 100%, $E$13)</f>
        <v>14.4993</v>
      </c>
      <c r="I475" s="64">
        <f>14.4993 * CHOOSE(CONTROL!$C$22, $C$13, 100%, $E$13)</f>
        <v>14.4993</v>
      </c>
      <c r="J475" s="64">
        <f>8.5452 * CHOOSE(CONTROL!$C$22, $C$13, 100%, $E$13)</f>
        <v>8.5451999999999995</v>
      </c>
      <c r="K475" s="64">
        <f>8.5453 * CHOOSE(CONTROL!$C$22, $C$13, 100%, $E$13)</f>
        <v>8.5452999999999992</v>
      </c>
    </row>
    <row r="476" spans="1:11" ht="15">
      <c r="A476" s="13">
        <v>55975</v>
      </c>
      <c r="B476" s="63">
        <f>7.2137 * CHOOSE(CONTROL!$C$22, $C$13, 100%, $E$13)</f>
        <v>7.2137000000000002</v>
      </c>
      <c r="C476" s="63">
        <f>7.2137 * CHOOSE(CONTROL!$C$22, $C$13, 100%, $E$13)</f>
        <v>7.2137000000000002</v>
      </c>
      <c r="D476" s="63">
        <f>7.2137 * CHOOSE(CONTROL!$C$22, $C$13, 100%, $E$13)</f>
        <v>7.2137000000000002</v>
      </c>
      <c r="E476" s="64">
        <f>8.6604 * CHOOSE(CONTROL!$C$22, $C$13, 100%, $E$13)</f>
        <v>8.6603999999999992</v>
      </c>
      <c r="F476" s="64">
        <f>8.6604 * CHOOSE(CONTROL!$C$22, $C$13, 100%, $E$13)</f>
        <v>8.6603999999999992</v>
      </c>
      <c r="G476" s="64">
        <f>8.6605 * CHOOSE(CONTROL!$C$22, $C$13, 100%, $E$13)</f>
        <v>8.6605000000000008</v>
      </c>
      <c r="H476" s="64">
        <f>14.5295* CHOOSE(CONTROL!$C$22, $C$13, 100%, $E$13)</f>
        <v>14.529500000000001</v>
      </c>
      <c r="I476" s="64">
        <f>14.5295 * CHOOSE(CONTROL!$C$22, $C$13, 100%, $E$13)</f>
        <v>14.529500000000001</v>
      </c>
      <c r="J476" s="64">
        <f>8.6604 * CHOOSE(CONTROL!$C$22, $C$13, 100%, $E$13)</f>
        <v>8.6603999999999992</v>
      </c>
      <c r="K476" s="64">
        <f>8.6605 * CHOOSE(CONTROL!$C$22, $C$13, 100%, $E$13)</f>
        <v>8.6605000000000008</v>
      </c>
    </row>
    <row r="477" spans="1:11" ht="15">
      <c r="A477" s="13">
        <v>56005</v>
      </c>
      <c r="B477" s="63">
        <f>7.2137 * CHOOSE(CONTROL!$C$22, $C$13, 100%, $E$13)</f>
        <v>7.2137000000000002</v>
      </c>
      <c r="C477" s="63">
        <f>7.2137 * CHOOSE(CONTROL!$C$22, $C$13, 100%, $E$13)</f>
        <v>7.2137000000000002</v>
      </c>
      <c r="D477" s="63">
        <f>7.2266 * CHOOSE(CONTROL!$C$22, $C$13, 100%, $E$13)</f>
        <v>7.2266000000000004</v>
      </c>
      <c r="E477" s="64">
        <f>8.7051 * CHOOSE(CONTROL!$C$22, $C$13, 100%, $E$13)</f>
        <v>8.7050999999999998</v>
      </c>
      <c r="F477" s="64">
        <f>8.7051 * CHOOSE(CONTROL!$C$22, $C$13, 100%, $E$13)</f>
        <v>8.7050999999999998</v>
      </c>
      <c r="G477" s="64">
        <f>8.7208 * CHOOSE(CONTROL!$C$22, $C$13, 100%, $E$13)</f>
        <v>8.7208000000000006</v>
      </c>
      <c r="H477" s="64">
        <f>14.5597* CHOOSE(CONTROL!$C$22, $C$13, 100%, $E$13)</f>
        <v>14.559699999999999</v>
      </c>
      <c r="I477" s="64">
        <f>14.5754 * CHOOSE(CONTROL!$C$22, $C$13, 100%, $E$13)</f>
        <v>14.5754</v>
      </c>
      <c r="J477" s="64">
        <f>8.7051 * CHOOSE(CONTROL!$C$22, $C$13, 100%, $E$13)</f>
        <v>8.7050999999999998</v>
      </c>
      <c r="K477" s="64">
        <f>8.7208 * CHOOSE(CONTROL!$C$22, $C$13, 100%, $E$13)</f>
        <v>8.7208000000000006</v>
      </c>
    </row>
    <row r="478" spans="1:11" ht="15">
      <c r="A478" s="13">
        <v>56036</v>
      </c>
      <c r="B478" s="63">
        <f>7.2198 * CHOOSE(CONTROL!$C$22, $C$13, 100%, $E$13)</f>
        <v>7.2198000000000002</v>
      </c>
      <c r="C478" s="63">
        <f>7.2198 * CHOOSE(CONTROL!$C$22, $C$13, 100%, $E$13)</f>
        <v>7.2198000000000002</v>
      </c>
      <c r="D478" s="63">
        <f>7.2327 * CHOOSE(CONTROL!$C$22, $C$13, 100%, $E$13)</f>
        <v>7.2327000000000004</v>
      </c>
      <c r="E478" s="64">
        <f>8.6646 * CHOOSE(CONTROL!$C$22, $C$13, 100%, $E$13)</f>
        <v>8.6646000000000001</v>
      </c>
      <c r="F478" s="64">
        <f>8.6646 * CHOOSE(CONTROL!$C$22, $C$13, 100%, $E$13)</f>
        <v>8.6646000000000001</v>
      </c>
      <c r="G478" s="64">
        <f>8.6803 * CHOOSE(CONTROL!$C$22, $C$13, 100%, $E$13)</f>
        <v>8.6803000000000008</v>
      </c>
      <c r="H478" s="64">
        <f>14.5901* CHOOSE(CONTROL!$C$22, $C$13, 100%, $E$13)</f>
        <v>14.5901</v>
      </c>
      <c r="I478" s="64">
        <f>14.6057 * CHOOSE(CONTROL!$C$22, $C$13, 100%, $E$13)</f>
        <v>14.605700000000001</v>
      </c>
      <c r="J478" s="64">
        <f>8.6646 * CHOOSE(CONTROL!$C$22, $C$13, 100%, $E$13)</f>
        <v>8.6646000000000001</v>
      </c>
      <c r="K478" s="64">
        <f>8.6803 * CHOOSE(CONTROL!$C$22, $C$13, 100%, $E$13)</f>
        <v>8.6803000000000008</v>
      </c>
    </row>
    <row r="479" spans="1:11" ht="15">
      <c r="A479" s="13">
        <v>56066</v>
      </c>
      <c r="B479" s="63">
        <f>7.334 * CHOOSE(CONTROL!$C$22, $C$13, 100%, $E$13)</f>
        <v>7.3339999999999996</v>
      </c>
      <c r="C479" s="63">
        <f>7.334 * CHOOSE(CONTROL!$C$22, $C$13, 100%, $E$13)</f>
        <v>7.3339999999999996</v>
      </c>
      <c r="D479" s="63">
        <f>7.347 * CHOOSE(CONTROL!$C$22, $C$13, 100%, $E$13)</f>
        <v>7.3470000000000004</v>
      </c>
      <c r="E479" s="64">
        <f>8.8078 * CHOOSE(CONTROL!$C$22, $C$13, 100%, $E$13)</f>
        <v>8.8078000000000003</v>
      </c>
      <c r="F479" s="64">
        <f>8.8078 * CHOOSE(CONTROL!$C$22, $C$13, 100%, $E$13)</f>
        <v>8.8078000000000003</v>
      </c>
      <c r="G479" s="64">
        <f>8.8235 * CHOOSE(CONTROL!$C$22, $C$13, 100%, $E$13)</f>
        <v>8.8234999999999992</v>
      </c>
      <c r="H479" s="64">
        <f>14.6205* CHOOSE(CONTROL!$C$22, $C$13, 100%, $E$13)</f>
        <v>14.6205</v>
      </c>
      <c r="I479" s="64">
        <f>14.6361 * CHOOSE(CONTROL!$C$22, $C$13, 100%, $E$13)</f>
        <v>14.636100000000001</v>
      </c>
      <c r="J479" s="64">
        <f>8.8078 * CHOOSE(CONTROL!$C$22, $C$13, 100%, $E$13)</f>
        <v>8.8078000000000003</v>
      </c>
      <c r="K479" s="64">
        <f>8.8235 * CHOOSE(CONTROL!$C$22, $C$13, 100%, $E$13)</f>
        <v>8.8234999999999992</v>
      </c>
    </row>
    <row r="480" spans="1:11" ht="15">
      <c r="A480" s="13">
        <v>56097</v>
      </c>
      <c r="B480" s="63">
        <f>7.3407 * CHOOSE(CONTROL!$C$22, $C$13, 100%, $E$13)</f>
        <v>7.3407</v>
      </c>
      <c r="C480" s="63">
        <f>7.3407 * CHOOSE(CONTROL!$C$22, $C$13, 100%, $E$13)</f>
        <v>7.3407</v>
      </c>
      <c r="D480" s="63">
        <f>7.3537 * CHOOSE(CONTROL!$C$22, $C$13, 100%, $E$13)</f>
        <v>7.3536999999999999</v>
      </c>
      <c r="E480" s="64">
        <f>8.6782 * CHOOSE(CONTROL!$C$22, $C$13, 100%, $E$13)</f>
        <v>8.6782000000000004</v>
      </c>
      <c r="F480" s="64">
        <f>8.6782 * CHOOSE(CONTROL!$C$22, $C$13, 100%, $E$13)</f>
        <v>8.6782000000000004</v>
      </c>
      <c r="G480" s="64">
        <f>8.6939 * CHOOSE(CONTROL!$C$22, $C$13, 100%, $E$13)</f>
        <v>8.6938999999999993</v>
      </c>
      <c r="H480" s="64">
        <f>14.6509* CHOOSE(CONTROL!$C$22, $C$13, 100%, $E$13)</f>
        <v>14.6509</v>
      </c>
      <c r="I480" s="64">
        <f>14.6666 * CHOOSE(CONTROL!$C$22, $C$13, 100%, $E$13)</f>
        <v>14.666600000000001</v>
      </c>
      <c r="J480" s="64">
        <f>8.6782 * CHOOSE(CONTROL!$C$22, $C$13, 100%, $E$13)</f>
        <v>8.6782000000000004</v>
      </c>
      <c r="K480" s="64">
        <f>8.6939 * CHOOSE(CONTROL!$C$22, $C$13, 100%, $E$13)</f>
        <v>8.6938999999999993</v>
      </c>
    </row>
    <row r="481" spans="1:11" ht="15">
      <c r="A481" s="13">
        <v>56128</v>
      </c>
      <c r="B481" s="63">
        <f>7.3377 * CHOOSE(CONTROL!$C$22, $C$13, 100%, $E$13)</f>
        <v>7.3376999999999999</v>
      </c>
      <c r="C481" s="63">
        <f>7.3377 * CHOOSE(CONTROL!$C$22, $C$13, 100%, $E$13)</f>
        <v>7.3376999999999999</v>
      </c>
      <c r="D481" s="63">
        <f>7.3507 * CHOOSE(CONTROL!$C$22, $C$13, 100%, $E$13)</f>
        <v>7.3506999999999998</v>
      </c>
      <c r="E481" s="64">
        <f>8.6611 * CHOOSE(CONTROL!$C$22, $C$13, 100%, $E$13)</f>
        <v>8.6610999999999994</v>
      </c>
      <c r="F481" s="64">
        <f>8.6611 * CHOOSE(CONTROL!$C$22, $C$13, 100%, $E$13)</f>
        <v>8.6610999999999994</v>
      </c>
      <c r="G481" s="64">
        <f>8.6768 * CHOOSE(CONTROL!$C$22, $C$13, 100%, $E$13)</f>
        <v>8.6768000000000001</v>
      </c>
      <c r="H481" s="64">
        <f>14.6814* CHOOSE(CONTROL!$C$22, $C$13, 100%, $E$13)</f>
        <v>14.6814</v>
      </c>
      <c r="I481" s="64">
        <f>14.6971 * CHOOSE(CONTROL!$C$22, $C$13, 100%, $E$13)</f>
        <v>14.697100000000001</v>
      </c>
      <c r="J481" s="64">
        <f>8.6611 * CHOOSE(CONTROL!$C$22, $C$13, 100%, $E$13)</f>
        <v>8.6610999999999994</v>
      </c>
      <c r="K481" s="64">
        <f>8.6768 * CHOOSE(CONTROL!$C$22, $C$13, 100%, $E$13)</f>
        <v>8.6768000000000001</v>
      </c>
    </row>
    <row r="482" spans="1:11" ht="15">
      <c r="A482" s="13">
        <v>56158</v>
      </c>
      <c r="B482" s="63">
        <f>7.3437 * CHOOSE(CONTROL!$C$22, $C$13, 100%, $E$13)</f>
        <v>7.3437000000000001</v>
      </c>
      <c r="C482" s="63">
        <f>7.3437 * CHOOSE(CONTROL!$C$22, $C$13, 100%, $E$13)</f>
        <v>7.3437000000000001</v>
      </c>
      <c r="D482" s="63">
        <f>7.3437 * CHOOSE(CONTROL!$C$22, $C$13, 100%, $E$13)</f>
        <v>7.3437000000000001</v>
      </c>
      <c r="E482" s="64">
        <f>8.7074 * CHOOSE(CONTROL!$C$22, $C$13, 100%, $E$13)</f>
        <v>8.7073999999999998</v>
      </c>
      <c r="F482" s="64">
        <f>8.7074 * CHOOSE(CONTROL!$C$22, $C$13, 100%, $E$13)</f>
        <v>8.7073999999999998</v>
      </c>
      <c r="G482" s="64">
        <f>8.7075 * CHOOSE(CONTROL!$C$22, $C$13, 100%, $E$13)</f>
        <v>8.7074999999999996</v>
      </c>
      <c r="H482" s="64">
        <f>14.712* CHOOSE(CONTROL!$C$22, $C$13, 100%, $E$13)</f>
        <v>14.712</v>
      </c>
      <c r="I482" s="64">
        <f>14.7121 * CHOOSE(CONTROL!$C$22, $C$13, 100%, $E$13)</f>
        <v>14.7121</v>
      </c>
      <c r="J482" s="64">
        <f>8.7074 * CHOOSE(CONTROL!$C$22, $C$13, 100%, $E$13)</f>
        <v>8.7073999999999998</v>
      </c>
      <c r="K482" s="64">
        <f>8.7075 * CHOOSE(CONTROL!$C$22, $C$13, 100%, $E$13)</f>
        <v>8.7074999999999996</v>
      </c>
    </row>
    <row r="483" spans="1:11" ht="15">
      <c r="A483" s="13">
        <v>56189</v>
      </c>
      <c r="B483" s="63">
        <f>7.3468 * CHOOSE(CONTROL!$C$22, $C$13, 100%, $E$13)</f>
        <v>7.3468</v>
      </c>
      <c r="C483" s="63">
        <f>7.3468 * CHOOSE(CONTROL!$C$22, $C$13, 100%, $E$13)</f>
        <v>7.3468</v>
      </c>
      <c r="D483" s="63">
        <f>7.3468 * CHOOSE(CONTROL!$C$22, $C$13, 100%, $E$13)</f>
        <v>7.3468</v>
      </c>
      <c r="E483" s="64">
        <f>8.7394 * CHOOSE(CONTROL!$C$22, $C$13, 100%, $E$13)</f>
        <v>8.7393999999999998</v>
      </c>
      <c r="F483" s="64">
        <f>8.7394 * CHOOSE(CONTROL!$C$22, $C$13, 100%, $E$13)</f>
        <v>8.7393999999999998</v>
      </c>
      <c r="G483" s="64">
        <f>8.7395 * CHOOSE(CONTROL!$C$22, $C$13, 100%, $E$13)</f>
        <v>8.7394999999999996</v>
      </c>
      <c r="H483" s="64">
        <f>14.7427* CHOOSE(CONTROL!$C$22, $C$13, 100%, $E$13)</f>
        <v>14.742699999999999</v>
      </c>
      <c r="I483" s="64">
        <f>14.7428 * CHOOSE(CONTROL!$C$22, $C$13, 100%, $E$13)</f>
        <v>14.742800000000001</v>
      </c>
      <c r="J483" s="64">
        <f>8.7394 * CHOOSE(CONTROL!$C$22, $C$13, 100%, $E$13)</f>
        <v>8.7393999999999998</v>
      </c>
      <c r="K483" s="64">
        <f>8.7395 * CHOOSE(CONTROL!$C$22, $C$13, 100%, $E$13)</f>
        <v>8.7394999999999996</v>
      </c>
    </row>
    <row r="484" spans="1:11" ht="15">
      <c r="A484" s="13">
        <v>56219</v>
      </c>
      <c r="B484" s="63">
        <f>7.3468 * CHOOSE(CONTROL!$C$22, $C$13, 100%, $E$13)</f>
        <v>7.3468</v>
      </c>
      <c r="C484" s="63">
        <f>7.3468 * CHOOSE(CONTROL!$C$22, $C$13, 100%, $E$13)</f>
        <v>7.3468</v>
      </c>
      <c r="D484" s="63">
        <f>7.3468 * CHOOSE(CONTROL!$C$22, $C$13, 100%, $E$13)</f>
        <v>7.3468</v>
      </c>
      <c r="E484" s="64">
        <f>8.6648 * CHOOSE(CONTROL!$C$22, $C$13, 100%, $E$13)</f>
        <v>8.6647999999999996</v>
      </c>
      <c r="F484" s="64">
        <f>8.6648 * CHOOSE(CONTROL!$C$22, $C$13, 100%, $E$13)</f>
        <v>8.6647999999999996</v>
      </c>
      <c r="G484" s="64">
        <f>8.6648 * CHOOSE(CONTROL!$C$22, $C$13, 100%, $E$13)</f>
        <v>8.6647999999999996</v>
      </c>
      <c r="H484" s="64">
        <f>14.7734* CHOOSE(CONTROL!$C$22, $C$13, 100%, $E$13)</f>
        <v>14.773400000000001</v>
      </c>
      <c r="I484" s="64">
        <f>14.7735 * CHOOSE(CONTROL!$C$22, $C$13, 100%, $E$13)</f>
        <v>14.7735</v>
      </c>
      <c r="J484" s="64">
        <f>8.6648 * CHOOSE(CONTROL!$C$22, $C$13, 100%, $E$13)</f>
        <v>8.6647999999999996</v>
      </c>
      <c r="K484" s="64">
        <f>8.6648 * CHOOSE(CONTROL!$C$22, $C$13, 100%, $E$13)</f>
        <v>8.6647999999999996</v>
      </c>
    </row>
    <row r="485" spans="1:11" ht="15">
      <c r="A485" s="13">
        <v>56250</v>
      </c>
      <c r="B485" s="63">
        <f>7.4101 * CHOOSE(CONTROL!$C$22, $C$13, 100%, $E$13)</f>
        <v>7.4100999999999999</v>
      </c>
      <c r="C485" s="63">
        <f>7.4101 * CHOOSE(CONTROL!$C$22, $C$13, 100%, $E$13)</f>
        <v>7.4100999999999999</v>
      </c>
      <c r="D485" s="63">
        <f>7.4102 * CHOOSE(CONTROL!$C$22, $C$13, 100%, $E$13)</f>
        <v>7.4101999999999997</v>
      </c>
      <c r="E485" s="64">
        <f>8.7891 * CHOOSE(CONTROL!$C$22, $C$13, 100%, $E$13)</f>
        <v>8.7890999999999995</v>
      </c>
      <c r="F485" s="64">
        <f>8.7891 * CHOOSE(CONTROL!$C$22, $C$13, 100%, $E$13)</f>
        <v>8.7890999999999995</v>
      </c>
      <c r="G485" s="64">
        <f>8.7892 * CHOOSE(CONTROL!$C$22, $C$13, 100%, $E$13)</f>
        <v>8.7891999999999992</v>
      </c>
      <c r="H485" s="64">
        <f>14.8042* CHOOSE(CONTROL!$C$22, $C$13, 100%, $E$13)</f>
        <v>14.8042</v>
      </c>
      <c r="I485" s="64">
        <f>14.8042 * CHOOSE(CONTROL!$C$22, $C$13, 100%, $E$13)</f>
        <v>14.8042</v>
      </c>
      <c r="J485" s="64">
        <f>8.7891 * CHOOSE(CONTROL!$C$22, $C$13, 100%, $E$13)</f>
        <v>8.7890999999999995</v>
      </c>
      <c r="K485" s="64">
        <f>8.7892 * CHOOSE(CONTROL!$C$22, $C$13, 100%, $E$13)</f>
        <v>8.7891999999999992</v>
      </c>
    </row>
    <row r="486" spans="1:11" ht="15">
      <c r="A486" s="13">
        <v>56281</v>
      </c>
      <c r="B486" s="63">
        <f>7.4071 * CHOOSE(CONTROL!$C$22, $C$13, 100%, $E$13)</f>
        <v>7.4070999999999998</v>
      </c>
      <c r="C486" s="63">
        <f>7.4071 * CHOOSE(CONTROL!$C$22, $C$13, 100%, $E$13)</f>
        <v>7.4070999999999998</v>
      </c>
      <c r="D486" s="63">
        <f>7.4071 * CHOOSE(CONTROL!$C$22, $C$13, 100%, $E$13)</f>
        <v>7.4070999999999998</v>
      </c>
      <c r="E486" s="64">
        <f>8.642 * CHOOSE(CONTROL!$C$22, $C$13, 100%, $E$13)</f>
        <v>8.6419999999999995</v>
      </c>
      <c r="F486" s="64">
        <f>8.642 * CHOOSE(CONTROL!$C$22, $C$13, 100%, $E$13)</f>
        <v>8.6419999999999995</v>
      </c>
      <c r="G486" s="64">
        <f>8.6421 * CHOOSE(CONTROL!$C$22, $C$13, 100%, $E$13)</f>
        <v>8.6420999999999992</v>
      </c>
      <c r="H486" s="64">
        <f>14.835* CHOOSE(CONTROL!$C$22, $C$13, 100%, $E$13)</f>
        <v>14.835000000000001</v>
      </c>
      <c r="I486" s="64">
        <f>14.8351 * CHOOSE(CONTROL!$C$22, $C$13, 100%, $E$13)</f>
        <v>14.835100000000001</v>
      </c>
      <c r="J486" s="64">
        <f>8.642 * CHOOSE(CONTROL!$C$22, $C$13, 100%, $E$13)</f>
        <v>8.6419999999999995</v>
      </c>
      <c r="K486" s="64">
        <f>8.6421 * CHOOSE(CONTROL!$C$22, $C$13, 100%, $E$13)</f>
        <v>8.6420999999999992</v>
      </c>
    </row>
    <row r="487" spans="1:11" ht="15">
      <c r="A487" s="13">
        <v>56309</v>
      </c>
      <c r="B487" s="63">
        <f>7.4041 * CHOOSE(CONTROL!$C$22, $C$13, 100%, $E$13)</f>
        <v>7.4040999999999997</v>
      </c>
      <c r="C487" s="63">
        <f>7.4041 * CHOOSE(CONTROL!$C$22, $C$13, 100%, $E$13)</f>
        <v>7.4040999999999997</v>
      </c>
      <c r="D487" s="63">
        <f>7.4041 * CHOOSE(CONTROL!$C$22, $C$13, 100%, $E$13)</f>
        <v>7.4040999999999997</v>
      </c>
      <c r="E487" s="64">
        <f>8.7542 * CHOOSE(CONTROL!$C$22, $C$13, 100%, $E$13)</f>
        <v>8.7542000000000009</v>
      </c>
      <c r="F487" s="64">
        <f>8.7542 * CHOOSE(CONTROL!$C$22, $C$13, 100%, $E$13)</f>
        <v>8.7542000000000009</v>
      </c>
      <c r="G487" s="64">
        <f>8.7542 * CHOOSE(CONTROL!$C$22, $C$13, 100%, $E$13)</f>
        <v>8.7542000000000009</v>
      </c>
      <c r="H487" s="64">
        <f>14.8659* CHOOSE(CONTROL!$C$22, $C$13, 100%, $E$13)</f>
        <v>14.8659</v>
      </c>
      <c r="I487" s="64">
        <f>14.866 * CHOOSE(CONTROL!$C$22, $C$13, 100%, $E$13)</f>
        <v>14.866</v>
      </c>
      <c r="J487" s="64">
        <f>8.7542 * CHOOSE(CONTROL!$C$22, $C$13, 100%, $E$13)</f>
        <v>8.7542000000000009</v>
      </c>
      <c r="K487" s="64">
        <f>8.7542 * CHOOSE(CONTROL!$C$22, $C$13, 100%, $E$13)</f>
        <v>8.7542000000000009</v>
      </c>
    </row>
    <row r="488" spans="1:11" ht="15">
      <c r="A488" s="13">
        <v>56340</v>
      </c>
      <c r="B488" s="63">
        <f>7.4046 * CHOOSE(CONTROL!$C$22, $C$13, 100%, $E$13)</f>
        <v>7.4046000000000003</v>
      </c>
      <c r="C488" s="63">
        <f>7.4046 * CHOOSE(CONTROL!$C$22, $C$13, 100%, $E$13)</f>
        <v>7.4046000000000003</v>
      </c>
      <c r="D488" s="63">
        <f>7.4046 * CHOOSE(CONTROL!$C$22, $C$13, 100%, $E$13)</f>
        <v>7.4046000000000003</v>
      </c>
      <c r="E488" s="64">
        <f>8.8727 * CHOOSE(CONTROL!$C$22, $C$13, 100%, $E$13)</f>
        <v>8.8727</v>
      </c>
      <c r="F488" s="64">
        <f>8.8727 * CHOOSE(CONTROL!$C$22, $C$13, 100%, $E$13)</f>
        <v>8.8727</v>
      </c>
      <c r="G488" s="64">
        <f>8.8727 * CHOOSE(CONTROL!$C$22, $C$13, 100%, $E$13)</f>
        <v>8.8727</v>
      </c>
      <c r="H488" s="64">
        <f>14.8969* CHOOSE(CONTROL!$C$22, $C$13, 100%, $E$13)</f>
        <v>14.8969</v>
      </c>
      <c r="I488" s="64">
        <f>14.897 * CHOOSE(CONTROL!$C$22, $C$13, 100%, $E$13)</f>
        <v>14.897</v>
      </c>
      <c r="J488" s="64">
        <f>8.8727 * CHOOSE(CONTROL!$C$22, $C$13, 100%, $E$13)</f>
        <v>8.8727</v>
      </c>
      <c r="K488" s="64">
        <f>8.8727 * CHOOSE(CONTROL!$C$22, $C$13, 100%, $E$13)</f>
        <v>8.8727</v>
      </c>
    </row>
    <row r="489" spans="1:11" ht="15">
      <c r="A489" s="13">
        <v>56370</v>
      </c>
      <c r="B489" s="63">
        <f>7.4046 * CHOOSE(CONTROL!$C$22, $C$13, 100%, $E$13)</f>
        <v>7.4046000000000003</v>
      </c>
      <c r="C489" s="63">
        <f>7.4046 * CHOOSE(CONTROL!$C$22, $C$13, 100%, $E$13)</f>
        <v>7.4046000000000003</v>
      </c>
      <c r="D489" s="63">
        <f>7.4176 * CHOOSE(CONTROL!$C$22, $C$13, 100%, $E$13)</f>
        <v>7.4176000000000002</v>
      </c>
      <c r="E489" s="64">
        <f>8.9187 * CHOOSE(CONTROL!$C$22, $C$13, 100%, $E$13)</f>
        <v>8.9186999999999994</v>
      </c>
      <c r="F489" s="64">
        <f>8.9187 * CHOOSE(CONTROL!$C$22, $C$13, 100%, $E$13)</f>
        <v>8.9186999999999994</v>
      </c>
      <c r="G489" s="64">
        <f>8.9344 * CHOOSE(CONTROL!$C$22, $C$13, 100%, $E$13)</f>
        <v>8.9344000000000001</v>
      </c>
      <c r="H489" s="64">
        <f>14.9279* CHOOSE(CONTROL!$C$22, $C$13, 100%, $E$13)</f>
        <v>14.927899999999999</v>
      </c>
      <c r="I489" s="64">
        <f>14.9436 * CHOOSE(CONTROL!$C$22, $C$13, 100%, $E$13)</f>
        <v>14.9436</v>
      </c>
      <c r="J489" s="64">
        <f>8.9187 * CHOOSE(CONTROL!$C$22, $C$13, 100%, $E$13)</f>
        <v>8.9186999999999994</v>
      </c>
      <c r="K489" s="64">
        <f>8.9344 * CHOOSE(CONTROL!$C$22, $C$13, 100%, $E$13)</f>
        <v>8.9344000000000001</v>
      </c>
    </row>
    <row r="490" spans="1:11" ht="15">
      <c r="A490" s="13">
        <v>56401</v>
      </c>
      <c r="B490" s="63">
        <f>7.4107 * CHOOSE(CONTROL!$C$22, $C$13, 100%, $E$13)</f>
        <v>7.4107000000000003</v>
      </c>
      <c r="C490" s="63">
        <f>7.4107 * CHOOSE(CONTROL!$C$22, $C$13, 100%, $E$13)</f>
        <v>7.4107000000000003</v>
      </c>
      <c r="D490" s="63">
        <f>7.4237 * CHOOSE(CONTROL!$C$22, $C$13, 100%, $E$13)</f>
        <v>7.4237000000000002</v>
      </c>
      <c r="E490" s="64">
        <f>8.8769 * CHOOSE(CONTROL!$C$22, $C$13, 100%, $E$13)</f>
        <v>8.8768999999999991</v>
      </c>
      <c r="F490" s="64">
        <f>8.8769 * CHOOSE(CONTROL!$C$22, $C$13, 100%, $E$13)</f>
        <v>8.8768999999999991</v>
      </c>
      <c r="G490" s="64">
        <f>8.8926 * CHOOSE(CONTROL!$C$22, $C$13, 100%, $E$13)</f>
        <v>8.8925999999999998</v>
      </c>
      <c r="H490" s="64">
        <f>14.959* CHOOSE(CONTROL!$C$22, $C$13, 100%, $E$13)</f>
        <v>14.959</v>
      </c>
      <c r="I490" s="64">
        <f>14.9747 * CHOOSE(CONTROL!$C$22, $C$13, 100%, $E$13)</f>
        <v>14.9747</v>
      </c>
      <c r="J490" s="64">
        <f>8.8769 * CHOOSE(CONTROL!$C$22, $C$13, 100%, $E$13)</f>
        <v>8.8768999999999991</v>
      </c>
      <c r="K490" s="64">
        <f>8.8926 * CHOOSE(CONTROL!$C$22, $C$13, 100%, $E$13)</f>
        <v>8.8925999999999998</v>
      </c>
    </row>
    <row r="491" spans="1:11" ht="15">
      <c r="A491" s="13">
        <v>56431</v>
      </c>
      <c r="B491" s="63">
        <f>7.5277 * CHOOSE(CONTROL!$C$22, $C$13, 100%, $E$13)</f>
        <v>7.5277000000000003</v>
      </c>
      <c r="C491" s="63">
        <f>7.5277 * CHOOSE(CONTROL!$C$22, $C$13, 100%, $E$13)</f>
        <v>7.5277000000000003</v>
      </c>
      <c r="D491" s="63">
        <f>7.5407 * CHOOSE(CONTROL!$C$22, $C$13, 100%, $E$13)</f>
        <v>7.5407000000000002</v>
      </c>
      <c r="E491" s="64">
        <f>9.0233 * CHOOSE(CONTROL!$C$22, $C$13, 100%, $E$13)</f>
        <v>9.0233000000000008</v>
      </c>
      <c r="F491" s="64">
        <f>9.0233 * CHOOSE(CONTROL!$C$22, $C$13, 100%, $E$13)</f>
        <v>9.0233000000000008</v>
      </c>
      <c r="G491" s="64">
        <f>9.039 * CHOOSE(CONTROL!$C$22, $C$13, 100%, $E$13)</f>
        <v>9.0389999999999997</v>
      </c>
      <c r="H491" s="64">
        <f>14.9902* CHOOSE(CONTROL!$C$22, $C$13, 100%, $E$13)</f>
        <v>14.9902</v>
      </c>
      <c r="I491" s="64">
        <f>15.0059 * CHOOSE(CONTROL!$C$22, $C$13, 100%, $E$13)</f>
        <v>15.0059</v>
      </c>
      <c r="J491" s="64">
        <f>9.0233 * CHOOSE(CONTROL!$C$22, $C$13, 100%, $E$13)</f>
        <v>9.0233000000000008</v>
      </c>
      <c r="K491" s="64">
        <f>9.039 * CHOOSE(CONTROL!$C$22, $C$13, 100%, $E$13)</f>
        <v>9.0389999999999997</v>
      </c>
    </row>
    <row r="492" spans="1:11" ht="15">
      <c r="A492" s="13">
        <v>56462</v>
      </c>
      <c r="B492" s="63">
        <f>7.5344 * CHOOSE(CONTROL!$C$22, $C$13, 100%, $E$13)</f>
        <v>7.5343999999999998</v>
      </c>
      <c r="C492" s="63">
        <f>7.5344 * CHOOSE(CONTROL!$C$22, $C$13, 100%, $E$13)</f>
        <v>7.5343999999999998</v>
      </c>
      <c r="D492" s="63">
        <f>7.5474 * CHOOSE(CONTROL!$C$22, $C$13, 100%, $E$13)</f>
        <v>7.5473999999999997</v>
      </c>
      <c r="E492" s="64">
        <f>8.8899 * CHOOSE(CONTROL!$C$22, $C$13, 100%, $E$13)</f>
        <v>8.8899000000000008</v>
      </c>
      <c r="F492" s="64">
        <f>8.8899 * CHOOSE(CONTROL!$C$22, $C$13, 100%, $E$13)</f>
        <v>8.8899000000000008</v>
      </c>
      <c r="G492" s="64">
        <f>8.9056 * CHOOSE(CONTROL!$C$22, $C$13, 100%, $E$13)</f>
        <v>8.9055999999999997</v>
      </c>
      <c r="H492" s="64">
        <f>15.0214* CHOOSE(CONTROL!$C$22, $C$13, 100%, $E$13)</f>
        <v>15.0214</v>
      </c>
      <c r="I492" s="64">
        <f>15.0371 * CHOOSE(CONTROL!$C$22, $C$13, 100%, $E$13)</f>
        <v>15.037100000000001</v>
      </c>
      <c r="J492" s="64">
        <f>8.8899 * CHOOSE(CONTROL!$C$22, $C$13, 100%, $E$13)</f>
        <v>8.8899000000000008</v>
      </c>
      <c r="K492" s="64">
        <f>8.9056 * CHOOSE(CONTROL!$C$22, $C$13, 100%, $E$13)</f>
        <v>8.9055999999999997</v>
      </c>
    </row>
    <row r="493" spans="1:11" ht="15">
      <c r="A493" s="13">
        <v>56493</v>
      </c>
      <c r="B493" s="63">
        <f>7.5314 * CHOOSE(CONTROL!$C$22, $C$13, 100%, $E$13)</f>
        <v>7.5313999999999997</v>
      </c>
      <c r="C493" s="63">
        <f>7.5314 * CHOOSE(CONTROL!$C$22, $C$13, 100%, $E$13)</f>
        <v>7.5313999999999997</v>
      </c>
      <c r="D493" s="63">
        <f>7.5444 * CHOOSE(CONTROL!$C$22, $C$13, 100%, $E$13)</f>
        <v>7.5444000000000004</v>
      </c>
      <c r="E493" s="64">
        <f>8.8725 * CHOOSE(CONTROL!$C$22, $C$13, 100%, $E$13)</f>
        <v>8.8725000000000005</v>
      </c>
      <c r="F493" s="64">
        <f>8.8725 * CHOOSE(CONTROL!$C$22, $C$13, 100%, $E$13)</f>
        <v>8.8725000000000005</v>
      </c>
      <c r="G493" s="64">
        <f>8.8881 * CHOOSE(CONTROL!$C$22, $C$13, 100%, $E$13)</f>
        <v>8.8880999999999997</v>
      </c>
      <c r="H493" s="64">
        <f>15.0527* CHOOSE(CONTROL!$C$22, $C$13, 100%, $E$13)</f>
        <v>15.0527</v>
      </c>
      <c r="I493" s="64">
        <f>15.0684 * CHOOSE(CONTROL!$C$22, $C$13, 100%, $E$13)</f>
        <v>15.0684</v>
      </c>
      <c r="J493" s="64">
        <f>8.8725 * CHOOSE(CONTROL!$C$22, $C$13, 100%, $E$13)</f>
        <v>8.8725000000000005</v>
      </c>
      <c r="K493" s="64">
        <f>8.8881 * CHOOSE(CONTROL!$C$22, $C$13, 100%, $E$13)</f>
        <v>8.8880999999999997</v>
      </c>
    </row>
    <row r="494" spans="1:11" ht="15">
      <c r="A494" s="13">
        <v>56523</v>
      </c>
      <c r="B494" s="63">
        <f>7.5381 * CHOOSE(CONTROL!$C$22, $C$13, 100%, $E$13)</f>
        <v>7.5381</v>
      </c>
      <c r="C494" s="63">
        <f>7.5381 * CHOOSE(CONTROL!$C$22, $C$13, 100%, $E$13)</f>
        <v>7.5381</v>
      </c>
      <c r="D494" s="63">
        <f>7.5381 * CHOOSE(CONTROL!$C$22, $C$13, 100%, $E$13)</f>
        <v>7.5381</v>
      </c>
      <c r="E494" s="64">
        <f>8.9204 * CHOOSE(CONTROL!$C$22, $C$13, 100%, $E$13)</f>
        <v>8.9204000000000008</v>
      </c>
      <c r="F494" s="64">
        <f>8.9204 * CHOOSE(CONTROL!$C$22, $C$13, 100%, $E$13)</f>
        <v>8.9204000000000008</v>
      </c>
      <c r="G494" s="64">
        <f>8.9205 * CHOOSE(CONTROL!$C$22, $C$13, 100%, $E$13)</f>
        <v>8.9205000000000005</v>
      </c>
      <c r="H494" s="64">
        <f>15.0841* CHOOSE(CONTROL!$C$22, $C$13, 100%, $E$13)</f>
        <v>15.084099999999999</v>
      </c>
      <c r="I494" s="64">
        <f>15.0842 * CHOOSE(CONTROL!$C$22, $C$13, 100%, $E$13)</f>
        <v>15.084199999999999</v>
      </c>
      <c r="J494" s="64">
        <f>8.9204 * CHOOSE(CONTROL!$C$22, $C$13, 100%, $E$13)</f>
        <v>8.9204000000000008</v>
      </c>
      <c r="K494" s="64">
        <f>8.9205 * CHOOSE(CONTROL!$C$22, $C$13, 100%, $E$13)</f>
        <v>8.9205000000000005</v>
      </c>
    </row>
    <row r="495" spans="1:11" ht="15">
      <c r="A495" s="13">
        <v>56554</v>
      </c>
      <c r="B495" s="63">
        <f>7.5411 * CHOOSE(CONTROL!$C$22, $C$13, 100%, $E$13)</f>
        <v>7.5411000000000001</v>
      </c>
      <c r="C495" s="63">
        <f>7.5411 * CHOOSE(CONTROL!$C$22, $C$13, 100%, $E$13)</f>
        <v>7.5411000000000001</v>
      </c>
      <c r="D495" s="63">
        <f>7.5411 * CHOOSE(CONTROL!$C$22, $C$13, 100%, $E$13)</f>
        <v>7.5411000000000001</v>
      </c>
      <c r="E495" s="64">
        <f>8.9532 * CHOOSE(CONTROL!$C$22, $C$13, 100%, $E$13)</f>
        <v>8.9532000000000007</v>
      </c>
      <c r="F495" s="64">
        <f>8.9532 * CHOOSE(CONTROL!$C$22, $C$13, 100%, $E$13)</f>
        <v>8.9532000000000007</v>
      </c>
      <c r="G495" s="64">
        <f>8.9533 * CHOOSE(CONTROL!$C$22, $C$13, 100%, $E$13)</f>
        <v>8.9533000000000005</v>
      </c>
      <c r="H495" s="64">
        <f>15.1155* CHOOSE(CONTROL!$C$22, $C$13, 100%, $E$13)</f>
        <v>15.115500000000001</v>
      </c>
      <c r="I495" s="64">
        <f>15.1156 * CHOOSE(CONTROL!$C$22, $C$13, 100%, $E$13)</f>
        <v>15.115600000000001</v>
      </c>
      <c r="J495" s="64">
        <f>8.9532 * CHOOSE(CONTROL!$C$22, $C$13, 100%, $E$13)</f>
        <v>8.9532000000000007</v>
      </c>
      <c r="K495" s="64">
        <f>8.9533 * CHOOSE(CONTROL!$C$22, $C$13, 100%, $E$13)</f>
        <v>8.9533000000000005</v>
      </c>
    </row>
    <row r="496" spans="1:11" ht="15">
      <c r="A496" s="13">
        <v>56584</v>
      </c>
      <c r="B496" s="63">
        <f>7.5411 * CHOOSE(CONTROL!$C$22, $C$13, 100%, $E$13)</f>
        <v>7.5411000000000001</v>
      </c>
      <c r="C496" s="63">
        <f>7.5411 * CHOOSE(CONTROL!$C$22, $C$13, 100%, $E$13)</f>
        <v>7.5411000000000001</v>
      </c>
      <c r="D496" s="63">
        <f>7.5411 * CHOOSE(CONTROL!$C$22, $C$13, 100%, $E$13)</f>
        <v>7.5411000000000001</v>
      </c>
      <c r="E496" s="64">
        <f>8.8765 * CHOOSE(CONTROL!$C$22, $C$13, 100%, $E$13)</f>
        <v>8.8765000000000001</v>
      </c>
      <c r="F496" s="64">
        <f>8.8765 * CHOOSE(CONTROL!$C$22, $C$13, 100%, $E$13)</f>
        <v>8.8765000000000001</v>
      </c>
      <c r="G496" s="64">
        <f>8.8766 * CHOOSE(CONTROL!$C$22, $C$13, 100%, $E$13)</f>
        <v>8.8765999999999998</v>
      </c>
      <c r="H496" s="64">
        <f>15.147* CHOOSE(CONTROL!$C$22, $C$13, 100%, $E$13)</f>
        <v>15.147</v>
      </c>
      <c r="I496" s="64">
        <f>15.1471 * CHOOSE(CONTROL!$C$22, $C$13, 100%, $E$13)</f>
        <v>15.1471</v>
      </c>
      <c r="J496" s="64">
        <f>8.8765 * CHOOSE(CONTROL!$C$22, $C$13, 100%, $E$13)</f>
        <v>8.8765000000000001</v>
      </c>
      <c r="K496" s="64">
        <f>8.8766 * CHOOSE(CONTROL!$C$22, $C$13, 100%, $E$13)</f>
        <v>8.8765999999999998</v>
      </c>
    </row>
    <row r="497" spans="1:11" ht="15">
      <c r="A497" s="13">
        <v>56615</v>
      </c>
      <c r="B497" s="63">
        <f>7.606 * CHOOSE(CONTROL!$C$22, $C$13, 100%, $E$13)</f>
        <v>7.6059999999999999</v>
      </c>
      <c r="C497" s="63">
        <f>7.606 * CHOOSE(CONTROL!$C$22, $C$13, 100%, $E$13)</f>
        <v>7.6059999999999999</v>
      </c>
      <c r="D497" s="63">
        <f>7.606 * CHOOSE(CONTROL!$C$22, $C$13, 100%, $E$13)</f>
        <v>7.6059999999999999</v>
      </c>
      <c r="E497" s="64">
        <f>9.004 * CHOOSE(CONTROL!$C$22, $C$13, 100%, $E$13)</f>
        <v>9.0039999999999996</v>
      </c>
      <c r="F497" s="64">
        <f>9.004 * CHOOSE(CONTROL!$C$22, $C$13, 100%, $E$13)</f>
        <v>9.0039999999999996</v>
      </c>
      <c r="G497" s="64">
        <f>9.0041 * CHOOSE(CONTROL!$C$22, $C$13, 100%, $E$13)</f>
        <v>9.0040999999999993</v>
      </c>
      <c r="H497" s="64">
        <f>15.1785* CHOOSE(CONTROL!$C$22, $C$13, 100%, $E$13)</f>
        <v>15.1785</v>
      </c>
      <c r="I497" s="64">
        <f>15.1786 * CHOOSE(CONTROL!$C$22, $C$13, 100%, $E$13)</f>
        <v>15.178599999999999</v>
      </c>
      <c r="J497" s="64">
        <f>9.004 * CHOOSE(CONTROL!$C$22, $C$13, 100%, $E$13)</f>
        <v>9.0039999999999996</v>
      </c>
      <c r="K497" s="64">
        <f>9.0041 * CHOOSE(CONTROL!$C$22, $C$13, 100%, $E$13)</f>
        <v>9.0040999999999993</v>
      </c>
    </row>
    <row r="498" spans="1:11" ht="15">
      <c r="A498" s="13">
        <v>56646</v>
      </c>
      <c r="B498" s="63">
        <f>7.603 * CHOOSE(CONTROL!$C$22, $C$13, 100%, $E$13)</f>
        <v>7.6029999999999998</v>
      </c>
      <c r="C498" s="63">
        <f>7.603 * CHOOSE(CONTROL!$C$22, $C$13, 100%, $E$13)</f>
        <v>7.6029999999999998</v>
      </c>
      <c r="D498" s="63">
        <f>7.603 * CHOOSE(CONTROL!$C$22, $C$13, 100%, $E$13)</f>
        <v>7.6029999999999998</v>
      </c>
      <c r="E498" s="64">
        <f>8.8528 * CHOOSE(CONTROL!$C$22, $C$13, 100%, $E$13)</f>
        <v>8.8528000000000002</v>
      </c>
      <c r="F498" s="64">
        <f>8.8528 * CHOOSE(CONTROL!$C$22, $C$13, 100%, $E$13)</f>
        <v>8.8528000000000002</v>
      </c>
      <c r="G498" s="64">
        <f>8.8529 * CHOOSE(CONTROL!$C$22, $C$13, 100%, $E$13)</f>
        <v>8.8529</v>
      </c>
      <c r="H498" s="64">
        <f>15.2102* CHOOSE(CONTROL!$C$22, $C$13, 100%, $E$13)</f>
        <v>15.2102</v>
      </c>
      <c r="I498" s="64">
        <f>15.2102 * CHOOSE(CONTROL!$C$22, $C$13, 100%, $E$13)</f>
        <v>15.2102</v>
      </c>
      <c r="J498" s="64">
        <f>8.8528 * CHOOSE(CONTROL!$C$22, $C$13, 100%, $E$13)</f>
        <v>8.8528000000000002</v>
      </c>
      <c r="K498" s="64">
        <f>8.8529 * CHOOSE(CONTROL!$C$22, $C$13, 100%, $E$13)</f>
        <v>8.8529</v>
      </c>
    </row>
    <row r="499" spans="1:11" ht="15">
      <c r="A499" s="13">
        <v>56674</v>
      </c>
      <c r="B499" s="63">
        <f>7.6 * CHOOSE(CONTROL!$C$22, $C$13, 100%, $E$13)</f>
        <v>7.6</v>
      </c>
      <c r="C499" s="63">
        <f>7.6 * CHOOSE(CONTROL!$C$22, $C$13, 100%, $E$13)</f>
        <v>7.6</v>
      </c>
      <c r="D499" s="63">
        <f>7.6 * CHOOSE(CONTROL!$C$22, $C$13, 100%, $E$13)</f>
        <v>7.6</v>
      </c>
      <c r="E499" s="64">
        <f>8.9682 * CHOOSE(CONTROL!$C$22, $C$13, 100%, $E$13)</f>
        <v>8.9681999999999995</v>
      </c>
      <c r="F499" s="64">
        <f>8.9682 * CHOOSE(CONTROL!$C$22, $C$13, 100%, $E$13)</f>
        <v>8.9681999999999995</v>
      </c>
      <c r="G499" s="64">
        <f>8.9683 * CHOOSE(CONTROL!$C$22, $C$13, 100%, $E$13)</f>
        <v>8.9682999999999993</v>
      </c>
      <c r="H499" s="64">
        <f>15.2419* CHOOSE(CONTROL!$C$22, $C$13, 100%, $E$13)</f>
        <v>15.241899999999999</v>
      </c>
      <c r="I499" s="64">
        <f>15.2419 * CHOOSE(CONTROL!$C$22, $C$13, 100%, $E$13)</f>
        <v>15.241899999999999</v>
      </c>
      <c r="J499" s="64">
        <f>8.9682 * CHOOSE(CONTROL!$C$22, $C$13, 100%, $E$13)</f>
        <v>8.9681999999999995</v>
      </c>
      <c r="K499" s="64">
        <f>8.9683 * CHOOSE(CONTROL!$C$22, $C$13, 100%, $E$13)</f>
        <v>8.9682999999999993</v>
      </c>
    </row>
    <row r="500" spans="1:11" ht="15">
      <c r="A500" s="13">
        <v>56705</v>
      </c>
      <c r="B500" s="63">
        <f>7.6007 * CHOOSE(CONTROL!$C$22, $C$13, 100%, $E$13)</f>
        <v>7.6006999999999998</v>
      </c>
      <c r="C500" s="63">
        <f>7.6007 * CHOOSE(CONTROL!$C$22, $C$13, 100%, $E$13)</f>
        <v>7.6006999999999998</v>
      </c>
      <c r="D500" s="63">
        <f>7.6007 * CHOOSE(CONTROL!$C$22, $C$13, 100%, $E$13)</f>
        <v>7.6006999999999998</v>
      </c>
      <c r="E500" s="64">
        <f>9.0901 * CHOOSE(CONTROL!$C$22, $C$13, 100%, $E$13)</f>
        <v>9.0900999999999996</v>
      </c>
      <c r="F500" s="64">
        <f>9.0901 * CHOOSE(CONTROL!$C$22, $C$13, 100%, $E$13)</f>
        <v>9.0900999999999996</v>
      </c>
      <c r="G500" s="64">
        <f>9.0902 * CHOOSE(CONTROL!$C$22, $C$13, 100%, $E$13)</f>
        <v>9.0901999999999994</v>
      </c>
      <c r="H500" s="64">
        <f>15.2736* CHOOSE(CONTROL!$C$22, $C$13, 100%, $E$13)</f>
        <v>15.2736</v>
      </c>
      <c r="I500" s="64">
        <f>15.2737 * CHOOSE(CONTROL!$C$22, $C$13, 100%, $E$13)</f>
        <v>15.2737</v>
      </c>
      <c r="J500" s="64">
        <f>9.0901 * CHOOSE(CONTROL!$C$22, $C$13, 100%, $E$13)</f>
        <v>9.0900999999999996</v>
      </c>
      <c r="K500" s="64">
        <f>9.0902 * CHOOSE(CONTROL!$C$22, $C$13, 100%, $E$13)</f>
        <v>9.0901999999999994</v>
      </c>
    </row>
    <row r="501" spans="1:11" ht="15">
      <c r="A501" s="13">
        <v>56735</v>
      </c>
      <c r="B501" s="63">
        <f>7.6007 * CHOOSE(CONTROL!$C$22, $C$13, 100%, $E$13)</f>
        <v>7.6006999999999998</v>
      </c>
      <c r="C501" s="63">
        <f>7.6007 * CHOOSE(CONTROL!$C$22, $C$13, 100%, $E$13)</f>
        <v>7.6006999999999998</v>
      </c>
      <c r="D501" s="63">
        <f>7.6137 * CHOOSE(CONTROL!$C$22, $C$13, 100%, $E$13)</f>
        <v>7.6136999999999997</v>
      </c>
      <c r="E501" s="64">
        <f>9.1375 * CHOOSE(CONTROL!$C$22, $C$13, 100%, $E$13)</f>
        <v>9.1374999999999993</v>
      </c>
      <c r="F501" s="64">
        <f>9.1375 * CHOOSE(CONTROL!$C$22, $C$13, 100%, $E$13)</f>
        <v>9.1374999999999993</v>
      </c>
      <c r="G501" s="64">
        <f>9.1531 * CHOOSE(CONTROL!$C$22, $C$13, 100%, $E$13)</f>
        <v>9.1531000000000002</v>
      </c>
      <c r="H501" s="64">
        <f>15.3054* CHOOSE(CONTROL!$C$22, $C$13, 100%, $E$13)</f>
        <v>15.305400000000001</v>
      </c>
      <c r="I501" s="64">
        <f>15.3211 * CHOOSE(CONTROL!$C$22, $C$13, 100%, $E$13)</f>
        <v>15.321099999999999</v>
      </c>
      <c r="J501" s="64">
        <f>9.1375 * CHOOSE(CONTROL!$C$22, $C$13, 100%, $E$13)</f>
        <v>9.1374999999999993</v>
      </c>
      <c r="K501" s="64">
        <f>9.1531 * CHOOSE(CONTROL!$C$22, $C$13, 100%, $E$13)</f>
        <v>9.1531000000000002</v>
      </c>
    </row>
    <row r="502" spans="1:11" ht="15">
      <c r="A502" s="13">
        <v>56766</v>
      </c>
      <c r="B502" s="63">
        <f>7.6068 * CHOOSE(CONTROL!$C$22, $C$13, 100%, $E$13)</f>
        <v>7.6067999999999998</v>
      </c>
      <c r="C502" s="63">
        <f>7.6068 * CHOOSE(CONTROL!$C$22, $C$13, 100%, $E$13)</f>
        <v>7.6067999999999998</v>
      </c>
      <c r="D502" s="63">
        <f>7.6197 * CHOOSE(CONTROL!$C$22, $C$13, 100%, $E$13)</f>
        <v>7.6196999999999999</v>
      </c>
      <c r="E502" s="64">
        <f>9.0944 * CHOOSE(CONTROL!$C$22, $C$13, 100%, $E$13)</f>
        <v>9.0944000000000003</v>
      </c>
      <c r="F502" s="64">
        <f>9.0944 * CHOOSE(CONTROL!$C$22, $C$13, 100%, $E$13)</f>
        <v>9.0944000000000003</v>
      </c>
      <c r="G502" s="64">
        <f>9.1101 * CHOOSE(CONTROL!$C$22, $C$13, 100%, $E$13)</f>
        <v>9.1100999999999992</v>
      </c>
      <c r="H502" s="64">
        <f>15.3373* CHOOSE(CONTROL!$C$22, $C$13, 100%, $E$13)</f>
        <v>15.337300000000001</v>
      </c>
      <c r="I502" s="64">
        <f>15.353 * CHOOSE(CONTROL!$C$22, $C$13, 100%, $E$13)</f>
        <v>15.353</v>
      </c>
      <c r="J502" s="64">
        <f>9.0944 * CHOOSE(CONTROL!$C$22, $C$13, 100%, $E$13)</f>
        <v>9.0944000000000003</v>
      </c>
      <c r="K502" s="64">
        <f>9.1101 * CHOOSE(CONTROL!$C$22, $C$13, 100%, $E$13)</f>
        <v>9.1100999999999992</v>
      </c>
    </row>
    <row r="503" spans="1:11" ht="15">
      <c r="A503" s="13">
        <v>56796</v>
      </c>
      <c r="B503" s="63">
        <f>7.7266 * CHOOSE(CONTROL!$C$22, $C$13, 100%, $E$13)</f>
        <v>7.7266000000000004</v>
      </c>
      <c r="C503" s="63">
        <f>7.7266 * CHOOSE(CONTROL!$C$22, $C$13, 100%, $E$13)</f>
        <v>7.7266000000000004</v>
      </c>
      <c r="D503" s="63">
        <f>7.7396 * CHOOSE(CONTROL!$C$22, $C$13, 100%, $E$13)</f>
        <v>7.7396000000000003</v>
      </c>
      <c r="E503" s="64">
        <f>9.2441 * CHOOSE(CONTROL!$C$22, $C$13, 100%, $E$13)</f>
        <v>9.2440999999999995</v>
      </c>
      <c r="F503" s="64">
        <f>9.2441 * CHOOSE(CONTROL!$C$22, $C$13, 100%, $E$13)</f>
        <v>9.2440999999999995</v>
      </c>
      <c r="G503" s="64">
        <f>9.2598 * CHOOSE(CONTROL!$C$22, $C$13, 100%, $E$13)</f>
        <v>9.2598000000000003</v>
      </c>
      <c r="H503" s="64">
        <f>15.3693* CHOOSE(CONTROL!$C$22, $C$13, 100%, $E$13)</f>
        <v>15.369300000000001</v>
      </c>
      <c r="I503" s="64">
        <f>15.3849 * CHOOSE(CONTROL!$C$22, $C$13, 100%, $E$13)</f>
        <v>15.3849</v>
      </c>
      <c r="J503" s="64">
        <f>9.2441 * CHOOSE(CONTROL!$C$22, $C$13, 100%, $E$13)</f>
        <v>9.2440999999999995</v>
      </c>
      <c r="K503" s="64">
        <f>9.2598 * CHOOSE(CONTROL!$C$22, $C$13, 100%, $E$13)</f>
        <v>9.2598000000000003</v>
      </c>
    </row>
    <row r="504" spans="1:11" ht="15">
      <c r="A504" s="13">
        <v>56827</v>
      </c>
      <c r="B504" s="63">
        <f>7.7333 * CHOOSE(CONTROL!$C$22, $C$13, 100%, $E$13)</f>
        <v>7.7332999999999998</v>
      </c>
      <c r="C504" s="63">
        <f>7.7333 * CHOOSE(CONTROL!$C$22, $C$13, 100%, $E$13)</f>
        <v>7.7332999999999998</v>
      </c>
      <c r="D504" s="63">
        <f>7.7463 * CHOOSE(CONTROL!$C$22, $C$13, 100%, $E$13)</f>
        <v>7.7462999999999997</v>
      </c>
      <c r="E504" s="64">
        <f>9.1068 * CHOOSE(CONTROL!$C$22, $C$13, 100%, $E$13)</f>
        <v>9.1067999999999998</v>
      </c>
      <c r="F504" s="64">
        <f>9.1068 * CHOOSE(CONTROL!$C$22, $C$13, 100%, $E$13)</f>
        <v>9.1067999999999998</v>
      </c>
      <c r="G504" s="64">
        <f>9.1225 * CHOOSE(CONTROL!$C$22, $C$13, 100%, $E$13)</f>
        <v>9.1225000000000005</v>
      </c>
      <c r="H504" s="64">
        <f>15.4013* CHOOSE(CONTROL!$C$22, $C$13, 100%, $E$13)</f>
        <v>15.401300000000001</v>
      </c>
      <c r="I504" s="64">
        <f>15.417 * CHOOSE(CONTROL!$C$22, $C$13, 100%, $E$13)</f>
        <v>15.417</v>
      </c>
      <c r="J504" s="64">
        <f>9.1068 * CHOOSE(CONTROL!$C$22, $C$13, 100%, $E$13)</f>
        <v>9.1067999999999998</v>
      </c>
      <c r="K504" s="64">
        <f>9.1225 * CHOOSE(CONTROL!$C$22, $C$13, 100%, $E$13)</f>
        <v>9.1225000000000005</v>
      </c>
    </row>
    <row r="505" spans="1:11" ht="15">
      <c r="A505" s="13">
        <v>56858</v>
      </c>
      <c r="B505" s="63">
        <f>7.7303 * CHOOSE(CONTROL!$C$22, $C$13, 100%, $E$13)</f>
        <v>7.7302999999999997</v>
      </c>
      <c r="C505" s="63">
        <f>7.7303 * CHOOSE(CONTROL!$C$22, $C$13, 100%, $E$13)</f>
        <v>7.7302999999999997</v>
      </c>
      <c r="D505" s="63">
        <f>7.7432 * CHOOSE(CONTROL!$C$22, $C$13, 100%, $E$13)</f>
        <v>7.7431999999999999</v>
      </c>
      <c r="E505" s="64">
        <f>9.089 * CHOOSE(CONTROL!$C$22, $C$13, 100%, $E$13)</f>
        <v>9.0890000000000004</v>
      </c>
      <c r="F505" s="64">
        <f>9.089 * CHOOSE(CONTROL!$C$22, $C$13, 100%, $E$13)</f>
        <v>9.0890000000000004</v>
      </c>
      <c r="G505" s="64">
        <f>9.1046 * CHOOSE(CONTROL!$C$22, $C$13, 100%, $E$13)</f>
        <v>9.1045999999999996</v>
      </c>
      <c r="H505" s="64">
        <f>15.4334* CHOOSE(CONTROL!$C$22, $C$13, 100%, $E$13)</f>
        <v>15.433400000000001</v>
      </c>
      <c r="I505" s="64">
        <f>15.4491 * CHOOSE(CONTROL!$C$22, $C$13, 100%, $E$13)</f>
        <v>15.4491</v>
      </c>
      <c r="J505" s="64">
        <f>9.089 * CHOOSE(CONTROL!$C$22, $C$13, 100%, $E$13)</f>
        <v>9.0890000000000004</v>
      </c>
      <c r="K505" s="64">
        <f>9.1046 * CHOOSE(CONTROL!$C$22, $C$13, 100%, $E$13)</f>
        <v>9.1045999999999996</v>
      </c>
    </row>
    <row r="506" spans="1:11" ht="15">
      <c r="A506" s="13">
        <v>56888</v>
      </c>
      <c r="B506" s="63">
        <f>7.7376 * CHOOSE(CONTROL!$C$22, $C$13, 100%, $E$13)</f>
        <v>7.7375999999999996</v>
      </c>
      <c r="C506" s="63">
        <f>7.7376 * CHOOSE(CONTROL!$C$22, $C$13, 100%, $E$13)</f>
        <v>7.7375999999999996</v>
      </c>
      <c r="D506" s="63">
        <f>7.7376 * CHOOSE(CONTROL!$C$22, $C$13, 100%, $E$13)</f>
        <v>7.7375999999999996</v>
      </c>
      <c r="E506" s="64">
        <f>9.1386 * CHOOSE(CONTROL!$C$22, $C$13, 100%, $E$13)</f>
        <v>9.1386000000000003</v>
      </c>
      <c r="F506" s="64">
        <f>9.1386 * CHOOSE(CONTROL!$C$22, $C$13, 100%, $E$13)</f>
        <v>9.1386000000000003</v>
      </c>
      <c r="G506" s="64">
        <f>9.1387 * CHOOSE(CONTROL!$C$22, $C$13, 100%, $E$13)</f>
        <v>9.1387</v>
      </c>
      <c r="H506" s="64">
        <f>15.4655* CHOOSE(CONTROL!$C$22, $C$13, 100%, $E$13)</f>
        <v>15.4655</v>
      </c>
      <c r="I506" s="64">
        <f>15.4656 * CHOOSE(CONTROL!$C$22, $C$13, 100%, $E$13)</f>
        <v>15.4656</v>
      </c>
      <c r="J506" s="64">
        <f>9.1386 * CHOOSE(CONTROL!$C$22, $C$13, 100%, $E$13)</f>
        <v>9.1386000000000003</v>
      </c>
      <c r="K506" s="64">
        <f>9.1387 * CHOOSE(CONTROL!$C$22, $C$13, 100%, $E$13)</f>
        <v>9.1387</v>
      </c>
    </row>
    <row r="507" spans="1:11" ht="15">
      <c r="A507" s="13">
        <v>56919</v>
      </c>
      <c r="B507" s="63">
        <f>7.7406 * CHOOSE(CONTROL!$C$22, $C$13, 100%, $E$13)</f>
        <v>7.7405999999999997</v>
      </c>
      <c r="C507" s="63">
        <f>7.7406 * CHOOSE(CONTROL!$C$22, $C$13, 100%, $E$13)</f>
        <v>7.7405999999999997</v>
      </c>
      <c r="D507" s="63">
        <f>7.7406 * CHOOSE(CONTROL!$C$22, $C$13, 100%, $E$13)</f>
        <v>7.7405999999999997</v>
      </c>
      <c r="E507" s="64">
        <f>9.1723 * CHOOSE(CONTROL!$C$22, $C$13, 100%, $E$13)</f>
        <v>9.1722999999999999</v>
      </c>
      <c r="F507" s="64">
        <f>9.1723 * CHOOSE(CONTROL!$C$22, $C$13, 100%, $E$13)</f>
        <v>9.1722999999999999</v>
      </c>
      <c r="G507" s="64">
        <f>9.1724 * CHOOSE(CONTROL!$C$22, $C$13, 100%, $E$13)</f>
        <v>9.1723999999999997</v>
      </c>
      <c r="H507" s="64">
        <f>15.4977* CHOOSE(CONTROL!$C$22, $C$13, 100%, $E$13)</f>
        <v>15.4977</v>
      </c>
      <c r="I507" s="64">
        <f>15.4978 * CHOOSE(CONTROL!$C$22, $C$13, 100%, $E$13)</f>
        <v>15.4978</v>
      </c>
      <c r="J507" s="64">
        <f>9.1723 * CHOOSE(CONTROL!$C$22, $C$13, 100%, $E$13)</f>
        <v>9.1722999999999999</v>
      </c>
      <c r="K507" s="64">
        <f>9.1724 * CHOOSE(CONTROL!$C$22, $C$13, 100%, $E$13)</f>
        <v>9.1723999999999997</v>
      </c>
    </row>
    <row r="508" spans="1:11" ht="15">
      <c r="A508" s="13">
        <v>56949</v>
      </c>
      <c r="B508" s="63">
        <f>7.7406 * CHOOSE(CONTROL!$C$22, $C$13, 100%, $E$13)</f>
        <v>7.7405999999999997</v>
      </c>
      <c r="C508" s="63">
        <f>7.7406 * CHOOSE(CONTROL!$C$22, $C$13, 100%, $E$13)</f>
        <v>7.7405999999999997</v>
      </c>
      <c r="D508" s="63">
        <f>7.7406 * CHOOSE(CONTROL!$C$22, $C$13, 100%, $E$13)</f>
        <v>7.7405999999999997</v>
      </c>
      <c r="E508" s="64">
        <f>9.0934 * CHOOSE(CONTROL!$C$22, $C$13, 100%, $E$13)</f>
        <v>9.0934000000000008</v>
      </c>
      <c r="F508" s="64">
        <f>9.0934 * CHOOSE(CONTROL!$C$22, $C$13, 100%, $E$13)</f>
        <v>9.0934000000000008</v>
      </c>
      <c r="G508" s="64">
        <f>9.0935 * CHOOSE(CONTROL!$C$22, $C$13, 100%, $E$13)</f>
        <v>9.0935000000000006</v>
      </c>
      <c r="H508" s="64">
        <f>15.53* CHOOSE(CONTROL!$C$22, $C$13, 100%, $E$13)</f>
        <v>15.53</v>
      </c>
      <c r="I508" s="64">
        <f>15.5301 * CHOOSE(CONTROL!$C$22, $C$13, 100%, $E$13)</f>
        <v>15.530099999999999</v>
      </c>
      <c r="J508" s="64">
        <f>9.0934 * CHOOSE(CONTROL!$C$22, $C$13, 100%, $E$13)</f>
        <v>9.0934000000000008</v>
      </c>
      <c r="K508" s="64">
        <f>9.0935 * CHOOSE(CONTROL!$C$22, $C$13, 100%, $E$13)</f>
        <v>9.0935000000000006</v>
      </c>
    </row>
    <row r="509" spans="1:11" ht="15">
      <c r="A509" s="13">
        <v>56980</v>
      </c>
      <c r="B509" s="63">
        <f>7.8071 * CHOOSE(CONTROL!$C$22, $C$13, 100%, $E$13)</f>
        <v>7.8071000000000002</v>
      </c>
      <c r="C509" s="63">
        <f>7.8071 * CHOOSE(CONTROL!$C$22, $C$13, 100%, $E$13)</f>
        <v>7.8071000000000002</v>
      </c>
      <c r="D509" s="63">
        <f>7.8072 * CHOOSE(CONTROL!$C$22, $C$13, 100%, $E$13)</f>
        <v>7.8071999999999999</v>
      </c>
      <c r="E509" s="64">
        <f>9.2242 * CHOOSE(CONTROL!$C$22, $C$13, 100%, $E$13)</f>
        <v>9.2241999999999997</v>
      </c>
      <c r="F509" s="64">
        <f>9.2242 * CHOOSE(CONTROL!$C$22, $C$13, 100%, $E$13)</f>
        <v>9.2241999999999997</v>
      </c>
      <c r="G509" s="64">
        <f>9.2243 * CHOOSE(CONTROL!$C$22, $C$13, 100%, $E$13)</f>
        <v>9.2242999999999995</v>
      </c>
      <c r="H509" s="64">
        <f>15.5624* CHOOSE(CONTROL!$C$22, $C$13, 100%, $E$13)</f>
        <v>15.5624</v>
      </c>
      <c r="I509" s="64">
        <f>15.5625 * CHOOSE(CONTROL!$C$22, $C$13, 100%, $E$13)</f>
        <v>15.5625</v>
      </c>
      <c r="J509" s="64">
        <f>9.2242 * CHOOSE(CONTROL!$C$22, $C$13, 100%, $E$13)</f>
        <v>9.2241999999999997</v>
      </c>
      <c r="K509" s="64">
        <f>9.2243 * CHOOSE(CONTROL!$C$22, $C$13, 100%, $E$13)</f>
        <v>9.2242999999999995</v>
      </c>
    </row>
    <row r="510" spans="1:11" ht="15">
      <c r="A510" s="13">
        <v>57011</v>
      </c>
      <c r="B510" s="63">
        <f>7.8041 * CHOOSE(CONTROL!$C$22, $C$13, 100%, $E$13)</f>
        <v>7.8041</v>
      </c>
      <c r="C510" s="63">
        <f>7.8041 * CHOOSE(CONTROL!$C$22, $C$13, 100%, $E$13)</f>
        <v>7.8041</v>
      </c>
      <c r="D510" s="63">
        <f>7.8041 * CHOOSE(CONTROL!$C$22, $C$13, 100%, $E$13)</f>
        <v>7.8041</v>
      </c>
      <c r="E510" s="64">
        <f>9.0688 * CHOOSE(CONTROL!$C$22, $C$13, 100%, $E$13)</f>
        <v>9.0687999999999995</v>
      </c>
      <c r="F510" s="64">
        <f>9.0688 * CHOOSE(CONTROL!$C$22, $C$13, 100%, $E$13)</f>
        <v>9.0687999999999995</v>
      </c>
      <c r="G510" s="64">
        <f>9.0689 * CHOOSE(CONTROL!$C$22, $C$13, 100%, $E$13)</f>
        <v>9.0688999999999993</v>
      </c>
      <c r="H510" s="64">
        <f>15.5948* CHOOSE(CONTROL!$C$22, $C$13, 100%, $E$13)</f>
        <v>15.594799999999999</v>
      </c>
      <c r="I510" s="64">
        <f>15.5949 * CHOOSE(CONTROL!$C$22, $C$13, 100%, $E$13)</f>
        <v>15.594900000000001</v>
      </c>
      <c r="J510" s="64">
        <f>9.0688 * CHOOSE(CONTROL!$C$22, $C$13, 100%, $E$13)</f>
        <v>9.0687999999999995</v>
      </c>
      <c r="K510" s="64">
        <f>9.0689 * CHOOSE(CONTROL!$C$22, $C$13, 100%, $E$13)</f>
        <v>9.0688999999999993</v>
      </c>
    </row>
    <row r="511" spans="1:11" ht="15">
      <c r="A511" s="13">
        <v>57040</v>
      </c>
      <c r="B511" s="63">
        <f>7.8011 * CHOOSE(CONTROL!$C$22, $C$13, 100%, $E$13)</f>
        <v>7.8010999999999999</v>
      </c>
      <c r="C511" s="63">
        <f>7.8011 * CHOOSE(CONTROL!$C$22, $C$13, 100%, $E$13)</f>
        <v>7.8010999999999999</v>
      </c>
      <c r="D511" s="63">
        <f>7.8011 * CHOOSE(CONTROL!$C$22, $C$13, 100%, $E$13)</f>
        <v>7.8010999999999999</v>
      </c>
      <c r="E511" s="64">
        <f>9.1875 * CHOOSE(CONTROL!$C$22, $C$13, 100%, $E$13)</f>
        <v>9.1875</v>
      </c>
      <c r="F511" s="64">
        <f>9.1875 * CHOOSE(CONTROL!$C$22, $C$13, 100%, $E$13)</f>
        <v>9.1875</v>
      </c>
      <c r="G511" s="64">
        <f>9.1876 * CHOOSE(CONTROL!$C$22, $C$13, 100%, $E$13)</f>
        <v>9.1875999999999998</v>
      </c>
      <c r="H511" s="64">
        <f>15.6273* CHOOSE(CONTROL!$C$22, $C$13, 100%, $E$13)</f>
        <v>15.6273</v>
      </c>
      <c r="I511" s="64">
        <f>15.6274 * CHOOSE(CONTROL!$C$22, $C$13, 100%, $E$13)</f>
        <v>15.6274</v>
      </c>
      <c r="J511" s="64">
        <f>9.1875 * CHOOSE(CONTROL!$C$22, $C$13, 100%, $E$13)</f>
        <v>9.1875</v>
      </c>
      <c r="K511" s="64">
        <f>9.1876 * CHOOSE(CONTROL!$C$22, $C$13, 100%, $E$13)</f>
        <v>9.1875999999999998</v>
      </c>
    </row>
    <row r="512" spans="1:11" ht="15">
      <c r="A512" s="13">
        <v>57071</v>
      </c>
      <c r="B512" s="63">
        <f>7.802 * CHOOSE(CONTROL!$C$22, $C$13, 100%, $E$13)</f>
        <v>7.8019999999999996</v>
      </c>
      <c r="C512" s="63">
        <f>7.802 * CHOOSE(CONTROL!$C$22, $C$13, 100%, $E$13)</f>
        <v>7.8019999999999996</v>
      </c>
      <c r="D512" s="63">
        <f>7.802 * CHOOSE(CONTROL!$C$22, $C$13, 100%, $E$13)</f>
        <v>7.8019999999999996</v>
      </c>
      <c r="E512" s="64">
        <f>9.313 * CHOOSE(CONTROL!$C$22, $C$13, 100%, $E$13)</f>
        <v>9.3130000000000006</v>
      </c>
      <c r="F512" s="64">
        <f>9.313 * CHOOSE(CONTROL!$C$22, $C$13, 100%, $E$13)</f>
        <v>9.3130000000000006</v>
      </c>
      <c r="G512" s="64">
        <f>9.3131 * CHOOSE(CONTROL!$C$22, $C$13, 100%, $E$13)</f>
        <v>9.3131000000000004</v>
      </c>
      <c r="H512" s="64">
        <f>15.6599* CHOOSE(CONTROL!$C$22, $C$13, 100%, $E$13)</f>
        <v>15.6599</v>
      </c>
      <c r="I512" s="64">
        <f>15.6599 * CHOOSE(CONTROL!$C$22, $C$13, 100%, $E$13)</f>
        <v>15.6599</v>
      </c>
      <c r="J512" s="64">
        <f>9.313 * CHOOSE(CONTROL!$C$22, $C$13, 100%, $E$13)</f>
        <v>9.3130000000000006</v>
      </c>
      <c r="K512" s="64">
        <f>9.3131 * CHOOSE(CONTROL!$C$22, $C$13, 100%, $E$13)</f>
        <v>9.3131000000000004</v>
      </c>
    </row>
    <row r="513" spans="1:11" ht="15">
      <c r="A513" s="13">
        <v>57101</v>
      </c>
      <c r="B513" s="63">
        <f>7.802 * CHOOSE(CONTROL!$C$22, $C$13, 100%, $E$13)</f>
        <v>7.8019999999999996</v>
      </c>
      <c r="C513" s="63">
        <f>7.802 * CHOOSE(CONTROL!$C$22, $C$13, 100%, $E$13)</f>
        <v>7.8019999999999996</v>
      </c>
      <c r="D513" s="63">
        <f>7.8149 * CHOOSE(CONTROL!$C$22, $C$13, 100%, $E$13)</f>
        <v>7.8148999999999997</v>
      </c>
      <c r="E513" s="64">
        <f>9.3616 * CHOOSE(CONTROL!$C$22, $C$13, 100%, $E$13)</f>
        <v>9.3615999999999993</v>
      </c>
      <c r="F513" s="64">
        <f>9.3616 * CHOOSE(CONTROL!$C$22, $C$13, 100%, $E$13)</f>
        <v>9.3615999999999993</v>
      </c>
      <c r="G513" s="64">
        <f>9.3773 * CHOOSE(CONTROL!$C$22, $C$13, 100%, $E$13)</f>
        <v>9.3773</v>
      </c>
      <c r="H513" s="64">
        <f>15.6925* CHOOSE(CONTROL!$C$22, $C$13, 100%, $E$13)</f>
        <v>15.692500000000001</v>
      </c>
      <c r="I513" s="64">
        <f>15.7082 * CHOOSE(CONTROL!$C$22, $C$13, 100%, $E$13)</f>
        <v>15.7082</v>
      </c>
      <c r="J513" s="64">
        <f>9.3616 * CHOOSE(CONTROL!$C$22, $C$13, 100%, $E$13)</f>
        <v>9.3615999999999993</v>
      </c>
      <c r="K513" s="64">
        <f>9.3773 * CHOOSE(CONTROL!$C$22, $C$13, 100%, $E$13)</f>
        <v>9.3773</v>
      </c>
    </row>
    <row r="514" spans="1:11" ht="15">
      <c r="A514" s="13">
        <v>57132</v>
      </c>
      <c r="B514" s="63">
        <f>7.808 * CHOOSE(CONTROL!$C$22, $C$13, 100%, $E$13)</f>
        <v>7.8079999999999998</v>
      </c>
      <c r="C514" s="63">
        <f>7.808 * CHOOSE(CONTROL!$C$22, $C$13, 100%, $E$13)</f>
        <v>7.8079999999999998</v>
      </c>
      <c r="D514" s="63">
        <f>7.821 * CHOOSE(CONTROL!$C$22, $C$13, 100%, $E$13)</f>
        <v>7.8209999999999997</v>
      </c>
      <c r="E514" s="64">
        <f>9.3172 * CHOOSE(CONTROL!$C$22, $C$13, 100%, $E$13)</f>
        <v>9.3171999999999997</v>
      </c>
      <c r="F514" s="64">
        <f>9.3172 * CHOOSE(CONTROL!$C$22, $C$13, 100%, $E$13)</f>
        <v>9.3171999999999997</v>
      </c>
      <c r="G514" s="64">
        <f>9.3329 * CHOOSE(CONTROL!$C$22, $C$13, 100%, $E$13)</f>
        <v>9.3329000000000004</v>
      </c>
      <c r="H514" s="64">
        <f>15.7252* CHOOSE(CONTROL!$C$22, $C$13, 100%, $E$13)</f>
        <v>15.725199999999999</v>
      </c>
      <c r="I514" s="64">
        <f>15.7408 * CHOOSE(CONTROL!$C$22, $C$13, 100%, $E$13)</f>
        <v>15.7408</v>
      </c>
      <c r="J514" s="64">
        <f>9.3172 * CHOOSE(CONTROL!$C$22, $C$13, 100%, $E$13)</f>
        <v>9.3171999999999997</v>
      </c>
      <c r="K514" s="64">
        <f>9.3329 * CHOOSE(CONTROL!$C$22, $C$13, 100%, $E$13)</f>
        <v>9.3329000000000004</v>
      </c>
    </row>
    <row r="515" spans="1:11" ht="15">
      <c r="A515" s="13">
        <v>57162</v>
      </c>
      <c r="B515" s="63">
        <f>7.9308 * CHOOSE(CONTROL!$C$22, $C$13, 100%, $E$13)</f>
        <v>7.9307999999999996</v>
      </c>
      <c r="C515" s="63">
        <f>7.9308 * CHOOSE(CONTROL!$C$22, $C$13, 100%, $E$13)</f>
        <v>7.9307999999999996</v>
      </c>
      <c r="D515" s="63">
        <f>7.9438 * CHOOSE(CONTROL!$C$22, $C$13, 100%, $E$13)</f>
        <v>7.9438000000000004</v>
      </c>
      <c r="E515" s="64">
        <f>9.4704 * CHOOSE(CONTROL!$C$22, $C$13, 100%, $E$13)</f>
        <v>9.4703999999999997</v>
      </c>
      <c r="F515" s="64">
        <f>9.4704 * CHOOSE(CONTROL!$C$22, $C$13, 100%, $E$13)</f>
        <v>9.4703999999999997</v>
      </c>
      <c r="G515" s="64">
        <f>9.4861 * CHOOSE(CONTROL!$C$22, $C$13, 100%, $E$13)</f>
        <v>9.4861000000000004</v>
      </c>
      <c r="H515" s="64">
        <f>15.7579* CHOOSE(CONTROL!$C$22, $C$13, 100%, $E$13)</f>
        <v>15.757899999999999</v>
      </c>
      <c r="I515" s="64">
        <f>15.7736 * CHOOSE(CONTROL!$C$22, $C$13, 100%, $E$13)</f>
        <v>15.7736</v>
      </c>
      <c r="J515" s="64">
        <f>9.4704 * CHOOSE(CONTROL!$C$22, $C$13, 100%, $E$13)</f>
        <v>9.4703999999999997</v>
      </c>
      <c r="K515" s="64">
        <f>9.4861 * CHOOSE(CONTROL!$C$22, $C$13, 100%, $E$13)</f>
        <v>9.4861000000000004</v>
      </c>
    </row>
    <row r="516" spans="1:11" ht="15">
      <c r="A516" s="13">
        <v>57193</v>
      </c>
      <c r="B516" s="63">
        <f>7.9375 * CHOOSE(CONTROL!$C$22, $C$13, 100%, $E$13)</f>
        <v>7.9375</v>
      </c>
      <c r="C516" s="63">
        <f>7.9375 * CHOOSE(CONTROL!$C$22, $C$13, 100%, $E$13)</f>
        <v>7.9375</v>
      </c>
      <c r="D516" s="63">
        <f>7.9505 * CHOOSE(CONTROL!$C$22, $C$13, 100%, $E$13)</f>
        <v>7.9504999999999999</v>
      </c>
      <c r="E516" s="64">
        <f>9.3291 * CHOOSE(CONTROL!$C$22, $C$13, 100%, $E$13)</f>
        <v>9.3291000000000004</v>
      </c>
      <c r="F516" s="64">
        <f>9.3291 * CHOOSE(CONTROL!$C$22, $C$13, 100%, $E$13)</f>
        <v>9.3291000000000004</v>
      </c>
      <c r="G516" s="64">
        <f>9.3448 * CHOOSE(CONTROL!$C$22, $C$13, 100%, $E$13)</f>
        <v>9.3447999999999993</v>
      </c>
      <c r="H516" s="64">
        <f>15.7908* CHOOSE(CONTROL!$C$22, $C$13, 100%, $E$13)</f>
        <v>15.790800000000001</v>
      </c>
      <c r="I516" s="64">
        <f>15.8064 * CHOOSE(CONTROL!$C$22, $C$13, 100%, $E$13)</f>
        <v>15.8064</v>
      </c>
      <c r="J516" s="64">
        <f>9.3291 * CHOOSE(CONTROL!$C$22, $C$13, 100%, $E$13)</f>
        <v>9.3291000000000004</v>
      </c>
      <c r="K516" s="64">
        <f>9.3448 * CHOOSE(CONTROL!$C$22, $C$13, 100%, $E$13)</f>
        <v>9.3447999999999993</v>
      </c>
    </row>
    <row r="517" spans="1:11" ht="15">
      <c r="A517" s="13">
        <v>57224</v>
      </c>
      <c r="B517" s="63">
        <f>7.9344 * CHOOSE(CONTROL!$C$22, $C$13, 100%, $E$13)</f>
        <v>7.9344000000000001</v>
      </c>
      <c r="C517" s="63">
        <f>7.9344 * CHOOSE(CONTROL!$C$22, $C$13, 100%, $E$13)</f>
        <v>7.9344000000000001</v>
      </c>
      <c r="D517" s="63">
        <f>7.9474 * CHOOSE(CONTROL!$C$22, $C$13, 100%, $E$13)</f>
        <v>7.9474</v>
      </c>
      <c r="E517" s="64">
        <f>9.3108 * CHOOSE(CONTROL!$C$22, $C$13, 100%, $E$13)</f>
        <v>9.3108000000000004</v>
      </c>
      <c r="F517" s="64">
        <f>9.3108 * CHOOSE(CONTROL!$C$22, $C$13, 100%, $E$13)</f>
        <v>9.3108000000000004</v>
      </c>
      <c r="G517" s="64">
        <f>9.3264 * CHOOSE(CONTROL!$C$22, $C$13, 100%, $E$13)</f>
        <v>9.3263999999999996</v>
      </c>
      <c r="H517" s="64">
        <f>15.8237* CHOOSE(CONTROL!$C$22, $C$13, 100%, $E$13)</f>
        <v>15.823700000000001</v>
      </c>
      <c r="I517" s="64">
        <f>15.8393 * CHOOSE(CONTROL!$C$22, $C$13, 100%, $E$13)</f>
        <v>15.8393</v>
      </c>
      <c r="J517" s="64">
        <f>9.3108 * CHOOSE(CONTROL!$C$22, $C$13, 100%, $E$13)</f>
        <v>9.3108000000000004</v>
      </c>
      <c r="K517" s="64">
        <f>9.3264 * CHOOSE(CONTROL!$C$22, $C$13, 100%, $E$13)</f>
        <v>9.3263999999999996</v>
      </c>
    </row>
    <row r="518" spans="1:11" ht="15">
      <c r="A518" s="13">
        <v>57254</v>
      </c>
      <c r="B518" s="63">
        <f>7.9424 * CHOOSE(CONTROL!$C$22, $C$13, 100%, $E$13)</f>
        <v>7.9424000000000001</v>
      </c>
      <c r="C518" s="63">
        <f>7.9424 * CHOOSE(CONTROL!$C$22, $C$13, 100%, $E$13)</f>
        <v>7.9424000000000001</v>
      </c>
      <c r="D518" s="63">
        <f>7.9424 * CHOOSE(CONTROL!$C$22, $C$13, 100%, $E$13)</f>
        <v>7.9424000000000001</v>
      </c>
      <c r="E518" s="64">
        <f>9.3622 * CHOOSE(CONTROL!$C$22, $C$13, 100%, $E$13)</f>
        <v>9.3621999999999996</v>
      </c>
      <c r="F518" s="64">
        <f>9.3622 * CHOOSE(CONTROL!$C$22, $C$13, 100%, $E$13)</f>
        <v>9.3621999999999996</v>
      </c>
      <c r="G518" s="64">
        <f>9.3623 * CHOOSE(CONTROL!$C$22, $C$13, 100%, $E$13)</f>
        <v>9.3622999999999994</v>
      </c>
      <c r="H518" s="64">
        <f>15.8566* CHOOSE(CONTROL!$C$22, $C$13, 100%, $E$13)</f>
        <v>15.8566</v>
      </c>
      <c r="I518" s="64">
        <f>15.8567 * CHOOSE(CONTROL!$C$22, $C$13, 100%, $E$13)</f>
        <v>15.8567</v>
      </c>
      <c r="J518" s="64">
        <f>9.3622 * CHOOSE(CONTROL!$C$22, $C$13, 100%, $E$13)</f>
        <v>9.3621999999999996</v>
      </c>
      <c r="K518" s="64">
        <f>9.3623 * CHOOSE(CONTROL!$C$22, $C$13, 100%, $E$13)</f>
        <v>9.3622999999999994</v>
      </c>
    </row>
    <row r="519" spans="1:11" ht="15">
      <c r="A519" s="13">
        <v>57285</v>
      </c>
      <c r="B519" s="63">
        <f>7.9454 * CHOOSE(CONTROL!$C$22, $C$13, 100%, $E$13)</f>
        <v>7.9454000000000002</v>
      </c>
      <c r="C519" s="63">
        <f>7.9454 * CHOOSE(CONTROL!$C$22, $C$13, 100%, $E$13)</f>
        <v>7.9454000000000002</v>
      </c>
      <c r="D519" s="63">
        <f>7.9455 * CHOOSE(CONTROL!$C$22, $C$13, 100%, $E$13)</f>
        <v>7.9455</v>
      </c>
      <c r="E519" s="64">
        <f>9.3968 * CHOOSE(CONTROL!$C$22, $C$13, 100%, $E$13)</f>
        <v>9.3968000000000007</v>
      </c>
      <c r="F519" s="64">
        <f>9.3968 * CHOOSE(CONTROL!$C$22, $C$13, 100%, $E$13)</f>
        <v>9.3968000000000007</v>
      </c>
      <c r="G519" s="64">
        <f>9.3968 * CHOOSE(CONTROL!$C$22, $C$13, 100%, $E$13)</f>
        <v>9.3968000000000007</v>
      </c>
      <c r="H519" s="64">
        <f>15.8897* CHOOSE(CONTROL!$C$22, $C$13, 100%, $E$13)</f>
        <v>15.889699999999999</v>
      </c>
      <c r="I519" s="64">
        <f>15.8897 * CHOOSE(CONTROL!$C$22, $C$13, 100%, $E$13)</f>
        <v>15.889699999999999</v>
      </c>
      <c r="J519" s="64">
        <f>9.3968 * CHOOSE(CONTROL!$C$22, $C$13, 100%, $E$13)</f>
        <v>9.3968000000000007</v>
      </c>
      <c r="K519" s="64">
        <f>9.3968 * CHOOSE(CONTROL!$C$22, $C$13, 100%, $E$13)</f>
        <v>9.3968000000000007</v>
      </c>
    </row>
    <row r="520" spans="1:11" ht="15">
      <c r="A520" s="13">
        <v>57315</v>
      </c>
      <c r="B520" s="63">
        <f>7.9454 * CHOOSE(CONTROL!$C$22, $C$13, 100%, $E$13)</f>
        <v>7.9454000000000002</v>
      </c>
      <c r="C520" s="63">
        <f>7.9454 * CHOOSE(CONTROL!$C$22, $C$13, 100%, $E$13)</f>
        <v>7.9454000000000002</v>
      </c>
      <c r="D520" s="63">
        <f>7.9455 * CHOOSE(CONTROL!$C$22, $C$13, 100%, $E$13)</f>
        <v>7.9455</v>
      </c>
      <c r="E520" s="64">
        <f>9.3157 * CHOOSE(CONTROL!$C$22, $C$13, 100%, $E$13)</f>
        <v>9.3156999999999996</v>
      </c>
      <c r="F520" s="64">
        <f>9.3157 * CHOOSE(CONTROL!$C$22, $C$13, 100%, $E$13)</f>
        <v>9.3156999999999996</v>
      </c>
      <c r="G520" s="64">
        <f>9.3158 * CHOOSE(CONTROL!$C$22, $C$13, 100%, $E$13)</f>
        <v>9.3157999999999994</v>
      </c>
      <c r="H520" s="64">
        <f>15.9228* CHOOSE(CONTROL!$C$22, $C$13, 100%, $E$13)</f>
        <v>15.922800000000001</v>
      </c>
      <c r="I520" s="64">
        <f>15.9228 * CHOOSE(CONTROL!$C$22, $C$13, 100%, $E$13)</f>
        <v>15.922800000000001</v>
      </c>
      <c r="J520" s="64">
        <f>9.3157 * CHOOSE(CONTROL!$C$22, $C$13, 100%, $E$13)</f>
        <v>9.3156999999999996</v>
      </c>
      <c r="K520" s="64">
        <f>9.3158 * CHOOSE(CONTROL!$C$22, $C$13, 100%, $E$13)</f>
        <v>9.3157999999999994</v>
      </c>
    </row>
    <row r="521" spans="1:11" ht="15">
      <c r="A521" s="13">
        <v>57346</v>
      </c>
      <c r="B521" s="63">
        <f>8.0136 * CHOOSE(CONTROL!$C$22, $C$13, 100%, $E$13)</f>
        <v>8.0136000000000003</v>
      </c>
      <c r="C521" s="63">
        <f>8.0136 * CHOOSE(CONTROL!$C$22, $C$13, 100%, $E$13)</f>
        <v>8.0136000000000003</v>
      </c>
      <c r="D521" s="63">
        <f>8.0136 * CHOOSE(CONTROL!$C$22, $C$13, 100%, $E$13)</f>
        <v>8.0136000000000003</v>
      </c>
      <c r="E521" s="64">
        <f>9.4498 * CHOOSE(CONTROL!$C$22, $C$13, 100%, $E$13)</f>
        <v>9.4497999999999998</v>
      </c>
      <c r="F521" s="64">
        <f>9.4498 * CHOOSE(CONTROL!$C$22, $C$13, 100%, $E$13)</f>
        <v>9.4497999999999998</v>
      </c>
      <c r="G521" s="64">
        <f>9.4499 * CHOOSE(CONTROL!$C$22, $C$13, 100%, $E$13)</f>
        <v>9.4498999999999995</v>
      </c>
      <c r="H521" s="64">
        <f>15.9559* CHOOSE(CONTROL!$C$22, $C$13, 100%, $E$13)</f>
        <v>15.9559</v>
      </c>
      <c r="I521" s="64">
        <f>15.956 * CHOOSE(CONTROL!$C$22, $C$13, 100%, $E$13)</f>
        <v>15.956</v>
      </c>
      <c r="J521" s="64">
        <f>9.4498 * CHOOSE(CONTROL!$C$22, $C$13, 100%, $E$13)</f>
        <v>9.4497999999999998</v>
      </c>
      <c r="K521" s="64">
        <f>9.4499 * CHOOSE(CONTROL!$C$22, $C$13, 100%, $E$13)</f>
        <v>9.4498999999999995</v>
      </c>
    </row>
    <row r="522" spans="1:11" ht="15">
      <c r="A522" s="13">
        <v>57377</v>
      </c>
      <c r="B522" s="63">
        <f>8.0106 * CHOOSE(CONTROL!$C$22, $C$13, 100%, $E$13)</f>
        <v>8.0106000000000002</v>
      </c>
      <c r="C522" s="63">
        <f>8.0106 * CHOOSE(CONTROL!$C$22, $C$13, 100%, $E$13)</f>
        <v>8.0106000000000002</v>
      </c>
      <c r="D522" s="63">
        <f>8.0106 * CHOOSE(CONTROL!$C$22, $C$13, 100%, $E$13)</f>
        <v>8.0106000000000002</v>
      </c>
      <c r="E522" s="64">
        <f>9.2901 * CHOOSE(CONTROL!$C$22, $C$13, 100%, $E$13)</f>
        <v>9.2901000000000007</v>
      </c>
      <c r="F522" s="64">
        <f>9.2901 * CHOOSE(CONTROL!$C$22, $C$13, 100%, $E$13)</f>
        <v>9.2901000000000007</v>
      </c>
      <c r="G522" s="64">
        <f>9.2902 * CHOOSE(CONTROL!$C$22, $C$13, 100%, $E$13)</f>
        <v>9.2902000000000005</v>
      </c>
      <c r="H522" s="64">
        <f>15.9892* CHOOSE(CONTROL!$C$22, $C$13, 100%, $E$13)</f>
        <v>15.9892</v>
      </c>
      <c r="I522" s="64">
        <f>15.9893 * CHOOSE(CONTROL!$C$22, $C$13, 100%, $E$13)</f>
        <v>15.9893</v>
      </c>
      <c r="J522" s="64">
        <f>9.2901 * CHOOSE(CONTROL!$C$22, $C$13, 100%, $E$13)</f>
        <v>9.2901000000000007</v>
      </c>
      <c r="K522" s="64">
        <f>9.2902 * CHOOSE(CONTROL!$C$22, $C$13, 100%, $E$13)</f>
        <v>9.2902000000000005</v>
      </c>
    </row>
    <row r="523" spans="1:11" ht="15">
      <c r="A523" s="13">
        <v>57405</v>
      </c>
      <c r="B523" s="63">
        <f>8.0075 * CHOOSE(CONTROL!$C$22, $C$13, 100%, $E$13)</f>
        <v>8.0075000000000003</v>
      </c>
      <c r="C523" s="63">
        <f>8.0075 * CHOOSE(CONTROL!$C$22, $C$13, 100%, $E$13)</f>
        <v>8.0075000000000003</v>
      </c>
      <c r="D523" s="63">
        <f>8.0076 * CHOOSE(CONTROL!$C$22, $C$13, 100%, $E$13)</f>
        <v>8.0076000000000001</v>
      </c>
      <c r="E523" s="64">
        <f>9.4122 * CHOOSE(CONTROL!$C$22, $C$13, 100%, $E$13)</f>
        <v>9.4122000000000003</v>
      </c>
      <c r="F523" s="64">
        <f>9.4122 * CHOOSE(CONTROL!$C$22, $C$13, 100%, $E$13)</f>
        <v>9.4122000000000003</v>
      </c>
      <c r="G523" s="64">
        <f>9.4123 * CHOOSE(CONTROL!$C$22, $C$13, 100%, $E$13)</f>
        <v>9.4123000000000001</v>
      </c>
      <c r="H523" s="64">
        <f>16.0225* CHOOSE(CONTROL!$C$22, $C$13, 100%, $E$13)</f>
        <v>16.022500000000001</v>
      </c>
      <c r="I523" s="64">
        <f>16.0226 * CHOOSE(CONTROL!$C$22, $C$13, 100%, $E$13)</f>
        <v>16.022600000000001</v>
      </c>
      <c r="J523" s="64">
        <f>9.4122 * CHOOSE(CONTROL!$C$22, $C$13, 100%, $E$13)</f>
        <v>9.4122000000000003</v>
      </c>
      <c r="K523" s="64">
        <f>9.4123 * CHOOSE(CONTROL!$C$22, $C$13, 100%, $E$13)</f>
        <v>9.4123000000000001</v>
      </c>
    </row>
    <row r="524" spans="1:11" ht="15">
      <c r="A524" s="13">
        <v>57436</v>
      </c>
      <c r="B524" s="63">
        <f>8.0086 * CHOOSE(CONTROL!$C$22, $C$13, 100%, $E$13)</f>
        <v>8.0085999999999995</v>
      </c>
      <c r="C524" s="63">
        <f>8.0086 * CHOOSE(CONTROL!$C$22, $C$13, 100%, $E$13)</f>
        <v>8.0085999999999995</v>
      </c>
      <c r="D524" s="63">
        <f>8.0086 * CHOOSE(CONTROL!$C$22, $C$13, 100%, $E$13)</f>
        <v>8.0085999999999995</v>
      </c>
      <c r="E524" s="64">
        <f>9.5413 * CHOOSE(CONTROL!$C$22, $C$13, 100%, $E$13)</f>
        <v>9.5412999999999997</v>
      </c>
      <c r="F524" s="64">
        <f>9.5413 * CHOOSE(CONTROL!$C$22, $C$13, 100%, $E$13)</f>
        <v>9.5412999999999997</v>
      </c>
      <c r="G524" s="64">
        <f>9.5414 * CHOOSE(CONTROL!$C$22, $C$13, 100%, $E$13)</f>
        <v>9.5413999999999994</v>
      </c>
      <c r="H524" s="64">
        <f>16.0559* CHOOSE(CONTROL!$C$22, $C$13, 100%, $E$13)</f>
        <v>16.055900000000001</v>
      </c>
      <c r="I524" s="64">
        <f>16.0559 * CHOOSE(CONTROL!$C$22, $C$13, 100%, $E$13)</f>
        <v>16.055900000000001</v>
      </c>
      <c r="J524" s="64">
        <f>9.5413 * CHOOSE(CONTROL!$C$22, $C$13, 100%, $E$13)</f>
        <v>9.5412999999999997</v>
      </c>
      <c r="K524" s="64">
        <f>9.5414 * CHOOSE(CONTROL!$C$22, $C$13, 100%, $E$13)</f>
        <v>9.5413999999999994</v>
      </c>
    </row>
    <row r="525" spans="1:11" ht="15">
      <c r="A525" s="13">
        <v>57466</v>
      </c>
      <c r="B525" s="63">
        <f>8.0086 * CHOOSE(CONTROL!$C$22, $C$13, 100%, $E$13)</f>
        <v>8.0085999999999995</v>
      </c>
      <c r="C525" s="63">
        <f>8.0086 * CHOOSE(CONTROL!$C$22, $C$13, 100%, $E$13)</f>
        <v>8.0085999999999995</v>
      </c>
      <c r="D525" s="63">
        <f>8.0216 * CHOOSE(CONTROL!$C$22, $C$13, 100%, $E$13)</f>
        <v>8.0215999999999994</v>
      </c>
      <c r="E525" s="64">
        <f>9.5913 * CHOOSE(CONTROL!$C$22, $C$13, 100%, $E$13)</f>
        <v>9.5913000000000004</v>
      </c>
      <c r="F525" s="64">
        <f>9.5913 * CHOOSE(CONTROL!$C$22, $C$13, 100%, $E$13)</f>
        <v>9.5913000000000004</v>
      </c>
      <c r="G525" s="64">
        <f>9.607 * CHOOSE(CONTROL!$C$22, $C$13, 100%, $E$13)</f>
        <v>9.6069999999999993</v>
      </c>
      <c r="H525" s="64">
        <f>16.0893* CHOOSE(CONTROL!$C$22, $C$13, 100%, $E$13)</f>
        <v>16.089300000000001</v>
      </c>
      <c r="I525" s="64">
        <f>16.105 * CHOOSE(CONTROL!$C$22, $C$13, 100%, $E$13)</f>
        <v>16.105</v>
      </c>
      <c r="J525" s="64">
        <f>9.5913 * CHOOSE(CONTROL!$C$22, $C$13, 100%, $E$13)</f>
        <v>9.5913000000000004</v>
      </c>
      <c r="K525" s="64">
        <f>9.607 * CHOOSE(CONTROL!$C$22, $C$13, 100%, $E$13)</f>
        <v>9.6069999999999993</v>
      </c>
    </row>
    <row r="526" spans="1:11" ht="15">
      <c r="A526" s="13">
        <v>57497</v>
      </c>
      <c r="B526" s="63">
        <f>8.0147 * CHOOSE(CONTROL!$C$22, $C$13, 100%, $E$13)</f>
        <v>8.0146999999999995</v>
      </c>
      <c r="C526" s="63">
        <f>8.0147 * CHOOSE(CONTROL!$C$22, $C$13, 100%, $E$13)</f>
        <v>8.0146999999999995</v>
      </c>
      <c r="D526" s="63">
        <f>8.0277 * CHOOSE(CONTROL!$C$22, $C$13, 100%, $E$13)</f>
        <v>8.0276999999999994</v>
      </c>
      <c r="E526" s="64">
        <f>9.5456 * CHOOSE(CONTROL!$C$22, $C$13, 100%, $E$13)</f>
        <v>9.5456000000000003</v>
      </c>
      <c r="F526" s="64">
        <f>9.5456 * CHOOSE(CONTROL!$C$22, $C$13, 100%, $E$13)</f>
        <v>9.5456000000000003</v>
      </c>
      <c r="G526" s="64">
        <f>9.5612 * CHOOSE(CONTROL!$C$22, $C$13, 100%, $E$13)</f>
        <v>9.5611999999999995</v>
      </c>
      <c r="H526" s="64">
        <f>16.1228* CHOOSE(CONTROL!$C$22, $C$13, 100%, $E$13)</f>
        <v>16.122800000000002</v>
      </c>
      <c r="I526" s="64">
        <f>16.1385 * CHOOSE(CONTROL!$C$22, $C$13, 100%, $E$13)</f>
        <v>16.138500000000001</v>
      </c>
      <c r="J526" s="64">
        <f>9.5456 * CHOOSE(CONTROL!$C$22, $C$13, 100%, $E$13)</f>
        <v>9.5456000000000003</v>
      </c>
      <c r="K526" s="64">
        <f>9.5612 * CHOOSE(CONTROL!$C$22, $C$13, 100%, $E$13)</f>
        <v>9.5611999999999995</v>
      </c>
    </row>
    <row r="527" spans="1:11" ht="15">
      <c r="A527" s="13">
        <v>57527</v>
      </c>
      <c r="B527" s="63">
        <f>8.1404 * CHOOSE(CONTROL!$C$22, $C$13, 100%, $E$13)</f>
        <v>8.1403999999999996</v>
      </c>
      <c r="C527" s="63">
        <f>8.1404 * CHOOSE(CONTROL!$C$22, $C$13, 100%, $E$13)</f>
        <v>8.1403999999999996</v>
      </c>
      <c r="D527" s="63">
        <f>8.1534 * CHOOSE(CONTROL!$C$22, $C$13, 100%, $E$13)</f>
        <v>8.1533999999999995</v>
      </c>
      <c r="E527" s="64">
        <f>9.7022 * CHOOSE(CONTROL!$C$22, $C$13, 100%, $E$13)</f>
        <v>9.7021999999999995</v>
      </c>
      <c r="F527" s="64">
        <f>9.7022 * CHOOSE(CONTROL!$C$22, $C$13, 100%, $E$13)</f>
        <v>9.7021999999999995</v>
      </c>
      <c r="G527" s="64">
        <f>9.7179 * CHOOSE(CONTROL!$C$22, $C$13, 100%, $E$13)</f>
        <v>9.7179000000000002</v>
      </c>
      <c r="H527" s="64">
        <f>16.1564* CHOOSE(CONTROL!$C$22, $C$13, 100%, $E$13)</f>
        <v>16.156400000000001</v>
      </c>
      <c r="I527" s="64">
        <f>16.1721 * CHOOSE(CONTROL!$C$22, $C$13, 100%, $E$13)</f>
        <v>16.1721</v>
      </c>
      <c r="J527" s="64">
        <f>9.7022 * CHOOSE(CONTROL!$C$22, $C$13, 100%, $E$13)</f>
        <v>9.7021999999999995</v>
      </c>
      <c r="K527" s="64">
        <f>9.7179 * CHOOSE(CONTROL!$C$22, $C$13, 100%, $E$13)</f>
        <v>9.7179000000000002</v>
      </c>
    </row>
    <row r="528" spans="1:11" ht="15">
      <c r="A528" s="13">
        <v>57558</v>
      </c>
      <c r="B528" s="63">
        <f>8.1471 * CHOOSE(CONTROL!$C$22, $C$13, 100%, $E$13)</f>
        <v>8.1471</v>
      </c>
      <c r="C528" s="63">
        <f>8.1471 * CHOOSE(CONTROL!$C$22, $C$13, 100%, $E$13)</f>
        <v>8.1471</v>
      </c>
      <c r="D528" s="63">
        <f>8.1601 * CHOOSE(CONTROL!$C$22, $C$13, 100%, $E$13)</f>
        <v>8.1600999999999999</v>
      </c>
      <c r="E528" s="64">
        <f>9.5568 * CHOOSE(CONTROL!$C$22, $C$13, 100%, $E$13)</f>
        <v>9.5568000000000008</v>
      </c>
      <c r="F528" s="64">
        <f>9.5568 * CHOOSE(CONTROL!$C$22, $C$13, 100%, $E$13)</f>
        <v>9.5568000000000008</v>
      </c>
      <c r="G528" s="64">
        <f>9.5725 * CHOOSE(CONTROL!$C$22, $C$13, 100%, $E$13)</f>
        <v>9.5724999999999998</v>
      </c>
      <c r="H528" s="64">
        <f>16.1901* CHOOSE(CONTROL!$C$22, $C$13, 100%, $E$13)</f>
        <v>16.190100000000001</v>
      </c>
      <c r="I528" s="64">
        <f>16.2058 * CHOOSE(CONTROL!$C$22, $C$13, 100%, $E$13)</f>
        <v>16.2058</v>
      </c>
      <c r="J528" s="64">
        <f>9.5568 * CHOOSE(CONTROL!$C$22, $C$13, 100%, $E$13)</f>
        <v>9.5568000000000008</v>
      </c>
      <c r="K528" s="64">
        <f>9.5725 * CHOOSE(CONTROL!$C$22, $C$13, 100%, $E$13)</f>
        <v>9.5724999999999998</v>
      </c>
    </row>
    <row r="529" spans="1:11" ht="15">
      <c r="A529" s="13">
        <v>57589</v>
      </c>
      <c r="B529" s="63">
        <f>8.1441 * CHOOSE(CONTROL!$C$22, $C$13, 100%, $E$13)</f>
        <v>8.1440999999999999</v>
      </c>
      <c r="C529" s="63">
        <f>8.1441 * CHOOSE(CONTROL!$C$22, $C$13, 100%, $E$13)</f>
        <v>8.1440999999999999</v>
      </c>
      <c r="D529" s="63">
        <f>8.157 * CHOOSE(CONTROL!$C$22, $C$13, 100%, $E$13)</f>
        <v>8.157</v>
      </c>
      <c r="E529" s="64">
        <f>9.538 * CHOOSE(CONTROL!$C$22, $C$13, 100%, $E$13)</f>
        <v>9.5380000000000003</v>
      </c>
      <c r="F529" s="64">
        <f>9.538 * CHOOSE(CONTROL!$C$22, $C$13, 100%, $E$13)</f>
        <v>9.5380000000000003</v>
      </c>
      <c r="G529" s="64">
        <f>9.5537 * CHOOSE(CONTROL!$C$22, $C$13, 100%, $E$13)</f>
        <v>9.5536999999999992</v>
      </c>
      <c r="H529" s="64">
        <f>16.2238* CHOOSE(CONTROL!$C$22, $C$13, 100%, $E$13)</f>
        <v>16.223800000000001</v>
      </c>
      <c r="I529" s="64">
        <f>16.2395 * CHOOSE(CONTROL!$C$22, $C$13, 100%, $E$13)</f>
        <v>16.2395</v>
      </c>
      <c r="J529" s="64">
        <f>9.538 * CHOOSE(CONTROL!$C$22, $C$13, 100%, $E$13)</f>
        <v>9.5380000000000003</v>
      </c>
      <c r="K529" s="64">
        <f>9.5537 * CHOOSE(CONTROL!$C$22, $C$13, 100%, $E$13)</f>
        <v>9.5536999999999992</v>
      </c>
    </row>
    <row r="530" spans="1:11" ht="15">
      <c r="A530" s="13">
        <v>57619</v>
      </c>
      <c r="B530" s="63">
        <f>8.1527 * CHOOSE(CONTROL!$C$22, $C$13, 100%, $E$13)</f>
        <v>8.1526999999999994</v>
      </c>
      <c r="C530" s="63">
        <f>8.1527 * CHOOSE(CONTROL!$C$22, $C$13, 100%, $E$13)</f>
        <v>8.1526999999999994</v>
      </c>
      <c r="D530" s="63">
        <f>8.1527 * CHOOSE(CONTROL!$C$22, $C$13, 100%, $E$13)</f>
        <v>8.1526999999999994</v>
      </c>
      <c r="E530" s="64">
        <f>9.5913 * CHOOSE(CONTROL!$C$22, $C$13, 100%, $E$13)</f>
        <v>9.5913000000000004</v>
      </c>
      <c r="F530" s="64">
        <f>9.5913 * CHOOSE(CONTROL!$C$22, $C$13, 100%, $E$13)</f>
        <v>9.5913000000000004</v>
      </c>
      <c r="G530" s="64">
        <f>9.5914 * CHOOSE(CONTROL!$C$22, $C$13, 100%, $E$13)</f>
        <v>9.5914000000000001</v>
      </c>
      <c r="H530" s="64">
        <f>16.2576* CHOOSE(CONTROL!$C$22, $C$13, 100%, $E$13)</f>
        <v>16.2576</v>
      </c>
      <c r="I530" s="64">
        <f>16.2577 * CHOOSE(CONTROL!$C$22, $C$13, 100%, $E$13)</f>
        <v>16.2577</v>
      </c>
      <c r="J530" s="64">
        <f>9.5913 * CHOOSE(CONTROL!$C$22, $C$13, 100%, $E$13)</f>
        <v>9.5913000000000004</v>
      </c>
      <c r="K530" s="64">
        <f>9.5914 * CHOOSE(CONTROL!$C$22, $C$13, 100%, $E$13)</f>
        <v>9.5914000000000001</v>
      </c>
    </row>
    <row r="531" spans="1:11" ht="15">
      <c r="A531" s="13">
        <v>57650</v>
      </c>
      <c r="B531" s="63">
        <f>8.1558 * CHOOSE(CONTROL!$C$22, $C$13, 100%, $E$13)</f>
        <v>8.1557999999999993</v>
      </c>
      <c r="C531" s="63">
        <f>8.1558 * CHOOSE(CONTROL!$C$22, $C$13, 100%, $E$13)</f>
        <v>8.1557999999999993</v>
      </c>
      <c r="D531" s="63">
        <f>8.1558 * CHOOSE(CONTROL!$C$22, $C$13, 100%, $E$13)</f>
        <v>8.1557999999999993</v>
      </c>
      <c r="E531" s="64">
        <f>9.6267 * CHOOSE(CONTROL!$C$22, $C$13, 100%, $E$13)</f>
        <v>9.6266999999999996</v>
      </c>
      <c r="F531" s="64">
        <f>9.6267 * CHOOSE(CONTROL!$C$22, $C$13, 100%, $E$13)</f>
        <v>9.6266999999999996</v>
      </c>
      <c r="G531" s="64">
        <f>9.6268 * CHOOSE(CONTROL!$C$22, $C$13, 100%, $E$13)</f>
        <v>9.6267999999999994</v>
      </c>
      <c r="H531" s="64">
        <f>16.2915* CHOOSE(CONTROL!$C$22, $C$13, 100%, $E$13)</f>
        <v>16.291499999999999</v>
      </c>
      <c r="I531" s="64">
        <f>16.2916 * CHOOSE(CONTROL!$C$22, $C$13, 100%, $E$13)</f>
        <v>16.291599999999999</v>
      </c>
      <c r="J531" s="64">
        <f>9.6267 * CHOOSE(CONTROL!$C$22, $C$13, 100%, $E$13)</f>
        <v>9.6266999999999996</v>
      </c>
      <c r="K531" s="64">
        <f>9.6268 * CHOOSE(CONTROL!$C$22, $C$13, 100%, $E$13)</f>
        <v>9.6267999999999994</v>
      </c>
    </row>
    <row r="532" spans="1:11" ht="15">
      <c r="A532" s="13">
        <v>57680</v>
      </c>
      <c r="B532" s="63">
        <f>8.1558 * CHOOSE(CONTROL!$C$22, $C$13, 100%, $E$13)</f>
        <v>8.1557999999999993</v>
      </c>
      <c r="C532" s="63">
        <f>8.1558 * CHOOSE(CONTROL!$C$22, $C$13, 100%, $E$13)</f>
        <v>8.1557999999999993</v>
      </c>
      <c r="D532" s="63">
        <f>8.1558 * CHOOSE(CONTROL!$C$22, $C$13, 100%, $E$13)</f>
        <v>8.1557999999999993</v>
      </c>
      <c r="E532" s="64">
        <f>9.5434 * CHOOSE(CONTROL!$C$22, $C$13, 100%, $E$13)</f>
        <v>9.5434000000000001</v>
      </c>
      <c r="F532" s="64">
        <f>9.5434 * CHOOSE(CONTROL!$C$22, $C$13, 100%, $E$13)</f>
        <v>9.5434000000000001</v>
      </c>
      <c r="G532" s="64">
        <f>9.5435 * CHOOSE(CONTROL!$C$22, $C$13, 100%, $E$13)</f>
        <v>9.5434999999999999</v>
      </c>
      <c r="H532" s="64">
        <f>16.3254* CHOOSE(CONTROL!$C$22, $C$13, 100%, $E$13)</f>
        <v>16.325399999999998</v>
      </c>
      <c r="I532" s="64">
        <f>16.3255 * CHOOSE(CONTROL!$C$22, $C$13, 100%, $E$13)</f>
        <v>16.325500000000002</v>
      </c>
      <c r="J532" s="64">
        <f>9.5434 * CHOOSE(CONTROL!$C$22, $C$13, 100%, $E$13)</f>
        <v>9.5434000000000001</v>
      </c>
      <c r="K532" s="64">
        <f>9.5435 * CHOOSE(CONTROL!$C$22, $C$13, 100%, $E$13)</f>
        <v>9.5434999999999999</v>
      </c>
    </row>
    <row r="533" spans="1:11" ht="15">
      <c r="A533" s="13">
        <v>57711</v>
      </c>
      <c r="B533" s="63">
        <f>8.2256 * CHOOSE(CONTROL!$C$22, $C$13, 100%, $E$13)</f>
        <v>8.2256</v>
      </c>
      <c r="C533" s="63">
        <f>8.2256 * CHOOSE(CONTROL!$C$22, $C$13, 100%, $E$13)</f>
        <v>8.2256</v>
      </c>
      <c r="D533" s="63">
        <f>8.2256 * CHOOSE(CONTROL!$C$22, $C$13, 100%, $E$13)</f>
        <v>8.2256</v>
      </c>
      <c r="E533" s="64">
        <f>9.6809 * CHOOSE(CONTROL!$C$22, $C$13, 100%, $E$13)</f>
        <v>9.6808999999999994</v>
      </c>
      <c r="F533" s="64">
        <f>9.6809 * CHOOSE(CONTROL!$C$22, $C$13, 100%, $E$13)</f>
        <v>9.6808999999999994</v>
      </c>
      <c r="G533" s="64">
        <f>9.681 * CHOOSE(CONTROL!$C$22, $C$13, 100%, $E$13)</f>
        <v>9.6809999999999992</v>
      </c>
      <c r="H533" s="64">
        <f>16.3594* CHOOSE(CONTROL!$C$22, $C$13, 100%, $E$13)</f>
        <v>16.359400000000001</v>
      </c>
      <c r="I533" s="64">
        <f>16.3595 * CHOOSE(CONTROL!$C$22, $C$13, 100%, $E$13)</f>
        <v>16.359500000000001</v>
      </c>
      <c r="J533" s="64">
        <f>9.6809 * CHOOSE(CONTROL!$C$22, $C$13, 100%, $E$13)</f>
        <v>9.6808999999999994</v>
      </c>
      <c r="K533" s="64">
        <f>9.681 * CHOOSE(CONTROL!$C$22, $C$13, 100%, $E$13)</f>
        <v>9.6809999999999992</v>
      </c>
    </row>
    <row r="534" spans="1:11" ht="15">
      <c r="A534" s="13">
        <v>57742</v>
      </c>
      <c r="B534" s="63">
        <f>8.2226 * CHOOSE(CONTROL!$C$22, $C$13, 100%, $E$13)</f>
        <v>8.2225999999999999</v>
      </c>
      <c r="C534" s="63">
        <f>8.2226 * CHOOSE(CONTROL!$C$22, $C$13, 100%, $E$13)</f>
        <v>8.2225999999999999</v>
      </c>
      <c r="D534" s="63">
        <f>8.2226 * CHOOSE(CONTROL!$C$22, $C$13, 100%, $E$13)</f>
        <v>8.2225999999999999</v>
      </c>
      <c r="E534" s="64">
        <f>9.5169 * CHOOSE(CONTROL!$C$22, $C$13, 100%, $E$13)</f>
        <v>9.5168999999999997</v>
      </c>
      <c r="F534" s="64">
        <f>9.5169 * CHOOSE(CONTROL!$C$22, $C$13, 100%, $E$13)</f>
        <v>9.5168999999999997</v>
      </c>
      <c r="G534" s="64">
        <f>9.517 * CHOOSE(CONTROL!$C$22, $C$13, 100%, $E$13)</f>
        <v>9.5169999999999995</v>
      </c>
      <c r="H534" s="64">
        <f>16.3935* CHOOSE(CONTROL!$C$22, $C$13, 100%, $E$13)</f>
        <v>16.3935</v>
      </c>
      <c r="I534" s="64">
        <f>16.3936 * CHOOSE(CONTROL!$C$22, $C$13, 100%, $E$13)</f>
        <v>16.393599999999999</v>
      </c>
      <c r="J534" s="64">
        <f>9.5169 * CHOOSE(CONTROL!$C$22, $C$13, 100%, $E$13)</f>
        <v>9.5168999999999997</v>
      </c>
      <c r="K534" s="64">
        <f>9.517 * CHOOSE(CONTROL!$C$22, $C$13, 100%, $E$13)</f>
        <v>9.5169999999999995</v>
      </c>
    </row>
    <row r="535" spans="1:11" ht="15">
      <c r="A535" s="13">
        <v>57770</v>
      </c>
      <c r="B535" s="63">
        <f>8.2195 * CHOOSE(CONTROL!$C$22, $C$13, 100%, $E$13)</f>
        <v>8.2195</v>
      </c>
      <c r="C535" s="63">
        <f>8.2195 * CHOOSE(CONTROL!$C$22, $C$13, 100%, $E$13)</f>
        <v>8.2195</v>
      </c>
      <c r="D535" s="63">
        <f>8.2195 * CHOOSE(CONTROL!$C$22, $C$13, 100%, $E$13)</f>
        <v>8.2195</v>
      </c>
      <c r="E535" s="64">
        <f>9.6424 * CHOOSE(CONTROL!$C$22, $C$13, 100%, $E$13)</f>
        <v>9.6424000000000003</v>
      </c>
      <c r="F535" s="64">
        <f>9.6424 * CHOOSE(CONTROL!$C$22, $C$13, 100%, $E$13)</f>
        <v>9.6424000000000003</v>
      </c>
      <c r="G535" s="64">
        <f>9.6425 * CHOOSE(CONTROL!$C$22, $C$13, 100%, $E$13)</f>
        <v>9.6425000000000001</v>
      </c>
      <c r="H535" s="64">
        <f>16.4277* CHOOSE(CONTROL!$C$22, $C$13, 100%, $E$13)</f>
        <v>16.427700000000002</v>
      </c>
      <c r="I535" s="64">
        <f>16.4277 * CHOOSE(CONTROL!$C$22, $C$13, 100%, $E$13)</f>
        <v>16.427700000000002</v>
      </c>
      <c r="J535" s="64">
        <f>9.6424 * CHOOSE(CONTROL!$C$22, $C$13, 100%, $E$13)</f>
        <v>9.6424000000000003</v>
      </c>
      <c r="K535" s="64">
        <f>9.6425 * CHOOSE(CONTROL!$C$22, $C$13, 100%, $E$13)</f>
        <v>9.6425000000000001</v>
      </c>
    </row>
    <row r="536" spans="1:11" ht="15">
      <c r="A536" s="13">
        <v>57801</v>
      </c>
      <c r="B536" s="63">
        <f>8.2208 * CHOOSE(CONTROL!$C$22, $C$13, 100%, $E$13)</f>
        <v>8.2208000000000006</v>
      </c>
      <c r="C536" s="63">
        <f>8.2208 * CHOOSE(CONTROL!$C$22, $C$13, 100%, $E$13)</f>
        <v>8.2208000000000006</v>
      </c>
      <c r="D536" s="63">
        <f>8.2208 * CHOOSE(CONTROL!$C$22, $C$13, 100%, $E$13)</f>
        <v>8.2208000000000006</v>
      </c>
      <c r="E536" s="64">
        <f>9.7753 * CHOOSE(CONTROL!$C$22, $C$13, 100%, $E$13)</f>
        <v>9.7752999999999997</v>
      </c>
      <c r="F536" s="64">
        <f>9.7753 * CHOOSE(CONTROL!$C$22, $C$13, 100%, $E$13)</f>
        <v>9.7752999999999997</v>
      </c>
      <c r="G536" s="64">
        <f>9.7754 * CHOOSE(CONTROL!$C$22, $C$13, 100%, $E$13)</f>
        <v>9.7753999999999994</v>
      </c>
      <c r="H536" s="64">
        <f>16.4619* CHOOSE(CONTROL!$C$22, $C$13, 100%, $E$13)</f>
        <v>16.4619</v>
      </c>
      <c r="I536" s="64">
        <f>16.462 * CHOOSE(CONTROL!$C$22, $C$13, 100%, $E$13)</f>
        <v>16.462</v>
      </c>
      <c r="J536" s="64">
        <f>9.7753 * CHOOSE(CONTROL!$C$22, $C$13, 100%, $E$13)</f>
        <v>9.7752999999999997</v>
      </c>
      <c r="K536" s="64">
        <f>9.7754 * CHOOSE(CONTROL!$C$22, $C$13, 100%, $E$13)</f>
        <v>9.7753999999999994</v>
      </c>
    </row>
    <row r="537" spans="1:11" ht="15">
      <c r="A537" s="13">
        <v>57831</v>
      </c>
      <c r="B537" s="63">
        <f>8.2208 * CHOOSE(CONTROL!$C$22, $C$13, 100%, $E$13)</f>
        <v>8.2208000000000006</v>
      </c>
      <c r="C537" s="63">
        <f>8.2208 * CHOOSE(CONTROL!$C$22, $C$13, 100%, $E$13)</f>
        <v>8.2208000000000006</v>
      </c>
      <c r="D537" s="63">
        <f>8.2338 * CHOOSE(CONTROL!$C$22, $C$13, 100%, $E$13)</f>
        <v>8.2338000000000005</v>
      </c>
      <c r="E537" s="64">
        <f>9.8267 * CHOOSE(CONTROL!$C$22, $C$13, 100%, $E$13)</f>
        <v>9.8267000000000007</v>
      </c>
      <c r="F537" s="64">
        <f>9.8267 * CHOOSE(CONTROL!$C$22, $C$13, 100%, $E$13)</f>
        <v>9.8267000000000007</v>
      </c>
      <c r="G537" s="64">
        <f>9.8424 * CHOOSE(CONTROL!$C$22, $C$13, 100%, $E$13)</f>
        <v>9.8423999999999996</v>
      </c>
      <c r="H537" s="64">
        <f>16.4962* CHOOSE(CONTROL!$C$22, $C$13, 100%, $E$13)</f>
        <v>16.496200000000002</v>
      </c>
      <c r="I537" s="64">
        <f>16.5119 * CHOOSE(CONTROL!$C$22, $C$13, 100%, $E$13)</f>
        <v>16.511900000000001</v>
      </c>
      <c r="J537" s="64">
        <f>9.8267 * CHOOSE(CONTROL!$C$22, $C$13, 100%, $E$13)</f>
        <v>9.8267000000000007</v>
      </c>
      <c r="K537" s="64">
        <f>9.8424 * CHOOSE(CONTROL!$C$22, $C$13, 100%, $E$13)</f>
        <v>9.8423999999999996</v>
      </c>
    </row>
    <row r="538" spans="1:11" ht="15">
      <c r="A538" s="13">
        <v>57862</v>
      </c>
      <c r="B538" s="63">
        <f>8.2269 * CHOOSE(CONTROL!$C$22, $C$13, 100%, $E$13)</f>
        <v>8.2269000000000005</v>
      </c>
      <c r="C538" s="63">
        <f>8.2269 * CHOOSE(CONTROL!$C$22, $C$13, 100%, $E$13)</f>
        <v>8.2269000000000005</v>
      </c>
      <c r="D538" s="63">
        <f>8.2398 * CHOOSE(CONTROL!$C$22, $C$13, 100%, $E$13)</f>
        <v>8.2398000000000007</v>
      </c>
      <c r="E538" s="64">
        <f>9.7795 * CHOOSE(CONTROL!$C$22, $C$13, 100%, $E$13)</f>
        <v>9.7795000000000005</v>
      </c>
      <c r="F538" s="64">
        <f>9.7795 * CHOOSE(CONTROL!$C$22, $C$13, 100%, $E$13)</f>
        <v>9.7795000000000005</v>
      </c>
      <c r="G538" s="64">
        <f>9.7952 * CHOOSE(CONTROL!$C$22, $C$13, 100%, $E$13)</f>
        <v>9.7951999999999995</v>
      </c>
      <c r="H538" s="64">
        <f>16.5306* CHOOSE(CONTROL!$C$22, $C$13, 100%, $E$13)</f>
        <v>16.5306</v>
      </c>
      <c r="I538" s="64">
        <f>16.5462 * CHOOSE(CONTROL!$C$22, $C$13, 100%, $E$13)</f>
        <v>16.546199999999999</v>
      </c>
      <c r="J538" s="64">
        <f>9.7795 * CHOOSE(CONTROL!$C$22, $C$13, 100%, $E$13)</f>
        <v>9.7795000000000005</v>
      </c>
      <c r="K538" s="64">
        <f>9.7952 * CHOOSE(CONTROL!$C$22, $C$13, 100%, $E$13)</f>
        <v>9.7951999999999995</v>
      </c>
    </row>
    <row r="539" spans="1:11" ht="15">
      <c r="A539" s="13">
        <v>57892</v>
      </c>
      <c r="B539" s="63">
        <f>8.3557 * CHOOSE(CONTROL!$C$22, $C$13, 100%, $E$13)</f>
        <v>8.3557000000000006</v>
      </c>
      <c r="C539" s="63">
        <f>8.3557 * CHOOSE(CONTROL!$C$22, $C$13, 100%, $E$13)</f>
        <v>8.3557000000000006</v>
      </c>
      <c r="D539" s="63">
        <f>8.3686 * CHOOSE(CONTROL!$C$22, $C$13, 100%, $E$13)</f>
        <v>8.3686000000000007</v>
      </c>
      <c r="E539" s="64">
        <f>9.9397 * CHOOSE(CONTROL!$C$22, $C$13, 100%, $E$13)</f>
        <v>9.9397000000000002</v>
      </c>
      <c r="F539" s="64">
        <f>9.9397 * CHOOSE(CONTROL!$C$22, $C$13, 100%, $E$13)</f>
        <v>9.9397000000000002</v>
      </c>
      <c r="G539" s="64">
        <f>9.9554 * CHOOSE(CONTROL!$C$22, $C$13, 100%, $E$13)</f>
        <v>9.9553999999999991</v>
      </c>
      <c r="H539" s="64">
        <f>16.565* CHOOSE(CONTROL!$C$22, $C$13, 100%, $E$13)</f>
        <v>16.565000000000001</v>
      </c>
      <c r="I539" s="64">
        <f>16.5807 * CHOOSE(CONTROL!$C$22, $C$13, 100%, $E$13)</f>
        <v>16.5807</v>
      </c>
      <c r="J539" s="64">
        <f>9.9397 * CHOOSE(CONTROL!$C$22, $C$13, 100%, $E$13)</f>
        <v>9.9397000000000002</v>
      </c>
      <c r="K539" s="64">
        <f>9.9554 * CHOOSE(CONTROL!$C$22, $C$13, 100%, $E$13)</f>
        <v>9.9553999999999991</v>
      </c>
    </row>
    <row r="540" spans="1:11" ht="15">
      <c r="A540" s="13">
        <v>57923</v>
      </c>
      <c r="B540" s="63">
        <f>8.3623 * CHOOSE(CONTROL!$C$22, $C$13, 100%, $E$13)</f>
        <v>8.3622999999999994</v>
      </c>
      <c r="C540" s="63">
        <f>8.3623 * CHOOSE(CONTROL!$C$22, $C$13, 100%, $E$13)</f>
        <v>8.3622999999999994</v>
      </c>
      <c r="D540" s="63">
        <f>8.3753 * CHOOSE(CONTROL!$C$22, $C$13, 100%, $E$13)</f>
        <v>8.3752999999999993</v>
      </c>
      <c r="E540" s="64">
        <f>9.7901 * CHOOSE(CONTROL!$C$22, $C$13, 100%, $E$13)</f>
        <v>9.7901000000000007</v>
      </c>
      <c r="F540" s="64">
        <f>9.7901 * CHOOSE(CONTROL!$C$22, $C$13, 100%, $E$13)</f>
        <v>9.7901000000000007</v>
      </c>
      <c r="G540" s="64">
        <f>9.8058 * CHOOSE(CONTROL!$C$22, $C$13, 100%, $E$13)</f>
        <v>9.8057999999999996</v>
      </c>
      <c r="H540" s="64">
        <f>16.5995* CHOOSE(CONTROL!$C$22, $C$13, 100%, $E$13)</f>
        <v>16.599499999999999</v>
      </c>
      <c r="I540" s="64">
        <f>16.6152 * CHOOSE(CONTROL!$C$22, $C$13, 100%, $E$13)</f>
        <v>16.615200000000002</v>
      </c>
      <c r="J540" s="64">
        <f>9.7901 * CHOOSE(CONTROL!$C$22, $C$13, 100%, $E$13)</f>
        <v>9.7901000000000007</v>
      </c>
      <c r="K540" s="64">
        <f>9.8058 * CHOOSE(CONTROL!$C$22, $C$13, 100%, $E$13)</f>
        <v>9.8057999999999996</v>
      </c>
    </row>
    <row r="541" spans="1:11" ht="15">
      <c r="A541" s="13">
        <v>57954</v>
      </c>
      <c r="B541" s="63">
        <f>8.3593 * CHOOSE(CONTROL!$C$22, $C$13, 100%, $E$13)</f>
        <v>8.3592999999999993</v>
      </c>
      <c r="C541" s="63">
        <f>8.3593 * CHOOSE(CONTROL!$C$22, $C$13, 100%, $E$13)</f>
        <v>8.3592999999999993</v>
      </c>
      <c r="D541" s="63">
        <f>8.3723 * CHOOSE(CONTROL!$C$22, $C$13, 100%, $E$13)</f>
        <v>8.3722999999999992</v>
      </c>
      <c r="E541" s="64">
        <f>9.7709 * CHOOSE(CONTROL!$C$22, $C$13, 100%, $E$13)</f>
        <v>9.7708999999999993</v>
      </c>
      <c r="F541" s="64">
        <f>9.7709 * CHOOSE(CONTROL!$C$22, $C$13, 100%, $E$13)</f>
        <v>9.7708999999999993</v>
      </c>
      <c r="G541" s="64">
        <f>9.7865 * CHOOSE(CONTROL!$C$22, $C$13, 100%, $E$13)</f>
        <v>9.7865000000000002</v>
      </c>
      <c r="H541" s="64">
        <f>16.6341* CHOOSE(CONTROL!$C$22, $C$13, 100%, $E$13)</f>
        <v>16.6341</v>
      </c>
      <c r="I541" s="64">
        <f>16.6498 * CHOOSE(CONTROL!$C$22, $C$13, 100%, $E$13)</f>
        <v>16.649799999999999</v>
      </c>
      <c r="J541" s="64">
        <f>9.7709 * CHOOSE(CONTROL!$C$22, $C$13, 100%, $E$13)</f>
        <v>9.7708999999999993</v>
      </c>
      <c r="K541" s="64">
        <f>9.7865 * CHOOSE(CONTROL!$C$22, $C$13, 100%, $E$13)</f>
        <v>9.7865000000000002</v>
      </c>
    </row>
    <row r="542" spans="1:11" ht="15">
      <c r="A542" s="13">
        <v>57984</v>
      </c>
      <c r="B542" s="63">
        <f>8.3686 * CHOOSE(CONTROL!$C$22, $C$13, 100%, $E$13)</f>
        <v>8.3686000000000007</v>
      </c>
      <c r="C542" s="63">
        <f>8.3686 * CHOOSE(CONTROL!$C$22, $C$13, 100%, $E$13)</f>
        <v>8.3686000000000007</v>
      </c>
      <c r="D542" s="63">
        <f>8.3686 * CHOOSE(CONTROL!$C$22, $C$13, 100%, $E$13)</f>
        <v>8.3686000000000007</v>
      </c>
      <c r="E542" s="64">
        <f>9.826 * CHOOSE(CONTROL!$C$22, $C$13, 100%, $E$13)</f>
        <v>9.8260000000000005</v>
      </c>
      <c r="F542" s="64">
        <f>9.826 * CHOOSE(CONTROL!$C$22, $C$13, 100%, $E$13)</f>
        <v>9.8260000000000005</v>
      </c>
      <c r="G542" s="64">
        <f>9.8261 * CHOOSE(CONTROL!$C$22, $C$13, 100%, $E$13)</f>
        <v>9.8261000000000003</v>
      </c>
      <c r="H542" s="64">
        <f>16.6687* CHOOSE(CONTROL!$C$22, $C$13, 100%, $E$13)</f>
        <v>16.668700000000001</v>
      </c>
      <c r="I542" s="64">
        <f>16.6688 * CHOOSE(CONTROL!$C$22, $C$13, 100%, $E$13)</f>
        <v>16.668800000000001</v>
      </c>
      <c r="J542" s="64">
        <f>9.826 * CHOOSE(CONTROL!$C$22, $C$13, 100%, $E$13)</f>
        <v>9.8260000000000005</v>
      </c>
      <c r="K542" s="64">
        <f>9.8261 * CHOOSE(CONTROL!$C$22, $C$13, 100%, $E$13)</f>
        <v>9.8261000000000003</v>
      </c>
    </row>
    <row r="543" spans="1:11" ht="15">
      <c r="A543" s="13">
        <v>58015</v>
      </c>
      <c r="B543" s="63">
        <f>8.3717 * CHOOSE(CONTROL!$C$22, $C$13, 100%, $E$13)</f>
        <v>8.3717000000000006</v>
      </c>
      <c r="C543" s="63">
        <f>8.3717 * CHOOSE(CONTROL!$C$22, $C$13, 100%, $E$13)</f>
        <v>8.3717000000000006</v>
      </c>
      <c r="D543" s="63">
        <f>8.3717 * CHOOSE(CONTROL!$C$22, $C$13, 100%, $E$13)</f>
        <v>8.3717000000000006</v>
      </c>
      <c r="E543" s="64">
        <f>9.8624 * CHOOSE(CONTROL!$C$22, $C$13, 100%, $E$13)</f>
        <v>9.8623999999999992</v>
      </c>
      <c r="F543" s="64">
        <f>9.8624 * CHOOSE(CONTROL!$C$22, $C$13, 100%, $E$13)</f>
        <v>9.8623999999999992</v>
      </c>
      <c r="G543" s="64">
        <f>9.8625 * CHOOSE(CONTROL!$C$22, $C$13, 100%, $E$13)</f>
        <v>9.8625000000000007</v>
      </c>
      <c r="H543" s="64">
        <f>16.7035* CHOOSE(CONTROL!$C$22, $C$13, 100%, $E$13)</f>
        <v>16.703499999999998</v>
      </c>
      <c r="I543" s="64">
        <f>16.7035 * CHOOSE(CONTROL!$C$22, $C$13, 100%, $E$13)</f>
        <v>16.703499999999998</v>
      </c>
      <c r="J543" s="64">
        <f>9.8624 * CHOOSE(CONTROL!$C$22, $C$13, 100%, $E$13)</f>
        <v>9.8623999999999992</v>
      </c>
      <c r="K543" s="64">
        <f>9.8625 * CHOOSE(CONTROL!$C$22, $C$13, 100%, $E$13)</f>
        <v>9.8625000000000007</v>
      </c>
    </row>
    <row r="544" spans="1:11" ht="15">
      <c r="A544" s="13">
        <v>58045</v>
      </c>
      <c r="B544" s="63">
        <f>8.3717 * CHOOSE(CONTROL!$C$22, $C$13, 100%, $E$13)</f>
        <v>8.3717000000000006</v>
      </c>
      <c r="C544" s="63">
        <f>8.3717 * CHOOSE(CONTROL!$C$22, $C$13, 100%, $E$13)</f>
        <v>8.3717000000000006</v>
      </c>
      <c r="D544" s="63">
        <f>8.3717 * CHOOSE(CONTROL!$C$22, $C$13, 100%, $E$13)</f>
        <v>8.3717000000000006</v>
      </c>
      <c r="E544" s="64">
        <f>9.7767 * CHOOSE(CONTROL!$C$22, $C$13, 100%, $E$13)</f>
        <v>9.7766999999999999</v>
      </c>
      <c r="F544" s="64">
        <f>9.7767 * CHOOSE(CONTROL!$C$22, $C$13, 100%, $E$13)</f>
        <v>9.7766999999999999</v>
      </c>
      <c r="G544" s="64">
        <f>9.7768 * CHOOSE(CONTROL!$C$22, $C$13, 100%, $E$13)</f>
        <v>9.7767999999999997</v>
      </c>
      <c r="H544" s="64">
        <f>16.7383* CHOOSE(CONTROL!$C$22, $C$13, 100%, $E$13)</f>
        <v>16.738299999999999</v>
      </c>
      <c r="I544" s="64">
        <f>16.7383 * CHOOSE(CONTROL!$C$22, $C$13, 100%, $E$13)</f>
        <v>16.738299999999999</v>
      </c>
      <c r="J544" s="64">
        <f>9.7767 * CHOOSE(CONTROL!$C$22, $C$13, 100%, $E$13)</f>
        <v>9.7766999999999999</v>
      </c>
      <c r="K544" s="64">
        <f>9.7768 * CHOOSE(CONTROL!$C$22, $C$13, 100%, $E$13)</f>
        <v>9.7767999999999997</v>
      </c>
    </row>
    <row r="545" spans="1:11" ht="15">
      <c r="A545" s="13">
        <v>58076</v>
      </c>
      <c r="B545" s="63">
        <f>8.4433 * CHOOSE(CONTROL!$C$22, $C$13, 100%, $E$13)</f>
        <v>8.4433000000000007</v>
      </c>
      <c r="C545" s="63">
        <f>8.4433 * CHOOSE(CONTROL!$C$22, $C$13, 100%, $E$13)</f>
        <v>8.4433000000000007</v>
      </c>
      <c r="D545" s="63">
        <f>8.4433 * CHOOSE(CONTROL!$C$22, $C$13, 100%, $E$13)</f>
        <v>8.4433000000000007</v>
      </c>
      <c r="E545" s="64">
        <f>9.9178 * CHOOSE(CONTROL!$C$22, $C$13, 100%, $E$13)</f>
        <v>9.9177999999999997</v>
      </c>
      <c r="F545" s="64">
        <f>9.9178 * CHOOSE(CONTROL!$C$22, $C$13, 100%, $E$13)</f>
        <v>9.9177999999999997</v>
      </c>
      <c r="G545" s="64">
        <f>9.9178 * CHOOSE(CONTROL!$C$22, $C$13, 100%, $E$13)</f>
        <v>9.9177999999999997</v>
      </c>
      <c r="H545" s="64">
        <f>16.7731* CHOOSE(CONTROL!$C$22, $C$13, 100%, $E$13)</f>
        <v>16.773099999999999</v>
      </c>
      <c r="I545" s="64">
        <f>16.7732 * CHOOSE(CONTROL!$C$22, $C$13, 100%, $E$13)</f>
        <v>16.773199999999999</v>
      </c>
      <c r="J545" s="64">
        <f>9.9178 * CHOOSE(CONTROL!$C$22, $C$13, 100%, $E$13)</f>
        <v>9.9177999999999997</v>
      </c>
      <c r="K545" s="64">
        <f>9.9178 * CHOOSE(CONTROL!$C$22, $C$13, 100%, $E$13)</f>
        <v>9.9177999999999997</v>
      </c>
    </row>
    <row r="546" spans="1:11" ht="15">
      <c r="A546" s="13">
        <v>58107</v>
      </c>
      <c r="B546" s="63">
        <f>8.4402 * CHOOSE(CONTROL!$C$22, $C$13, 100%, $E$13)</f>
        <v>8.4402000000000008</v>
      </c>
      <c r="C546" s="63">
        <f>8.4402 * CHOOSE(CONTROL!$C$22, $C$13, 100%, $E$13)</f>
        <v>8.4402000000000008</v>
      </c>
      <c r="D546" s="63">
        <f>8.4402 * CHOOSE(CONTROL!$C$22, $C$13, 100%, $E$13)</f>
        <v>8.4402000000000008</v>
      </c>
      <c r="E546" s="64">
        <f>9.7492 * CHOOSE(CONTROL!$C$22, $C$13, 100%, $E$13)</f>
        <v>9.7492000000000001</v>
      </c>
      <c r="F546" s="64">
        <f>9.7492 * CHOOSE(CONTROL!$C$22, $C$13, 100%, $E$13)</f>
        <v>9.7492000000000001</v>
      </c>
      <c r="G546" s="64">
        <f>9.7492 * CHOOSE(CONTROL!$C$22, $C$13, 100%, $E$13)</f>
        <v>9.7492000000000001</v>
      </c>
      <c r="H546" s="64">
        <f>16.8081* CHOOSE(CONTROL!$C$22, $C$13, 100%, $E$13)</f>
        <v>16.8081</v>
      </c>
      <c r="I546" s="64">
        <f>16.8082 * CHOOSE(CONTROL!$C$22, $C$13, 100%, $E$13)</f>
        <v>16.808199999999999</v>
      </c>
      <c r="J546" s="64">
        <f>9.7492 * CHOOSE(CONTROL!$C$22, $C$13, 100%, $E$13)</f>
        <v>9.7492000000000001</v>
      </c>
      <c r="K546" s="64">
        <f>9.7492 * CHOOSE(CONTROL!$C$22, $C$13, 100%, $E$13)</f>
        <v>9.7492000000000001</v>
      </c>
    </row>
    <row r="547" spans="1:11" ht="15">
      <c r="A547" s="13">
        <v>58135</v>
      </c>
      <c r="B547" s="63">
        <f>8.4372 * CHOOSE(CONTROL!$C$22, $C$13, 100%, $E$13)</f>
        <v>8.4372000000000007</v>
      </c>
      <c r="C547" s="63">
        <f>8.4372 * CHOOSE(CONTROL!$C$22, $C$13, 100%, $E$13)</f>
        <v>8.4372000000000007</v>
      </c>
      <c r="D547" s="63">
        <f>8.4372 * CHOOSE(CONTROL!$C$22, $C$13, 100%, $E$13)</f>
        <v>8.4372000000000007</v>
      </c>
      <c r="E547" s="64">
        <f>9.8783 * CHOOSE(CONTROL!$C$22, $C$13, 100%, $E$13)</f>
        <v>9.8782999999999994</v>
      </c>
      <c r="F547" s="64">
        <f>9.8783 * CHOOSE(CONTROL!$C$22, $C$13, 100%, $E$13)</f>
        <v>9.8782999999999994</v>
      </c>
      <c r="G547" s="64">
        <f>9.8784 * CHOOSE(CONTROL!$C$22, $C$13, 100%, $E$13)</f>
        <v>9.8783999999999992</v>
      </c>
      <c r="H547" s="64">
        <f>16.8431* CHOOSE(CONTROL!$C$22, $C$13, 100%, $E$13)</f>
        <v>16.8431</v>
      </c>
      <c r="I547" s="64">
        <f>16.8432 * CHOOSE(CONTROL!$C$22, $C$13, 100%, $E$13)</f>
        <v>16.8432</v>
      </c>
      <c r="J547" s="64">
        <f>9.8783 * CHOOSE(CONTROL!$C$22, $C$13, 100%, $E$13)</f>
        <v>9.8782999999999994</v>
      </c>
      <c r="K547" s="64">
        <f>9.8784 * CHOOSE(CONTROL!$C$22, $C$13, 100%, $E$13)</f>
        <v>9.8783999999999992</v>
      </c>
    </row>
    <row r="548" spans="1:11" ht="15">
      <c r="A548" s="13">
        <v>58166</v>
      </c>
      <c r="B548" s="63">
        <f>8.4386 * CHOOSE(CONTROL!$C$22, $C$13, 100%, $E$13)</f>
        <v>8.4385999999999992</v>
      </c>
      <c r="C548" s="63">
        <f>8.4386 * CHOOSE(CONTROL!$C$22, $C$13, 100%, $E$13)</f>
        <v>8.4385999999999992</v>
      </c>
      <c r="D548" s="63">
        <f>8.4386 * CHOOSE(CONTROL!$C$22, $C$13, 100%, $E$13)</f>
        <v>8.4385999999999992</v>
      </c>
      <c r="E548" s="64">
        <f>10.015 * CHOOSE(CONTROL!$C$22, $C$13, 100%, $E$13)</f>
        <v>10.015000000000001</v>
      </c>
      <c r="F548" s="64">
        <f>10.015 * CHOOSE(CONTROL!$C$22, $C$13, 100%, $E$13)</f>
        <v>10.015000000000001</v>
      </c>
      <c r="G548" s="64">
        <f>10.0151 * CHOOSE(CONTROL!$C$22, $C$13, 100%, $E$13)</f>
        <v>10.0151</v>
      </c>
      <c r="H548" s="64">
        <f>16.8782* CHOOSE(CONTROL!$C$22, $C$13, 100%, $E$13)</f>
        <v>16.8782</v>
      </c>
      <c r="I548" s="64">
        <f>16.8783 * CHOOSE(CONTROL!$C$22, $C$13, 100%, $E$13)</f>
        <v>16.878299999999999</v>
      </c>
      <c r="J548" s="64">
        <f>10.015 * CHOOSE(CONTROL!$C$22, $C$13, 100%, $E$13)</f>
        <v>10.015000000000001</v>
      </c>
      <c r="K548" s="64">
        <f>10.0151 * CHOOSE(CONTROL!$C$22, $C$13, 100%, $E$13)</f>
        <v>10.0151</v>
      </c>
    </row>
    <row r="549" spans="1:11" ht="15">
      <c r="A549" s="13">
        <v>58196</v>
      </c>
      <c r="B549" s="63">
        <f>8.4386 * CHOOSE(CONTROL!$C$22, $C$13, 100%, $E$13)</f>
        <v>8.4385999999999992</v>
      </c>
      <c r="C549" s="63">
        <f>8.4386 * CHOOSE(CONTROL!$C$22, $C$13, 100%, $E$13)</f>
        <v>8.4385999999999992</v>
      </c>
      <c r="D549" s="63">
        <f>8.4516 * CHOOSE(CONTROL!$C$22, $C$13, 100%, $E$13)</f>
        <v>8.4515999999999991</v>
      </c>
      <c r="E549" s="64">
        <f>10.0679 * CHOOSE(CONTROL!$C$22, $C$13, 100%, $E$13)</f>
        <v>10.0679</v>
      </c>
      <c r="F549" s="64">
        <f>10.0679 * CHOOSE(CONTROL!$C$22, $C$13, 100%, $E$13)</f>
        <v>10.0679</v>
      </c>
      <c r="G549" s="64">
        <f>10.0835 * CHOOSE(CONTROL!$C$22, $C$13, 100%, $E$13)</f>
        <v>10.083500000000001</v>
      </c>
      <c r="H549" s="64">
        <f>16.9134* CHOOSE(CONTROL!$C$22, $C$13, 100%, $E$13)</f>
        <v>16.913399999999999</v>
      </c>
      <c r="I549" s="64">
        <f>16.929 * CHOOSE(CONTROL!$C$22, $C$13, 100%, $E$13)</f>
        <v>16.928999999999998</v>
      </c>
      <c r="J549" s="64">
        <f>10.0679 * CHOOSE(CONTROL!$C$22, $C$13, 100%, $E$13)</f>
        <v>10.0679</v>
      </c>
      <c r="K549" s="64">
        <f>10.0835 * CHOOSE(CONTROL!$C$22, $C$13, 100%, $E$13)</f>
        <v>10.083500000000001</v>
      </c>
    </row>
    <row r="550" spans="1:11" ht="15">
      <c r="A550" s="13">
        <v>58227</v>
      </c>
      <c r="B550" s="63">
        <f>8.4447 * CHOOSE(CONTROL!$C$22, $C$13, 100%, $E$13)</f>
        <v>8.4446999999999992</v>
      </c>
      <c r="C550" s="63">
        <f>8.4447 * CHOOSE(CONTROL!$C$22, $C$13, 100%, $E$13)</f>
        <v>8.4446999999999992</v>
      </c>
      <c r="D550" s="63">
        <f>8.4577 * CHOOSE(CONTROL!$C$22, $C$13, 100%, $E$13)</f>
        <v>8.4577000000000009</v>
      </c>
      <c r="E550" s="64">
        <f>10.0192 * CHOOSE(CONTROL!$C$22, $C$13, 100%, $E$13)</f>
        <v>10.0192</v>
      </c>
      <c r="F550" s="64">
        <f>10.0192 * CHOOSE(CONTROL!$C$22, $C$13, 100%, $E$13)</f>
        <v>10.0192</v>
      </c>
      <c r="G550" s="64">
        <f>10.0349 * CHOOSE(CONTROL!$C$22, $C$13, 100%, $E$13)</f>
        <v>10.0349</v>
      </c>
      <c r="H550" s="64">
        <f>16.9486* CHOOSE(CONTROL!$C$22, $C$13, 100%, $E$13)</f>
        <v>16.948599999999999</v>
      </c>
      <c r="I550" s="64">
        <f>16.9643 * CHOOSE(CONTROL!$C$22, $C$13, 100%, $E$13)</f>
        <v>16.964300000000001</v>
      </c>
      <c r="J550" s="64">
        <f>10.0192 * CHOOSE(CONTROL!$C$22, $C$13, 100%, $E$13)</f>
        <v>10.0192</v>
      </c>
      <c r="K550" s="64">
        <f>10.0349 * CHOOSE(CONTROL!$C$22, $C$13, 100%, $E$13)</f>
        <v>10.0349</v>
      </c>
    </row>
    <row r="551" spans="1:11" ht="15">
      <c r="A551" s="13">
        <v>58257</v>
      </c>
      <c r="B551" s="63">
        <f>8.5766 * CHOOSE(CONTROL!$C$22, $C$13, 100%, $E$13)</f>
        <v>8.5765999999999991</v>
      </c>
      <c r="C551" s="63">
        <f>8.5766 * CHOOSE(CONTROL!$C$22, $C$13, 100%, $E$13)</f>
        <v>8.5765999999999991</v>
      </c>
      <c r="D551" s="63">
        <f>8.5896 * CHOOSE(CONTROL!$C$22, $C$13, 100%, $E$13)</f>
        <v>8.5896000000000008</v>
      </c>
      <c r="E551" s="64">
        <f>10.183 * CHOOSE(CONTROL!$C$22, $C$13, 100%, $E$13)</f>
        <v>10.183</v>
      </c>
      <c r="F551" s="64">
        <f>10.183 * CHOOSE(CONTROL!$C$22, $C$13, 100%, $E$13)</f>
        <v>10.183</v>
      </c>
      <c r="G551" s="64">
        <f>10.1987 * CHOOSE(CONTROL!$C$22, $C$13, 100%, $E$13)</f>
        <v>10.198700000000001</v>
      </c>
      <c r="H551" s="64">
        <f>16.9839* CHOOSE(CONTROL!$C$22, $C$13, 100%, $E$13)</f>
        <v>16.983899999999998</v>
      </c>
      <c r="I551" s="64">
        <f>16.9996 * CHOOSE(CONTROL!$C$22, $C$13, 100%, $E$13)</f>
        <v>16.999600000000001</v>
      </c>
      <c r="J551" s="64">
        <f>10.183 * CHOOSE(CONTROL!$C$22, $C$13, 100%, $E$13)</f>
        <v>10.183</v>
      </c>
      <c r="K551" s="64">
        <f>10.1987 * CHOOSE(CONTROL!$C$22, $C$13, 100%, $E$13)</f>
        <v>10.198700000000001</v>
      </c>
    </row>
    <row r="552" spans="1:11" ht="15">
      <c r="A552" s="13">
        <v>58288</v>
      </c>
      <c r="B552" s="63">
        <f>8.5833 * CHOOSE(CONTROL!$C$22, $C$13, 100%, $E$13)</f>
        <v>8.5832999999999995</v>
      </c>
      <c r="C552" s="63">
        <f>8.5833 * CHOOSE(CONTROL!$C$22, $C$13, 100%, $E$13)</f>
        <v>8.5832999999999995</v>
      </c>
      <c r="D552" s="63">
        <f>8.5963 * CHOOSE(CONTROL!$C$22, $C$13, 100%, $E$13)</f>
        <v>8.5962999999999994</v>
      </c>
      <c r="E552" s="64">
        <f>10.0291 * CHOOSE(CONTROL!$C$22, $C$13, 100%, $E$13)</f>
        <v>10.0291</v>
      </c>
      <c r="F552" s="64">
        <f>10.0291 * CHOOSE(CONTROL!$C$22, $C$13, 100%, $E$13)</f>
        <v>10.0291</v>
      </c>
      <c r="G552" s="64">
        <f>10.0448 * CHOOSE(CONTROL!$C$22, $C$13, 100%, $E$13)</f>
        <v>10.0448</v>
      </c>
      <c r="H552" s="64">
        <f>17.0193* CHOOSE(CONTROL!$C$22, $C$13, 100%, $E$13)</f>
        <v>17.019300000000001</v>
      </c>
      <c r="I552" s="64">
        <f>17.035 * CHOOSE(CONTROL!$C$22, $C$13, 100%, $E$13)</f>
        <v>17.035</v>
      </c>
      <c r="J552" s="64">
        <f>10.0291 * CHOOSE(CONTROL!$C$22, $C$13, 100%, $E$13)</f>
        <v>10.0291</v>
      </c>
      <c r="K552" s="64">
        <f>10.0448 * CHOOSE(CONTROL!$C$22, $C$13, 100%, $E$13)</f>
        <v>10.0448</v>
      </c>
    </row>
    <row r="553" spans="1:11" ht="15">
      <c r="A553" s="13">
        <v>58319</v>
      </c>
      <c r="B553" s="63">
        <f>8.5803 * CHOOSE(CONTROL!$C$22, $C$13, 100%, $E$13)</f>
        <v>8.5802999999999994</v>
      </c>
      <c r="C553" s="63">
        <f>8.5803 * CHOOSE(CONTROL!$C$22, $C$13, 100%, $E$13)</f>
        <v>8.5802999999999994</v>
      </c>
      <c r="D553" s="63">
        <f>8.5933 * CHOOSE(CONTROL!$C$22, $C$13, 100%, $E$13)</f>
        <v>8.5932999999999993</v>
      </c>
      <c r="E553" s="64">
        <f>10.0094 * CHOOSE(CONTROL!$C$22, $C$13, 100%, $E$13)</f>
        <v>10.009399999999999</v>
      </c>
      <c r="F553" s="64">
        <f>10.0094 * CHOOSE(CONTROL!$C$22, $C$13, 100%, $E$13)</f>
        <v>10.009399999999999</v>
      </c>
      <c r="G553" s="64">
        <f>10.0251 * CHOOSE(CONTROL!$C$22, $C$13, 100%, $E$13)</f>
        <v>10.0251</v>
      </c>
      <c r="H553" s="64">
        <f>17.0547* CHOOSE(CONTROL!$C$22, $C$13, 100%, $E$13)</f>
        <v>17.0547</v>
      </c>
      <c r="I553" s="64">
        <f>17.0704 * CHOOSE(CONTROL!$C$22, $C$13, 100%, $E$13)</f>
        <v>17.070399999999999</v>
      </c>
      <c r="J553" s="64">
        <f>10.0094 * CHOOSE(CONTROL!$C$22, $C$13, 100%, $E$13)</f>
        <v>10.009399999999999</v>
      </c>
      <c r="K553" s="64">
        <f>10.0251 * CHOOSE(CONTROL!$C$22, $C$13, 100%, $E$13)</f>
        <v>10.0251</v>
      </c>
    </row>
    <row r="554" spans="1:11" ht="15">
      <c r="A554" s="13">
        <v>58349</v>
      </c>
      <c r="B554" s="63">
        <f>8.5903 * CHOOSE(CONTROL!$C$22, $C$13, 100%, $E$13)</f>
        <v>8.5902999999999992</v>
      </c>
      <c r="C554" s="63">
        <f>8.5903 * CHOOSE(CONTROL!$C$22, $C$13, 100%, $E$13)</f>
        <v>8.5902999999999992</v>
      </c>
      <c r="D554" s="63">
        <f>8.5903 * CHOOSE(CONTROL!$C$22, $C$13, 100%, $E$13)</f>
        <v>8.5902999999999992</v>
      </c>
      <c r="E554" s="64">
        <f>10.0665 * CHOOSE(CONTROL!$C$22, $C$13, 100%, $E$13)</f>
        <v>10.0665</v>
      </c>
      <c r="F554" s="64">
        <f>10.0665 * CHOOSE(CONTROL!$C$22, $C$13, 100%, $E$13)</f>
        <v>10.0665</v>
      </c>
      <c r="G554" s="64">
        <f>10.0665 * CHOOSE(CONTROL!$C$22, $C$13, 100%, $E$13)</f>
        <v>10.0665</v>
      </c>
      <c r="H554" s="64">
        <f>17.0903* CHOOSE(CONTROL!$C$22, $C$13, 100%, $E$13)</f>
        <v>17.090299999999999</v>
      </c>
      <c r="I554" s="64">
        <f>17.0903 * CHOOSE(CONTROL!$C$22, $C$13, 100%, $E$13)</f>
        <v>17.090299999999999</v>
      </c>
      <c r="J554" s="64">
        <f>10.0665 * CHOOSE(CONTROL!$C$22, $C$13, 100%, $E$13)</f>
        <v>10.0665</v>
      </c>
      <c r="K554" s="64">
        <f>10.0665 * CHOOSE(CONTROL!$C$22, $C$13, 100%, $E$13)</f>
        <v>10.0665</v>
      </c>
    </row>
    <row r="555" spans="1:11" ht="15">
      <c r="A555" s="13">
        <v>58380</v>
      </c>
      <c r="B555" s="63">
        <f>8.5934 * CHOOSE(CONTROL!$C$22, $C$13, 100%, $E$13)</f>
        <v>8.5934000000000008</v>
      </c>
      <c r="C555" s="63">
        <f>8.5934 * CHOOSE(CONTROL!$C$22, $C$13, 100%, $E$13)</f>
        <v>8.5934000000000008</v>
      </c>
      <c r="D555" s="63">
        <f>8.5934 * CHOOSE(CONTROL!$C$22, $C$13, 100%, $E$13)</f>
        <v>8.5934000000000008</v>
      </c>
      <c r="E555" s="64">
        <f>10.1038 * CHOOSE(CONTROL!$C$22, $C$13, 100%, $E$13)</f>
        <v>10.1038</v>
      </c>
      <c r="F555" s="64">
        <f>10.1038 * CHOOSE(CONTROL!$C$22, $C$13, 100%, $E$13)</f>
        <v>10.1038</v>
      </c>
      <c r="G555" s="64">
        <f>10.1039 * CHOOSE(CONTROL!$C$22, $C$13, 100%, $E$13)</f>
        <v>10.103899999999999</v>
      </c>
      <c r="H555" s="64">
        <f>17.1259* CHOOSE(CONTROL!$C$22, $C$13, 100%, $E$13)</f>
        <v>17.125900000000001</v>
      </c>
      <c r="I555" s="64">
        <f>17.126 * CHOOSE(CONTROL!$C$22, $C$13, 100%, $E$13)</f>
        <v>17.126000000000001</v>
      </c>
      <c r="J555" s="64">
        <f>10.1038 * CHOOSE(CONTROL!$C$22, $C$13, 100%, $E$13)</f>
        <v>10.1038</v>
      </c>
      <c r="K555" s="64">
        <f>10.1039 * CHOOSE(CONTROL!$C$22, $C$13, 100%, $E$13)</f>
        <v>10.103899999999999</v>
      </c>
    </row>
    <row r="556" spans="1:11" ht="15">
      <c r="A556" s="13">
        <v>58410</v>
      </c>
      <c r="B556" s="63">
        <f>8.5934 * CHOOSE(CONTROL!$C$22, $C$13, 100%, $E$13)</f>
        <v>8.5934000000000008</v>
      </c>
      <c r="C556" s="63">
        <f>8.5934 * CHOOSE(CONTROL!$C$22, $C$13, 100%, $E$13)</f>
        <v>8.5934000000000008</v>
      </c>
      <c r="D556" s="63">
        <f>8.5934 * CHOOSE(CONTROL!$C$22, $C$13, 100%, $E$13)</f>
        <v>8.5934000000000008</v>
      </c>
      <c r="E556" s="64">
        <f>10.0157 * CHOOSE(CONTROL!$C$22, $C$13, 100%, $E$13)</f>
        <v>10.015700000000001</v>
      </c>
      <c r="F556" s="64">
        <f>10.0157 * CHOOSE(CONTROL!$C$22, $C$13, 100%, $E$13)</f>
        <v>10.015700000000001</v>
      </c>
      <c r="G556" s="64">
        <f>10.0158 * CHOOSE(CONTROL!$C$22, $C$13, 100%, $E$13)</f>
        <v>10.0158</v>
      </c>
      <c r="H556" s="64">
        <f>17.1616* CHOOSE(CONTROL!$C$22, $C$13, 100%, $E$13)</f>
        <v>17.1616</v>
      </c>
      <c r="I556" s="64">
        <f>17.1616 * CHOOSE(CONTROL!$C$22, $C$13, 100%, $E$13)</f>
        <v>17.1616</v>
      </c>
      <c r="J556" s="64">
        <f>10.0157 * CHOOSE(CONTROL!$C$22, $C$13, 100%, $E$13)</f>
        <v>10.015700000000001</v>
      </c>
      <c r="K556" s="64">
        <f>10.0158 * CHOOSE(CONTROL!$C$22, $C$13, 100%, $E$13)</f>
        <v>10.0158</v>
      </c>
    </row>
    <row r="557" spans="1:11" ht="15">
      <c r="A557" s="13">
        <v>58441</v>
      </c>
      <c r="B557" s="63">
        <f>8.6667 * CHOOSE(CONTROL!$C$22, $C$13, 100%, $E$13)</f>
        <v>8.6667000000000005</v>
      </c>
      <c r="C557" s="63">
        <f>8.6667 * CHOOSE(CONTROL!$C$22, $C$13, 100%, $E$13)</f>
        <v>8.6667000000000005</v>
      </c>
      <c r="D557" s="63">
        <f>8.6667 * CHOOSE(CONTROL!$C$22, $C$13, 100%, $E$13)</f>
        <v>8.6667000000000005</v>
      </c>
      <c r="E557" s="64">
        <f>10.1604 * CHOOSE(CONTROL!$C$22, $C$13, 100%, $E$13)</f>
        <v>10.160399999999999</v>
      </c>
      <c r="F557" s="64">
        <f>10.1604 * CHOOSE(CONTROL!$C$22, $C$13, 100%, $E$13)</f>
        <v>10.160399999999999</v>
      </c>
      <c r="G557" s="64">
        <f>10.1605 * CHOOSE(CONTROL!$C$22, $C$13, 100%, $E$13)</f>
        <v>10.160500000000001</v>
      </c>
      <c r="H557" s="64">
        <f>17.1973* CHOOSE(CONTROL!$C$22, $C$13, 100%, $E$13)</f>
        <v>17.197299999999998</v>
      </c>
      <c r="I557" s="64">
        <f>17.1974 * CHOOSE(CONTROL!$C$22, $C$13, 100%, $E$13)</f>
        <v>17.197399999999998</v>
      </c>
      <c r="J557" s="64">
        <f>10.1604 * CHOOSE(CONTROL!$C$22, $C$13, 100%, $E$13)</f>
        <v>10.160399999999999</v>
      </c>
      <c r="K557" s="64">
        <f>10.1605 * CHOOSE(CONTROL!$C$22, $C$13, 100%, $E$13)</f>
        <v>10.160500000000001</v>
      </c>
    </row>
    <row r="558" spans="1:11" ht="15">
      <c r="A558" s="13">
        <v>58472</v>
      </c>
      <c r="B558" s="63">
        <f>8.6637 * CHOOSE(CONTROL!$C$22, $C$13, 100%, $E$13)</f>
        <v>8.6637000000000004</v>
      </c>
      <c r="C558" s="63">
        <f>8.6637 * CHOOSE(CONTROL!$C$22, $C$13, 100%, $E$13)</f>
        <v>8.6637000000000004</v>
      </c>
      <c r="D558" s="63">
        <f>8.6637 * CHOOSE(CONTROL!$C$22, $C$13, 100%, $E$13)</f>
        <v>8.6637000000000004</v>
      </c>
      <c r="E558" s="64">
        <f>9.9871 * CHOOSE(CONTROL!$C$22, $C$13, 100%, $E$13)</f>
        <v>9.9870999999999999</v>
      </c>
      <c r="F558" s="64">
        <f>9.9871 * CHOOSE(CONTROL!$C$22, $C$13, 100%, $E$13)</f>
        <v>9.9870999999999999</v>
      </c>
      <c r="G558" s="64">
        <f>9.9872 * CHOOSE(CONTROL!$C$22, $C$13, 100%, $E$13)</f>
        <v>9.9871999999999996</v>
      </c>
      <c r="H558" s="64">
        <f>17.2331* CHOOSE(CONTROL!$C$22, $C$13, 100%, $E$13)</f>
        <v>17.2331</v>
      </c>
      <c r="I558" s="64">
        <f>17.2332 * CHOOSE(CONTROL!$C$22, $C$13, 100%, $E$13)</f>
        <v>17.2332</v>
      </c>
      <c r="J558" s="64">
        <f>9.9871 * CHOOSE(CONTROL!$C$22, $C$13, 100%, $E$13)</f>
        <v>9.9870999999999999</v>
      </c>
      <c r="K558" s="64">
        <f>9.9872 * CHOOSE(CONTROL!$C$22, $C$13, 100%, $E$13)</f>
        <v>9.9871999999999996</v>
      </c>
    </row>
    <row r="559" spans="1:11" ht="15">
      <c r="A559" s="13">
        <v>58501</v>
      </c>
      <c r="B559" s="63">
        <f>8.6607 * CHOOSE(CONTROL!$C$22, $C$13, 100%, $E$13)</f>
        <v>8.6607000000000003</v>
      </c>
      <c r="C559" s="63">
        <f>8.6607 * CHOOSE(CONTROL!$C$22, $C$13, 100%, $E$13)</f>
        <v>8.6607000000000003</v>
      </c>
      <c r="D559" s="63">
        <f>8.6607 * CHOOSE(CONTROL!$C$22, $C$13, 100%, $E$13)</f>
        <v>8.6607000000000003</v>
      </c>
      <c r="E559" s="64">
        <f>10.1199 * CHOOSE(CONTROL!$C$22, $C$13, 100%, $E$13)</f>
        <v>10.119899999999999</v>
      </c>
      <c r="F559" s="64">
        <f>10.1199 * CHOOSE(CONTROL!$C$22, $C$13, 100%, $E$13)</f>
        <v>10.119899999999999</v>
      </c>
      <c r="G559" s="64">
        <f>10.12 * CHOOSE(CONTROL!$C$22, $C$13, 100%, $E$13)</f>
        <v>10.119999999999999</v>
      </c>
      <c r="H559" s="64">
        <f>17.269* CHOOSE(CONTROL!$C$22, $C$13, 100%, $E$13)</f>
        <v>17.268999999999998</v>
      </c>
      <c r="I559" s="64">
        <f>17.2691 * CHOOSE(CONTROL!$C$22, $C$13, 100%, $E$13)</f>
        <v>17.269100000000002</v>
      </c>
      <c r="J559" s="64">
        <f>10.1199 * CHOOSE(CONTROL!$C$22, $C$13, 100%, $E$13)</f>
        <v>10.119899999999999</v>
      </c>
      <c r="K559" s="64">
        <f>10.12 * CHOOSE(CONTROL!$C$22, $C$13, 100%, $E$13)</f>
        <v>10.119999999999999</v>
      </c>
    </row>
    <row r="560" spans="1:11" ht="15">
      <c r="A560" s="13">
        <v>58532</v>
      </c>
      <c r="B560" s="63">
        <f>8.6623 * CHOOSE(CONTROL!$C$22, $C$13, 100%, $E$13)</f>
        <v>8.6623000000000001</v>
      </c>
      <c r="C560" s="63">
        <f>8.6623 * CHOOSE(CONTROL!$C$22, $C$13, 100%, $E$13)</f>
        <v>8.6623000000000001</v>
      </c>
      <c r="D560" s="63">
        <f>8.6623 * CHOOSE(CONTROL!$C$22, $C$13, 100%, $E$13)</f>
        <v>8.6623000000000001</v>
      </c>
      <c r="E560" s="64">
        <f>10.2606 * CHOOSE(CONTROL!$C$22, $C$13, 100%, $E$13)</f>
        <v>10.2606</v>
      </c>
      <c r="F560" s="64">
        <f>10.2606 * CHOOSE(CONTROL!$C$22, $C$13, 100%, $E$13)</f>
        <v>10.2606</v>
      </c>
      <c r="G560" s="64">
        <f>10.2607 * CHOOSE(CONTROL!$C$22, $C$13, 100%, $E$13)</f>
        <v>10.2607</v>
      </c>
      <c r="H560" s="64">
        <f>17.305* CHOOSE(CONTROL!$C$22, $C$13, 100%, $E$13)</f>
        <v>17.305</v>
      </c>
      <c r="I560" s="64">
        <f>17.3051 * CHOOSE(CONTROL!$C$22, $C$13, 100%, $E$13)</f>
        <v>17.305099999999999</v>
      </c>
      <c r="J560" s="64">
        <f>10.2606 * CHOOSE(CONTROL!$C$22, $C$13, 100%, $E$13)</f>
        <v>10.2606</v>
      </c>
      <c r="K560" s="64">
        <f>10.2607 * CHOOSE(CONTROL!$C$22, $C$13, 100%, $E$13)</f>
        <v>10.2607</v>
      </c>
    </row>
    <row r="561" spans="1:11" ht="15">
      <c r="A561" s="13">
        <v>58562</v>
      </c>
      <c r="B561" s="63">
        <f>8.6623 * CHOOSE(CONTROL!$C$22, $C$13, 100%, $E$13)</f>
        <v>8.6623000000000001</v>
      </c>
      <c r="C561" s="63">
        <f>8.6623 * CHOOSE(CONTROL!$C$22, $C$13, 100%, $E$13)</f>
        <v>8.6623000000000001</v>
      </c>
      <c r="D561" s="63">
        <f>8.6752 * CHOOSE(CONTROL!$C$22, $C$13, 100%, $E$13)</f>
        <v>8.6752000000000002</v>
      </c>
      <c r="E561" s="64">
        <f>10.315 * CHOOSE(CONTROL!$C$22, $C$13, 100%, $E$13)</f>
        <v>10.315</v>
      </c>
      <c r="F561" s="64">
        <f>10.315 * CHOOSE(CONTROL!$C$22, $C$13, 100%, $E$13)</f>
        <v>10.315</v>
      </c>
      <c r="G561" s="64">
        <f>10.3306 * CHOOSE(CONTROL!$C$22, $C$13, 100%, $E$13)</f>
        <v>10.3306</v>
      </c>
      <c r="H561" s="64">
        <f>17.3411* CHOOSE(CONTROL!$C$22, $C$13, 100%, $E$13)</f>
        <v>17.341100000000001</v>
      </c>
      <c r="I561" s="64">
        <f>17.3567 * CHOOSE(CONTROL!$C$22, $C$13, 100%, $E$13)</f>
        <v>17.3567</v>
      </c>
      <c r="J561" s="64">
        <f>10.315 * CHOOSE(CONTROL!$C$22, $C$13, 100%, $E$13)</f>
        <v>10.315</v>
      </c>
      <c r="K561" s="64">
        <f>10.3306 * CHOOSE(CONTROL!$C$22, $C$13, 100%, $E$13)</f>
        <v>10.3306</v>
      </c>
    </row>
    <row r="562" spans="1:11" ht="15">
      <c r="A562" s="13">
        <v>58593</v>
      </c>
      <c r="B562" s="63">
        <f>8.6684 * CHOOSE(CONTROL!$C$22, $C$13, 100%, $E$13)</f>
        <v>8.6684000000000001</v>
      </c>
      <c r="C562" s="63">
        <f>8.6684 * CHOOSE(CONTROL!$C$22, $C$13, 100%, $E$13)</f>
        <v>8.6684000000000001</v>
      </c>
      <c r="D562" s="63">
        <f>8.6813 * CHOOSE(CONTROL!$C$22, $C$13, 100%, $E$13)</f>
        <v>8.6813000000000002</v>
      </c>
      <c r="E562" s="64">
        <f>10.2649 * CHOOSE(CONTROL!$C$22, $C$13, 100%, $E$13)</f>
        <v>10.264900000000001</v>
      </c>
      <c r="F562" s="64">
        <f>10.2649 * CHOOSE(CONTROL!$C$22, $C$13, 100%, $E$13)</f>
        <v>10.264900000000001</v>
      </c>
      <c r="G562" s="64">
        <f>10.2805 * CHOOSE(CONTROL!$C$22, $C$13, 100%, $E$13)</f>
        <v>10.2805</v>
      </c>
      <c r="H562" s="64">
        <f>17.3772* CHOOSE(CONTROL!$C$22, $C$13, 100%, $E$13)</f>
        <v>17.377199999999998</v>
      </c>
      <c r="I562" s="64">
        <f>17.3929 * CHOOSE(CONTROL!$C$22, $C$13, 100%, $E$13)</f>
        <v>17.392900000000001</v>
      </c>
      <c r="J562" s="64">
        <f>10.2649 * CHOOSE(CONTROL!$C$22, $C$13, 100%, $E$13)</f>
        <v>10.264900000000001</v>
      </c>
      <c r="K562" s="64">
        <f>10.2805 * CHOOSE(CONTROL!$C$22, $C$13, 100%, $E$13)</f>
        <v>10.2805</v>
      </c>
    </row>
    <row r="563" spans="1:11" ht="15">
      <c r="A563" s="13">
        <v>58623</v>
      </c>
      <c r="B563" s="63">
        <f>8.8035 * CHOOSE(CONTROL!$C$22, $C$13, 100%, $E$13)</f>
        <v>8.8034999999999997</v>
      </c>
      <c r="C563" s="63">
        <f>8.8035 * CHOOSE(CONTROL!$C$22, $C$13, 100%, $E$13)</f>
        <v>8.8034999999999997</v>
      </c>
      <c r="D563" s="63">
        <f>8.8165 * CHOOSE(CONTROL!$C$22, $C$13, 100%, $E$13)</f>
        <v>8.8164999999999996</v>
      </c>
      <c r="E563" s="64">
        <f>10.4324 * CHOOSE(CONTROL!$C$22, $C$13, 100%, $E$13)</f>
        <v>10.432399999999999</v>
      </c>
      <c r="F563" s="64">
        <f>10.4324 * CHOOSE(CONTROL!$C$22, $C$13, 100%, $E$13)</f>
        <v>10.432399999999999</v>
      </c>
      <c r="G563" s="64">
        <f>10.4481 * CHOOSE(CONTROL!$C$22, $C$13, 100%, $E$13)</f>
        <v>10.4481</v>
      </c>
      <c r="H563" s="64">
        <f>17.4134* CHOOSE(CONTROL!$C$22, $C$13, 100%, $E$13)</f>
        <v>17.413399999999999</v>
      </c>
      <c r="I563" s="64">
        <f>17.4291 * CHOOSE(CONTROL!$C$22, $C$13, 100%, $E$13)</f>
        <v>17.429099999999998</v>
      </c>
      <c r="J563" s="64">
        <f>10.4324 * CHOOSE(CONTROL!$C$22, $C$13, 100%, $E$13)</f>
        <v>10.432399999999999</v>
      </c>
      <c r="K563" s="64">
        <f>10.4481 * CHOOSE(CONTROL!$C$22, $C$13, 100%, $E$13)</f>
        <v>10.4481</v>
      </c>
    </row>
    <row r="564" spans="1:11" ht="15">
      <c r="A564" s="13">
        <v>58654</v>
      </c>
      <c r="B564" s="63">
        <f>8.8102 * CHOOSE(CONTROL!$C$22, $C$13, 100%, $E$13)</f>
        <v>8.8102</v>
      </c>
      <c r="C564" s="63">
        <f>8.8102 * CHOOSE(CONTROL!$C$22, $C$13, 100%, $E$13)</f>
        <v>8.8102</v>
      </c>
      <c r="D564" s="63">
        <f>8.8232 * CHOOSE(CONTROL!$C$22, $C$13, 100%, $E$13)</f>
        <v>8.8231999999999999</v>
      </c>
      <c r="E564" s="64">
        <f>10.274 * CHOOSE(CONTROL!$C$22, $C$13, 100%, $E$13)</f>
        <v>10.273999999999999</v>
      </c>
      <c r="F564" s="64">
        <f>10.274 * CHOOSE(CONTROL!$C$22, $C$13, 100%, $E$13)</f>
        <v>10.273999999999999</v>
      </c>
      <c r="G564" s="64">
        <f>10.2897 * CHOOSE(CONTROL!$C$22, $C$13, 100%, $E$13)</f>
        <v>10.2897</v>
      </c>
      <c r="H564" s="64">
        <f>17.4497* CHOOSE(CONTROL!$C$22, $C$13, 100%, $E$13)</f>
        <v>17.4497</v>
      </c>
      <c r="I564" s="64">
        <f>17.4654 * CHOOSE(CONTROL!$C$22, $C$13, 100%, $E$13)</f>
        <v>17.465399999999999</v>
      </c>
      <c r="J564" s="64">
        <f>10.274 * CHOOSE(CONTROL!$C$22, $C$13, 100%, $E$13)</f>
        <v>10.273999999999999</v>
      </c>
      <c r="K564" s="64">
        <f>10.2897 * CHOOSE(CONTROL!$C$22, $C$13, 100%, $E$13)</f>
        <v>10.2897</v>
      </c>
    </row>
    <row r="565" spans="1:11" ht="15">
      <c r="A565" s="13">
        <v>58685</v>
      </c>
      <c r="B565" s="63">
        <f>8.8072 * CHOOSE(CONTROL!$C$22, $C$13, 100%, $E$13)</f>
        <v>8.8071999999999999</v>
      </c>
      <c r="C565" s="63">
        <f>8.8072 * CHOOSE(CONTROL!$C$22, $C$13, 100%, $E$13)</f>
        <v>8.8071999999999999</v>
      </c>
      <c r="D565" s="63">
        <f>8.8201 * CHOOSE(CONTROL!$C$22, $C$13, 100%, $E$13)</f>
        <v>8.8201000000000001</v>
      </c>
      <c r="E565" s="64">
        <f>10.2538 * CHOOSE(CONTROL!$C$22, $C$13, 100%, $E$13)</f>
        <v>10.2538</v>
      </c>
      <c r="F565" s="64">
        <f>10.2538 * CHOOSE(CONTROL!$C$22, $C$13, 100%, $E$13)</f>
        <v>10.2538</v>
      </c>
      <c r="G565" s="64">
        <f>10.2695 * CHOOSE(CONTROL!$C$22, $C$13, 100%, $E$13)</f>
        <v>10.269500000000001</v>
      </c>
      <c r="H565" s="64">
        <f>17.486* CHOOSE(CONTROL!$C$22, $C$13, 100%, $E$13)</f>
        <v>17.486000000000001</v>
      </c>
      <c r="I565" s="64">
        <f>17.5017 * CHOOSE(CONTROL!$C$22, $C$13, 100%, $E$13)</f>
        <v>17.5017</v>
      </c>
      <c r="J565" s="64">
        <f>10.2538 * CHOOSE(CONTROL!$C$22, $C$13, 100%, $E$13)</f>
        <v>10.2538</v>
      </c>
      <c r="K565" s="64">
        <f>10.2695 * CHOOSE(CONTROL!$C$22, $C$13, 100%, $E$13)</f>
        <v>10.269500000000001</v>
      </c>
    </row>
    <row r="566" spans="1:11" ht="15">
      <c r="A566" s="13">
        <v>58715</v>
      </c>
      <c r="B566" s="63">
        <f>8.8179 * CHOOSE(CONTROL!$C$22, $C$13, 100%, $E$13)</f>
        <v>8.8178999999999998</v>
      </c>
      <c r="C566" s="63">
        <f>8.8179 * CHOOSE(CONTROL!$C$22, $C$13, 100%, $E$13)</f>
        <v>8.8178999999999998</v>
      </c>
      <c r="D566" s="63">
        <f>8.8179 * CHOOSE(CONTROL!$C$22, $C$13, 100%, $E$13)</f>
        <v>8.8178999999999998</v>
      </c>
      <c r="E566" s="64">
        <f>10.3128 * CHOOSE(CONTROL!$C$22, $C$13, 100%, $E$13)</f>
        <v>10.312799999999999</v>
      </c>
      <c r="F566" s="64">
        <f>10.3128 * CHOOSE(CONTROL!$C$22, $C$13, 100%, $E$13)</f>
        <v>10.312799999999999</v>
      </c>
      <c r="G566" s="64">
        <f>10.3129 * CHOOSE(CONTROL!$C$22, $C$13, 100%, $E$13)</f>
        <v>10.312900000000001</v>
      </c>
      <c r="H566" s="64">
        <f>17.5225* CHOOSE(CONTROL!$C$22, $C$13, 100%, $E$13)</f>
        <v>17.522500000000001</v>
      </c>
      <c r="I566" s="64">
        <f>17.5225 * CHOOSE(CONTROL!$C$22, $C$13, 100%, $E$13)</f>
        <v>17.522500000000001</v>
      </c>
      <c r="J566" s="64">
        <f>10.3128 * CHOOSE(CONTROL!$C$22, $C$13, 100%, $E$13)</f>
        <v>10.312799999999999</v>
      </c>
      <c r="K566" s="64">
        <f>10.3129 * CHOOSE(CONTROL!$C$22, $C$13, 100%, $E$13)</f>
        <v>10.312900000000001</v>
      </c>
    </row>
    <row r="567" spans="1:11" ht="15">
      <c r="A567" s="13">
        <v>58746</v>
      </c>
      <c r="B567" s="63">
        <f>8.821 * CHOOSE(CONTROL!$C$22, $C$13, 100%, $E$13)</f>
        <v>8.8209999999999997</v>
      </c>
      <c r="C567" s="63">
        <f>8.821 * CHOOSE(CONTROL!$C$22, $C$13, 100%, $E$13)</f>
        <v>8.8209999999999997</v>
      </c>
      <c r="D567" s="63">
        <f>8.821 * CHOOSE(CONTROL!$C$22, $C$13, 100%, $E$13)</f>
        <v>8.8209999999999997</v>
      </c>
      <c r="E567" s="64">
        <f>10.3512 * CHOOSE(CONTROL!$C$22, $C$13, 100%, $E$13)</f>
        <v>10.3512</v>
      </c>
      <c r="F567" s="64">
        <f>10.3512 * CHOOSE(CONTROL!$C$22, $C$13, 100%, $E$13)</f>
        <v>10.3512</v>
      </c>
      <c r="G567" s="64">
        <f>10.3513 * CHOOSE(CONTROL!$C$22, $C$13, 100%, $E$13)</f>
        <v>10.3513</v>
      </c>
      <c r="H567" s="64">
        <f>17.559* CHOOSE(CONTROL!$C$22, $C$13, 100%, $E$13)</f>
        <v>17.559000000000001</v>
      </c>
      <c r="I567" s="64">
        <f>17.559 * CHOOSE(CONTROL!$C$22, $C$13, 100%, $E$13)</f>
        <v>17.559000000000001</v>
      </c>
      <c r="J567" s="64">
        <f>10.3512 * CHOOSE(CONTROL!$C$22, $C$13, 100%, $E$13)</f>
        <v>10.3512</v>
      </c>
      <c r="K567" s="64">
        <f>10.3513 * CHOOSE(CONTROL!$C$22, $C$13, 100%, $E$13)</f>
        <v>10.3513</v>
      </c>
    </row>
    <row r="568" spans="1:11" ht="15">
      <c r="A568" s="13">
        <v>58776</v>
      </c>
      <c r="B568" s="63">
        <f>8.821 * CHOOSE(CONTROL!$C$22, $C$13, 100%, $E$13)</f>
        <v>8.8209999999999997</v>
      </c>
      <c r="C568" s="63">
        <f>8.821 * CHOOSE(CONTROL!$C$22, $C$13, 100%, $E$13)</f>
        <v>8.8209999999999997</v>
      </c>
      <c r="D568" s="63">
        <f>8.821 * CHOOSE(CONTROL!$C$22, $C$13, 100%, $E$13)</f>
        <v>8.8209999999999997</v>
      </c>
      <c r="E568" s="64">
        <f>10.2606 * CHOOSE(CONTROL!$C$22, $C$13, 100%, $E$13)</f>
        <v>10.2606</v>
      </c>
      <c r="F568" s="64">
        <f>10.2606 * CHOOSE(CONTROL!$C$22, $C$13, 100%, $E$13)</f>
        <v>10.2606</v>
      </c>
      <c r="G568" s="64">
        <f>10.2607 * CHOOSE(CONTROL!$C$22, $C$13, 100%, $E$13)</f>
        <v>10.2607</v>
      </c>
      <c r="H568" s="64">
        <f>17.5955* CHOOSE(CONTROL!$C$22, $C$13, 100%, $E$13)</f>
        <v>17.595500000000001</v>
      </c>
      <c r="I568" s="64">
        <f>17.5956 * CHOOSE(CONTROL!$C$22, $C$13, 100%, $E$13)</f>
        <v>17.595600000000001</v>
      </c>
      <c r="J568" s="64">
        <f>10.2606 * CHOOSE(CONTROL!$C$22, $C$13, 100%, $E$13)</f>
        <v>10.2606</v>
      </c>
      <c r="K568" s="64">
        <f>10.2607 * CHOOSE(CONTROL!$C$22, $C$13, 100%, $E$13)</f>
        <v>10.2607</v>
      </c>
    </row>
    <row r="569" spans="1:11" ht="15">
      <c r="A569" s="13">
        <v>58807</v>
      </c>
      <c r="B569" s="63">
        <f>8.8962 * CHOOSE(CONTROL!$C$22, $C$13, 100%, $E$13)</f>
        <v>8.8962000000000003</v>
      </c>
      <c r="C569" s="63">
        <f>8.8962 * CHOOSE(CONTROL!$C$22, $C$13, 100%, $E$13)</f>
        <v>8.8962000000000003</v>
      </c>
      <c r="D569" s="63">
        <f>8.8962 * CHOOSE(CONTROL!$C$22, $C$13, 100%, $E$13)</f>
        <v>8.8962000000000003</v>
      </c>
      <c r="E569" s="64">
        <f>10.409 * CHOOSE(CONTROL!$C$22, $C$13, 100%, $E$13)</f>
        <v>10.409000000000001</v>
      </c>
      <c r="F569" s="64">
        <f>10.409 * CHOOSE(CONTROL!$C$22, $C$13, 100%, $E$13)</f>
        <v>10.409000000000001</v>
      </c>
      <c r="G569" s="64">
        <f>10.4091 * CHOOSE(CONTROL!$C$22, $C$13, 100%, $E$13)</f>
        <v>10.4091</v>
      </c>
      <c r="H569" s="64">
        <f>17.6322* CHOOSE(CONTROL!$C$22, $C$13, 100%, $E$13)</f>
        <v>17.632200000000001</v>
      </c>
      <c r="I569" s="64">
        <f>17.6323 * CHOOSE(CONTROL!$C$22, $C$13, 100%, $E$13)</f>
        <v>17.632300000000001</v>
      </c>
      <c r="J569" s="64">
        <f>10.409 * CHOOSE(CONTROL!$C$22, $C$13, 100%, $E$13)</f>
        <v>10.409000000000001</v>
      </c>
      <c r="K569" s="64">
        <f>10.4091 * CHOOSE(CONTROL!$C$22, $C$13, 100%, $E$13)</f>
        <v>10.4091</v>
      </c>
    </row>
    <row r="570" spans="1:11" ht="15">
      <c r="A570" s="13">
        <v>58838</v>
      </c>
      <c r="B570" s="63">
        <f>8.8931 * CHOOSE(CONTROL!$C$22, $C$13, 100%, $E$13)</f>
        <v>8.8931000000000004</v>
      </c>
      <c r="C570" s="63">
        <f>8.8931 * CHOOSE(CONTROL!$C$22, $C$13, 100%, $E$13)</f>
        <v>8.8931000000000004</v>
      </c>
      <c r="D570" s="63">
        <f>8.8931 * CHOOSE(CONTROL!$C$22, $C$13, 100%, $E$13)</f>
        <v>8.8931000000000004</v>
      </c>
      <c r="E570" s="64">
        <f>10.2309 * CHOOSE(CONTROL!$C$22, $C$13, 100%, $E$13)</f>
        <v>10.2309</v>
      </c>
      <c r="F570" s="64">
        <f>10.2309 * CHOOSE(CONTROL!$C$22, $C$13, 100%, $E$13)</f>
        <v>10.2309</v>
      </c>
      <c r="G570" s="64">
        <f>10.231 * CHOOSE(CONTROL!$C$22, $C$13, 100%, $E$13)</f>
        <v>10.231</v>
      </c>
      <c r="H570" s="64">
        <f>17.6689* CHOOSE(CONTROL!$C$22, $C$13, 100%, $E$13)</f>
        <v>17.668900000000001</v>
      </c>
      <c r="I570" s="64">
        <f>17.669 * CHOOSE(CONTROL!$C$22, $C$13, 100%, $E$13)</f>
        <v>17.669</v>
      </c>
      <c r="J570" s="64">
        <f>10.2309 * CHOOSE(CONTROL!$C$22, $C$13, 100%, $E$13)</f>
        <v>10.2309</v>
      </c>
      <c r="K570" s="64">
        <f>10.231 * CHOOSE(CONTROL!$C$22, $C$13, 100%, $E$13)</f>
        <v>10.231</v>
      </c>
    </row>
    <row r="571" spans="1:11" ht="15">
      <c r="A571" s="13">
        <v>58866</v>
      </c>
      <c r="B571" s="63">
        <f>8.8901 * CHOOSE(CONTROL!$C$22, $C$13, 100%, $E$13)</f>
        <v>8.8901000000000003</v>
      </c>
      <c r="C571" s="63">
        <f>8.8901 * CHOOSE(CONTROL!$C$22, $C$13, 100%, $E$13)</f>
        <v>8.8901000000000003</v>
      </c>
      <c r="D571" s="63">
        <f>8.8901 * CHOOSE(CONTROL!$C$22, $C$13, 100%, $E$13)</f>
        <v>8.8901000000000003</v>
      </c>
      <c r="E571" s="64">
        <f>10.3675 * CHOOSE(CONTROL!$C$22, $C$13, 100%, $E$13)</f>
        <v>10.3675</v>
      </c>
      <c r="F571" s="64">
        <f>10.3675 * CHOOSE(CONTROL!$C$22, $C$13, 100%, $E$13)</f>
        <v>10.3675</v>
      </c>
      <c r="G571" s="64">
        <f>10.3676 * CHOOSE(CONTROL!$C$22, $C$13, 100%, $E$13)</f>
        <v>10.367599999999999</v>
      </c>
      <c r="H571" s="64">
        <f>17.7057* CHOOSE(CONTROL!$C$22, $C$13, 100%, $E$13)</f>
        <v>17.7057</v>
      </c>
      <c r="I571" s="64">
        <f>17.7058 * CHOOSE(CONTROL!$C$22, $C$13, 100%, $E$13)</f>
        <v>17.7058</v>
      </c>
      <c r="J571" s="64">
        <f>10.3675 * CHOOSE(CONTROL!$C$22, $C$13, 100%, $E$13)</f>
        <v>10.3675</v>
      </c>
      <c r="K571" s="64">
        <f>10.3676 * CHOOSE(CONTROL!$C$22, $C$13, 100%, $E$13)</f>
        <v>10.367599999999999</v>
      </c>
    </row>
    <row r="572" spans="1:11" ht="15">
      <c r="A572" s="13">
        <v>58897</v>
      </c>
      <c r="B572" s="63">
        <f>8.8919 * CHOOSE(CONTROL!$C$22, $C$13, 100%, $E$13)</f>
        <v>8.8918999999999997</v>
      </c>
      <c r="C572" s="63">
        <f>8.8919 * CHOOSE(CONTROL!$C$22, $C$13, 100%, $E$13)</f>
        <v>8.8918999999999997</v>
      </c>
      <c r="D572" s="63">
        <f>8.8919 * CHOOSE(CONTROL!$C$22, $C$13, 100%, $E$13)</f>
        <v>8.8918999999999997</v>
      </c>
      <c r="E572" s="64">
        <f>10.5123 * CHOOSE(CONTROL!$C$22, $C$13, 100%, $E$13)</f>
        <v>10.5123</v>
      </c>
      <c r="F572" s="64">
        <f>10.5123 * CHOOSE(CONTROL!$C$22, $C$13, 100%, $E$13)</f>
        <v>10.5123</v>
      </c>
      <c r="G572" s="64">
        <f>10.5124 * CHOOSE(CONTROL!$C$22, $C$13, 100%, $E$13)</f>
        <v>10.5124</v>
      </c>
      <c r="H572" s="64">
        <f>17.7426* CHOOSE(CONTROL!$C$22, $C$13, 100%, $E$13)</f>
        <v>17.742599999999999</v>
      </c>
      <c r="I572" s="64">
        <f>17.7427 * CHOOSE(CONTROL!$C$22, $C$13, 100%, $E$13)</f>
        <v>17.742699999999999</v>
      </c>
      <c r="J572" s="64">
        <f>10.5123 * CHOOSE(CONTROL!$C$22, $C$13, 100%, $E$13)</f>
        <v>10.5123</v>
      </c>
      <c r="K572" s="64">
        <f>10.5124 * CHOOSE(CONTROL!$C$22, $C$13, 100%, $E$13)</f>
        <v>10.5124</v>
      </c>
    </row>
    <row r="573" spans="1:11" ht="15">
      <c r="A573" s="13">
        <v>58927</v>
      </c>
      <c r="B573" s="63">
        <f>8.8919 * CHOOSE(CONTROL!$C$22, $C$13, 100%, $E$13)</f>
        <v>8.8918999999999997</v>
      </c>
      <c r="C573" s="63">
        <f>8.8919 * CHOOSE(CONTROL!$C$22, $C$13, 100%, $E$13)</f>
        <v>8.8918999999999997</v>
      </c>
      <c r="D573" s="63">
        <f>8.9049 * CHOOSE(CONTROL!$C$22, $C$13, 100%, $E$13)</f>
        <v>8.9048999999999996</v>
      </c>
      <c r="E573" s="64">
        <f>10.5681 * CHOOSE(CONTROL!$C$22, $C$13, 100%, $E$13)</f>
        <v>10.568099999999999</v>
      </c>
      <c r="F573" s="64">
        <f>10.5681 * CHOOSE(CONTROL!$C$22, $C$13, 100%, $E$13)</f>
        <v>10.568099999999999</v>
      </c>
      <c r="G573" s="64">
        <f>10.5838 * CHOOSE(CONTROL!$C$22, $C$13, 100%, $E$13)</f>
        <v>10.5838</v>
      </c>
      <c r="H573" s="64">
        <f>17.7796* CHOOSE(CONTROL!$C$22, $C$13, 100%, $E$13)</f>
        <v>17.779599999999999</v>
      </c>
      <c r="I573" s="64">
        <f>17.7953 * CHOOSE(CONTROL!$C$22, $C$13, 100%, $E$13)</f>
        <v>17.795300000000001</v>
      </c>
      <c r="J573" s="64">
        <f>10.5681 * CHOOSE(CONTROL!$C$22, $C$13, 100%, $E$13)</f>
        <v>10.568099999999999</v>
      </c>
      <c r="K573" s="64">
        <f>10.5838 * CHOOSE(CONTROL!$C$22, $C$13, 100%, $E$13)</f>
        <v>10.5838</v>
      </c>
    </row>
    <row r="574" spans="1:11" ht="15">
      <c r="A574" s="13">
        <v>58958</v>
      </c>
      <c r="B574" s="63">
        <f>8.898 * CHOOSE(CONTROL!$C$22, $C$13, 100%, $E$13)</f>
        <v>8.8979999999999997</v>
      </c>
      <c r="C574" s="63">
        <f>8.898 * CHOOSE(CONTROL!$C$22, $C$13, 100%, $E$13)</f>
        <v>8.8979999999999997</v>
      </c>
      <c r="D574" s="63">
        <f>8.911 * CHOOSE(CONTROL!$C$22, $C$13, 100%, $E$13)</f>
        <v>8.9109999999999996</v>
      </c>
      <c r="E574" s="64">
        <f>10.5165 * CHOOSE(CONTROL!$C$22, $C$13, 100%, $E$13)</f>
        <v>10.516500000000001</v>
      </c>
      <c r="F574" s="64">
        <f>10.5165 * CHOOSE(CONTROL!$C$22, $C$13, 100%, $E$13)</f>
        <v>10.516500000000001</v>
      </c>
      <c r="G574" s="64">
        <f>10.5322 * CHOOSE(CONTROL!$C$22, $C$13, 100%, $E$13)</f>
        <v>10.5322</v>
      </c>
      <c r="H574" s="64">
        <f>17.8166* CHOOSE(CONTROL!$C$22, $C$13, 100%, $E$13)</f>
        <v>17.816600000000001</v>
      </c>
      <c r="I574" s="64">
        <f>17.8323 * CHOOSE(CONTROL!$C$22, $C$13, 100%, $E$13)</f>
        <v>17.8323</v>
      </c>
      <c r="J574" s="64">
        <f>10.5165 * CHOOSE(CONTROL!$C$22, $C$13, 100%, $E$13)</f>
        <v>10.516500000000001</v>
      </c>
      <c r="K574" s="64">
        <f>10.5322 * CHOOSE(CONTROL!$C$22, $C$13, 100%, $E$13)</f>
        <v>10.5322</v>
      </c>
    </row>
    <row r="575" spans="1:11" ht="15">
      <c r="A575" s="13">
        <v>58988</v>
      </c>
      <c r="B575" s="63">
        <f>9.0365 * CHOOSE(CONTROL!$C$22, $C$13, 100%, $E$13)</f>
        <v>9.0365000000000002</v>
      </c>
      <c r="C575" s="63">
        <f>9.0365 * CHOOSE(CONTROL!$C$22, $C$13, 100%, $E$13)</f>
        <v>9.0365000000000002</v>
      </c>
      <c r="D575" s="63">
        <f>9.0495 * CHOOSE(CONTROL!$C$22, $C$13, 100%, $E$13)</f>
        <v>9.0495000000000001</v>
      </c>
      <c r="E575" s="64">
        <f>10.6879 * CHOOSE(CONTROL!$C$22, $C$13, 100%, $E$13)</f>
        <v>10.687900000000001</v>
      </c>
      <c r="F575" s="64">
        <f>10.6879 * CHOOSE(CONTROL!$C$22, $C$13, 100%, $E$13)</f>
        <v>10.687900000000001</v>
      </c>
      <c r="G575" s="64">
        <f>10.7036 * CHOOSE(CONTROL!$C$22, $C$13, 100%, $E$13)</f>
        <v>10.7036</v>
      </c>
      <c r="H575" s="64">
        <f>17.8538* CHOOSE(CONTROL!$C$22, $C$13, 100%, $E$13)</f>
        <v>17.8538</v>
      </c>
      <c r="I575" s="64">
        <f>17.8694 * CHOOSE(CONTROL!$C$22, $C$13, 100%, $E$13)</f>
        <v>17.869399999999999</v>
      </c>
      <c r="J575" s="64">
        <f>10.6879 * CHOOSE(CONTROL!$C$22, $C$13, 100%, $E$13)</f>
        <v>10.687900000000001</v>
      </c>
      <c r="K575" s="64">
        <f>10.7036 * CHOOSE(CONTROL!$C$22, $C$13, 100%, $E$13)</f>
        <v>10.7036</v>
      </c>
    </row>
    <row r="576" spans="1:11" ht="15">
      <c r="A576" s="13">
        <v>59019</v>
      </c>
      <c r="B576" s="63">
        <f>9.0432 * CHOOSE(CONTROL!$C$22, $C$13, 100%, $E$13)</f>
        <v>9.0432000000000006</v>
      </c>
      <c r="C576" s="63">
        <f>9.0432 * CHOOSE(CONTROL!$C$22, $C$13, 100%, $E$13)</f>
        <v>9.0432000000000006</v>
      </c>
      <c r="D576" s="63">
        <f>9.0561 * CHOOSE(CONTROL!$C$22, $C$13, 100%, $E$13)</f>
        <v>9.0561000000000007</v>
      </c>
      <c r="E576" s="64">
        <f>10.5249 * CHOOSE(CONTROL!$C$22, $C$13, 100%, $E$13)</f>
        <v>10.524900000000001</v>
      </c>
      <c r="F576" s="64">
        <f>10.5249 * CHOOSE(CONTROL!$C$22, $C$13, 100%, $E$13)</f>
        <v>10.524900000000001</v>
      </c>
      <c r="G576" s="64">
        <f>10.5406 * CHOOSE(CONTROL!$C$22, $C$13, 100%, $E$13)</f>
        <v>10.5406</v>
      </c>
      <c r="H576" s="64">
        <f>17.8909* CHOOSE(CONTROL!$C$22, $C$13, 100%, $E$13)</f>
        <v>17.890899999999998</v>
      </c>
      <c r="I576" s="64">
        <f>17.9066 * CHOOSE(CONTROL!$C$22, $C$13, 100%, $E$13)</f>
        <v>17.906600000000001</v>
      </c>
      <c r="J576" s="64">
        <f>10.5249 * CHOOSE(CONTROL!$C$22, $C$13, 100%, $E$13)</f>
        <v>10.524900000000001</v>
      </c>
      <c r="K576" s="64">
        <f>10.5406 * CHOOSE(CONTROL!$C$22, $C$13, 100%, $E$13)</f>
        <v>10.5406</v>
      </c>
    </row>
    <row r="577" spans="1:11" ht="15">
      <c r="A577" s="13">
        <v>59050</v>
      </c>
      <c r="B577" s="63">
        <f>9.0401 * CHOOSE(CONTROL!$C$22, $C$13, 100%, $E$13)</f>
        <v>9.0401000000000007</v>
      </c>
      <c r="C577" s="63">
        <f>9.0401 * CHOOSE(CONTROL!$C$22, $C$13, 100%, $E$13)</f>
        <v>9.0401000000000007</v>
      </c>
      <c r="D577" s="63">
        <f>9.0531 * CHOOSE(CONTROL!$C$22, $C$13, 100%, $E$13)</f>
        <v>9.0531000000000006</v>
      </c>
      <c r="E577" s="64">
        <f>10.5042 * CHOOSE(CONTROL!$C$22, $C$13, 100%, $E$13)</f>
        <v>10.504200000000001</v>
      </c>
      <c r="F577" s="64">
        <f>10.5042 * CHOOSE(CONTROL!$C$22, $C$13, 100%, $E$13)</f>
        <v>10.504200000000001</v>
      </c>
      <c r="G577" s="64">
        <f>10.5199 * CHOOSE(CONTROL!$C$22, $C$13, 100%, $E$13)</f>
        <v>10.5199</v>
      </c>
      <c r="H577" s="64">
        <f>17.9282* CHOOSE(CONTROL!$C$22, $C$13, 100%, $E$13)</f>
        <v>17.9282</v>
      </c>
      <c r="I577" s="64">
        <f>17.9439 * CHOOSE(CONTROL!$C$22, $C$13, 100%, $E$13)</f>
        <v>17.943899999999999</v>
      </c>
      <c r="J577" s="64">
        <f>10.5042 * CHOOSE(CONTROL!$C$22, $C$13, 100%, $E$13)</f>
        <v>10.504200000000001</v>
      </c>
      <c r="K577" s="64">
        <f>10.5199 * CHOOSE(CONTROL!$C$22, $C$13, 100%, $E$13)</f>
        <v>10.5199</v>
      </c>
    </row>
    <row r="578" spans="1:11" ht="15">
      <c r="A578" s="13">
        <v>59080</v>
      </c>
      <c r="B578" s="63">
        <f>9.0516 * CHOOSE(CONTROL!$C$22, $C$13, 100%, $E$13)</f>
        <v>9.0516000000000005</v>
      </c>
      <c r="C578" s="63">
        <f>9.0516 * CHOOSE(CONTROL!$C$22, $C$13, 100%, $E$13)</f>
        <v>9.0516000000000005</v>
      </c>
      <c r="D578" s="63">
        <f>9.0516 * CHOOSE(CONTROL!$C$22, $C$13, 100%, $E$13)</f>
        <v>9.0516000000000005</v>
      </c>
      <c r="E578" s="64">
        <f>10.5653 * CHOOSE(CONTROL!$C$22, $C$13, 100%, $E$13)</f>
        <v>10.565300000000001</v>
      </c>
      <c r="F578" s="64">
        <f>10.5653 * CHOOSE(CONTROL!$C$22, $C$13, 100%, $E$13)</f>
        <v>10.565300000000001</v>
      </c>
      <c r="G578" s="64">
        <f>10.5653 * CHOOSE(CONTROL!$C$22, $C$13, 100%, $E$13)</f>
        <v>10.565300000000001</v>
      </c>
      <c r="H578" s="64">
        <f>17.9656* CHOOSE(CONTROL!$C$22, $C$13, 100%, $E$13)</f>
        <v>17.965599999999998</v>
      </c>
      <c r="I578" s="64">
        <f>17.9657 * CHOOSE(CONTROL!$C$22, $C$13, 100%, $E$13)</f>
        <v>17.965699999999998</v>
      </c>
      <c r="J578" s="64">
        <f>10.5653 * CHOOSE(CONTROL!$C$22, $C$13, 100%, $E$13)</f>
        <v>10.565300000000001</v>
      </c>
      <c r="K578" s="64">
        <f>10.5653 * CHOOSE(CONTROL!$C$22, $C$13, 100%, $E$13)</f>
        <v>10.565300000000001</v>
      </c>
    </row>
    <row r="579" spans="1:11" ht="15">
      <c r="A579" s="13">
        <v>59111</v>
      </c>
      <c r="B579" s="63">
        <f>9.0547 * CHOOSE(CONTROL!$C$22, $C$13, 100%, $E$13)</f>
        <v>9.0547000000000004</v>
      </c>
      <c r="C579" s="63">
        <f>9.0547 * CHOOSE(CONTROL!$C$22, $C$13, 100%, $E$13)</f>
        <v>9.0547000000000004</v>
      </c>
      <c r="D579" s="63">
        <f>9.0547 * CHOOSE(CONTROL!$C$22, $C$13, 100%, $E$13)</f>
        <v>9.0547000000000004</v>
      </c>
      <c r="E579" s="64">
        <f>10.6046 * CHOOSE(CONTROL!$C$22, $C$13, 100%, $E$13)</f>
        <v>10.6046</v>
      </c>
      <c r="F579" s="64">
        <f>10.6046 * CHOOSE(CONTROL!$C$22, $C$13, 100%, $E$13)</f>
        <v>10.6046</v>
      </c>
      <c r="G579" s="64">
        <f>10.6047 * CHOOSE(CONTROL!$C$22, $C$13, 100%, $E$13)</f>
        <v>10.604699999999999</v>
      </c>
      <c r="H579" s="64">
        <f>18.003* CHOOSE(CONTROL!$C$22, $C$13, 100%, $E$13)</f>
        <v>18.003</v>
      </c>
      <c r="I579" s="64">
        <f>18.0031 * CHOOSE(CONTROL!$C$22, $C$13, 100%, $E$13)</f>
        <v>18.0031</v>
      </c>
      <c r="J579" s="64">
        <f>10.6046 * CHOOSE(CONTROL!$C$22, $C$13, 100%, $E$13)</f>
        <v>10.6046</v>
      </c>
      <c r="K579" s="64">
        <f>10.6047 * CHOOSE(CONTROL!$C$22, $C$13, 100%, $E$13)</f>
        <v>10.604699999999999</v>
      </c>
    </row>
    <row r="580" spans="1:11" ht="15">
      <c r="A580" s="13">
        <v>59141</v>
      </c>
      <c r="B580" s="63">
        <f>9.0547 * CHOOSE(CONTROL!$C$22, $C$13, 100%, $E$13)</f>
        <v>9.0547000000000004</v>
      </c>
      <c r="C580" s="63">
        <f>9.0547 * CHOOSE(CONTROL!$C$22, $C$13, 100%, $E$13)</f>
        <v>9.0547000000000004</v>
      </c>
      <c r="D580" s="63">
        <f>9.0547 * CHOOSE(CONTROL!$C$22, $C$13, 100%, $E$13)</f>
        <v>9.0547000000000004</v>
      </c>
      <c r="E580" s="64">
        <f>10.5115 * CHOOSE(CONTROL!$C$22, $C$13, 100%, $E$13)</f>
        <v>10.5115</v>
      </c>
      <c r="F580" s="64">
        <f>10.5115 * CHOOSE(CONTROL!$C$22, $C$13, 100%, $E$13)</f>
        <v>10.5115</v>
      </c>
      <c r="G580" s="64">
        <f>10.5116 * CHOOSE(CONTROL!$C$22, $C$13, 100%, $E$13)</f>
        <v>10.5116</v>
      </c>
      <c r="H580" s="64">
        <f>18.0405* CHOOSE(CONTROL!$C$22, $C$13, 100%, $E$13)</f>
        <v>18.040500000000002</v>
      </c>
      <c r="I580" s="64">
        <f>18.0406 * CHOOSE(CONTROL!$C$22, $C$13, 100%, $E$13)</f>
        <v>18.040600000000001</v>
      </c>
      <c r="J580" s="64">
        <f>10.5115 * CHOOSE(CONTROL!$C$22, $C$13, 100%, $E$13)</f>
        <v>10.5115</v>
      </c>
      <c r="K580" s="64">
        <f>10.5116 * CHOOSE(CONTROL!$C$22, $C$13, 100%, $E$13)</f>
        <v>10.5116</v>
      </c>
    </row>
    <row r="581" spans="1:11" ht="15">
      <c r="A581" s="13">
        <v>59172</v>
      </c>
      <c r="B581" s="63">
        <f>9.1318 * CHOOSE(CONTROL!$C$22, $C$13, 100%, $E$13)</f>
        <v>9.1318000000000001</v>
      </c>
      <c r="C581" s="63">
        <f>9.1318 * CHOOSE(CONTROL!$C$22, $C$13, 100%, $E$13)</f>
        <v>9.1318000000000001</v>
      </c>
      <c r="D581" s="63">
        <f>9.1318 * CHOOSE(CONTROL!$C$22, $C$13, 100%, $E$13)</f>
        <v>9.1318000000000001</v>
      </c>
      <c r="E581" s="64">
        <f>10.6637 * CHOOSE(CONTROL!$C$22, $C$13, 100%, $E$13)</f>
        <v>10.6637</v>
      </c>
      <c r="F581" s="64">
        <f>10.6637 * CHOOSE(CONTROL!$C$22, $C$13, 100%, $E$13)</f>
        <v>10.6637</v>
      </c>
      <c r="G581" s="64">
        <f>10.6638 * CHOOSE(CONTROL!$C$22, $C$13, 100%, $E$13)</f>
        <v>10.6638</v>
      </c>
      <c r="H581" s="64">
        <f>18.0781* CHOOSE(CONTROL!$C$22, $C$13, 100%, $E$13)</f>
        <v>18.078099999999999</v>
      </c>
      <c r="I581" s="64">
        <f>18.0782 * CHOOSE(CONTROL!$C$22, $C$13, 100%, $E$13)</f>
        <v>18.078199999999999</v>
      </c>
      <c r="J581" s="64">
        <f>10.6637 * CHOOSE(CONTROL!$C$22, $C$13, 100%, $E$13)</f>
        <v>10.6637</v>
      </c>
      <c r="K581" s="64">
        <f>10.6638 * CHOOSE(CONTROL!$C$22, $C$13, 100%, $E$13)</f>
        <v>10.6638</v>
      </c>
    </row>
    <row r="582" spans="1:11" ht="15">
      <c r="A582" s="13">
        <v>59203</v>
      </c>
      <c r="B582" s="63">
        <f>9.1287 * CHOOSE(CONTROL!$C$22, $C$13, 100%, $E$13)</f>
        <v>9.1287000000000003</v>
      </c>
      <c r="C582" s="63">
        <f>9.1287 * CHOOSE(CONTROL!$C$22, $C$13, 100%, $E$13)</f>
        <v>9.1287000000000003</v>
      </c>
      <c r="D582" s="63">
        <f>9.1287 * CHOOSE(CONTROL!$C$22, $C$13, 100%, $E$13)</f>
        <v>9.1287000000000003</v>
      </c>
      <c r="E582" s="64">
        <f>10.4807 * CHOOSE(CONTROL!$C$22, $C$13, 100%, $E$13)</f>
        <v>10.480700000000001</v>
      </c>
      <c r="F582" s="64">
        <f>10.4807 * CHOOSE(CONTROL!$C$22, $C$13, 100%, $E$13)</f>
        <v>10.480700000000001</v>
      </c>
      <c r="G582" s="64">
        <f>10.4808 * CHOOSE(CONTROL!$C$22, $C$13, 100%, $E$13)</f>
        <v>10.4808</v>
      </c>
      <c r="H582" s="64">
        <f>18.1158* CHOOSE(CONTROL!$C$22, $C$13, 100%, $E$13)</f>
        <v>18.1158</v>
      </c>
      <c r="I582" s="64">
        <f>18.1158 * CHOOSE(CONTROL!$C$22, $C$13, 100%, $E$13)</f>
        <v>18.1158</v>
      </c>
      <c r="J582" s="64">
        <f>10.4807 * CHOOSE(CONTROL!$C$22, $C$13, 100%, $E$13)</f>
        <v>10.480700000000001</v>
      </c>
      <c r="K582" s="64">
        <f>10.4808 * CHOOSE(CONTROL!$C$22, $C$13, 100%, $E$13)</f>
        <v>10.4808</v>
      </c>
    </row>
    <row r="583" spans="1:11" ht="15">
      <c r="A583" s="13">
        <v>59231</v>
      </c>
      <c r="B583" s="63">
        <f>9.1257 * CHOOSE(CONTROL!$C$22, $C$13, 100%, $E$13)</f>
        <v>9.1257000000000001</v>
      </c>
      <c r="C583" s="63">
        <f>9.1257 * CHOOSE(CONTROL!$C$22, $C$13, 100%, $E$13)</f>
        <v>9.1257000000000001</v>
      </c>
      <c r="D583" s="63">
        <f>9.1257 * CHOOSE(CONTROL!$C$22, $C$13, 100%, $E$13)</f>
        <v>9.1257000000000001</v>
      </c>
      <c r="E583" s="64">
        <f>10.6212 * CHOOSE(CONTROL!$C$22, $C$13, 100%, $E$13)</f>
        <v>10.6212</v>
      </c>
      <c r="F583" s="64">
        <f>10.6212 * CHOOSE(CONTROL!$C$22, $C$13, 100%, $E$13)</f>
        <v>10.6212</v>
      </c>
      <c r="G583" s="64">
        <f>10.6213 * CHOOSE(CONTROL!$C$22, $C$13, 100%, $E$13)</f>
        <v>10.6213</v>
      </c>
      <c r="H583" s="64">
        <f>18.1535* CHOOSE(CONTROL!$C$22, $C$13, 100%, $E$13)</f>
        <v>18.153500000000001</v>
      </c>
      <c r="I583" s="64">
        <f>18.1536 * CHOOSE(CONTROL!$C$22, $C$13, 100%, $E$13)</f>
        <v>18.153600000000001</v>
      </c>
      <c r="J583" s="64">
        <f>10.6212 * CHOOSE(CONTROL!$C$22, $C$13, 100%, $E$13)</f>
        <v>10.6212</v>
      </c>
      <c r="K583" s="64">
        <f>10.6213 * CHOOSE(CONTROL!$C$22, $C$13, 100%, $E$13)</f>
        <v>10.6213</v>
      </c>
    </row>
    <row r="584" spans="1:11" ht="15">
      <c r="A584" s="13">
        <v>59262</v>
      </c>
      <c r="B584" s="63">
        <f>9.1277 * CHOOSE(CONTROL!$C$22, $C$13, 100%, $E$13)</f>
        <v>9.1277000000000008</v>
      </c>
      <c r="C584" s="63">
        <f>9.1277 * CHOOSE(CONTROL!$C$22, $C$13, 100%, $E$13)</f>
        <v>9.1277000000000008</v>
      </c>
      <c r="D584" s="63">
        <f>9.1277 * CHOOSE(CONTROL!$C$22, $C$13, 100%, $E$13)</f>
        <v>9.1277000000000008</v>
      </c>
      <c r="E584" s="64">
        <f>10.7701 * CHOOSE(CONTROL!$C$22, $C$13, 100%, $E$13)</f>
        <v>10.770099999999999</v>
      </c>
      <c r="F584" s="64">
        <f>10.7701 * CHOOSE(CONTROL!$C$22, $C$13, 100%, $E$13)</f>
        <v>10.770099999999999</v>
      </c>
      <c r="G584" s="64">
        <f>10.7702 * CHOOSE(CONTROL!$C$22, $C$13, 100%, $E$13)</f>
        <v>10.770200000000001</v>
      </c>
      <c r="H584" s="64">
        <f>18.1913* CHOOSE(CONTROL!$C$22, $C$13, 100%, $E$13)</f>
        <v>18.191299999999998</v>
      </c>
      <c r="I584" s="64">
        <f>18.1914 * CHOOSE(CONTROL!$C$22, $C$13, 100%, $E$13)</f>
        <v>18.191400000000002</v>
      </c>
      <c r="J584" s="64">
        <f>10.7701 * CHOOSE(CONTROL!$C$22, $C$13, 100%, $E$13)</f>
        <v>10.770099999999999</v>
      </c>
      <c r="K584" s="64">
        <f>10.7702 * CHOOSE(CONTROL!$C$22, $C$13, 100%, $E$13)</f>
        <v>10.770200000000001</v>
      </c>
    </row>
    <row r="585" spans="1:11" ht="15">
      <c r="A585" s="13">
        <v>59292</v>
      </c>
      <c r="B585" s="63">
        <f>9.1277 * CHOOSE(CONTROL!$C$22, $C$13, 100%, $E$13)</f>
        <v>9.1277000000000008</v>
      </c>
      <c r="C585" s="63">
        <f>9.1277 * CHOOSE(CONTROL!$C$22, $C$13, 100%, $E$13)</f>
        <v>9.1277000000000008</v>
      </c>
      <c r="D585" s="63">
        <f>9.1406 * CHOOSE(CONTROL!$C$22, $C$13, 100%, $E$13)</f>
        <v>9.1405999999999992</v>
      </c>
      <c r="E585" s="64">
        <f>10.8276 * CHOOSE(CONTROL!$C$22, $C$13, 100%, $E$13)</f>
        <v>10.8276</v>
      </c>
      <c r="F585" s="64">
        <f>10.8276 * CHOOSE(CONTROL!$C$22, $C$13, 100%, $E$13)</f>
        <v>10.8276</v>
      </c>
      <c r="G585" s="64">
        <f>10.8433 * CHOOSE(CONTROL!$C$22, $C$13, 100%, $E$13)</f>
        <v>10.843299999999999</v>
      </c>
      <c r="H585" s="64">
        <f>18.2292* CHOOSE(CONTROL!$C$22, $C$13, 100%, $E$13)</f>
        <v>18.229199999999999</v>
      </c>
      <c r="I585" s="64">
        <f>18.2449 * CHOOSE(CONTROL!$C$22, $C$13, 100%, $E$13)</f>
        <v>18.244900000000001</v>
      </c>
      <c r="J585" s="64">
        <f>10.8276 * CHOOSE(CONTROL!$C$22, $C$13, 100%, $E$13)</f>
        <v>10.8276</v>
      </c>
      <c r="K585" s="64">
        <f>10.8433 * CHOOSE(CONTROL!$C$22, $C$13, 100%, $E$13)</f>
        <v>10.843299999999999</v>
      </c>
    </row>
    <row r="586" spans="1:11" ht="15">
      <c r="A586" s="13">
        <v>59323</v>
      </c>
      <c r="B586" s="63">
        <f>9.1337 * CHOOSE(CONTROL!$C$22, $C$13, 100%, $E$13)</f>
        <v>9.1336999999999993</v>
      </c>
      <c r="C586" s="63">
        <f>9.1337 * CHOOSE(CONTROL!$C$22, $C$13, 100%, $E$13)</f>
        <v>9.1336999999999993</v>
      </c>
      <c r="D586" s="63">
        <f>9.1467 * CHOOSE(CONTROL!$C$22, $C$13, 100%, $E$13)</f>
        <v>9.1466999999999992</v>
      </c>
      <c r="E586" s="64">
        <f>10.7744 * CHOOSE(CONTROL!$C$22, $C$13, 100%, $E$13)</f>
        <v>10.7744</v>
      </c>
      <c r="F586" s="64">
        <f>10.7744 * CHOOSE(CONTROL!$C$22, $C$13, 100%, $E$13)</f>
        <v>10.7744</v>
      </c>
      <c r="G586" s="64">
        <f>10.7901 * CHOOSE(CONTROL!$C$22, $C$13, 100%, $E$13)</f>
        <v>10.790100000000001</v>
      </c>
      <c r="H586" s="64">
        <f>18.2672* CHOOSE(CONTROL!$C$22, $C$13, 100%, $E$13)</f>
        <v>18.267199999999999</v>
      </c>
      <c r="I586" s="64">
        <f>18.2829 * CHOOSE(CONTROL!$C$22, $C$13, 100%, $E$13)</f>
        <v>18.282900000000001</v>
      </c>
      <c r="J586" s="64">
        <f>10.7744 * CHOOSE(CONTROL!$C$22, $C$13, 100%, $E$13)</f>
        <v>10.7744</v>
      </c>
      <c r="K586" s="64">
        <f>10.7901 * CHOOSE(CONTROL!$C$22, $C$13, 100%, $E$13)</f>
        <v>10.790100000000001</v>
      </c>
    </row>
    <row r="587" spans="1:11" ht="15">
      <c r="A587" s="13">
        <v>59353</v>
      </c>
      <c r="B587" s="63">
        <f>9.2757 * CHOOSE(CONTROL!$C$22, $C$13, 100%, $E$13)</f>
        <v>9.2757000000000005</v>
      </c>
      <c r="C587" s="63">
        <f>9.2757 * CHOOSE(CONTROL!$C$22, $C$13, 100%, $E$13)</f>
        <v>9.2757000000000005</v>
      </c>
      <c r="D587" s="63">
        <f>9.2886 * CHOOSE(CONTROL!$C$22, $C$13, 100%, $E$13)</f>
        <v>9.2886000000000006</v>
      </c>
      <c r="E587" s="64">
        <f>10.9496 * CHOOSE(CONTROL!$C$22, $C$13, 100%, $E$13)</f>
        <v>10.9496</v>
      </c>
      <c r="F587" s="64">
        <f>10.9496 * CHOOSE(CONTROL!$C$22, $C$13, 100%, $E$13)</f>
        <v>10.9496</v>
      </c>
      <c r="G587" s="64">
        <f>10.9653 * CHOOSE(CONTROL!$C$22, $C$13, 100%, $E$13)</f>
        <v>10.965299999999999</v>
      </c>
      <c r="H587" s="64">
        <f>18.3052* CHOOSE(CONTROL!$C$22, $C$13, 100%, $E$13)</f>
        <v>18.305199999999999</v>
      </c>
      <c r="I587" s="64">
        <f>18.3209 * CHOOSE(CONTROL!$C$22, $C$13, 100%, $E$13)</f>
        <v>18.320900000000002</v>
      </c>
      <c r="J587" s="64">
        <f>10.9496 * CHOOSE(CONTROL!$C$22, $C$13, 100%, $E$13)</f>
        <v>10.9496</v>
      </c>
      <c r="K587" s="64">
        <f>10.9653 * CHOOSE(CONTROL!$C$22, $C$13, 100%, $E$13)</f>
        <v>10.965299999999999</v>
      </c>
    </row>
    <row r="588" spans="1:11" ht="15">
      <c r="A588" s="13">
        <v>59384</v>
      </c>
      <c r="B588" s="63">
        <f>9.2823 * CHOOSE(CONTROL!$C$22, $C$13, 100%, $E$13)</f>
        <v>9.2822999999999993</v>
      </c>
      <c r="C588" s="63">
        <f>9.2823 * CHOOSE(CONTROL!$C$22, $C$13, 100%, $E$13)</f>
        <v>9.2822999999999993</v>
      </c>
      <c r="D588" s="63">
        <f>9.2953 * CHOOSE(CONTROL!$C$22, $C$13, 100%, $E$13)</f>
        <v>9.2952999999999992</v>
      </c>
      <c r="E588" s="64">
        <f>10.782 * CHOOSE(CONTROL!$C$22, $C$13, 100%, $E$13)</f>
        <v>10.782</v>
      </c>
      <c r="F588" s="64">
        <f>10.782 * CHOOSE(CONTROL!$C$22, $C$13, 100%, $E$13)</f>
        <v>10.782</v>
      </c>
      <c r="G588" s="64">
        <f>10.7977 * CHOOSE(CONTROL!$C$22, $C$13, 100%, $E$13)</f>
        <v>10.797700000000001</v>
      </c>
      <c r="H588" s="64">
        <f>18.3434* CHOOSE(CONTROL!$C$22, $C$13, 100%, $E$13)</f>
        <v>18.343399999999999</v>
      </c>
      <c r="I588" s="64">
        <f>18.3591 * CHOOSE(CONTROL!$C$22, $C$13, 100%, $E$13)</f>
        <v>18.359100000000002</v>
      </c>
      <c r="J588" s="64">
        <f>10.782 * CHOOSE(CONTROL!$C$22, $C$13, 100%, $E$13)</f>
        <v>10.782</v>
      </c>
      <c r="K588" s="64">
        <f>10.7977 * CHOOSE(CONTROL!$C$22, $C$13, 100%, $E$13)</f>
        <v>10.797700000000001</v>
      </c>
    </row>
    <row r="589" spans="1:11" ht="15">
      <c r="A589" s="13">
        <v>59415</v>
      </c>
      <c r="B589" s="63">
        <f>9.2793 * CHOOSE(CONTROL!$C$22, $C$13, 100%, $E$13)</f>
        <v>9.2792999999999992</v>
      </c>
      <c r="C589" s="63">
        <f>9.2793 * CHOOSE(CONTROL!$C$22, $C$13, 100%, $E$13)</f>
        <v>9.2792999999999992</v>
      </c>
      <c r="D589" s="63">
        <f>9.2923 * CHOOSE(CONTROL!$C$22, $C$13, 100%, $E$13)</f>
        <v>9.2922999999999991</v>
      </c>
      <c r="E589" s="64">
        <f>10.7607 * CHOOSE(CONTROL!$C$22, $C$13, 100%, $E$13)</f>
        <v>10.7607</v>
      </c>
      <c r="F589" s="64">
        <f>10.7607 * CHOOSE(CONTROL!$C$22, $C$13, 100%, $E$13)</f>
        <v>10.7607</v>
      </c>
      <c r="G589" s="64">
        <f>10.7764 * CHOOSE(CONTROL!$C$22, $C$13, 100%, $E$13)</f>
        <v>10.776400000000001</v>
      </c>
      <c r="H589" s="64">
        <f>18.3816* CHOOSE(CONTROL!$C$22, $C$13, 100%, $E$13)</f>
        <v>18.381599999999999</v>
      </c>
      <c r="I589" s="64">
        <f>18.3973 * CHOOSE(CONTROL!$C$22, $C$13, 100%, $E$13)</f>
        <v>18.397300000000001</v>
      </c>
      <c r="J589" s="64">
        <f>10.7607 * CHOOSE(CONTROL!$C$22, $C$13, 100%, $E$13)</f>
        <v>10.7607</v>
      </c>
      <c r="K589" s="64">
        <f>10.7764 * CHOOSE(CONTROL!$C$22, $C$13, 100%, $E$13)</f>
        <v>10.776400000000001</v>
      </c>
    </row>
    <row r="590" spans="1:11" ht="15">
      <c r="A590" s="13">
        <v>59445</v>
      </c>
      <c r="B590" s="63">
        <f>9.2916 * CHOOSE(CONTROL!$C$22, $C$13, 100%, $E$13)</f>
        <v>9.2916000000000007</v>
      </c>
      <c r="C590" s="63">
        <f>9.2916 * CHOOSE(CONTROL!$C$22, $C$13, 100%, $E$13)</f>
        <v>9.2916000000000007</v>
      </c>
      <c r="D590" s="63">
        <f>9.2916 * CHOOSE(CONTROL!$C$22, $C$13, 100%, $E$13)</f>
        <v>9.2916000000000007</v>
      </c>
      <c r="E590" s="64">
        <f>10.8239 * CHOOSE(CONTROL!$C$22, $C$13, 100%, $E$13)</f>
        <v>10.8239</v>
      </c>
      <c r="F590" s="64">
        <f>10.8239 * CHOOSE(CONTROL!$C$22, $C$13, 100%, $E$13)</f>
        <v>10.8239</v>
      </c>
      <c r="G590" s="64">
        <f>10.824 * CHOOSE(CONTROL!$C$22, $C$13, 100%, $E$13)</f>
        <v>10.824</v>
      </c>
      <c r="H590" s="64">
        <f>18.4199* CHOOSE(CONTROL!$C$22, $C$13, 100%, $E$13)</f>
        <v>18.419899999999998</v>
      </c>
      <c r="I590" s="64">
        <f>18.42 * CHOOSE(CONTROL!$C$22, $C$13, 100%, $E$13)</f>
        <v>18.420000000000002</v>
      </c>
      <c r="J590" s="64">
        <f>10.8239 * CHOOSE(CONTROL!$C$22, $C$13, 100%, $E$13)</f>
        <v>10.8239</v>
      </c>
      <c r="K590" s="64">
        <f>10.824 * CHOOSE(CONTROL!$C$22, $C$13, 100%, $E$13)</f>
        <v>10.824</v>
      </c>
    </row>
    <row r="591" spans="1:11" ht="15">
      <c r="A591" s="13">
        <v>59476</v>
      </c>
      <c r="B591" s="63">
        <f>9.2946 * CHOOSE(CONTROL!$C$22, $C$13, 100%, $E$13)</f>
        <v>9.2946000000000009</v>
      </c>
      <c r="C591" s="63">
        <f>9.2946 * CHOOSE(CONTROL!$C$22, $C$13, 100%, $E$13)</f>
        <v>9.2946000000000009</v>
      </c>
      <c r="D591" s="63">
        <f>9.2946 * CHOOSE(CONTROL!$C$22, $C$13, 100%, $E$13)</f>
        <v>9.2946000000000009</v>
      </c>
      <c r="E591" s="64">
        <f>10.8643 * CHOOSE(CONTROL!$C$22, $C$13, 100%, $E$13)</f>
        <v>10.8643</v>
      </c>
      <c r="F591" s="64">
        <f>10.8643 * CHOOSE(CONTROL!$C$22, $C$13, 100%, $E$13)</f>
        <v>10.8643</v>
      </c>
      <c r="G591" s="64">
        <f>10.8644 * CHOOSE(CONTROL!$C$22, $C$13, 100%, $E$13)</f>
        <v>10.8644</v>
      </c>
      <c r="H591" s="64">
        <f>18.4583* CHOOSE(CONTROL!$C$22, $C$13, 100%, $E$13)</f>
        <v>18.458300000000001</v>
      </c>
      <c r="I591" s="64">
        <f>18.4583 * CHOOSE(CONTROL!$C$22, $C$13, 100%, $E$13)</f>
        <v>18.458300000000001</v>
      </c>
      <c r="J591" s="64">
        <f>10.8643 * CHOOSE(CONTROL!$C$22, $C$13, 100%, $E$13)</f>
        <v>10.8643</v>
      </c>
      <c r="K591" s="64">
        <f>10.8644 * CHOOSE(CONTROL!$C$22, $C$13, 100%, $E$13)</f>
        <v>10.8644</v>
      </c>
    </row>
    <row r="592" spans="1:11" ht="15">
      <c r="A592" s="13">
        <v>59506</v>
      </c>
      <c r="B592" s="63">
        <f>9.2946 * CHOOSE(CONTROL!$C$22, $C$13, 100%, $E$13)</f>
        <v>9.2946000000000009</v>
      </c>
      <c r="C592" s="63">
        <f>9.2946 * CHOOSE(CONTROL!$C$22, $C$13, 100%, $E$13)</f>
        <v>9.2946000000000009</v>
      </c>
      <c r="D592" s="63">
        <f>9.2946 * CHOOSE(CONTROL!$C$22, $C$13, 100%, $E$13)</f>
        <v>9.2946000000000009</v>
      </c>
      <c r="E592" s="64">
        <f>10.7686 * CHOOSE(CONTROL!$C$22, $C$13, 100%, $E$13)</f>
        <v>10.768599999999999</v>
      </c>
      <c r="F592" s="64">
        <f>10.7686 * CHOOSE(CONTROL!$C$22, $C$13, 100%, $E$13)</f>
        <v>10.768599999999999</v>
      </c>
      <c r="G592" s="64">
        <f>10.7687 * CHOOSE(CONTROL!$C$22, $C$13, 100%, $E$13)</f>
        <v>10.768700000000001</v>
      </c>
      <c r="H592" s="64">
        <f>18.4967* CHOOSE(CONTROL!$C$22, $C$13, 100%, $E$13)</f>
        <v>18.496700000000001</v>
      </c>
      <c r="I592" s="64">
        <f>18.4968 * CHOOSE(CONTROL!$C$22, $C$13, 100%, $E$13)</f>
        <v>18.4968</v>
      </c>
      <c r="J592" s="64">
        <f>10.7686 * CHOOSE(CONTROL!$C$22, $C$13, 100%, $E$13)</f>
        <v>10.768599999999999</v>
      </c>
      <c r="K592" s="64">
        <f>10.7687 * CHOOSE(CONTROL!$C$22, $C$13, 100%, $E$13)</f>
        <v>10.768700000000001</v>
      </c>
    </row>
    <row r="593" spans="1:11" ht="15">
      <c r="A593" s="13">
        <v>59537</v>
      </c>
      <c r="B593" s="63">
        <f>9.3673 * CHOOSE(CONTROL!$C$22, $C$13, 100%, $E$13)</f>
        <v>9.3673000000000002</v>
      </c>
      <c r="C593" s="63">
        <f>9.3673 * CHOOSE(CONTROL!$C$22, $C$13, 100%, $E$13)</f>
        <v>9.3673000000000002</v>
      </c>
      <c r="D593" s="63">
        <f>9.3673 * CHOOSE(CONTROL!$C$22, $C$13, 100%, $E$13)</f>
        <v>9.3673000000000002</v>
      </c>
      <c r="E593" s="64">
        <f>10.9185 * CHOOSE(CONTROL!$C$22, $C$13, 100%, $E$13)</f>
        <v>10.9185</v>
      </c>
      <c r="F593" s="64">
        <f>10.9185 * CHOOSE(CONTROL!$C$22, $C$13, 100%, $E$13)</f>
        <v>10.9185</v>
      </c>
      <c r="G593" s="64">
        <f>10.9186 * CHOOSE(CONTROL!$C$22, $C$13, 100%, $E$13)</f>
        <v>10.9186</v>
      </c>
      <c r="H593" s="64">
        <f>18.524* CHOOSE(CONTROL!$C$22, $C$13, 100%, $E$13)</f>
        <v>18.524000000000001</v>
      </c>
      <c r="I593" s="64">
        <f>18.5241 * CHOOSE(CONTROL!$C$22, $C$13, 100%, $E$13)</f>
        <v>18.524100000000001</v>
      </c>
      <c r="J593" s="64">
        <f>10.9185 * CHOOSE(CONTROL!$C$22, $C$13, 100%, $E$13)</f>
        <v>10.9185</v>
      </c>
      <c r="K593" s="64">
        <f>10.9186 * CHOOSE(CONTROL!$C$22, $C$13, 100%, $E$13)</f>
        <v>10.9186</v>
      </c>
    </row>
    <row r="594" spans="1:11" ht="15">
      <c r="A594" s="13">
        <v>59568</v>
      </c>
      <c r="B594" s="63">
        <f>9.3643 * CHOOSE(CONTROL!$C$22, $C$13, 100%, $E$13)</f>
        <v>9.3643000000000001</v>
      </c>
      <c r="C594" s="63">
        <f>9.3643 * CHOOSE(CONTROL!$C$22, $C$13, 100%, $E$13)</f>
        <v>9.3643000000000001</v>
      </c>
      <c r="D594" s="63">
        <f>9.3643 * CHOOSE(CONTROL!$C$22, $C$13, 100%, $E$13)</f>
        <v>9.3643000000000001</v>
      </c>
      <c r="E594" s="64">
        <f>10.7305 * CHOOSE(CONTROL!$C$22, $C$13, 100%, $E$13)</f>
        <v>10.730499999999999</v>
      </c>
      <c r="F594" s="64">
        <f>10.7305 * CHOOSE(CONTROL!$C$22, $C$13, 100%, $E$13)</f>
        <v>10.730499999999999</v>
      </c>
      <c r="G594" s="64">
        <f>10.7306 * CHOOSE(CONTROL!$C$22, $C$13, 100%, $E$13)</f>
        <v>10.730600000000001</v>
      </c>
      <c r="H594" s="64">
        <f>18.5626* CHOOSE(CONTROL!$C$22, $C$13, 100%, $E$13)</f>
        <v>18.5626</v>
      </c>
      <c r="I594" s="64">
        <f>18.5627 * CHOOSE(CONTROL!$C$22, $C$13, 100%, $E$13)</f>
        <v>18.5627</v>
      </c>
      <c r="J594" s="64">
        <f>10.7305 * CHOOSE(CONTROL!$C$22, $C$13, 100%, $E$13)</f>
        <v>10.730499999999999</v>
      </c>
      <c r="K594" s="64">
        <f>10.7306 * CHOOSE(CONTROL!$C$22, $C$13, 100%, $E$13)</f>
        <v>10.730600000000001</v>
      </c>
    </row>
    <row r="595" spans="1:11" ht="15">
      <c r="A595" s="13">
        <v>59596</v>
      </c>
      <c r="B595" s="63">
        <f>9.3612 * CHOOSE(CONTROL!$C$22, $C$13, 100%, $E$13)</f>
        <v>9.3612000000000002</v>
      </c>
      <c r="C595" s="63">
        <f>9.3612 * CHOOSE(CONTROL!$C$22, $C$13, 100%, $E$13)</f>
        <v>9.3612000000000002</v>
      </c>
      <c r="D595" s="63">
        <f>9.3612 * CHOOSE(CONTROL!$C$22, $C$13, 100%, $E$13)</f>
        <v>9.3612000000000002</v>
      </c>
      <c r="E595" s="64">
        <f>10.8749 * CHOOSE(CONTROL!$C$22, $C$13, 100%, $E$13)</f>
        <v>10.8749</v>
      </c>
      <c r="F595" s="64">
        <f>10.8749 * CHOOSE(CONTROL!$C$22, $C$13, 100%, $E$13)</f>
        <v>10.8749</v>
      </c>
      <c r="G595" s="64">
        <f>10.875 * CHOOSE(CONTROL!$C$22, $C$13, 100%, $E$13)</f>
        <v>10.875</v>
      </c>
      <c r="H595" s="64">
        <f>18.6012* CHOOSE(CONTROL!$C$22, $C$13, 100%, $E$13)</f>
        <v>18.601199999999999</v>
      </c>
      <c r="I595" s="64">
        <f>18.6013 * CHOOSE(CONTROL!$C$22, $C$13, 100%, $E$13)</f>
        <v>18.601299999999998</v>
      </c>
      <c r="J595" s="64">
        <f>10.8749 * CHOOSE(CONTROL!$C$22, $C$13, 100%, $E$13)</f>
        <v>10.8749</v>
      </c>
      <c r="K595" s="64">
        <f>10.875 * CHOOSE(CONTROL!$C$22, $C$13, 100%, $E$13)</f>
        <v>10.875</v>
      </c>
    </row>
    <row r="596" spans="1:11" ht="15">
      <c r="A596" s="13">
        <v>59627</v>
      </c>
      <c r="B596" s="63">
        <f>9.3634 * CHOOSE(CONTROL!$C$22, $C$13, 100%, $E$13)</f>
        <v>9.3634000000000004</v>
      </c>
      <c r="C596" s="63">
        <f>9.3634 * CHOOSE(CONTROL!$C$22, $C$13, 100%, $E$13)</f>
        <v>9.3634000000000004</v>
      </c>
      <c r="D596" s="63">
        <f>9.3634 * CHOOSE(CONTROL!$C$22, $C$13, 100%, $E$13)</f>
        <v>9.3634000000000004</v>
      </c>
      <c r="E596" s="64">
        <f>11.028 * CHOOSE(CONTROL!$C$22, $C$13, 100%, $E$13)</f>
        <v>11.028</v>
      </c>
      <c r="F596" s="64">
        <f>11.028 * CHOOSE(CONTROL!$C$22, $C$13, 100%, $E$13)</f>
        <v>11.028</v>
      </c>
      <c r="G596" s="64">
        <f>11.0281 * CHOOSE(CONTROL!$C$22, $C$13, 100%, $E$13)</f>
        <v>11.0281</v>
      </c>
      <c r="H596" s="64">
        <f>18.64* CHOOSE(CONTROL!$C$22, $C$13, 100%, $E$13)</f>
        <v>18.64</v>
      </c>
      <c r="I596" s="64">
        <f>18.6401 * CHOOSE(CONTROL!$C$22, $C$13, 100%, $E$13)</f>
        <v>18.6401</v>
      </c>
      <c r="J596" s="64">
        <f>11.028 * CHOOSE(CONTROL!$C$22, $C$13, 100%, $E$13)</f>
        <v>11.028</v>
      </c>
      <c r="K596" s="64">
        <f>11.0281 * CHOOSE(CONTROL!$C$22, $C$13, 100%, $E$13)</f>
        <v>11.0281</v>
      </c>
    </row>
    <row r="597" spans="1:11" ht="15">
      <c r="A597" s="13">
        <v>59657</v>
      </c>
      <c r="B597" s="63">
        <f>9.3634 * CHOOSE(CONTROL!$C$22, $C$13, 100%, $E$13)</f>
        <v>9.3634000000000004</v>
      </c>
      <c r="C597" s="63">
        <f>9.3634 * CHOOSE(CONTROL!$C$22, $C$13, 100%, $E$13)</f>
        <v>9.3634000000000004</v>
      </c>
      <c r="D597" s="63">
        <f>9.3764 * CHOOSE(CONTROL!$C$22, $C$13, 100%, $E$13)</f>
        <v>9.3764000000000003</v>
      </c>
      <c r="E597" s="64">
        <f>11.087 * CHOOSE(CONTROL!$C$22, $C$13, 100%, $E$13)</f>
        <v>11.087</v>
      </c>
      <c r="F597" s="64">
        <f>11.087 * CHOOSE(CONTROL!$C$22, $C$13, 100%, $E$13)</f>
        <v>11.087</v>
      </c>
      <c r="G597" s="64">
        <f>11.1027 * CHOOSE(CONTROL!$C$22, $C$13, 100%, $E$13)</f>
        <v>11.1027</v>
      </c>
      <c r="H597" s="64">
        <f>18.6788* CHOOSE(CONTROL!$C$22, $C$13, 100%, $E$13)</f>
        <v>18.678799999999999</v>
      </c>
      <c r="I597" s="64">
        <f>18.6945 * CHOOSE(CONTROL!$C$22, $C$13, 100%, $E$13)</f>
        <v>18.694500000000001</v>
      </c>
      <c r="J597" s="64">
        <f>11.087 * CHOOSE(CONTROL!$C$22, $C$13, 100%, $E$13)</f>
        <v>11.087</v>
      </c>
      <c r="K597" s="64">
        <f>11.1027 * CHOOSE(CONTROL!$C$22, $C$13, 100%, $E$13)</f>
        <v>11.1027</v>
      </c>
    </row>
    <row r="598" spans="1:11" ht="15">
      <c r="A598" s="13">
        <v>59688</v>
      </c>
      <c r="B598" s="63">
        <f>9.3695 * CHOOSE(CONTROL!$C$22, $C$13, 100%, $E$13)</f>
        <v>9.3695000000000004</v>
      </c>
      <c r="C598" s="63">
        <f>9.3695 * CHOOSE(CONTROL!$C$22, $C$13, 100%, $E$13)</f>
        <v>9.3695000000000004</v>
      </c>
      <c r="D598" s="63">
        <f>9.3825 * CHOOSE(CONTROL!$C$22, $C$13, 100%, $E$13)</f>
        <v>9.3825000000000003</v>
      </c>
      <c r="E598" s="64">
        <f>11.0322 * CHOOSE(CONTROL!$C$22, $C$13, 100%, $E$13)</f>
        <v>11.0322</v>
      </c>
      <c r="F598" s="64">
        <f>11.0322 * CHOOSE(CONTROL!$C$22, $C$13, 100%, $E$13)</f>
        <v>11.0322</v>
      </c>
      <c r="G598" s="64">
        <f>11.0479 * CHOOSE(CONTROL!$C$22, $C$13, 100%, $E$13)</f>
        <v>11.0479</v>
      </c>
      <c r="H598" s="64">
        <f>18.7177* CHOOSE(CONTROL!$C$22, $C$13, 100%, $E$13)</f>
        <v>18.717700000000001</v>
      </c>
      <c r="I598" s="64">
        <f>18.7334 * CHOOSE(CONTROL!$C$22, $C$13, 100%, $E$13)</f>
        <v>18.7334</v>
      </c>
      <c r="J598" s="64">
        <f>11.0322 * CHOOSE(CONTROL!$C$22, $C$13, 100%, $E$13)</f>
        <v>11.0322</v>
      </c>
      <c r="K598" s="64">
        <f>11.0479 * CHOOSE(CONTROL!$C$22, $C$13, 100%, $E$13)</f>
        <v>11.0479</v>
      </c>
    </row>
    <row r="599" spans="1:11" ht="15">
      <c r="A599" s="13">
        <v>59718</v>
      </c>
      <c r="B599" s="63">
        <f>9.5148 * CHOOSE(CONTROL!$C$22, $C$13, 100%, $E$13)</f>
        <v>9.5147999999999993</v>
      </c>
      <c r="C599" s="63">
        <f>9.5148 * CHOOSE(CONTROL!$C$22, $C$13, 100%, $E$13)</f>
        <v>9.5147999999999993</v>
      </c>
      <c r="D599" s="63">
        <f>9.5278 * CHOOSE(CONTROL!$C$22, $C$13, 100%, $E$13)</f>
        <v>9.5277999999999992</v>
      </c>
      <c r="E599" s="64">
        <f>11.2114 * CHOOSE(CONTROL!$C$22, $C$13, 100%, $E$13)</f>
        <v>11.211399999999999</v>
      </c>
      <c r="F599" s="64">
        <f>11.2114 * CHOOSE(CONTROL!$C$22, $C$13, 100%, $E$13)</f>
        <v>11.211399999999999</v>
      </c>
      <c r="G599" s="64">
        <f>11.2271 * CHOOSE(CONTROL!$C$22, $C$13, 100%, $E$13)</f>
        <v>11.2271</v>
      </c>
      <c r="H599" s="64">
        <f>18.7567* CHOOSE(CONTROL!$C$22, $C$13, 100%, $E$13)</f>
        <v>18.756699999999999</v>
      </c>
      <c r="I599" s="64">
        <f>18.7724 * CHOOSE(CONTROL!$C$22, $C$13, 100%, $E$13)</f>
        <v>18.772400000000001</v>
      </c>
      <c r="J599" s="64">
        <f>11.2114 * CHOOSE(CONTROL!$C$22, $C$13, 100%, $E$13)</f>
        <v>11.211399999999999</v>
      </c>
      <c r="K599" s="64">
        <f>11.2271 * CHOOSE(CONTROL!$C$22, $C$13, 100%, $E$13)</f>
        <v>11.2271</v>
      </c>
    </row>
    <row r="600" spans="1:11" ht="15">
      <c r="A600" s="13">
        <v>59749</v>
      </c>
      <c r="B600" s="63">
        <f>9.5215 * CHOOSE(CONTROL!$C$22, $C$13, 100%, $E$13)</f>
        <v>9.5214999999999996</v>
      </c>
      <c r="C600" s="63">
        <f>9.5215 * CHOOSE(CONTROL!$C$22, $C$13, 100%, $E$13)</f>
        <v>9.5214999999999996</v>
      </c>
      <c r="D600" s="63">
        <f>9.5345 * CHOOSE(CONTROL!$C$22, $C$13, 100%, $E$13)</f>
        <v>9.5344999999999995</v>
      </c>
      <c r="E600" s="64">
        <f>11.0391 * CHOOSE(CONTROL!$C$22, $C$13, 100%, $E$13)</f>
        <v>11.039099999999999</v>
      </c>
      <c r="F600" s="64">
        <f>11.0391 * CHOOSE(CONTROL!$C$22, $C$13, 100%, $E$13)</f>
        <v>11.039099999999999</v>
      </c>
      <c r="G600" s="64">
        <f>11.0548 * CHOOSE(CONTROL!$C$22, $C$13, 100%, $E$13)</f>
        <v>11.0548</v>
      </c>
      <c r="H600" s="64">
        <f>18.7958* CHOOSE(CONTROL!$C$22, $C$13, 100%, $E$13)</f>
        <v>18.7958</v>
      </c>
      <c r="I600" s="64">
        <f>18.8115 * CHOOSE(CONTROL!$C$22, $C$13, 100%, $E$13)</f>
        <v>18.811499999999999</v>
      </c>
      <c r="J600" s="64">
        <f>11.0391 * CHOOSE(CONTROL!$C$22, $C$13, 100%, $E$13)</f>
        <v>11.039099999999999</v>
      </c>
      <c r="K600" s="64">
        <f>11.0548 * CHOOSE(CONTROL!$C$22, $C$13, 100%, $E$13)</f>
        <v>11.0548</v>
      </c>
    </row>
    <row r="601" spans="1:11" ht="15">
      <c r="A601" s="13">
        <v>59780</v>
      </c>
      <c r="B601" s="63">
        <f>9.5185 * CHOOSE(CONTROL!$C$22, $C$13, 100%, $E$13)</f>
        <v>9.5184999999999995</v>
      </c>
      <c r="C601" s="63">
        <f>9.5185 * CHOOSE(CONTROL!$C$22, $C$13, 100%, $E$13)</f>
        <v>9.5184999999999995</v>
      </c>
      <c r="D601" s="63">
        <f>9.5315 * CHOOSE(CONTROL!$C$22, $C$13, 100%, $E$13)</f>
        <v>9.5314999999999994</v>
      </c>
      <c r="E601" s="64">
        <f>11.0173 * CHOOSE(CONTROL!$C$22, $C$13, 100%, $E$13)</f>
        <v>11.017300000000001</v>
      </c>
      <c r="F601" s="64">
        <f>11.0173 * CHOOSE(CONTROL!$C$22, $C$13, 100%, $E$13)</f>
        <v>11.017300000000001</v>
      </c>
      <c r="G601" s="64">
        <f>11.033 * CHOOSE(CONTROL!$C$22, $C$13, 100%, $E$13)</f>
        <v>11.032999999999999</v>
      </c>
      <c r="H601" s="64">
        <f>18.835* CHOOSE(CONTROL!$C$22, $C$13, 100%, $E$13)</f>
        <v>18.835000000000001</v>
      </c>
      <c r="I601" s="64">
        <f>18.8507 * CHOOSE(CONTROL!$C$22, $C$13, 100%, $E$13)</f>
        <v>18.8507</v>
      </c>
      <c r="J601" s="64">
        <f>11.0173 * CHOOSE(CONTROL!$C$22, $C$13, 100%, $E$13)</f>
        <v>11.017300000000001</v>
      </c>
      <c r="K601" s="64">
        <f>11.033 * CHOOSE(CONTROL!$C$22, $C$13, 100%, $E$13)</f>
        <v>11.032999999999999</v>
      </c>
    </row>
    <row r="602" spans="1:11" ht="15">
      <c r="A602" s="13">
        <v>59810</v>
      </c>
      <c r="B602" s="63">
        <f>9.5315 * CHOOSE(CONTROL!$C$22, $C$13, 100%, $E$13)</f>
        <v>9.5314999999999994</v>
      </c>
      <c r="C602" s="63">
        <f>9.5315 * CHOOSE(CONTROL!$C$22, $C$13, 100%, $E$13)</f>
        <v>9.5314999999999994</v>
      </c>
      <c r="D602" s="63">
        <f>9.5315 * CHOOSE(CONTROL!$C$22, $C$13, 100%, $E$13)</f>
        <v>9.5314999999999994</v>
      </c>
      <c r="E602" s="64">
        <f>11.0825 * CHOOSE(CONTROL!$C$22, $C$13, 100%, $E$13)</f>
        <v>11.0825</v>
      </c>
      <c r="F602" s="64">
        <f>11.0825 * CHOOSE(CONTROL!$C$22, $C$13, 100%, $E$13)</f>
        <v>11.0825</v>
      </c>
      <c r="G602" s="64">
        <f>11.0826 * CHOOSE(CONTROL!$C$22, $C$13, 100%, $E$13)</f>
        <v>11.082599999999999</v>
      </c>
      <c r="H602" s="64">
        <f>18.8742* CHOOSE(CONTROL!$C$22, $C$13, 100%, $E$13)</f>
        <v>18.874199999999998</v>
      </c>
      <c r="I602" s="64">
        <f>18.8743 * CHOOSE(CONTROL!$C$22, $C$13, 100%, $E$13)</f>
        <v>18.874300000000002</v>
      </c>
      <c r="J602" s="64">
        <f>11.0825 * CHOOSE(CONTROL!$C$22, $C$13, 100%, $E$13)</f>
        <v>11.0825</v>
      </c>
      <c r="K602" s="64">
        <f>11.0826 * CHOOSE(CONTROL!$C$22, $C$13, 100%, $E$13)</f>
        <v>11.082599999999999</v>
      </c>
    </row>
    <row r="603" spans="1:11" ht="15">
      <c r="A603" s="13">
        <v>59841</v>
      </c>
      <c r="B603" s="63">
        <f>9.5345 * CHOOSE(CONTROL!$C$22, $C$13, 100%, $E$13)</f>
        <v>9.5344999999999995</v>
      </c>
      <c r="C603" s="63">
        <f>9.5345 * CHOOSE(CONTROL!$C$22, $C$13, 100%, $E$13)</f>
        <v>9.5344999999999995</v>
      </c>
      <c r="D603" s="63">
        <f>9.5346 * CHOOSE(CONTROL!$C$22, $C$13, 100%, $E$13)</f>
        <v>9.5345999999999993</v>
      </c>
      <c r="E603" s="64">
        <f>11.124 * CHOOSE(CONTROL!$C$22, $C$13, 100%, $E$13)</f>
        <v>11.124000000000001</v>
      </c>
      <c r="F603" s="64">
        <f>11.124 * CHOOSE(CONTROL!$C$22, $C$13, 100%, $E$13)</f>
        <v>11.124000000000001</v>
      </c>
      <c r="G603" s="64">
        <f>11.1241 * CHOOSE(CONTROL!$C$22, $C$13, 100%, $E$13)</f>
        <v>11.1241</v>
      </c>
      <c r="H603" s="64">
        <f>18.9135* CHOOSE(CONTROL!$C$22, $C$13, 100%, $E$13)</f>
        <v>18.913499999999999</v>
      </c>
      <c r="I603" s="64">
        <f>18.9136 * CHOOSE(CONTROL!$C$22, $C$13, 100%, $E$13)</f>
        <v>18.913599999999999</v>
      </c>
      <c r="J603" s="64">
        <f>11.124 * CHOOSE(CONTROL!$C$22, $C$13, 100%, $E$13)</f>
        <v>11.124000000000001</v>
      </c>
      <c r="K603" s="64">
        <f>11.1241 * CHOOSE(CONTROL!$C$22, $C$13, 100%, $E$13)</f>
        <v>11.1241</v>
      </c>
    </row>
    <row r="604" spans="1:11" ht="15">
      <c r="A604" s="13">
        <v>59871</v>
      </c>
      <c r="B604" s="63">
        <f>9.5345 * CHOOSE(CONTROL!$C$22, $C$13, 100%, $E$13)</f>
        <v>9.5344999999999995</v>
      </c>
      <c r="C604" s="63">
        <f>9.5345 * CHOOSE(CONTROL!$C$22, $C$13, 100%, $E$13)</f>
        <v>9.5344999999999995</v>
      </c>
      <c r="D604" s="63">
        <f>9.5346 * CHOOSE(CONTROL!$C$22, $C$13, 100%, $E$13)</f>
        <v>9.5345999999999993</v>
      </c>
      <c r="E604" s="64">
        <f>11.0257 * CHOOSE(CONTROL!$C$22, $C$13, 100%, $E$13)</f>
        <v>11.025700000000001</v>
      </c>
      <c r="F604" s="64">
        <f>11.0257 * CHOOSE(CONTROL!$C$22, $C$13, 100%, $E$13)</f>
        <v>11.025700000000001</v>
      </c>
      <c r="G604" s="64">
        <f>11.0257 * CHOOSE(CONTROL!$C$22, $C$13, 100%, $E$13)</f>
        <v>11.025700000000001</v>
      </c>
      <c r="H604" s="64">
        <f>18.9529* CHOOSE(CONTROL!$C$22, $C$13, 100%, $E$13)</f>
        <v>18.9529</v>
      </c>
      <c r="I604" s="64">
        <f>18.953 * CHOOSE(CONTROL!$C$22, $C$13, 100%, $E$13)</f>
        <v>18.952999999999999</v>
      </c>
      <c r="J604" s="64">
        <f>11.0257 * CHOOSE(CONTROL!$C$22, $C$13, 100%, $E$13)</f>
        <v>11.025700000000001</v>
      </c>
      <c r="K604" s="64">
        <f>11.0257 * CHOOSE(CONTROL!$C$22, $C$13, 100%, $E$13)</f>
        <v>11.025700000000001</v>
      </c>
    </row>
    <row r="605" spans="1:11" ht="15">
      <c r="A605" s="13">
        <v>59902</v>
      </c>
      <c r="B605" s="63">
        <f>9.6029 * CHOOSE(CONTROL!$C$22, $C$13, 100%, $E$13)</f>
        <v>9.6029</v>
      </c>
      <c r="C605" s="63">
        <f>9.6029 * CHOOSE(CONTROL!$C$22, $C$13, 100%, $E$13)</f>
        <v>9.6029</v>
      </c>
      <c r="D605" s="63">
        <f>9.6029 * CHOOSE(CONTROL!$C$22, $C$13, 100%, $E$13)</f>
        <v>9.6029</v>
      </c>
      <c r="E605" s="64">
        <f>11.1732 * CHOOSE(CONTROL!$C$22, $C$13, 100%, $E$13)</f>
        <v>11.1732</v>
      </c>
      <c r="F605" s="64">
        <f>11.1732 * CHOOSE(CONTROL!$C$22, $C$13, 100%, $E$13)</f>
        <v>11.1732</v>
      </c>
      <c r="G605" s="64">
        <f>11.1733 * CHOOSE(CONTROL!$C$22, $C$13, 100%, $E$13)</f>
        <v>11.173299999999999</v>
      </c>
      <c r="H605" s="64">
        <f>18.9699* CHOOSE(CONTROL!$C$22, $C$13, 100%, $E$13)</f>
        <v>18.969899999999999</v>
      </c>
      <c r="I605" s="64">
        <f>18.97 * CHOOSE(CONTROL!$C$22, $C$13, 100%, $E$13)</f>
        <v>18.97</v>
      </c>
      <c r="J605" s="64">
        <f>11.1732 * CHOOSE(CONTROL!$C$22, $C$13, 100%, $E$13)</f>
        <v>11.1732</v>
      </c>
      <c r="K605" s="64">
        <f>11.1733 * CHOOSE(CONTROL!$C$22, $C$13, 100%, $E$13)</f>
        <v>11.173299999999999</v>
      </c>
    </row>
    <row r="606" spans="1:11" ht="15">
      <c r="A606" s="13">
        <v>59933</v>
      </c>
      <c r="B606" s="63">
        <f>9.5999 * CHOOSE(CONTROL!$C$22, $C$13, 100%, $E$13)</f>
        <v>9.5998999999999999</v>
      </c>
      <c r="C606" s="63">
        <f>9.5999 * CHOOSE(CONTROL!$C$22, $C$13, 100%, $E$13)</f>
        <v>9.5998999999999999</v>
      </c>
      <c r="D606" s="63">
        <f>9.5999 * CHOOSE(CONTROL!$C$22, $C$13, 100%, $E$13)</f>
        <v>9.5998999999999999</v>
      </c>
      <c r="E606" s="64">
        <f>10.9803 * CHOOSE(CONTROL!$C$22, $C$13, 100%, $E$13)</f>
        <v>10.9803</v>
      </c>
      <c r="F606" s="64">
        <f>10.9803 * CHOOSE(CONTROL!$C$22, $C$13, 100%, $E$13)</f>
        <v>10.9803</v>
      </c>
      <c r="G606" s="64">
        <f>10.9804 * CHOOSE(CONTROL!$C$22, $C$13, 100%, $E$13)</f>
        <v>10.980399999999999</v>
      </c>
      <c r="H606" s="64">
        <f>19.0094* CHOOSE(CONTROL!$C$22, $C$13, 100%, $E$13)</f>
        <v>19.009399999999999</v>
      </c>
      <c r="I606" s="64">
        <f>19.0095 * CHOOSE(CONTROL!$C$22, $C$13, 100%, $E$13)</f>
        <v>19.009499999999999</v>
      </c>
      <c r="J606" s="64">
        <f>10.9803 * CHOOSE(CONTROL!$C$22, $C$13, 100%, $E$13)</f>
        <v>10.9803</v>
      </c>
      <c r="K606" s="64">
        <f>10.9804 * CHOOSE(CONTROL!$C$22, $C$13, 100%, $E$13)</f>
        <v>10.980399999999999</v>
      </c>
    </row>
    <row r="607" spans="1:11" ht="15">
      <c r="A607" s="13">
        <v>59962</v>
      </c>
      <c r="B607" s="63">
        <f>9.5968 * CHOOSE(CONTROL!$C$22, $C$13, 100%, $E$13)</f>
        <v>9.5968</v>
      </c>
      <c r="C607" s="63">
        <f>9.5968 * CHOOSE(CONTROL!$C$22, $C$13, 100%, $E$13)</f>
        <v>9.5968</v>
      </c>
      <c r="D607" s="63">
        <f>9.5968 * CHOOSE(CONTROL!$C$22, $C$13, 100%, $E$13)</f>
        <v>9.5968</v>
      </c>
      <c r="E607" s="64">
        <f>11.1286 * CHOOSE(CONTROL!$C$22, $C$13, 100%, $E$13)</f>
        <v>11.1286</v>
      </c>
      <c r="F607" s="64">
        <f>11.1286 * CHOOSE(CONTROL!$C$22, $C$13, 100%, $E$13)</f>
        <v>11.1286</v>
      </c>
      <c r="G607" s="64">
        <f>11.1287 * CHOOSE(CONTROL!$C$22, $C$13, 100%, $E$13)</f>
        <v>11.1287</v>
      </c>
      <c r="H607" s="64">
        <f>19.049* CHOOSE(CONTROL!$C$22, $C$13, 100%, $E$13)</f>
        <v>19.048999999999999</v>
      </c>
      <c r="I607" s="64">
        <f>19.0491 * CHOOSE(CONTROL!$C$22, $C$13, 100%, $E$13)</f>
        <v>19.049099999999999</v>
      </c>
      <c r="J607" s="64">
        <f>11.1286 * CHOOSE(CONTROL!$C$22, $C$13, 100%, $E$13)</f>
        <v>11.1286</v>
      </c>
      <c r="K607" s="64">
        <f>11.1287 * CHOOSE(CONTROL!$C$22, $C$13, 100%, $E$13)</f>
        <v>11.1287</v>
      </c>
    </row>
    <row r="608" spans="1:11" ht="15">
      <c r="A608" s="13">
        <v>59993</v>
      </c>
      <c r="B608" s="63">
        <f>9.5992 * CHOOSE(CONTROL!$C$22, $C$13, 100%, $E$13)</f>
        <v>9.5991999999999997</v>
      </c>
      <c r="C608" s="63">
        <f>9.5992 * CHOOSE(CONTROL!$C$22, $C$13, 100%, $E$13)</f>
        <v>9.5991999999999997</v>
      </c>
      <c r="D608" s="63">
        <f>9.5992 * CHOOSE(CONTROL!$C$22, $C$13, 100%, $E$13)</f>
        <v>9.5991999999999997</v>
      </c>
      <c r="E608" s="64">
        <f>11.2859 * CHOOSE(CONTROL!$C$22, $C$13, 100%, $E$13)</f>
        <v>11.2859</v>
      </c>
      <c r="F608" s="64">
        <f>11.2859 * CHOOSE(CONTROL!$C$22, $C$13, 100%, $E$13)</f>
        <v>11.2859</v>
      </c>
      <c r="G608" s="64">
        <f>11.2859 * CHOOSE(CONTROL!$C$22, $C$13, 100%, $E$13)</f>
        <v>11.2859</v>
      </c>
      <c r="H608" s="64">
        <f>19.0887* CHOOSE(CONTROL!$C$22, $C$13, 100%, $E$13)</f>
        <v>19.088699999999999</v>
      </c>
      <c r="I608" s="64">
        <f>19.0888 * CHOOSE(CONTROL!$C$22, $C$13, 100%, $E$13)</f>
        <v>19.088799999999999</v>
      </c>
      <c r="J608" s="64">
        <f>11.2859 * CHOOSE(CONTROL!$C$22, $C$13, 100%, $E$13)</f>
        <v>11.2859</v>
      </c>
      <c r="K608" s="64">
        <f>11.2859 * CHOOSE(CONTROL!$C$22, $C$13, 100%, $E$13)</f>
        <v>11.2859</v>
      </c>
    </row>
    <row r="609" spans="1:11" ht="15">
      <c r="A609" s="13">
        <v>60023</v>
      </c>
      <c r="B609" s="63">
        <f>9.5992 * CHOOSE(CONTROL!$C$22, $C$13, 100%, $E$13)</f>
        <v>9.5991999999999997</v>
      </c>
      <c r="C609" s="63">
        <f>9.5992 * CHOOSE(CONTROL!$C$22, $C$13, 100%, $E$13)</f>
        <v>9.5991999999999997</v>
      </c>
      <c r="D609" s="63">
        <f>9.6122 * CHOOSE(CONTROL!$C$22, $C$13, 100%, $E$13)</f>
        <v>9.6121999999999996</v>
      </c>
      <c r="E609" s="64">
        <f>11.3464 * CHOOSE(CONTROL!$C$22, $C$13, 100%, $E$13)</f>
        <v>11.346399999999999</v>
      </c>
      <c r="F609" s="64">
        <f>11.3464 * CHOOSE(CONTROL!$C$22, $C$13, 100%, $E$13)</f>
        <v>11.346399999999999</v>
      </c>
      <c r="G609" s="64">
        <f>11.3621 * CHOOSE(CONTROL!$C$22, $C$13, 100%, $E$13)</f>
        <v>11.3621</v>
      </c>
      <c r="H609" s="64">
        <f>19.1284* CHOOSE(CONTROL!$C$22, $C$13, 100%, $E$13)</f>
        <v>19.128399999999999</v>
      </c>
      <c r="I609" s="64">
        <f>19.1441 * CHOOSE(CONTROL!$C$22, $C$13, 100%, $E$13)</f>
        <v>19.144100000000002</v>
      </c>
      <c r="J609" s="64">
        <f>11.3464 * CHOOSE(CONTROL!$C$22, $C$13, 100%, $E$13)</f>
        <v>11.346399999999999</v>
      </c>
      <c r="K609" s="64">
        <f>11.3621 * CHOOSE(CONTROL!$C$22, $C$13, 100%, $E$13)</f>
        <v>11.3621</v>
      </c>
    </row>
    <row r="610" spans="1:11" ht="15">
      <c r="A610" s="13">
        <v>60054</v>
      </c>
      <c r="B610" s="63">
        <f>9.6053 * CHOOSE(CONTROL!$C$22, $C$13, 100%, $E$13)</f>
        <v>9.6052999999999997</v>
      </c>
      <c r="C610" s="63">
        <f>9.6053 * CHOOSE(CONTROL!$C$22, $C$13, 100%, $E$13)</f>
        <v>9.6052999999999997</v>
      </c>
      <c r="D610" s="63">
        <f>9.6183 * CHOOSE(CONTROL!$C$22, $C$13, 100%, $E$13)</f>
        <v>9.6182999999999996</v>
      </c>
      <c r="E610" s="64">
        <f>11.2901 * CHOOSE(CONTROL!$C$22, $C$13, 100%, $E$13)</f>
        <v>11.290100000000001</v>
      </c>
      <c r="F610" s="64">
        <f>11.2901 * CHOOSE(CONTROL!$C$22, $C$13, 100%, $E$13)</f>
        <v>11.290100000000001</v>
      </c>
      <c r="G610" s="64">
        <f>11.3058 * CHOOSE(CONTROL!$C$22, $C$13, 100%, $E$13)</f>
        <v>11.3058</v>
      </c>
      <c r="H610" s="64">
        <f>19.1683* CHOOSE(CONTROL!$C$22, $C$13, 100%, $E$13)</f>
        <v>19.168299999999999</v>
      </c>
      <c r="I610" s="64">
        <f>19.184 * CHOOSE(CONTROL!$C$22, $C$13, 100%, $E$13)</f>
        <v>19.184000000000001</v>
      </c>
      <c r="J610" s="64">
        <f>11.2901 * CHOOSE(CONTROL!$C$22, $C$13, 100%, $E$13)</f>
        <v>11.290100000000001</v>
      </c>
      <c r="K610" s="64">
        <f>11.3058 * CHOOSE(CONTROL!$C$22, $C$13, 100%, $E$13)</f>
        <v>11.3058</v>
      </c>
    </row>
    <row r="611" spans="1:11" ht="15">
      <c r="A611" s="13">
        <v>60084</v>
      </c>
      <c r="B611" s="63">
        <f>9.754 * CHOOSE(CONTROL!$C$22, $C$13, 100%, $E$13)</f>
        <v>9.7539999999999996</v>
      </c>
      <c r="C611" s="63">
        <f>9.754 * CHOOSE(CONTROL!$C$22, $C$13, 100%, $E$13)</f>
        <v>9.7539999999999996</v>
      </c>
      <c r="D611" s="63">
        <f>9.767 * CHOOSE(CONTROL!$C$22, $C$13, 100%, $E$13)</f>
        <v>9.7669999999999995</v>
      </c>
      <c r="E611" s="64">
        <f>11.4732 * CHOOSE(CONTROL!$C$22, $C$13, 100%, $E$13)</f>
        <v>11.4732</v>
      </c>
      <c r="F611" s="64">
        <f>11.4732 * CHOOSE(CONTROL!$C$22, $C$13, 100%, $E$13)</f>
        <v>11.4732</v>
      </c>
      <c r="G611" s="64">
        <f>11.4889 * CHOOSE(CONTROL!$C$22, $C$13, 100%, $E$13)</f>
        <v>11.488899999999999</v>
      </c>
      <c r="H611" s="64">
        <f>19.2082* CHOOSE(CONTROL!$C$22, $C$13, 100%, $E$13)</f>
        <v>19.208200000000001</v>
      </c>
      <c r="I611" s="64">
        <f>19.2239 * CHOOSE(CONTROL!$C$22, $C$13, 100%, $E$13)</f>
        <v>19.2239</v>
      </c>
      <c r="J611" s="64">
        <f>11.4732 * CHOOSE(CONTROL!$C$22, $C$13, 100%, $E$13)</f>
        <v>11.4732</v>
      </c>
      <c r="K611" s="64">
        <f>11.4889 * CHOOSE(CONTROL!$C$22, $C$13, 100%, $E$13)</f>
        <v>11.488899999999999</v>
      </c>
    </row>
    <row r="612" spans="1:11" ht="15">
      <c r="A612" s="13">
        <v>60115</v>
      </c>
      <c r="B612" s="63">
        <f>9.7607 * CHOOSE(CONTROL!$C$22, $C$13, 100%, $E$13)</f>
        <v>9.7606999999999999</v>
      </c>
      <c r="C612" s="63">
        <f>9.7607 * CHOOSE(CONTROL!$C$22, $C$13, 100%, $E$13)</f>
        <v>9.7606999999999999</v>
      </c>
      <c r="D612" s="63">
        <f>9.7737 * CHOOSE(CONTROL!$C$22, $C$13, 100%, $E$13)</f>
        <v>9.7736999999999998</v>
      </c>
      <c r="E612" s="64">
        <f>11.2961 * CHOOSE(CONTROL!$C$22, $C$13, 100%, $E$13)</f>
        <v>11.296099999999999</v>
      </c>
      <c r="F612" s="64">
        <f>11.2961 * CHOOSE(CONTROL!$C$22, $C$13, 100%, $E$13)</f>
        <v>11.296099999999999</v>
      </c>
      <c r="G612" s="64">
        <f>11.3118 * CHOOSE(CONTROL!$C$22, $C$13, 100%, $E$13)</f>
        <v>11.3118</v>
      </c>
      <c r="H612" s="64">
        <f>19.2483* CHOOSE(CONTROL!$C$22, $C$13, 100%, $E$13)</f>
        <v>19.2483</v>
      </c>
      <c r="I612" s="64">
        <f>19.2639 * CHOOSE(CONTROL!$C$22, $C$13, 100%, $E$13)</f>
        <v>19.2639</v>
      </c>
      <c r="J612" s="64">
        <f>11.2961 * CHOOSE(CONTROL!$C$22, $C$13, 100%, $E$13)</f>
        <v>11.296099999999999</v>
      </c>
      <c r="K612" s="64">
        <f>11.3118 * CHOOSE(CONTROL!$C$22, $C$13, 100%, $E$13)</f>
        <v>11.3118</v>
      </c>
    </row>
    <row r="613" spans="1:11" ht="15">
      <c r="A613" s="13">
        <v>60146</v>
      </c>
      <c r="B613" s="63">
        <f>9.7577 * CHOOSE(CONTROL!$C$22, $C$13, 100%, $E$13)</f>
        <v>9.7576999999999998</v>
      </c>
      <c r="C613" s="63">
        <f>9.7577 * CHOOSE(CONTROL!$C$22, $C$13, 100%, $E$13)</f>
        <v>9.7576999999999998</v>
      </c>
      <c r="D613" s="63">
        <f>9.7706 * CHOOSE(CONTROL!$C$22, $C$13, 100%, $E$13)</f>
        <v>9.7706</v>
      </c>
      <c r="E613" s="64">
        <f>11.2738 * CHOOSE(CONTROL!$C$22, $C$13, 100%, $E$13)</f>
        <v>11.2738</v>
      </c>
      <c r="F613" s="64">
        <f>11.2738 * CHOOSE(CONTROL!$C$22, $C$13, 100%, $E$13)</f>
        <v>11.2738</v>
      </c>
      <c r="G613" s="64">
        <f>11.2895 * CHOOSE(CONTROL!$C$22, $C$13, 100%, $E$13)</f>
        <v>11.2895</v>
      </c>
      <c r="H613" s="64">
        <f>19.2884* CHOOSE(CONTROL!$C$22, $C$13, 100%, $E$13)</f>
        <v>19.288399999999999</v>
      </c>
      <c r="I613" s="64">
        <f>19.304 * CHOOSE(CONTROL!$C$22, $C$13, 100%, $E$13)</f>
        <v>19.303999999999998</v>
      </c>
      <c r="J613" s="64">
        <f>11.2738 * CHOOSE(CONTROL!$C$22, $C$13, 100%, $E$13)</f>
        <v>11.2738</v>
      </c>
      <c r="K613" s="64">
        <f>11.2895 * CHOOSE(CONTROL!$C$22, $C$13, 100%, $E$13)</f>
        <v>11.2895</v>
      </c>
    </row>
    <row r="614" spans="1:11" ht="15">
      <c r="A614" s="13">
        <v>60176</v>
      </c>
      <c r="B614" s="63">
        <f>9.7714 * CHOOSE(CONTROL!$C$22, $C$13, 100%, $E$13)</f>
        <v>9.7713999999999999</v>
      </c>
      <c r="C614" s="63">
        <f>9.7714 * CHOOSE(CONTROL!$C$22, $C$13, 100%, $E$13)</f>
        <v>9.7713999999999999</v>
      </c>
      <c r="D614" s="63">
        <f>9.7715 * CHOOSE(CONTROL!$C$22, $C$13, 100%, $E$13)</f>
        <v>9.7714999999999996</v>
      </c>
      <c r="E614" s="64">
        <f>11.3412 * CHOOSE(CONTROL!$C$22, $C$13, 100%, $E$13)</f>
        <v>11.341200000000001</v>
      </c>
      <c r="F614" s="64">
        <f>11.3412 * CHOOSE(CONTROL!$C$22, $C$13, 100%, $E$13)</f>
        <v>11.341200000000001</v>
      </c>
      <c r="G614" s="64">
        <f>11.3413 * CHOOSE(CONTROL!$C$22, $C$13, 100%, $E$13)</f>
        <v>11.3413</v>
      </c>
      <c r="H614" s="64">
        <f>19.3285* CHOOSE(CONTROL!$C$22, $C$13, 100%, $E$13)</f>
        <v>19.328499999999998</v>
      </c>
      <c r="I614" s="64">
        <f>19.3286 * CHOOSE(CONTROL!$C$22, $C$13, 100%, $E$13)</f>
        <v>19.328600000000002</v>
      </c>
      <c r="J614" s="64">
        <f>11.3412 * CHOOSE(CONTROL!$C$22, $C$13, 100%, $E$13)</f>
        <v>11.341200000000001</v>
      </c>
      <c r="K614" s="64">
        <f>11.3413 * CHOOSE(CONTROL!$C$22, $C$13, 100%, $E$13)</f>
        <v>11.3413</v>
      </c>
    </row>
    <row r="615" spans="1:11" ht="15">
      <c r="A615" s="13">
        <v>60207</v>
      </c>
      <c r="B615" s="63">
        <f>9.7745 * CHOOSE(CONTROL!$C$22, $C$13, 100%, $E$13)</f>
        <v>9.7744999999999997</v>
      </c>
      <c r="C615" s="63">
        <f>9.7745 * CHOOSE(CONTROL!$C$22, $C$13, 100%, $E$13)</f>
        <v>9.7744999999999997</v>
      </c>
      <c r="D615" s="63">
        <f>9.7745 * CHOOSE(CONTROL!$C$22, $C$13, 100%, $E$13)</f>
        <v>9.7744999999999997</v>
      </c>
      <c r="E615" s="64">
        <f>11.3837 * CHOOSE(CONTROL!$C$22, $C$13, 100%, $E$13)</f>
        <v>11.383699999999999</v>
      </c>
      <c r="F615" s="64">
        <f>11.3837 * CHOOSE(CONTROL!$C$22, $C$13, 100%, $E$13)</f>
        <v>11.383699999999999</v>
      </c>
      <c r="G615" s="64">
        <f>11.3838 * CHOOSE(CONTROL!$C$22, $C$13, 100%, $E$13)</f>
        <v>11.383800000000001</v>
      </c>
      <c r="H615" s="64">
        <f>19.3688* CHOOSE(CONTROL!$C$22, $C$13, 100%, $E$13)</f>
        <v>19.3688</v>
      </c>
      <c r="I615" s="64">
        <f>19.3689 * CHOOSE(CONTROL!$C$22, $C$13, 100%, $E$13)</f>
        <v>19.3689</v>
      </c>
      <c r="J615" s="64">
        <f>11.3837 * CHOOSE(CONTROL!$C$22, $C$13, 100%, $E$13)</f>
        <v>11.383699999999999</v>
      </c>
      <c r="K615" s="64">
        <f>11.3838 * CHOOSE(CONTROL!$C$22, $C$13, 100%, $E$13)</f>
        <v>11.383800000000001</v>
      </c>
    </row>
    <row r="616" spans="1:11" ht="15">
      <c r="A616" s="13">
        <v>60237</v>
      </c>
      <c r="B616" s="63">
        <f>9.7745 * CHOOSE(CONTROL!$C$22, $C$13, 100%, $E$13)</f>
        <v>9.7744999999999997</v>
      </c>
      <c r="C616" s="63">
        <f>9.7745 * CHOOSE(CONTROL!$C$22, $C$13, 100%, $E$13)</f>
        <v>9.7744999999999997</v>
      </c>
      <c r="D616" s="63">
        <f>9.7745 * CHOOSE(CONTROL!$C$22, $C$13, 100%, $E$13)</f>
        <v>9.7744999999999997</v>
      </c>
      <c r="E616" s="64">
        <f>11.2827 * CHOOSE(CONTROL!$C$22, $C$13, 100%, $E$13)</f>
        <v>11.2827</v>
      </c>
      <c r="F616" s="64">
        <f>11.2827 * CHOOSE(CONTROL!$C$22, $C$13, 100%, $E$13)</f>
        <v>11.2827</v>
      </c>
      <c r="G616" s="64">
        <f>11.2828 * CHOOSE(CONTROL!$C$22, $C$13, 100%, $E$13)</f>
        <v>11.2828</v>
      </c>
      <c r="H616" s="64">
        <f>19.4092* CHOOSE(CONTROL!$C$22, $C$13, 100%, $E$13)</f>
        <v>19.409199999999998</v>
      </c>
      <c r="I616" s="64">
        <f>19.4092 * CHOOSE(CONTROL!$C$22, $C$13, 100%, $E$13)</f>
        <v>19.409199999999998</v>
      </c>
      <c r="J616" s="64">
        <f>11.2827 * CHOOSE(CONTROL!$C$22, $C$13, 100%, $E$13)</f>
        <v>11.2827</v>
      </c>
      <c r="K616" s="64">
        <f>11.2828 * CHOOSE(CONTROL!$C$22, $C$13, 100%, $E$13)</f>
        <v>11.2828</v>
      </c>
    </row>
    <row r="617" spans="1:11" ht="15">
      <c r="A617" s="13">
        <v>60268</v>
      </c>
      <c r="B617" s="63">
        <f>9.8385 * CHOOSE(CONTROL!$C$22, $C$13, 100%, $E$13)</f>
        <v>9.8384999999999998</v>
      </c>
      <c r="C617" s="63">
        <f>9.8385 * CHOOSE(CONTROL!$C$22, $C$13, 100%, $E$13)</f>
        <v>9.8384999999999998</v>
      </c>
      <c r="D617" s="63">
        <f>9.8385 * CHOOSE(CONTROL!$C$22, $C$13, 100%, $E$13)</f>
        <v>9.8384999999999998</v>
      </c>
      <c r="E617" s="64">
        <f>11.4279 * CHOOSE(CONTROL!$C$22, $C$13, 100%, $E$13)</f>
        <v>11.427899999999999</v>
      </c>
      <c r="F617" s="64">
        <f>11.4279 * CHOOSE(CONTROL!$C$22, $C$13, 100%, $E$13)</f>
        <v>11.427899999999999</v>
      </c>
      <c r="G617" s="64">
        <f>11.428 * CHOOSE(CONTROL!$C$22, $C$13, 100%, $E$13)</f>
        <v>11.428000000000001</v>
      </c>
      <c r="H617" s="64">
        <f>19.4158* CHOOSE(CONTROL!$C$22, $C$13, 100%, $E$13)</f>
        <v>19.415800000000001</v>
      </c>
      <c r="I617" s="64">
        <f>19.4158 * CHOOSE(CONTROL!$C$22, $C$13, 100%, $E$13)</f>
        <v>19.415800000000001</v>
      </c>
      <c r="J617" s="64">
        <f>11.4279 * CHOOSE(CONTROL!$C$22, $C$13, 100%, $E$13)</f>
        <v>11.427899999999999</v>
      </c>
      <c r="K617" s="64">
        <f>11.428 * CHOOSE(CONTROL!$C$22, $C$13, 100%, $E$13)</f>
        <v>11.428000000000001</v>
      </c>
    </row>
    <row r="618" spans="1:11" ht="15">
      <c r="A618" s="13">
        <v>60299</v>
      </c>
      <c r="B618" s="63">
        <f>9.8354 * CHOOSE(CONTROL!$C$22, $C$13, 100%, $E$13)</f>
        <v>9.8353999999999999</v>
      </c>
      <c r="C618" s="63">
        <f>9.8354 * CHOOSE(CONTROL!$C$22, $C$13, 100%, $E$13)</f>
        <v>9.8353999999999999</v>
      </c>
      <c r="D618" s="63">
        <f>9.8354 * CHOOSE(CONTROL!$C$22, $C$13, 100%, $E$13)</f>
        <v>9.8353999999999999</v>
      </c>
      <c r="E618" s="64">
        <f>11.2301 * CHOOSE(CONTROL!$C$22, $C$13, 100%, $E$13)</f>
        <v>11.2301</v>
      </c>
      <c r="F618" s="64">
        <f>11.2301 * CHOOSE(CONTROL!$C$22, $C$13, 100%, $E$13)</f>
        <v>11.2301</v>
      </c>
      <c r="G618" s="64">
        <f>11.2302 * CHOOSE(CONTROL!$C$22, $C$13, 100%, $E$13)</f>
        <v>11.2302</v>
      </c>
      <c r="H618" s="64">
        <f>19.4562* CHOOSE(CONTROL!$C$22, $C$13, 100%, $E$13)</f>
        <v>19.456199999999999</v>
      </c>
      <c r="I618" s="64">
        <f>19.4563 * CHOOSE(CONTROL!$C$22, $C$13, 100%, $E$13)</f>
        <v>19.456299999999999</v>
      </c>
      <c r="J618" s="64">
        <f>11.2301 * CHOOSE(CONTROL!$C$22, $C$13, 100%, $E$13)</f>
        <v>11.2301</v>
      </c>
      <c r="K618" s="64">
        <f>11.2302 * CHOOSE(CONTROL!$C$22, $C$13, 100%, $E$13)</f>
        <v>11.2302</v>
      </c>
    </row>
    <row r="619" spans="1:11" ht="15">
      <c r="A619" s="13">
        <v>60327</v>
      </c>
      <c r="B619" s="63">
        <f>9.8324 * CHOOSE(CONTROL!$C$22, $C$13, 100%, $E$13)</f>
        <v>9.8323999999999998</v>
      </c>
      <c r="C619" s="63">
        <f>9.8324 * CHOOSE(CONTROL!$C$22, $C$13, 100%, $E$13)</f>
        <v>9.8323999999999998</v>
      </c>
      <c r="D619" s="63">
        <f>9.8324 * CHOOSE(CONTROL!$C$22, $C$13, 100%, $E$13)</f>
        <v>9.8323999999999998</v>
      </c>
      <c r="E619" s="64">
        <f>11.3823 * CHOOSE(CONTROL!$C$22, $C$13, 100%, $E$13)</f>
        <v>11.382300000000001</v>
      </c>
      <c r="F619" s="64">
        <f>11.3823 * CHOOSE(CONTROL!$C$22, $C$13, 100%, $E$13)</f>
        <v>11.382300000000001</v>
      </c>
      <c r="G619" s="64">
        <f>11.3823 * CHOOSE(CONTROL!$C$22, $C$13, 100%, $E$13)</f>
        <v>11.382300000000001</v>
      </c>
      <c r="H619" s="64">
        <f>19.4967* CHOOSE(CONTROL!$C$22, $C$13, 100%, $E$13)</f>
        <v>19.496700000000001</v>
      </c>
      <c r="I619" s="64">
        <f>19.4968 * CHOOSE(CONTROL!$C$22, $C$13, 100%, $E$13)</f>
        <v>19.4968</v>
      </c>
      <c r="J619" s="64">
        <f>11.3823 * CHOOSE(CONTROL!$C$22, $C$13, 100%, $E$13)</f>
        <v>11.382300000000001</v>
      </c>
      <c r="K619" s="64">
        <f>11.3823 * CHOOSE(CONTROL!$C$22, $C$13, 100%, $E$13)</f>
        <v>11.382300000000001</v>
      </c>
    </row>
    <row r="620" spans="1:11" ht="15">
      <c r="A620" s="13">
        <v>60358</v>
      </c>
      <c r="B620" s="63">
        <f>9.835 * CHOOSE(CONTROL!$C$22, $C$13, 100%, $E$13)</f>
        <v>9.8350000000000009</v>
      </c>
      <c r="C620" s="63">
        <f>9.835 * CHOOSE(CONTROL!$C$22, $C$13, 100%, $E$13)</f>
        <v>9.8350000000000009</v>
      </c>
      <c r="D620" s="63">
        <f>9.835 * CHOOSE(CONTROL!$C$22, $C$13, 100%, $E$13)</f>
        <v>9.8350000000000009</v>
      </c>
      <c r="E620" s="64">
        <f>11.5437 * CHOOSE(CONTROL!$C$22, $C$13, 100%, $E$13)</f>
        <v>11.543699999999999</v>
      </c>
      <c r="F620" s="64">
        <f>11.5437 * CHOOSE(CONTROL!$C$22, $C$13, 100%, $E$13)</f>
        <v>11.543699999999999</v>
      </c>
      <c r="G620" s="64">
        <f>11.5438 * CHOOSE(CONTROL!$C$22, $C$13, 100%, $E$13)</f>
        <v>11.543799999999999</v>
      </c>
      <c r="H620" s="64">
        <f>19.5374* CHOOSE(CONTROL!$C$22, $C$13, 100%, $E$13)</f>
        <v>19.537400000000002</v>
      </c>
      <c r="I620" s="64">
        <f>19.5374 * CHOOSE(CONTROL!$C$22, $C$13, 100%, $E$13)</f>
        <v>19.537400000000002</v>
      </c>
      <c r="J620" s="64">
        <f>11.5437 * CHOOSE(CONTROL!$C$22, $C$13, 100%, $E$13)</f>
        <v>11.543699999999999</v>
      </c>
      <c r="K620" s="64">
        <f>11.5438 * CHOOSE(CONTROL!$C$22, $C$13, 100%, $E$13)</f>
        <v>11.543799999999999</v>
      </c>
    </row>
    <row r="621" spans="1:11" ht="15">
      <c r="A621" s="13">
        <v>60388</v>
      </c>
      <c r="B621" s="63">
        <f>9.835 * CHOOSE(CONTROL!$C$22, $C$13, 100%, $E$13)</f>
        <v>9.8350000000000009</v>
      </c>
      <c r="C621" s="63">
        <f>9.835 * CHOOSE(CONTROL!$C$22, $C$13, 100%, $E$13)</f>
        <v>9.8350000000000009</v>
      </c>
      <c r="D621" s="63">
        <f>9.8479 * CHOOSE(CONTROL!$C$22, $C$13, 100%, $E$13)</f>
        <v>9.8478999999999992</v>
      </c>
      <c r="E621" s="64">
        <f>11.6059 * CHOOSE(CONTROL!$C$22, $C$13, 100%, $E$13)</f>
        <v>11.6059</v>
      </c>
      <c r="F621" s="64">
        <f>11.6059 * CHOOSE(CONTROL!$C$22, $C$13, 100%, $E$13)</f>
        <v>11.6059</v>
      </c>
      <c r="G621" s="64">
        <f>11.6215 * CHOOSE(CONTROL!$C$22, $C$13, 100%, $E$13)</f>
        <v>11.621499999999999</v>
      </c>
      <c r="H621" s="64">
        <f>19.5781* CHOOSE(CONTROL!$C$22, $C$13, 100%, $E$13)</f>
        <v>19.578099999999999</v>
      </c>
      <c r="I621" s="64">
        <f>19.5937 * CHOOSE(CONTROL!$C$22, $C$13, 100%, $E$13)</f>
        <v>19.593699999999998</v>
      </c>
      <c r="J621" s="64">
        <f>11.6059 * CHOOSE(CONTROL!$C$22, $C$13, 100%, $E$13)</f>
        <v>11.6059</v>
      </c>
      <c r="K621" s="64">
        <f>11.6215 * CHOOSE(CONTROL!$C$22, $C$13, 100%, $E$13)</f>
        <v>11.621499999999999</v>
      </c>
    </row>
    <row r="622" spans="1:11" ht="15">
      <c r="A622" s="13">
        <v>60419</v>
      </c>
      <c r="B622" s="63">
        <f>9.841 * CHOOSE(CONTROL!$C$22, $C$13, 100%, $E$13)</f>
        <v>9.8409999999999993</v>
      </c>
      <c r="C622" s="63">
        <f>9.841 * CHOOSE(CONTROL!$C$22, $C$13, 100%, $E$13)</f>
        <v>9.8409999999999993</v>
      </c>
      <c r="D622" s="63">
        <f>9.854 * CHOOSE(CONTROL!$C$22, $C$13, 100%, $E$13)</f>
        <v>9.8539999999999992</v>
      </c>
      <c r="E622" s="64">
        <f>11.548 * CHOOSE(CONTROL!$C$22, $C$13, 100%, $E$13)</f>
        <v>11.548</v>
      </c>
      <c r="F622" s="64">
        <f>11.548 * CHOOSE(CONTROL!$C$22, $C$13, 100%, $E$13)</f>
        <v>11.548</v>
      </c>
      <c r="G622" s="64">
        <f>11.5636 * CHOOSE(CONTROL!$C$22, $C$13, 100%, $E$13)</f>
        <v>11.563599999999999</v>
      </c>
      <c r="H622" s="64">
        <f>19.6189* CHOOSE(CONTROL!$C$22, $C$13, 100%, $E$13)</f>
        <v>19.6189</v>
      </c>
      <c r="I622" s="64">
        <f>19.6345 * CHOOSE(CONTROL!$C$22, $C$13, 100%, $E$13)</f>
        <v>19.634499999999999</v>
      </c>
      <c r="J622" s="64">
        <f>11.548 * CHOOSE(CONTROL!$C$22, $C$13, 100%, $E$13)</f>
        <v>11.548</v>
      </c>
      <c r="K622" s="64">
        <f>11.5636 * CHOOSE(CONTROL!$C$22, $C$13, 100%, $E$13)</f>
        <v>11.563599999999999</v>
      </c>
    </row>
    <row r="623" spans="1:11" ht="15">
      <c r="A623" s="13">
        <v>60449</v>
      </c>
      <c r="B623" s="63">
        <f>9.9932 * CHOOSE(CONTROL!$C$22, $C$13, 100%, $E$13)</f>
        <v>9.9931999999999999</v>
      </c>
      <c r="C623" s="63">
        <f>9.9932 * CHOOSE(CONTROL!$C$22, $C$13, 100%, $E$13)</f>
        <v>9.9931999999999999</v>
      </c>
      <c r="D623" s="63">
        <f>10.0062 * CHOOSE(CONTROL!$C$22, $C$13, 100%, $E$13)</f>
        <v>10.0062</v>
      </c>
      <c r="E623" s="64">
        <f>11.735 * CHOOSE(CONTROL!$C$22, $C$13, 100%, $E$13)</f>
        <v>11.734999999999999</v>
      </c>
      <c r="F623" s="64">
        <f>11.735 * CHOOSE(CONTROL!$C$22, $C$13, 100%, $E$13)</f>
        <v>11.734999999999999</v>
      </c>
      <c r="G623" s="64">
        <f>11.7506 * CHOOSE(CONTROL!$C$22, $C$13, 100%, $E$13)</f>
        <v>11.7506</v>
      </c>
      <c r="H623" s="64">
        <f>19.6597* CHOOSE(CONTROL!$C$22, $C$13, 100%, $E$13)</f>
        <v>19.659700000000001</v>
      </c>
      <c r="I623" s="64">
        <f>19.6754 * CHOOSE(CONTROL!$C$22, $C$13, 100%, $E$13)</f>
        <v>19.6754</v>
      </c>
      <c r="J623" s="64">
        <f>11.735 * CHOOSE(CONTROL!$C$22, $C$13, 100%, $E$13)</f>
        <v>11.734999999999999</v>
      </c>
      <c r="K623" s="64">
        <f>11.7506 * CHOOSE(CONTROL!$C$22, $C$13, 100%, $E$13)</f>
        <v>11.7506</v>
      </c>
    </row>
    <row r="624" spans="1:11" ht="15">
      <c r="A624" s="13">
        <v>60480</v>
      </c>
      <c r="B624" s="63">
        <f>9.9999 * CHOOSE(CONTROL!$C$22, $C$13, 100%, $E$13)</f>
        <v>9.9999000000000002</v>
      </c>
      <c r="C624" s="63">
        <f>9.9999 * CHOOSE(CONTROL!$C$22, $C$13, 100%, $E$13)</f>
        <v>9.9999000000000002</v>
      </c>
      <c r="D624" s="63">
        <f>10.0129 * CHOOSE(CONTROL!$C$22, $C$13, 100%, $E$13)</f>
        <v>10.0129</v>
      </c>
      <c r="E624" s="64">
        <f>11.5532 * CHOOSE(CONTROL!$C$22, $C$13, 100%, $E$13)</f>
        <v>11.5532</v>
      </c>
      <c r="F624" s="64">
        <f>11.5532 * CHOOSE(CONTROL!$C$22, $C$13, 100%, $E$13)</f>
        <v>11.5532</v>
      </c>
      <c r="G624" s="64">
        <f>11.5689 * CHOOSE(CONTROL!$C$22, $C$13, 100%, $E$13)</f>
        <v>11.568899999999999</v>
      </c>
      <c r="H624" s="64">
        <f>19.7007* CHOOSE(CONTROL!$C$22, $C$13, 100%, $E$13)</f>
        <v>19.700700000000001</v>
      </c>
      <c r="I624" s="64">
        <f>19.7164 * CHOOSE(CONTROL!$C$22, $C$13, 100%, $E$13)</f>
        <v>19.7164</v>
      </c>
      <c r="J624" s="64">
        <f>11.5532 * CHOOSE(CONTROL!$C$22, $C$13, 100%, $E$13)</f>
        <v>11.5532</v>
      </c>
      <c r="K624" s="64">
        <f>11.5689 * CHOOSE(CONTROL!$C$22, $C$13, 100%, $E$13)</f>
        <v>11.568899999999999</v>
      </c>
    </row>
    <row r="625" spans="1:11" ht="15">
      <c r="A625" s="13">
        <v>60511</v>
      </c>
      <c r="B625" s="63">
        <f>9.9968 * CHOOSE(CONTROL!$C$22, $C$13, 100%, $E$13)</f>
        <v>9.9968000000000004</v>
      </c>
      <c r="C625" s="63">
        <f>9.9968 * CHOOSE(CONTROL!$C$22, $C$13, 100%, $E$13)</f>
        <v>9.9968000000000004</v>
      </c>
      <c r="D625" s="63">
        <f>10.0098 * CHOOSE(CONTROL!$C$22, $C$13, 100%, $E$13)</f>
        <v>10.0098</v>
      </c>
      <c r="E625" s="64">
        <f>11.5304 * CHOOSE(CONTROL!$C$22, $C$13, 100%, $E$13)</f>
        <v>11.5304</v>
      </c>
      <c r="F625" s="64">
        <f>11.5304 * CHOOSE(CONTROL!$C$22, $C$13, 100%, $E$13)</f>
        <v>11.5304</v>
      </c>
      <c r="G625" s="64">
        <f>11.5461 * CHOOSE(CONTROL!$C$22, $C$13, 100%, $E$13)</f>
        <v>11.546099999999999</v>
      </c>
      <c r="H625" s="64">
        <f>19.7417* CHOOSE(CONTROL!$C$22, $C$13, 100%, $E$13)</f>
        <v>19.741700000000002</v>
      </c>
      <c r="I625" s="64">
        <f>19.7574 * CHOOSE(CONTROL!$C$22, $C$13, 100%, $E$13)</f>
        <v>19.757400000000001</v>
      </c>
      <c r="J625" s="64">
        <f>11.5304 * CHOOSE(CONTROL!$C$22, $C$13, 100%, $E$13)</f>
        <v>11.5304</v>
      </c>
      <c r="K625" s="64">
        <f>11.5461 * CHOOSE(CONTROL!$C$22, $C$13, 100%, $E$13)</f>
        <v>11.546099999999999</v>
      </c>
    </row>
    <row r="626" spans="1:11" ht="15">
      <c r="A626" s="13">
        <v>60541</v>
      </c>
      <c r="B626" s="63">
        <f>10.0114 * CHOOSE(CONTROL!$C$22, $C$13, 100%, $E$13)</f>
        <v>10.0114</v>
      </c>
      <c r="C626" s="63">
        <f>10.0114 * CHOOSE(CONTROL!$C$22, $C$13, 100%, $E$13)</f>
        <v>10.0114</v>
      </c>
      <c r="D626" s="63">
        <f>10.0114 * CHOOSE(CONTROL!$C$22, $C$13, 100%, $E$13)</f>
        <v>10.0114</v>
      </c>
      <c r="E626" s="64">
        <f>11.5998 * CHOOSE(CONTROL!$C$22, $C$13, 100%, $E$13)</f>
        <v>11.5998</v>
      </c>
      <c r="F626" s="64">
        <f>11.5998 * CHOOSE(CONTROL!$C$22, $C$13, 100%, $E$13)</f>
        <v>11.5998</v>
      </c>
      <c r="G626" s="64">
        <f>11.5999 * CHOOSE(CONTROL!$C$22, $C$13, 100%, $E$13)</f>
        <v>11.5999</v>
      </c>
      <c r="H626" s="64">
        <f>19.7829* CHOOSE(CONTROL!$C$22, $C$13, 100%, $E$13)</f>
        <v>19.782900000000001</v>
      </c>
      <c r="I626" s="64">
        <f>19.7829 * CHOOSE(CONTROL!$C$22, $C$13, 100%, $E$13)</f>
        <v>19.782900000000001</v>
      </c>
      <c r="J626" s="64">
        <f>11.5998 * CHOOSE(CONTROL!$C$22, $C$13, 100%, $E$13)</f>
        <v>11.5998</v>
      </c>
      <c r="K626" s="64">
        <f>11.5999 * CHOOSE(CONTROL!$C$22, $C$13, 100%, $E$13)</f>
        <v>11.5999</v>
      </c>
    </row>
    <row r="627" spans="1:11" ht="15">
      <c r="A627" s="13">
        <v>60572</v>
      </c>
      <c r="B627" s="63">
        <f>10.0144 * CHOOSE(CONTROL!$C$22, $C$13, 100%, $E$13)</f>
        <v>10.0144</v>
      </c>
      <c r="C627" s="63">
        <f>10.0144 * CHOOSE(CONTROL!$C$22, $C$13, 100%, $E$13)</f>
        <v>10.0144</v>
      </c>
      <c r="D627" s="63">
        <f>10.0144 * CHOOSE(CONTROL!$C$22, $C$13, 100%, $E$13)</f>
        <v>10.0144</v>
      </c>
      <c r="E627" s="64">
        <f>11.6434 * CHOOSE(CONTROL!$C$22, $C$13, 100%, $E$13)</f>
        <v>11.6434</v>
      </c>
      <c r="F627" s="64">
        <f>11.6434 * CHOOSE(CONTROL!$C$22, $C$13, 100%, $E$13)</f>
        <v>11.6434</v>
      </c>
      <c r="G627" s="64">
        <f>11.6434 * CHOOSE(CONTROL!$C$22, $C$13, 100%, $E$13)</f>
        <v>11.6434</v>
      </c>
      <c r="H627" s="64">
        <f>19.8241* CHOOSE(CONTROL!$C$22, $C$13, 100%, $E$13)</f>
        <v>19.824100000000001</v>
      </c>
      <c r="I627" s="64">
        <f>19.8242 * CHOOSE(CONTROL!$C$22, $C$13, 100%, $E$13)</f>
        <v>19.824200000000001</v>
      </c>
      <c r="J627" s="64">
        <f>11.6434 * CHOOSE(CONTROL!$C$22, $C$13, 100%, $E$13)</f>
        <v>11.6434</v>
      </c>
      <c r="K627" s="64">
        <f>11.6434 * CHOOSE(CONTROL!$C$22, $C$13, 100%, $E$13)</f>
        <v>11.6434</v>
      </c>
    </row>
    <row r="628" spans="1:11" ht="15">
      <c r="A628" s="13">
        <v>60602</v>
      </c>
      <c r="B628" s="63">
        <f>10.0144 * CHOOSE(CONTROL!$C$22, $C$13, 100%, $E$13)</f>
        <v>10.0144</v>
      </c>
      <c r="C628" s="63">
        <f>10.0144 * CHOOSE(CONTROL!$C$22, $C$13, 100%, $E$13)</f>
        <v>10.0144</v>
      </c>
      <c r="D628" s="63">
        <f>10.0144 * CHOOSE(CONTROL!$C$22, $C$13, 100%, $E$13)</f>
        <v>10.0144</v>
      </c>
      <c r="E628" s="64">
        <f>11.5398 * CHOOSE(CONTROL!$C$22, $C$13, 100%, $E$13)</f>
        <v>11.5398</v>
      </c>
      <c r="F628" s="64">
        <f>11.5398 * CHOOSE(CONTROL!$C$22, $C$13, 100%, $E$13)</f>
        <v>11.5398</v>
      </c>
      <c r="G628" s="64">
        <f>11.5399 * CHOOSE(CONTROL!$C$22, $C$13, 100%, $E$13)</f>
        <v>11.539899999999999</v>
      </c>
      <c r="H628" s="64">
        <f>19.8654* CHOOSE(CONTROL!$C$22, $C$13, 100%, $E$13)</f>
        <v>19.865400000000001</v>
      </c>
      <c r="I628" s="64">
        <f>19.8655 * CHOOSE(CONTROL!$C$22, $C$13, 100%, $E$13)</f>
        <v>19.865500000000001</v>
      </c>
      <c r="J628" s="64">
        <f>11.5398 * CHOOSE(CONTROL!$C$22, $C$13, 100%, $E$13)</f>
        <v>11.5398</v>
      </c>
      <c r="K628" s="64">
        <f>11.5399 * CHOOSE(CONTROL!$C$22, $C$13, 100%, $E$13)</f>
        <v>11.539899999999999</v>
      </c>
    </row>
    <row r="629" spans="1:11" ht="15">
      <c r="A629" s="13">
        <v>60633</v>
      </c>
      <c r="B629" s="63">
        <f>10.074 * CHOOSE(CONTROL!$C$22, $C$13, 100%, $E$13)</f>
        <v>10.074</v>
      </c>
      <c r="C629" s="63">
        <f>10.074 * CHOOSE(CONTROL!$C$22, $C$13, 100%, $E$13)</f>
        <v>10.074</v>
      </c>
      <c r="D629" s="63">
        <f>10.074 * CHOOSE(CONTROL!$C$22, $C$13, 100%, $E$13)</f>
        <v>10.074</v>
      </c>
      <c r="E629" s="64">
        <f>11.6826 * CHOOSE(CONTROL!$C$22, $C$13, 100%, $E$13)</f>
        <v>11.682600000000001</v>
      </c>
      <c r="F629" s="64">
        <f>11.6826 * CHOOSE(CONTROL!$C$22, $C$13, 100%, $E$13)</f>
        <v>11.682600000000001</v>
      </c>
      <c r="G629" s="64">
        <f>11.6827 * CHOOSE(CONTROL!$C$22, $C$13, 100%, $E$13)</f>
        <v>11.682700000000001</v>
      </c>
      <c r="H629" s="64">
        <f>19.8617* CHOOSE(CONTROL!$C$22, $C$13, 100%, $E$13)</f>
        <v>19.861699999999999</v>
      </c>
      <c r="I629" s="64">
        <f>19.8617 * CHOOSE(CONTROL!$C$22, $C$13, 100%, $E$13)</f>
        <v>19.861699999999999</v>
      </c>
      <c r="J629" s="64">
        <f>11.6826 * CHOOSE(CONTROL!$C$22, $C$13, 100%, $E$13)</f>
        <v>11.682600000000001</v>
      </c>
      <c r="K629" s="64">
        <f>11.6827 * CHOOSE(CONTROL!$C$22, $C$13, 100%, $E$13)</f>
        <v>11.682700000000001</v>
      </c>
    </row>
    <row r="630" spans="1:11" ht="15">
      <c r="A630" s="13">
        <v>60664</v>
      </c>
      <c r="B630" s="63">
        <f>10.071 * CHOOSE(CONTROL!$C$22, $C$13, 100%, $E$13)</f>
        <v>10.071</v>
      </c>
      <c r="C630" s="63">
        <f>10.071 * CHOOSE(CONTROL!$C$22, $C$13, 100%, $E$13)</f>
        <v>10.071</v>
      </c>
      <c r="D630" s="63">
        <f>10.071 * CHOOSE(CONTROL!$C$22, $C$13, 100%, $E$13)</f>
        <v>10.071</v>
      </c>
      <c r="E630" s="64">
        <f>11.4799 * CHOOSE(CONTROL!$C$22, $C$13, 100%, $E$13)</f>
        <v>11.479900000000001</v>
      </c>
      <c r="F630" s="64">
        <f>11.4799 * CHOOSE(CONTROL!$C$22, $C$13, 100%, $E$13)</f>
        <v>11.479900000000001</v>
      </c>
      <c r="G630" s="64">
        <f>11.48 * CHOOSE(CONTROL!$C$22, $C$13, 100%, $E$13)</f>
        <v>11.48</v>
      </c>
      <c r="H630" s="64">
        <f>19.903* CHOOSE(CONTROL!$C$22, $C$13, 100%, $E$13)</f>
        <v>19.902999999999999</v>
      </c>
      <c r="I630" s="64">
        <f>19.9031 * CHOOSE(CONTROL!$C$22, $C$13, 100%, $E$13)</f>
        <v>19.903099999999998</v>
      </c>
      <c r="J630" s="64">
        <f>11.4799 * CHOOSE(CONTROL!$C$22, $C$13, 100%, $E$13)</f>
        <v>11.479900000000001</v>
      </c>
      <c r="K630" s="64">
        <f>11.48 * CHOOSE(CONTROL!$C$22, $C$13, 100%, $E$13)</f>
        <v>11.48</v>
      </c>
    </row>
    <row r="631" spans="1:11" ht="15">
      <c r="A631" s="13">
        <v>60692</v>
      </c>
      <c r="B631" s="63">
        <f>10.068 * CHOOSE(CONTROL!$C$22, $C$13, 100%, $E$13)</f>
        <v>10.068</v>
      </c>
      <c r="C631" s="63">
        <f>10.068 * CHOOSE(CONTROL!$C$22, $C$13, 100%, $E$13)</f>
        <v>10.068</v>
      </c>
      <c r="D631" s="63">
        <f>10.068 * CHOOSE(CONTROL!$C$22, $C$13, 100%, $E$13)</f>
        <v>10.068</v>
      </c>
      <c r="E631" s="64">
        <f>11.6359 * CHOOSE(CONTROL!$C$22, $C$13, 100%, $E$13)</f>
        <v>11.635899999999999</v>
      </c>
      <c r="F631" s="64">
        <f>11.6359 * CHOOSE(CONTROL!$C$22, $C$13, 100%, $E$13)</f>
        <v>11.635899999999999</v>
      </c>
      <c r="G631" s="64">
        <f>11.636 * CHOOSE(CONTROL!$C$22, $C$13, 100%, $E$13)</f>
        <v>11.635999999999999</v>
      </c>
      <c r="H631" s="64">
        <f>19.9445* CHOOSE(CONTROL!$C$22, $C$13, 100%, $E$13)</f>
        <v>19.944500000000001</v>
      </c>
      <c r="I631" s="64">
        <f>19.9446 * CHOOSE(CONTROL!$C$22, $C$13, 100%, $E$13)</f>
        <v>19.944600000000001</v>
      </c>
      <c r="J631" s="64">
        <f>11.6359 * CHOOSE(CONTROL!$C$22, $C$13, 100%, $E$13)</f>
        <v>11.635899999999999</v>
      </c>
      <c r="K631" s="64">
        <f>11.636 * CHOOSE(CONTROL!$C$22, $C$13, 100%, $E$13)</f>
        <v>11.635999999999999</v>
      </c>
    </row>
    <row r="632" spans="1:11" ht="15">
      <c r="A632" s="13">
        <v>60723</v>
      </c>
      <c r="B632" s="63">
        <f>10.0707 * CHOOSE(CONTROL!$C$22, $C$13, 100%, $E$13)</f>
        <v>10.0707</v>
      </c>
      <c r="C632" s="63">
        <f>10.0707 * CHOOSE(CONTROL!$C$22, $C$13, 100%, $E$13)</f>
        <v>10.0707</v>
      </c>
      <c r="D632" s="63">
        <f>10.0707 * CHOOSE(CONTROL!$C$22, $C$13, 100%, $E$13)</f>
        <v>10.0707</v>
      </c>
      <c r="E632" s="64">
        <f>11.8016 * CHOOSE(CONTROL!$C$22, $C$13, 100%, $E$13)</f>
        <v>11.801600000000001</v>
      </c>
      <c r="F632" s="64">
        <f>11.8016 * CHOOSE(CONTROL!$C$22, $C$13, 100%, $E$13)</f>
        <v>11.801600000000001</v>
      </c>
      <c r="G632" s="64">
        <f>11.8017 * CHOOSE(CONTROL!$C$22, $C$13, 100%, $E$13)</f>
        <v>11.8017</v>
      </c>
      <c r="H632" s="64">
        <f>19.986* CHOOSE(CONTROL!$C$22, $C$13, 100%, $E$13)</f>
        <v>19.986000000000001</v>
      </c>
      <c r="I632" s="64">
        <f>19.9861 * CHOOSE(CONTROL!$C$22, $C$13, 100%, $E$13)</f>
        <v>19.9861</v>
      </c>
      <c r="J632" s="64">
        <f>11.8016 * CHOOSE(CONTROL!$C$22, $C$13, 100%, $E$13)</f>
        <v>11.801600000000001</v>
      </c>
      <c r="K632" s="64">
        <f>11.8017 * CHOOSE(CONTROL!$C$22, $C$13, 100%, $E$13)</f>
        <v>11.8017</v>
      </c>
    </row>
    <row r="633" spans="1:11" ht="15">
      <c r="A633" s="13">
        <v>60753</v>
      </c>
      <c r="B633" s="63">
        <f>10.0707 * CHOOSE(CONTROL!$C$22, $C$13, 100%, $E$13)</f>
        <v>10.0707</v>
      </c>
      <c r="C633" s="63">
        <f>10.0707 * CHOOSE(CONTROL!$C$22, $C$13, 100%, $E$13)</f>
        <v>10.0707</v>
      </c>
      <c r="D633" s="63">
        <f>10.0837 * CHOOSE(CONTROL!$C$22, $C$13, 100%, $E$13)</f>
        <v>10.0837</v>
      </c>
      <c r="E633" s="64">
        <f>11.8653 * CHOOSE(CONTROL!$C$22, $C$13, 100%, $E$13)</f>
        <v>11.8653</v>
      </c>
      <c r="F633" s="64">
        <f>11.8653 * CHOOSE(CONTROL!$C$22, $C$13, 100%, $E$13)</f>
        <v>11.8653</v>
      </c>
      <c r="G633" s="64">
        <f>11.881 * CHOOSE(CONTROL!$C$22, $C$13, 100%, $E$13)</f>
        <v>11.881</v>
      </c>
      <c r="H633" s="64">
        <f>20.0277* CHOOSE(CONTROL!$C$22, $C$13, 100%, $E$13)</f>
        <v>20.027699999999999</v>
      </c>
      <c r="I633" s="64">
        <f>20.0434 * CHOOSE(CONTROL!$C$22, $C$13, 100%, $E$13)</f>
        <v>20.043399999999998</v>
      </c>
      <c r="J633" s="64">
        <f>11.8653 * CHOOSE(CONTROL!$C$22, $C$13, 100%, $E$13)</f>
        <v>11.8653</v>
      </c>
      <c r="K633" s="64">
        <f>11.881 * CHOOSE(CONTROL!$C$22, $C$13, 100%, $E$13)</f>
        <v>11.881</v>
      </c>
    </row>
    <row r="634" spans="1:11" ht="15">
      <c r="A634" s="13">
        <v>60784</v>
      </c>
      <c r="B634" s="63">
        <f>10.0768 * CHOOSE(CONTROL!$C$22, $C$13, 100%, $E$13)</f>
        <v>10.0768</v>
      </c>
      <c r="C634" s="63">
        <f>10.0768 * CHOOSE(CONTROL!$C$22, $C$13, 100%, $E$13)</f>
        <v>10.0768</v>
      </c>
      <c r="D634" s="63">
        <f>10.0898 * CHOOSE(CONTROL!$C$22, $C$13, 100%, $E$13)</f>
        <v>10.0898</v>
      </c>
      <c r="E634" s="64">
        <f>11.8058 * CHOOSE(CONTROL!$C$22, $C$13, 100%, $E$13)</f>
        <v>11.8058</v>
      </c>
      <c r="F634" s="64">
        <f>11.8058 * CHOOSE(CONTROL!$C$22, $C$13, 100%, $E$13)</f>
        <v>11.8058</v>
      </c>
      <c r="G634" s="64">
        <f>11.8215 * CHOOSE(CONTROL!$C$22, $C$13, 100%, $E$13)</f>
        <v>11.8215</v>
      </c>
      <c r="H634" s="64">
        <f>20.0694* CHOOSE(CONTROL!$C$22, $C$13, 100%, $E$13)</f>
        <v>20.069400000000002</v>
      </c>
      <c r="I634" s="64">
        <f>20.0851 * CHOOSE(CONTROL!$C$22, $C$13, 100%, $E$13)</f>
        <v>20.085100000000001</v>
      </c>
      <c r="J634" s="64">
        <f>11.8058 * CHOOSE(CONTROL!$C$22, $C$13, 100%, $E$13)</f>
        <v>11.8058</v>
      </c>
      <c r="K634" s="64">
        <f>11.8215 * CHOOSE(CONTROL!$C$22, $C$13, 100%, $E$13)</f>
        <v>11.8215</v>
      </c>
    </row>
    <row r="635" spans="1:11" ht="15">
      <c r="A635" s="13">
        <v>60814</v>
      </c>
      <c r="B635" s="63">
        <f>10.2324 * CHOOSE(CONTROL!$C$22, $C$13, 100%, $E$13)</f>
        <v>10.2324</v>
      </c>
      <c r="C635" s="63">
        <f>10.2324 * CHOOSE(CONTROL!$C$22, $C$13, 100%, $E$13)</f>
        <v>10.2324</v>
      </c>
      <c r="D635" s="63">
        <f>10.2453 * CHOOSE(CONTROL!$C$22, $C$13, 100%, $E$13)</f>
        <v>10.2453</v>
      </c>
      <c r="E635" s="64">
        <f>11.9967 * CHOOSE(CONTROL!$C$22, $C$13, 100%, $E$13)</f>
        <v>11.996700000000001</v>
      </c>
      <c r="F635" s="64">
        <f>11.9967 * CHOOSE(CONTROL!$C$22, $C$13, 100%, $E$13)</f>
        <v>11.996700000000001</v>
      </c>
      <c r="G635" s="64">
        <f>12.0124 * CHOOSE(CONTROL!$C$22, $C$13, 100%, $E$13)</f>
        <v>12.0124</v>
      </c>
      <c r="H635" s="64">
        <f>20.1112* CHOOSE(CONTROL!$C$22, $C$13, 100%, $E$13)</f>
        <v>20.1112</v>
      </c>
      <c r="I635" s="64">
        <f>20.1269 * CHOOSE(CONTROL!$C$22, $C$13, 100%, $E$13)</f>
        <v>20.126899999999999</v>
      </c>
      <c r="J635" s="64">
        <f>11.9967 * CHOOSE(CONTROL!$C$22, $C$13, 100%, $E$13)</f>
        <v>11.996700000000001</v>
      </c>
      <c r="K635" s="64">
        <f>12.0124 * CHOOSE(CONTROL!$C$22, $C$13, 100%, $E$13)</f>
        <v>12.0124</v>
      </c>
    </row>
    <row r="636" spans="1:11" ht="15">
      <c r="A636" s="13">
        <v>60845</v>
      </c>
      <c r="B636" s="63">
        <f>10.2391 * CHOOSE(CONTROL!$C$22, $C$13, 100%, $E$13)</f>
        <v>10.239100000000001</v>
      </c>
      <c r="C636" s="63">
        <f>10.2391 * CHOOSE(CONTROL!$C$22, $C$13, 100%, $E$13)</f>
        <v>10.239100000000001</v>
      </c>
      <c r="D636" s="63">
        <f>10.252 * CHOOSE(CONTROL!$C$22, $C$13, 100%, $E$13)</f>
        <v>10.252000000000001</v>
      </c>
      <c r="E636" s="64">
        <f>11.8103 * CHOOSE(CONTROL!$C$22, $C$13, 100%, $E$13)</f>
        <v>11.8103</v>
      </c>
      <c r="F636" s="64">
        <f>11.8103 * CHOOSE(CONTROL!$C$22, $C$13, 100%, $E$13)</f>
        <v>11.8103</v>
      </c>
      <c r="G636" s="64">
        <f>11.826 * CHOOSE(CONTROL!$C$22, $C$13, 100%, $E$13)</f>
        <v>11.826000000000001</v>
      </c>
      <c r="H636" s="64">
        <f>20.1531* CHOOSE(CONTROL!$C$22, $C$13, 100%, $E$13)</f>
        <v>20.153099999999998</v>
      </c>
      <c r="I636" s="64">
        <f>20.1688 * CHOOSE(CONTROL!$C$22, $C$13, 100%, $E$13)</f>
        <v>20.168800000000001</v>
      </c>
      <c r="J636" s="64">
        <f>11.8103 * CHOOSE(CONTROL!$C$22, $C$13, 100%, $E$13)</f>
        <v>11.8103</v>
      </c>
      <c r="K636" s="64">
        <f>11.826 * CHOOSE(CONTROL!$C$22, $C$13, 100%, $E$13)</f>
        <v>11.826000000000001</v>
      </c>
    </row>
    <row r="637" spans="1:11" ht="15">
      <c r="A637" s="13">
        <v>60876</v>
      </c>
      <c r="B637" s="63">
        <f>10.236 * CHOOSE(CONTROL!$C$22, $C$13, 100%, $E$13)</f>
        <v>10.236000000000001</v>
      </c>
      <c r="C637" s="63">
        <f>10.236 * CHOOSE(CONTROL!$C$22, $C$13, 100%, $E$13)</f>
        <v>10.236000000000001</v>
      </c>
      <c r="D637" s="63">
        <f>10.249 * CHOOSE(CONTROL!$C$22, $C$13, 100%, $E$13)</f>
        <v>10.249000000000001</v>
      </c>
      <c r="E637" s="64">
        <f>11.7869 * CHOOSE(CONTROL!$C$22, $C$13, 100%, $E$13)</f>
        <v>11.786899999999999</v>
      </c>
      <c r="F637" s="64">
        <f>11.7869 * CHOOSE(CONTROL!$C$22, $C$13, 100%, $E$13)</f>
        <v>11.786899999999999</v>
      </c>
      <c r="G637" s="64">
        <f>11.8026 * CHOOSE(CONTROL!$C$22, $C$13, 100%, $E$13)</f>
        <v>11.8026</v>
      </c>
      <c r="H637" s="64">
        <f>20.1951* CHOOSE(CONTROL!$C$22, $C$13, 100%, $E$13)</f>
        <v>20.1951</v>
      </c>
      <c r="I637" s="64">
        <f>20.2108 * CHOOSE(CONTROL!$C$22, $C$13, 100%, $E$13)</f>
        <v>20.210799999999999</v>
      </c>
      <c r="J637" s="64">
        <f>11.7869 * CHOOSE(CONTROL!$C$22, $C$13, 100%, $E$13)</f>
        <v>11.786899999999999</v>
      </c>
      <c r="K637" s="64">
        <f>11.8026 * CHOOSE(CONTROL!$C$22, $C$13, 100%, $E$13)</f>
        <v>11.8026</v>
      </c>
    </row>
    <row r="638" spans="1:11" ht="15">
      <c r="A638" s="13">
        <v>60906</v>
      </c>
      <c r="B638" s="63">
        <f>10.2513 * CHOOSE(CONTROL!$C$22, $C$13, 100%, $E$13)</f>
        <v>10.251300000000001</v>
      </c>
      <c r="C638" s="63">
        <f>10.2513 * CHOOSE(CONTROL!$C$22, $C$13, 100%, $E$13)</f>
        <v>10.251300000000001</v>
      </c>
      <c r="D638" s="63">
        <f>10.2513 * CHOOSE(CONTROL!$C$22, $C$13, 100%, $E$13)</f>
        <v>10.251300000000001</v>
      </c>
      <c r="E638" s="64">
        <f>11.8585 * CHOOSE(CONTROL!$C$22, $C$13, 100%, $E$13)</f>
        <v>11.858499999999999</v>
      </c>
      <c r="F638" s="64">
        <f>11.8585 * CHOOSE(CONTROL!$C$22, $C$13, 100%, $E$13)</f>
        <v>11.858499999999999</v>
      </c>
      <c r="G638" s="64">
        <f>11.8585 * CHOOSE(CONTROL!$C$22, $C$13, 100%, $E$13)</f>
        <v>11.858499999999999</v>
      </c>
      <c r="H638" s="64">
        <f>20.2372* CHOOSE(CONTROL!$C$22, $C$13, 100%, $E$13)</f>
        <v>20.237200000000001</v>
      </c>
      <c r="I638" s="64">
        <f>20.2373 * CHOOSE(CONTROL!$C$22, $C$13, 100%, $E$13)</f>
        <v>20.237300000000001</v>
      </c>
      <c r="J638" s="64">
        <f>11.8585 * CHOOSE(CONTROL!$C$22, $C$13, 100%, $E$13)</f>
        <v>11.858499999999999</v>
      </c>
      <c r="K638" s="64">
        <f>11.8585 * CHOOSE(CONTROL!$C$22, $C$13, 100%, $E$13)</f>
        <v>11.858499999999999</v>
      </c>
    </row>
    <row r="639" spans="1:11" ht="15">
      <c r="A639" s="13">
        <v>60937</v>
      </c>
      <c r="B639" s="63">
        <f>10.2544 * CHOOSE(CONTROL!$C$22, $C$13, 100%, $E$13)</f>
        <v>10.2544</v>
      </c>
      <c r="C639" s="63">
        <f>10.2544 * CHOOSE(CONTROL!$C$22, $C$13, 100%, $E$13)</f>
        <v>10.2544</v>
      </c>
      <c r="D639" s="63">
        <f>10.2544 * CHOOSE(CONTROL!$C$22, $C$13, 100%, $E$13)</f>
        <v>10.2544</v>
      </c>
      <c r="E639" s="64">
        <f>11.903 * CHOOSE(CONTROL!$C$22, $C$13, 100%, $E$13)</f>
        <v>11.903</v>
      </c>
      <c r="F639" s="64">
        <f>11.903 * CHOOSE(CONTROL!$C$22, $C$13, 100%, $E$13)</f>
        <v>11.903</v>
      </c>
      <c r="G639" s="64">
        <f>11.9031 * CHOOSE(CONTROL!$C$22, $C$13, 100%, $E$13)</f>
        <v>11.9031</v>
      </c>
      <c r="H639" s="64">
        <f>20.2793* CHOOSE(CONTROL!$C$22, $C$13, 100%, $E$13)</f>
        <v>20.279299999999999</v>
      </c>
      <c r="I639" s="64">
        <f>20.2794 * CHOOSE(CONTROL!$C$22, $C$13, 100%, $E$13)</f>
        <v>20.279399999999999</v>
      </c>
      <c r="J639" s="64">
        <f>11.903 * CHOOSE(CONTROL!$C$22, $C$13, 100%, $E$13)</f>
        <v>11.903</v>
      </c>
      <c r="K639" s="64">
        <f>11.9031 * CHOOSE(CONTROL!$C$22, $C$13, 100%, $E$13)</f>
        <v>11.9031</v>
      </c>
    </row>
    <row r="640" spans="1:11" ht="15">
      <c r="A640" s="13">
        <v>60967</v>
      </c>
      <c r="B640" s="63">
        <f>10.2544 * CHOOSE(CONTROL!$C$22, $C$13, 100%, $E$13)</f>
        <v>10.2544</v>
      </c>
      <c r="C640" s="63">
        <f>10.2544 * CHOOSE(CONTROL!$C$22, $C$13, 100%, $E$13)</f>
        <v>10.2544</v>
      </c>
      <c r="D640" s="63">
        <f>10.2544 * CHOOSE(CONTROL!$C$22, $C$13, 100%, $E$13)</f>
        <v>10.2544</v>
      </c>
      <c r="E640" s="64">
        <f>11.7969 * CHOOSE(CONTROL!$C$22, $C$13, 100%, $E$13)</f>
        <v>11.796900000000001</v>
      </c>
      <c r="F640" s="64">
        <f>11.7969 * CHOOSE(CONTROL!$C$22, $C$13, 100%, $E$13)</f>
        <v>11.796900000000001</v>
      </c>
      <c r="G640" s="64">
        <f>11.797 * CHOOSE(CONTROL!$C$22, $C$13, 100%, $E$13)</f>
        <v>11.797000000000001</v>
      </c>
      <c r="H640" s="64">
        <f>20.3216* CHOOSE(CONTROL!$C$22, $C$13, 100%, $E$13)</f>
        <v>20.3216</v>
      </c>
      <c r="I640" s="64">
        <f>20.3217 * CHOOSE(CONTROL!$C$22, $C$13, 100%, $E$13)</f>
        <v>20.3217</v>
      </c>
      <c r="J640" s="64">
        <f>11.7969 * CHOOSE(CONTROL!$C$22, $C$13, 100%, $E$13)</f>
        <v>11.796900000000001</v>
      </c>
      <c r="K640" s="64">
        <f>11.797 * CHOOSE(CONTROL!$C$22, $C$13, 100%, $E$13)</f>
        <v>11.797000000000001</v>
      </c>
    </row>
    <row r="641" spans="1:11" ht="15">
      <c r="A641" s="13">
        <v>60998</v>
      </c>
      <c r="B641" s="63">
        <f>10.3096 * CHOOSE(CONTROL!$C$22, $C$13, 100%, $E$13)</f>
        <v>10.3096</v>
      </c>
      <c r="C641" s="63">
        <f>10.3096 * CHOOSE(CONTROL!$C$22, $C$13, 100%, $E$13)</f>
        <v>10.3096</v>
      </c>
      <c r="D641" s="63">
        <f>10.3096 * CHOOSE(CONTROL!$C$22, $C$13, 100%, $E$13)</f>
        <v>10.3096</v>
      </c>
      <c r="E641" s="64">
        <f>11.9374 * CHOOSE(CONTROL!$C$22, $C$13, 100%, $E$13)</f>
        <v>11.9374</v>
      </c>
      <c r="F641" s="64">
        <f>11.9374 * CHOOSE(CONTROL!$C$22, $C$13, 100%, $E$13)</f>
        <v>11.9374</v>
      </c>
      <c r="G641" s="64">
        <f>11.9374 * CHOOSE(CONTROL!$C$22, $C$13, 100%, $E$13)</f>
        <v>11.9374</v>
      </c>
      <c r="H641" s="64">
        <f>20.3075* CHOOSE(CONTROL!$C$22, $C$13, 100%, $E$13)</f>
        <v>20.307500000000001</v>
      </c>
      <c r="I641" s="64">
        <f>20.3076 * CHOOSE(CONTROL!$C$22, $C$13, 100%, $E$13)</f>
        <v>20.307600000000001</v>
      </c>
      <c r="J641" s="64">
        <f>11.9374 * CHOOSE(CONTROL!$C$22, $C$13, 100%, $E$13)</f>
        <v>11.9374</v>
      </c>
      <c r="K641" s="64">
        <f>11.9374 * CHOOSE(CONTROL!$C$22, $C$13, 100%, $E$13)</f>
        <v>11.9374</v>
      </c>
    </row>
    <row r="642" spans="1:11" ht="15">
      <c r="A642" s="13">
        <v>61029</v>
      </c>
      <c r="B642" s="63">
        <f>10.3066 * CHOOSE(CONTROL!$C$22, $C$13, 100%, $E$13)</f>
        <v>10.3066</v>
      </c>
      <c r="C642" s="63">
        <f>10.3066 * CHOOSE(CONTROL!$C$22, $C$13, 100%, $E$13)</f>
        <v>10.3066</v>
      </c>
      <c r="D642" s="63">
        <f>10.3066 * CHOOSE(CONTROL!$C$22, $C$13, 100%, $E$13)</f>
        <v>10.3066</v>
      </c>
      <c r="E642" s="64">
        <f>11.7297 * CHOOSE(CONTROL!$C$22, $C$13, 100%, $E$13)</f>
        <v>11.729699999999999</v>
      </c>
      <c r="F642" s="64">
        <f>11.7297 * CHOOSE(CONTROL!$C$22, $C$13, 100%, $E$13)</f>
        <v>11.729699999999999</v>
      </c>
      <c r="G642" s="64">
        <f>11.7297 * CHOOSE(CONTROL!$C$22, $C$13, 100%, $E$13)</f>
        <v>11.729699999999999</v>
      </c>
      <c r="H642" s="64">
        <f>20.3499* CHOOSE(CONTROL!$C$22, $C$13, 100%, $E$13)</f>
        <v>20.349900000000002</v>
      </c>
      <c r="I642" s="64">
        <f>20.3499 * CHOOSE(CONTROL!$C$22, $C$13, 100%, $E$13)</f>
        <v>20.349900000000002</v>
      </c>
      <c r="J642" s="64">
        <f>11.7297 * CHOOSE(CONTROL!$C$22, $C$13, 100%, $E$13)</f>
        <v>11.729699999999999</v>
      </c>
      <c r="K642" s="64">
        <f>11.7297 * CHOOSE(CONTROL!$C$22, $C$13, 100%, $E$13)</f>
        <v>11.729699999999999</v>
      </c>
    </row>
    <row r="643" spans="1:11" ht="15">
      <c r="A643" s="13">
        <v>61057</v>
      </c>
      <c r="B643" s="63">
        <f>10.3035 * CHOOSE(CONTROL!$C$22, $C$13, 100%, $E$13)</f>
        <v>10.3035</v>
      </c>
      <c r="C643" s="63">
        <f>10.3035 * CHOOSE(CONTROL!$C$22, $C$13, 100%, $E$13)</f>
        <v>10.3035</v>
      </c>
      <c r="D643" s="63">
        <f>10.3035 * CHOOSE(CONTROL!$C$22, $C$13, 100%, $E$13)</f>
        <v>10.3035</v>
      </c>
      <c r="E643" s="64">
        <f>11.8896 * CHOOSE(CONTROL!$C$22, $C$13, 100%, $E$13)</f>
        <v>11.8896</v>
      </c>
      <c r="F643" s="64">
        <f>11.8896 * CHOOSE(CONTROL!$C$22, $C$13, 100%, $E$13)</f>
        <v>11.8896</v>
      </c>
      <c r="G643" s="64">
        <f>11.8897 * CHOOSE(CONTROL!$C$22, $C$13, 100%, $E$13)</f>
        <v>11.889699999999999</v>
      </c>
      <c r="H643" s="64">
        <f>20.3922* CHOOSE(CONTROL!$C$22, $C$13, 100%, $E$13)</f>
        <v>20.392199999999999</v>
      </c>
      <c r="I643" s="64">
        <f>20.3923 * CHOOSE(CONTROL!$C$22, $C$13, 100%, $E$13)</f>
        <v>20.392299999999999</v>
      </c>
      <c r="J643" s="64">
        <f>11.8896 * CHOOSE(CONTROL!$C$22, $C$13, 100%, $E$13)</f>
        <v>11.8896</v>
      </c>
      <c r="K643" s="64">
        <f>11.8897 * CHOOSE(CONTROL!$C$22, $C$13, 100%, $E$13)</f>
        <v>11.889699999999999</v>
      </c>
    </row>
    <row r="644" spans="1:11" ht="15">
      <c r="A644" s="13">
        <v>61088</v>
      </c>
      <c r="B644" s="63">
        <f>10.3065 * CHOOSE(CONTROL!$C$22, $C$13, 100%, $E$13)</f>
        <v>10.3065</v>
      </c>
      <c r="C644" s="63">
        <f>10.3065 * CHOOSE(CONTROL!$C$22, $C$13, 100%, $E$13)</f>
        <v>10.3065</v>
      </c>
      <c r="D644" s="63">
        <f>10.3065 * CHOOSE(CONTROL!$C$22, $C$13, 100%, $E$13)</f>
        <v>10.3065</v>
      </c>
      <c r="E644" s="64">
        <f>12.0594 * CHOOSE(CONTROL!$C$22, $C$13, 100%, $E$13)</f>
        <v>12.0594</v>
      </c>
      <c r="F644" s="64">
        <f>12.0594 * CHOOSE(CONTROL!$C$22, $C$13, 100%, $E$13)</f>
        <v>12.0594</v>
      </c>
      <c r="G644" s="64">
        <f>12.0595 * CHOOSE(CONTROL!$C$22, $C$13, 100%, $E$13)</f>
        <v>12.0595</v>
      </c>
      <c r="H644" s="64">
        <f>20.4347* CHOOSE(CONTROL!$C$22, $C$13, 100%, $E$13)</f>
        <v>20.434699999999999</v>
      </c>
      <c r="I644" s="64">
        <f>20.4348 * CHOOSE(CONTROL!$C$22, $C$13, 100%, $E$13)</f>
        <v>20.434799999999999</v>
      </c>
      <c r="J644" s="64">
        <f>12.0594 * CHOOSE(CONTROL!$C$22, $C$13, 100%, $E$13)</f>
        <v>12.0594</v>
      </c>
      <c r="K644" s="64">
        <f>12.0595 * CHOOSE(CONTROL!$C$22, $C$13, 100%, $E$13)</f>
        <v>12.0595</v>
      </c>
    </row>
    <row r="645" spans="1:11" ht="15">
      <c r="A645" s="13">
        <v>61118</v>
      </c>
      <c r="B645" s="63">
        <f>10.3065 * CHOOSE(CONTROL!$C$22, $C$13, 100%, $E$13)</f>
        <v>10.3065</v>
      </c>
      <c r="C645" s="63">
        <f>10.3065 * CHOOSE(CONTROL!$C$22, $C$13, 100%, $E$13)</f>
        <v>10.3065</v>
      </c>
      <c r="D645" s="63">
        <f>10.3195 * CHOOSE(CONTROL!$C$22, $C$13, 100%, $E$13)</f>
        <v>10.3195</v>
      </c>
      <c r="E645" s="64">
        <f>12.1247 * CHOOSE(CONTROL!$C$22, $C$13, 100%, $E$13)</f>
        <v>12.124700000000001</v>
      </c>
      <c r="F645" s="64">
        <f>12.1247 * CHOOSE(CONTROL!$C$22, $C$13, 100%, $E$13)</f>
        <v>12.124700000000001</v>
      </c>
      <c r="G645" s="64">
        <f>12.1404 * CHOOSE(CONTROL!$C$22, $C$13, 100%, $E$13)</f>
        <v>12.1404</v>
      </c>
      <c r="H645" s="64">
        <f>20.4773* CHOOSE(CONTROL!$C$22, $C$13, 100%, $E$13)</f>
        <v>20.4773</v>
      </c>
      <c r="I645" s="64">
        <f>20.493 * CHOOSE(CONTROL!$C$22, $C$13, 100%, $E$13)</f>
        <v>20.492999999999999</v>
      </c>
      <c r="J645" s="64">
        <f>12.1247 * CHOOSE(CONTROL!$C$22, $C$13, 100%, $E$13)</f>
        <v>12.124700000000001</v>
      </c>
      <c r="K645" s="64">
        <f>12.1404 * CHOOSE(CONTROL!$C$22, $C$13, 100%, $E$13)</f>
        <v>12.1404</v>
      </c>
    </row>
    <row r="646" spans="1:11" ht="15">
      <c r="A646" s="13">
        <v>61149</v>
      </c>
      <c r="B646" s="63">
        <f>10.3126 * CHOOSE(CONTROL!$C$22, $C$13, 100%, $E$13)</f>
        <v>10.3126</v>
      </c>
      <c r="C646" s="63">
        <f>10.3126 * CHOOSE(CONTROL!$C$22, $C$13, 100%, $E$13)</f>
        <v>10.3126</v>
      </c>
      <c r="D646" s="63">
        <f>10.3256 * CHOOSE(CONTROL!$C$22, $C$13, 100%, $E$13)</f>
        <v>10.3256</v>
      </c>
      <c r="E646" s="64">
        <f>12.0637 * CHOOSE(CONTROL!$C$22, $C$13, 100%, $E$13)</f>
        <v>12.063700000000001</v>
      </c>
      <c r="F646" s="64">
        <f>12.0637 * CHOOSE(CONTROL!$C$22, $C$13, 100%, $E$13)</f>
        <v>12.063700000000001</v>
      </c>
      <c r="G646" s="64">
        <f>12.0794 * CHOOSE(CONTROL!$C$22, $C$13, 100%, $E$13)</f>
        <v>12.0794</v>
      </c>
      <c r="H646" s="64">
        <f>20.52* CHOOSE(CONTROL!$C$22, $C$13, 100%, $E$13)</f>
        <v>20.52</v>
      </c>
      <c r="I646" s="64">
        <f>20.5356 * CHOOSE(CONTROL!$C$22, $C$13, 100%, $E$13)</f>
        <v>20.535599999999999</v>
      </c>
      <c r="J646" s="64">
        <f>12.0637 * CHOOSE(CONTROL!$C$22, $C$13, 100%, $E$13)</f>
        <v>12.063700000000001</v>
      </c>
      <c r="K646" s="64">
        <f>12.0794 * CHOOSE(CONTROL!$C$22, $C$13, 100%, $E$13)</f>
        <v>12.0794</v>
      </c>
    </row>
    <row r="647" spans="1:11" ht="15">
      <c r="A647" s="13">
        <v>61179</v>
      </c>
      <c r="B647" s="63">
        <f>10.4716 * CHOOSE(CONTROL!$C$22, $C$13, 100%, $E$13)</f>
        <v>10.4716</v>
      </c>
      <c r="C647" s="63">
        <f>10.4716 * CHOOSE(CONTROL!$C$22, $C$13, 100%, $E$13)</f>
        <v>10.4716</v>
      </c>
      <c r="D647" s="63">
        <f>10.4845 * CHOOSE(CONTROL!$C$22, $C$13, 100%, $E$13)</f>
        <v>10.484500000000001</v>
      </c>
      <c r="E647" s="64">
        <f>12.2585 * CHOOSE(CONTROL!$C$22, $C$13, 100%, $E$13)</f>
        <v>12.2585</v>
      </c>
      <c r="F647" s="64">
        <f>12.2585 * CHOOSE(CONTROL!$C$22, $C$13, 100%, $E$13)</f>
        <v>12.2585</v>
      </c>
      <c r="G647" s="64">
        <f>12.2742 * CHOOSE(CONTROL!$C$22, $C$13, 100%, $E$13)</f>
        <v>12.2742</v>
      </c>
      <c r="H647" s="64">
        <f>20.5627* CHOOSE(CONTROL!$C$22, $C$13, 100%, $E$13)</f>
        <v>20.5627</v>
      </c>
      <c r="I647" s="64">
        <f>20.5784 * CHOOSE(CONTROL!$C$22, $C$13, 100%, $E$13)</f>
        <v>20.578399999999998</v>
      </c>
      <c r="J647" s="64">
        <f>12.2585 * CHOOSE(CONTROL!$C$22, $C$13, 100%, $E$13)</f>
        <v>12.2585</v>
      </c>
      <c r="K647" s="64">
        <f>12.2742 * CHOOSE(CONTROL!$C$22, $C$13, 100%, $E$13)</f>
        <v>12.2742</v>
      </c>
    </row>
    <row r="648" spans="1:11" ht="15">
      <c r="A648" s="13">
        <v>61210</v>
      </c>
      <c r="B648" s="63">
        <f>10.4782 * CHOOSE(CONTROL!$C$22, $C$13, 100%, $E$13)</f>
        <v>10.478199999999999</v>
      </c>
      <c r="C648" s="63">
        <f>10.4782 * CHOOSE(CONTROL!$C$22, $C$13, 100%, $E$13)</f>
        <v>10.478199999999999</v>
      </c>
      <c r="D648" s="63">
        <f>10.4912 * CHOOSE(CONTROL!$C$22, $C$13, 100%, $E$13)</f>
        <v>10.491199999999999</v>
      </c>
      <c r="E648" s="64">
        <f>12.0674 * CHOOSE(CONTROL!$C$22, $C$13, 100%, $E$13)</f>
        <v>12.067399999999999</v>
      </c>
      <c r="F648" s="64">
        <f>12.0674 * CHOOSE(CONTROL!$C$22, $C$13, 100%, $E$13)</f>
        <v>12.067399999999999</v>
      </c>
      <c r="G648" s="64">
        <f>12.083 * CHOOSE(CONTROL!$C$22, $C$13, 100%, $E$13)</f>
        <v>12.083</v>
      </c>
      <c r="H648" s="64">
        <f>20.6056* CHOOSE(CONTROL!$C$22, $C$13, 100%, $E$13)</f>
        <v>20.605599999999999</v>
      </c>
      <c r="I648" s="64">
        <f>20.6212 * CHOOSE(CONTROL!$C$22, $C$13, 100%, $E$13)</f>
        <v>20.621200000000002</v>
      </c>
      <c r="J648" s="64">
        <f>12.0674 * CHOOSE(CONTROL!$C$22, $C$13, 100%, $E$13)</f>
        <v>12.067399999999999</v>
      </c>
      <c r="K648" s="64">
        <f>12.083 * CHOOSE(CONTROL!$C$22, $C$13, 100%, $E$13)</f>
        <v>12.083</v>
      </c>
    </row>
    <row r="649" spans="1:11" ht="15">
      <c r="A649" s="13">
        <v>61241</v>
      </c>
      <c r="B649" s="63">
        <f>10.4752 * CHOOSE(CONTROL!$C$22, $C$13, 100%, $E$13)</f>
        <v>10.475199999999999</v>
      </c>
      <c r="C649" s="63">
        <f>10.4752 * CHOOSE(CONTROL!$C$22, $C$13, 100%, $E$13)</f>
        <v>10.475199999999999</v>
      </c>
      <c r="D649" s="63">
        <f>10.4882 * CHOOSE(CONTROL!$C$22, $C$13, 100%, $E$13)</f>
        <v>10.488200000000001</v>
      </c>
      <c r="E649" s="64">
        <f>12.0435 * CHOOSE(CONTROL!$C$22, $C$13, 100%, $E$13)</f>
        <v>12.0435</v>
      </c>
      <c r="F649" s="64">
        <f>12.0435 * CHOOSE(CONTROL!$C$22, $C$13, 100%, $E$13)</f>
        <v>12.0435</v>
      </c>
      <c r="G649" s="64">
        <f>12.0592 * CHOOSE(CONTROL!$C$22, $C$13, 100%, $E$13)</f>
        <v>12.059200000000001</v>
      </c>
      <c r="H649" s="64">
        <f>20.6485* CHOOSE(CONTROL!$C$22, $C$13, 100%, $E$13)</f>
        <v>20.648499999999999</v>
      </c>
      <c r="I649" s="64">
        <f>20.6642 * CHOOSE(CONTROL!$C$22, $C$13, 100%, $E$13)</f>
        <v>20.664200000000001</v>
      </c>
      <c r="J649" s="64">
        <f>12.0435 * CHOOSE(CONTROL!$C$22, $C$13, 100%, $E$13)</f>
        <v>12.0435</v>
      </c>
      <c r="K649" s="64">
        <f>12.0592 * CHOOSE(CONTROL!$C$22, $C$13, 100%, $E$13)</f>
        <v>12.059200000000001</v>
      </c>
    </row>
    <row r="650" spans="1:11" ht="15">
      <c r="A650" s="13">
        <v>61271</v>
      </c>
      <c r="B650" s="63">
        <f>10.4913 * CHOOSE(CONTROL!$C$22, $C$13, 100%, $E$13)</f>
        <v>10.491300000000001</v>
      </c>
      <c r="C650" s="63">
        <f>10.4913 * CHOOSE(CONTROL!$C$22, $C$13, 100%, $E$13)</f>
        <v>10.491300000000001</v>
      </c>
      <c r="D650" s="63">
        <f>10.4913 * CHOOSE(CONTROL!$C$22, $C$13, 100%, $E$13)</f>
        <v>10.491300000000001</v>
      </c>
      <c r="E650" s="64">
        <f>12.1171 * CHOOSE(CONTROL!$C$22, $C$13, 100%, $E$13)</f>
        <v>12.117100000000001</v>
      </c>
      <c r="F650" s="64">
        <f>12.1171 * CHOOSE(CONTROL!$C$22, $C$13, 100%, $E$13)</f>
        <v>12.117100000000001</v>
      </c>
      <c r="G650" s="64">
        <f>12.1172 * CHOOSE(CONTROL!$C$22, $C$13, 100%, $E$13)</f>
        <v>12.1172</v>
      </c>
      <c r="H650" s="64">
        <f>20.6915* CHOOSE(CONTROL!$C$22, $C$13, 100%, $E$13)</f>
        <v>20.691500000000001</v>
      </c>
      <c r="I650" s="64">
        <f>20.6916 * CHOOSE(CONTROL!$C$22, $C$13, 100%, $E$13)</f>
        <v>20.691600000000001</v>
      </c>
      <c r="J650" s="64">
        <f>12.1171 * CHOOSE(CONTROL!$C$22, $C$13, 100%, $E$13)</f>
        <v>12.117100000000001</v>
      </c>
      <c r="K650" s="64">
        <f>12.1172 * CHOOSE(CONTROL!$C$22, $C$13, 100%, $E$13)</f>
        <v>12.1172</v>
      </c>
    </row>
    <row r="651" spans="1:11" ht="15">
      <c r="A651" s="13">
        <v>61302</v>
      </c>
      <c r="B651" s="63">
        <f>10.4943 * CHOOSE(CONTROL!$C$22, $C$13, 100%, $E$13)</f>
        <v>10.494300000000001</v>
      </c>
      <c r="C651" s="63">
        <f>10.4943 * CHOOSE(CONTROL!$C$22, $C$13, 100%, $E$13)</f>
        <v>10.494300000000001</v>
      </c>
      <c r="D651" s="63">
        <f>10.4943 * CHOOSE(CONTROL!$C$22, $C$13, 100%, $E$13)</f>
        <v>10.494300000000001</v>
      </c>
      <c r="E651" s="64">
        <f>12.1627 * CHOOSE(CONTROL!$C$22, $C$13, 100%, $E$13)</f>
        <v>12.162699999999999</v>
      </c>
      <c r="F651" s="64">
        <f>12.1627 * CHOOSE(CONTROL!$C$22, $C$13, 100%, $E$13)</f>
        <v>12.162699999999999</v>
      </c>
      <c r="G651" s="64">
        <f>12.1628 * CHOOSE(CONTROL!$C$22, $C$13, 100%, $E$13)</f>
        <v>12.162800000000001</v>
      </c>
      <c r="H651" s="64">
        <f>20.7346* CHOOSE(CONTROL!$C$22, $C$13, 100%, $E$13)</f>
        <v>20.7346</v>
      </c>
      <c r="I651" s="64">
        <f>20.7347 * CHOOSE(CONTROL!$C$22, $C$13, 100%, $E$13)</f>
        <v>20.7347</v>
      </c>
      <c r="J651" s="64">
        <f>12.1627 * CHOOSE(CONTROL!$C$22, $C$13, 100%, $E$13)</f>
        <v>12.162699999999999</v>
      </c>
      <c r="K651" s="64">
        <f>12.1628 * CHOOSE(CONTROL!$C$22, $C$13, 100%, $E$13)</f>
        <v>12.162800000000001</v>
      </c>
    </row>
    <row r="652" spans="1:11" ht="15">
      <c r="A652" s="13">
        <v>61332</v>
      </c>
      <c r="B652" s="63">
        <f>10.4943 * CHOOSE(CONTROL!$C$22, $C$13, 100%, $E$13)</f>
        <v>10.494300000000001</v>
      </c>
      <c r="C652" s="63">
        <f>10.4943 * CHOOSE(CONTROL!$C$22, $C$13, 100%, $E$13)</f>
        <v>10.494300000000001</v>
      </c>
      <c r="D652" s="63">
        <f>10.4943 * CHOOSE(CONTROL!$C$22, $C$13, 100%, $E$13)</f>
        <v>10.494300000000001</v>
      </c>
      <c r="E652" s="64">
        <f>12.0539 * CHOOSE(CONTROL!$C$22, $C$13, 100%, $E$13)</f>
        <v>12.053900000000001</v>
      </c>
      <c r="F652" s="64">
        <f>12.0539 * CHOOSE(CONTROL!$C$22, $C$13, 100%, $E$13)</f>
        <v>12.053900000000001</v>
      </c>
      <c r="G652" s="64">
        <f>12.054 * CHOOSE(CONTROL!$C$22, $C$13, 100%, $E$13)</f>
        <v>12.054</v>
      </c>
      <c r="H652" s="64">
        <f>20.7778* CHOOSE(CONTROL!$C$22, $C$13, 100%, $E$13)</f>
        <v>20.777799999999999</v>
      </c>
      <c r="I652" s="64">
        <f>20.7779 * CHOOSE(CONTROL!$C$22, $C$13, 100%, $E$13)</f>
        <v>20.777899999999999</v>
      </c>
      <c r="J652" s="64">
        <f>12.0539 * CHOOSE(CONTROL!$C$22, $C$13, 100%, $E$13)</f>
        <v>12.053900000000001</v>
      </c>
      <c r="K652" s="64">
        <f>12.054 * CHOOSE(CONTROL!$C$22, $C$13, 100%, $E$13)</f>
        <v>12.054</v>
      </c>
    </row>
    <row r="653" spans="1:11" ht="15">
      <c r="A653" s="13">
        <v>61363</v>
      </c>
      <c r="B653" s="63">
        <f>10.5452 * CHOOSE(CONTROL!$C$22, $C$13, 100%, $E$13)</f>
        <v>10.545199999999999</v>
      </c>
      <c r="C653" s="63">
        <f>10.5452 * CHOOSE(CONTROL!$C$22, $C$13, 100%, $E$13)</f>
        <v>10.545199999999999</v>
      </c>
      <c r="D653" s="63">
        <f>10.5452 * CHOOSE(CONTROL!$C$22, $C$13, 100%, $E$13)</f>
        <v>10.545199999999999</v>
      </c>
      <c r="E653" s="64">
        <f>12.1921 * CHOOSE(CONTROL!$C$22, $C$13, 100%, $E$13)</f>
        <v>12.1921</v>
      </c>
      <c r="F653" s="64">
        <f>12.1921 * CHOOSE(CONTROL!$C$22, $C$13, 100%, $E$13)</f>
        <v>12.1921</v>
      </c>
      <c r="G653" s="64">
        <f>12.1922 * CHOOSE(CONTROL!$C$22, $C$13, 100%, $E$13)</f>
        <v>12.1922</v>
      </c>
      <c r="H653" s="64">
        <f>20.7534* CHOOSE(CONTROL!$C$22, $C$13, 100%, $E$13)</f>
        <v>20.753399999999999</v>
      </c>
      <c r="I653" s="64">
        <f>20.7535 * CHOOSE(CONTROL!$C$22, $C$13, 100%, $E$13)</f>
        <v>20.753499999999999</v>
      </c>
      <c r="J653" s="64">
        <f>12.1921 * CHOOSE(CONTROL!$C$22, $C$13, 100%, $E$13)</f>
        <v>12.1921</v>
      </c>
      <c r="K653" s="64">
        <f>12.1922 * CHOOSE(CONTROL!$C$22, $C$13, 100%, $E$13)</f>
        <v>12.1922</v>
      </c>
    </row>
    <row r="654" spans="1:11" ht="15">
      <c r="A654" s="13">
        <v>61394</v>
      </c>
      <c r="B654" s="63">
        <f>10.5421 * CHOOSE(CONTROL!$C$22, $C$13, 100%, $E$13)</f>
        <v>10.5421</v>
      </c>
      <c r="C654" s="63">
        <f>10.5421 * CHOOSE(CONTROL!$C$22, $C$13, 100%, $E$13)</f>
        <v>10.5421</v>
      </c>
      <c r="D654" s="63">
        <f>10.5421 * CHOOSE(CONTROL!$C$22, $C$13, 100%, $E$13)</f>
        <v>10.5421</v>
      </c>
      <c r="E654" s="64">
        <f>11.9794 * CHOOSE(CONTROL!$C$22, $C$13, 100%, $E$13)</f>
        <v>11.9794</v>
      </c>
      <c r="F654" s="64">
        <f>11.9794 * CHOOSE(CONTROL!$C$22, $C$13, 100%, $E$13)</f>
        <v>11.9794</v>
      </c>
      <c r="G654" s="64">
        <f>11.9795 * CHOOSE(CONTROL!$C$22, $C$13, 100%, $E$13)</f>
        <v>11.9795</v>
      </c>
      <c r="H654" s="64">
        <f>20.7967* CHOOSE(CONTROL!$C$22, $C$13, 100%, $E$13)</f>
        <v>20.796700000000001</v>
      </c>
      <c r="I654" s="64">
        <f>20.7968 * CHOOSE(CONTROL!$C$22, $C$13, 100%, $E$13)</f>
        <v>20.796800000000001</v>
      </c>
      <c r="J654" s="64">
        <f>11.9794 * CHOOSE(CONTROL!$C$22, $C$13, 100%, $E$13)</f>
        <v>11.9794</v>
      </c>
      <c r="K654" s="64">
        <f>11.9795 * CHOOSE(CONTROL!$C$22, $C$13, 100%, $E$13)</f>
        <v>11.9795</v>
      </c>
    </row>
    <row r="655" spans="1:11" ht="15">
      <c r="A655" s="13">
        <v>61423</v>
      </c>
      <c r="B655" s="63">
        <f>10.5391 * CHOOSE(CONTROL!$C$22, $C$13, 100%, $E$13)</f>
        <v>10.539099999999999</v>
      </c>
      <c r="C655" s="63">
        <f>10.5391 * CHOOSE(CONTROL!$C$22, $C$13, 100%, $E$13)</f>
        <v>10.539099999999999</v>
      </c>
      <c r="D655" s="63">
        <f>10.5391 * CHOOSE(CONTROL!$C$22, $C$13, 100%, $E$13)</f>
        <v>10.539099999999999</v>
      </c>
      <c r="E655" s="64">
        <f>12.1433 * CHOOSE(CONTROL!$C$22, $C$13, 100%, $E$13)</f>
        <v>12.1433</v>
      </c>
      <c r="F655" s="64">
        <f>12.1433 * CHOOSE(CONTROL!$C$22, $C$13, 100%, $E$13)</f>
        <v>12.1433</v>
      </c>
      <c r="G655" s="64">
        <f>12.1434 * CHOOSE(CONTROL!$C$22, $C$13, 100%, $E$13)</f>
        <v>12.1434</v>
      </c>
      <c r="H655" s="64">
        <f>20.84* CHOOSE(CONTROL!$C$22, $C$13, 100%, $E$13)</f>
        <v>20.84</v>
      </c>
      <c r="I655" s="64">
        <f>20.8401 * CHOOSE(CONTROL!$C$22, $C$13, 100%, $E$13)</f>
        <v>20.8401</v>
      </c>
      <c r="J655" s="64">
        <f>12.1433 * CHOOSE(CONTROL!$C$22, $C$13, 100%, $E$13)</f>
        <v>12.1433</v>
      </c>
      <c r="K655" s="64">
        <f>12.1434 * CHOOSE(CONTROL!$C$22, $C$13, 100%, $E$13)</f>
        <v>12.1434</v>
      </c>
    </row>
    <row r="656" spans="1:11" ht="15">
      <c r="A656" s="13">
        <v>61454</v>
      </c>
      <c r="B656" s="63">
        <f>10.5423 * CHOOSE(CONTROL!$C$22, $C$13, 100%, $E$13)</f>
        <v>10.542299999999999</v>
      </c>
      <c r="C656" s="63">
        <f>10.5423 * CHOOSE(CONTROL!$C$22, $C$13, 100%, $E$13)</f>
        <v>10.542299999999999</v>
      </c>
      <c r="D656" s="63">
        <f>10.5423 * CHOOSE(CONTROL!$C$22, $C$13, 100%, $E$13)</f>
        <v>10.542299999999999</v>
      </c>
      <c r="E656" s="64">
        <f>12.3173 * CHOOSE(CONTROL!$C$22, $C$13, 100%, $E$13)</f>
        <v>12.317299999999999</v>
      </c>
      <c r="F656" s="64">
        <f>12.3173 * CHOOSE(CONTROL!$C$22, $C$13, 100%, $E$13)</f>
        <v>12.317299999999999</v>
      </c>
      <c r="G656" s="64">
        <f>12.3174 * CHOOSE(CONTROL!$C$22, $C$13, 100%, $E$13)</f>
        <v>12.317399999999999</v>
      </c>
      <c r="H656" s="64">
        <f>20.8834* CHOOSE(CONTROL!$C$22, $C$13, 100%, $E$13)</f>
        <v>20.883400000000002</v>
      </c>
      <c r="I656" s="64">
        <f>20.8835 * CHOOSE(CONTROL!$C$22, $C$13, 100%, $E$13)</f>
        <v>20.883500000000002</v>
      </c>
      <c r="J656" s="64">
        <f>12.3173 * CHOOSE(CONTROL!$C$22, $C$13, 100%, $E$13)</f>
        <v>12.317299999999999</v>
      </c>
      <c r="K656" s="64">
        <f>12.3174 * CHOOSE(CONTROL!$C$22, $C$13, 100%, $E$13)</f>
        <v>12.317399999999999</v>
      </c>
    </row>
    <row r="657" spans="1:11" ht="15">
      <c r="A657" s="13">
        <v>61484</v>
      </c>
      <c r="B657" s="63">
        <f>10.5423 * CHOOSE(CONTROL!$C$22, $C$13, 100%, $E$13)</f>
        <v>10.542299999999999</v>
      </c>
      <c r="C657" s="63">
        <f>10.5423 * CHOOSE(CONTROL!$C$22, $C$13, 100%, $E$13)</f>
        <v>10.542299999999999</v>
      </c>
      <c r="D657" s="63">
        <f>10.5552 * CHOOSE(CONTROL!$C$22, $C$13, 100%, $E$13)</f>
        <v>10.555199999999999</v>
      </c>
      <c r="E657" s="64">
        <f>12.3841 * CHOOSE(CONTROL!$C$22, $C$13, 100%, $E$13)</f>
        <v>12.3841</v>
      </c>
      <c r="F657" s="64">
        <f>12.3841 * CHOOSE(CONTROL!$C$22, $C$13, 100%, $E$13)</f>
        <v>12.3841</v>
      </c>
      <c r="G657" s="64">
        <f>12.3998 * CHOOSE(CONTROL!$C$22, $C$13, 100%, $E$13)</f>
        <v>12.399800000000001</v>
      </c>
      <c r="H657" s="64">
        <f>20.9269* CHOOSE(CONTROL!$C$22, $C$13, 100%, $E$13)</f>
        <v>20.9269</v>
      </c>
      <c r="I657" s="64">
        <f>20.9426 * CHOOSE(CONTROL!$C$22, $C$13, 100%, $E$13)</f>
        <v>20.942599999999999</v>
      </c>
      <c r="J657" s="64">
        <f>12.3841 * CHOOSE(CONTROL!$C$22, $C$13, 100%, $E$13)</f>
        <v>12.3841</v>
      </c>
      <c r="K657" s="64">
        <f>12.3998 * CHOOSE(CONTROL!$C$22, $C$13, 100%, $E$13)</f>
        <v>12.399800000000001</v>
      </c>
    </row>
    <row r="658" spans="1:11" ht="15">
      <c r="A658" s="13">
        <v>61515</v>
      </c>
      <c r="B658" s="63">
        <f>10.5483 * CHOOSE(CONTROL!$C$22, $C$13, 100%, $E$13)</f>
        <v>10.548299999999999</v>
      </c>
      <c r="C658" s="63">
        <f>10.5483 * CHOOSE(CONTROL!$C$22, $C$13, 100%, $E$13)</f>
        <v>10.548299999999999</v>
      </c>
      <c r="D658" s="63">
        <f>10.5613 * CHOOSE(CONTROL!$C$22, $C$13, 100%, $E$13)</f>
        <v>10.561299999999999</v>
      </c>
      <c r="E658" s="64">
        <f>12.3215 * CHOOSE(CONTROL!$C$22, $C$13, 100%, $E$13)</f>
        <v>12.3215</v>
      </c>
      <c r="F658" s="64">
        <f>12.3215 * CHOOSE(CONTROL!$C$22, $C$13, 100%, $E$13)</f>
        <v>12.3215</v>
      </c>
      <c r="G658" s="64">
        <f>12.3372 * CHOOSE(CONTROL!$C$22, $C$13, 100%, $E$13)</f>
        <v>12.337199999999999</v>
      </c>
      <c r="H658" s="64">
        <f>20.9705* CHOOSE(CONTROL!$C$22, $C$13, 100%, $E$13)</f>
        <v>20.970500000000001</v>
      </c>
      <c r="I658" s="64">
        <f>20.9862 * CHOOSE(CONTROL!$C$22, $C$13, 100%, $E$13)</f>
        <v>20.9862</v>
      </c>
      <c r="J658" s="64">
        <f>12.3215 * CHOOSE(CONTROL!$C$22, $C$13, 100%, $E$13)</f>
        <v>12.3215</v>
      </c>
      <c r="K658" s="64">
        <f>12.3372 * CHOOSE(CONTROL!$C$22, $C$13, 100%, $E$13)</f>
        <v>12.337199999999999</v>
      </c>
    </row>
    <row r="659" spans="1:11" ht="15">
      <c r="A659" s="13">
        <v>61545</v>
      </c>
      <c r="B659" s="63">
        <f>10.7107 * CHOOSE(CONTROL!$C$22, $C$13, 100%, $E$13)</f>
        <v>10.710699999999999</v>
      </c>
      <c r="C659" s="63">
        <f>10.7107 * CHOOSE(CONTROL!$C$22, $C$13, 100%, $E$13)</f>
        <v>10.710699999999999</v>
      </c>
      <c r="D659" s="63">
        <f>10.7237 * CHOOSE(CONTROL!$C$22, $C$13, 100%, $E$13)</f>
        <v>10.723699999999999</v>
      </c>
      <c r="E659" s="64">
        <f>12.5203 * CHOOSE(CONTROL!$C$22, $C$13, 100%, $E$13)</f>
        <v>12.520300000000001</v>
      </c>
      <c r="F659" s="64">
        <f>12.5203 * CHOOSE(CONTROL!$C$22, $C$13, 100%, $E$13)</f>
        <v>12.520300000000001</v>
      </c>
      <c r="G659" s="64">
        <f>12.536 * CHOOSE(CONTROL!$C$22, $C$13, 100%, $E$13)</f>
        <v>12.536</v>
      </c>
      <c r="H659" s="64">
        <f>21.0142* CHOOSE(CONTROL!$C$22, $C$13, 100%, $E$13)</f>
        <v>21.014199999999999</v>
      </c>
      <c r="I659" s="64">
        <f>21.0299 * CHOOSE(CONTROL!$C$22, $C$13, 100%, $E$13)</f>
        <v>21.029900000000001</v>
      </c>
      <c r="J659" s="64">
        <f>12.5203 * CHOOSE(CONTROL!$C$22, $C$13, 100%, $E$13)</f>
        <v>12.520300000000001</v>
      </c>
      <c r="K659" s="64">
        <f>12.536 * CHOOSE(CONTROL!$C$22, $C$13, 100%, $E$13)</f>
        <v>12.536</v>
      </c>
    </row>
    <row r="660" spans="1:11" ht="15">
      <c r="A660" s="13">
        <v>61576</v>
      </c>
      <c r="B660" s="63">
        <f>10.7174 * CHOOSE(CONTROL!$C$22, $C$13, 100%, $E$13)</f>
        <v>10.7174</v>
      </c>
      <c r="C660" s="63">
        <f>10.7174 * CHOOSE(CONTROL!$C$22, $C$13, 100%, $E$13)</f>
        <v>10.7174</v>
      </c>
      <c r="D660" s="63">
        <f>10.7304 * CHOOSE(CONTROL!$C$22, $C$13, 100%, $E$13)</f>
        <v>10.730399999999999</v>
      </c>
      <c r="E660" s="64">
        <f>12.3244 * CHOOSE(CONTROL!$C$22, $C$13, 100%, $E$13)</f>
        <v>12.324400000000001</v>
      </c>
      <c r="F660" s="64">
        <f>12.3244 * CHOOSE(CONTROL!$C$22, $C$13, 100%, $E$13)</f>
        <v>12.324400000000001</v>
      </c>
      <c r="G660" s="64">
        <f>12.3401 * CHOOSE(CONTROL!$C$22, $C$13, 100%, $E$13)</f>
        <v>12.3401</v>
      </c>
      <c r="H660" s="64">
        <f>21.058* CHOOSE(CONTROL!$C$22, $C$13, 100%, $E$13)</f>
        <v>21.058</v>
      </c>
      <c r="I660" s="64">
        <f>21.0737 * CHOOSE(CONTROL!$C$22, $C$13, 100%, $E$13)</f>
        <v>21.073699999999999</v>
      </c>
      <c r="J660" s="64">
        <f>12.3244 * CHOOSE(CONTROL!$C$22, $C$13, 100%, $E$13)</f>
        <v>12.324400000000001</v>
      </c>
      <c r="K660" s="64">
        <f>12.3401 * CHOOSE(CONTROL!$C$22, $C$13, 100%, $E$13)</f>
        <v>12.3401</v>
      </c>
    </row>
    <row r="661" spans="1:11" ht="15">
      <c r="A661" s="13">
        <v>61607</v>
      </c>
      <c r="B661" s="63">
        <f>10.7144 * CHOOSE(CONTROL!$C$22, $C$13, 100%, $E$13)</f>
        <v>10.714399999999999</v>
      </c>
      <c r="C661" s="63">
        <f>10.7144 * CHOOSE(CONTROL!$C$22, $C$13, 100%, $E$13)</f>
        <v>10.714399999999999</v>
      </c>
      <c r="D661" s="63">
        <f>10.7274 * CHOOSE(CONTROL!$C$22, $C$13, 100%, $E$13)</f>
        <v>10.727399999999999</v>
      </c>
      <c r="E661" s="64">
        <f>12.3 * CHOOSE(CONTROL!$C$22, $C$13, 100%, $E$13)</f>
        <v>12.3</v>
      </c>
      <c r="F661" s="64">
        <f>12.3 * CHOOSE(CONTROL!$C$22, $C$13, 100%, $E$13)</f>
        <v>12.3</v>
      </c>
      <c r="G661" s="64">
        <f>12.3157 * CHOOSE(CONTROL!$C$22, $C$13, 100%, $E$13)</f>
        <v>12.3157</v>
      </c>
      <c r="H661" s="64">
        <f>21.1019* CHOOSE(CONTROL!$C$22, $C$13, 100%, $E$13)</f>
        <v>21.101900000000001</v>
      </c>
      <c r="I661" s="64">
        <f>21.1175 * CHOOSE(CONTROL!$C$22, $C$13, 100%, $E$13)</f>
        <v>21.1175</v>
      </c>
      <c r="J661" s="64">
        <f>12.3 * CHOOSE(CONTROL!$C$22, $C$13, 100%, $E$13)</f>
        <v>12.3</v>
      </c>
      <c r="K661" s="64">
        <f>12.3157 * CHOOSE(CONTROL!$C$22, $C$13, 100%, $E$13)</f>
        <v>12.3157</v>
      </c>
    </row>
    <row r="662" spans="1:11" ht="15">
      <c r="A662" s="13">
        <v>61637</v>
      </c>
      <c r="B662" s="63">
        <f>10.7312 * CHOOSE(CONTROL!$C$22, $C$13, 100%, $E$13)</f>
        <v>10.731199999999999</v>
      </c>
      <c r="C662" s="63">
        <f>10.7312 * CHOOSE(CONTROL!$C$22, $C$13, 100%, $E$13)</f>
        <v>10.731199999999999</v>
      </c>
      <c r="D662" s="63">
        <f>10.7312 * CHOOSE(CONTROL!$C$22, $C$13, 100%, $E$13)</f>
        <v>10.731199999999999</v>
      </c>
      <c r="E662" s="64">
        <f>12.3757 * CHOOSE(CONTROL!$C$22, $C$13, 100%, $E$13)</f>
        <v>12.3757</v>
      </c>
      <c r="F662" s="64">
        <f>12.3757 * CHOOSE(CONTROL!$C$22, $C$13, 100%, $E$13)</f>
        <v>12.3757</v>
      </c>
      <c r="G662" s="64">
        <f>12.3758 * CHOOSE(CONTROL!$C$22, $C$13, 100%, $E$13)</f>
        <v>12.3758</v>
      </c>
      <c r="H662" s="64">
        <f>21.1458* CHOOSE(CONTROL!$C$22, $C$13, 100%, $E$13)</f>
        <v>21.145800000000001</v>
      </c>
      <c r="I662" s="64">
        <f>21.1459 * CHOOSE(CONTROL!$C$22, $C$13, 100%, $E$13)</f>
        <v>21.145900000000001</v>
      </c>
      <c r="J662" s="64">
        <f>12.3757 * CHOOSE(CONTROL!$C$22, $C$13, 100%, $E$13)</f>
        <v>12.3757</v>
      </c>
      <c r="K662" s="64">
        <f>12.3758 * CHOOSE(CONTROL!$C$22, $C$13, 100%, $E$13)</f>
        <v>12.3758</v>
      </c>
    </row>
    <row r="663" spans="1:11" ht="15">
      <c r="A663" s="13">
        <v>61668</v>
      </c>
      <c r="B663" s="63">
        <f>10.7342 * CHOOSE(CONTROL!$C$22, $C$13, 100%, $E$13)</f>
        <v>10.7342</v>
      </c>
      <c r="C663" s="63">
        <f>10.7342 * CHOOSE(CONTROL!$C$22, $C$13, 100%, $E$13)</f>
        <v>10.7342</v>
      </c>
      <c r="D663" s="63">
        <f>10.7342 * CHOOSE(CONTROL!$C$22, $C$13, 100%, $E$13)</f>
        <v>10.7342</v>
      </c>
      <c r="E663" s="64">
        <f>12.4224 * CHOOSE(CONTROL!$C$22, $C$13, 100%, $E$13)</f>
        <v>12.4224</v>
      </c>
      <c r="F663" s="64">
        <f>12.4224 * CHOOSE(CONTROL!$C$22, $C$13, 100%, $E$13)</f>
        <v>12.4224</v>
      </c>
      <c r="G663" s="64">
        <f>12.4225 * CHOOSE(CONTROL!$C$22, $C$13, 100%, $E$13)</f>
        <v>12.422499999999999</v>
      </c>
      <c r="H663" s="64">
        <f>21.1899* CHOOSE(CONTROL!$C$22, $C$13, 100%, $E$13)</f>
        <v>21.189900000000002</v>
      </c>
      <c r="I663" s="64">
        <f>21.19 * CHOOSE(CONTROL!$C$22, $C$13, 100%, $E$13)</f>
        <v>21.19</v>
      </c>
      <c r="J663" s="64">
        <f>12.4224 * CHOOSE(CONTROL!$C$22, $C$13, 100%, $E$13)</f>
        <v>12.4224</v>
      </c>
      <c r="K663" s="64">
        <f>12.4225 * CHOOSE(CONTROL!$C$22, $C$13, 100%, $E$13)</f>
        <v>12.422499999999999</v>
      </c>
    </row>
    <row r="664" spans="1:11" ht="15">
      <c r="A664" s="13">
        <v>61698</v>
      </c>
      <c r="B664" s="63">
        <f>10.7342 * CHOOSE(CONTROL!$C$22, $C$13, 100%, $E$13)</f>
        <v>10.7342</v>
      </c>
      <c r="C664" s="63">
        <f>10.7342 * CHOOSE(CONTROL!$C$22, $C$13, 100%, $E$13)</f>
        <v>10.7342</v>
      </c>
      <c r="D664" s="63">
        <f>10.7342 * CHOOSE(CONTROL!$C$22, $C$13, 100%, $E$13)</f>
        <v>10.7342</v>
      </c>
      <c r="E664" s="64">
        <f>12.311 * CHOOSE(CONTROL!$C$22, $C$13, 100%, $E$13)</f>
        <v>12.311</v>
      </c>
      <c r="F664" s="64">
        <f>12.311 * CHOOSE(CONTROL!$C$22, $C$13, 100%, $E$13)</f>
        <v>12.311</v>
      </c>
      <c r="G664" s="64">
        <f>12.3111 * CHOOSE(CONTROL!$C$22, $C$13, 100%, $E$13)</f>
        <v>12.3111</v>
      </c>
      <c r="H664" s="64">
        <f>21.234* CHOOSE(CONTROL!$C$22, $C$13, 100%, $E$13)</f>
        <v>21.234000000000002</v>
      </c>
      <c r="I664" s="64">
        <f>21.2341 * CHOOSE(CONTROL!$C$22, $C$13, 100%, $E$13)</f>
        <v>21.234100000000002</v>
      </c>
      <c r="J664" s="64">
        <f>12.311 * CHOOSE(CONTROL!$C$22, $C$13, 100%, $E$13)</f>
        <v>12.311</v>
      </c>
      <c r="K664" s="64">
        <f>12.3111 * CHOOSE(CONTROL!$C$22, $C$13, 100%, $E$13)</f>
        <v>12.3111</v>
      </c>
    </row>
    <row r="665" spans="1:11" ht="15">
      <c r="A665" s="13">
        <v>61729</v>
      </c>
      <c r="B665" s="63">
        <f>10.7807 * CHOOSE(CONTROL!$C$22, $C$13, 100%, $E$13)</f>
        <v>10.7807</v>
      </c>
      <c r="C665" s="63">
        <f>10.7807 * CHOOSE(CONTROL!$C$22, $C$13, 100%, $E$13)</f>
        <v>10.7807</v>
      </c>
      <c r="D665" s="63">
        <f>10.7808 * CHOOSE(CONTROL!$C$22, $C$13, 100%, $E$13)</f>
        <v>10.780799999999999</v>
      </c>
      <c r="E665" s="64">
        <f>12.4468 * CHOOSE(CONTROL!$C$22, $C$13, 100%, $E$13)</f>
        <v>12.4468</v>
      </c>
      <c r="F665" s="64">
        <f>12.4468 * CHOOSE(CONTROL!$C$22, $C$13, 100%, $E$13)</f>
        <v>12.4468</v>
      </c>
      <c r="G665" s="64">
        <f>12.4469 * CHOOSE(CONTROL!$C$22, $C$13, 100%, $E$13)</f>
        <v>12.446899999999999</v>
      </c>
      <c r="H665" s="64">
        <f>21.1993* CHOOSE(CONTROL!$C$22, $C$13, 100%, $E$13)</f>
        <v>21.199300000000001</v>
      </c>
      <c r="I665" s="64">
        <f>21.1994 * CHOOSE(CONTROL!$C$22, $C$13, 100%, $E$13)</f>
        <v>21.199400000000001</v>
      </c>
      <c r="J665" s="64">
        <f>12.4468 * CHOOSE(CONTROL!$C$22, $C$13, 100%, $E$13)</f>
        <v>12.4468</v>
      </c>
      <c r="K665" s="64">
        <f>12.4469 * CHOOSE(CONTROL!$C$22, $C$13, 100%, $E$13)</f>
        <v>12.446899999999999</v>
      </c>
    </row>
    <row r="666" spans="1:11" ht="15">
      <c r="A666" s="13">
        <v>61760</v>
      </c>
      <c r="B666" s="63">
        <f>10.7777 * CHOOSE(CONTROL!$C$22, $C$13, 100%, $E$13)</f>
        <v>10.777699999999999</v>
      </c>
      <c r="C666" s="63">
        <f>10.7777 * CHOOSE(CONTROL!$C$22, $C$13, 100%, $E$13)</f>
        <v>10.777699999999999</v>
      </c>
      <c r="D666" s="63">
        <f>10.7777 * CHOOSE(CONTROL!$C$22, $C$13, 100%, $E$13)</f>
        <v>10.777699999999999</v>
      </c>
      <c r="E666" s="64">
        <f>12.2292 * CHOOSE(CONTROL!$C$22, $C$13, 100%, $E$13)</f>
        <v>12.229200000000001</v>
      </c>
      <c r="F666" s="64">
        <f>12.2292 * CHOOSE(CONTROL!$C$22, $C$13, 100%, $E$13)</f>
        <v>12.229200000000001</v>
      </c>
      <c r="G666" s="64">
        <f>12.2293 * CHOOSE(CONTROL!$C$22, $C$13, 100%, $E$13)</f>
        <v>12.2293</v>
      </c>
      <c r="H666" s="64">
        <f>21.2435* CHOOSE(CONTROL!$C$22, $C$13, 100%, $E$13)</f>
        <v>21.243500000000001</v>
      </c>
      <c r="I666" s="64">
        <f>21.2436 * CHOOSE(CONTROL!$C$22, $C$13, 100%, $E$13)</f>
        <v>21.243600000000001</v>
      </c>
      <c r="J666" s="64">
        <f>12.2292 * CHOOSE(CONTROL!$C$22, $C$13, 100%, $E$13)</f>
        <v>12.229200000000001</v>
      </c>
      <c r="K666" s="64">
        <f>12.2293 * CHOOSE(CONTROL!$C$22, $C$13, 100%, $E$13)</f>
        <v>12.2293</v>
      </c>
    </row>
    <row r="667" spans="1:11" ht="15">
      <c r="A667" s="13">
        <v>61788</v>
      </c>
      <c r="B667" s="63">
        <f>10.7747 * CHOOSE(CONTROL!$C$22, $C$13, 100%, $E$13)</f>
        <v>10.774699999999999</v>
      </c>
      <c r="C667" s="63">
        <f>10.7747 * CHOOSE(CONTROL!$C$22, $C$13, 100%, $E$13)</f>
        <v>10.774699999999999</v>
      </c>
      <c r="D667" s="63">
        <f>10.7747 * CHOOSE(CONTROL!$C$22, $C$13, 100%, $E$13)</f>
        <v>10.774699999999999</v>
      </c>
      <c r="E667" s="64">
        <f>12.397 * CHOOSE(CONTROL!$C$22, $C$13, 100%, $E$13)</f>
        <v>12.397</v>
      </c>
      <c r="F667" s="64">
        <f>12.397 * CHOOSE(CONTROL!$C$22, $C$13, 100%, $E$13)</f>
        <v>12.397</v>
      </c>
      <c r="G667" s="64">
        <f>12.3971 * CHOOSE(CONTROL!$C$22, $C$13, 100%, $E$13)</f>
        <v>12.3971</v>
      </c>
      <c r="H667" s="64">
        <f>21.2878* CHOOSE(CONTROL!$C$22, $C$13, 100%, $E$13)</f>
        <v>21.287800000000001</v>
      </c>
      <c r="I667" s="64">
        <f>21.2878 * CHOOSE(CONTROL!$C$22, $C$13, 100%, $E$13)</f>
        <v>21.287800000000001</v>
      </c>
      <c r="J667" s="64">
        <f>12.397 * CHOOSE(CONTROL!$C$22, $C$13, 100%, $E$13)</f>
        <v>12.397</v>
      </c>
      <c r="K667" s="64">
        <f>12.3971 * CHOOSE(CONTROL!$C$22, $C$13, 100%, $E$13)</f>
        <v>12.3971</v>
      </c>
    </row>
    <row r="668" spans="1:11" ht="15">
      <c r="A668" s="13">
        <v>61819</v>
      </c>
      <c r="B668" s="63">
        <f>10.778 * CHOOSE(CONTROL!$C$22, $C$13, 100%, $E$13)</f>
        <v>10.778</v>
      </c>
      <c r="C668" s="63">
        <f>10.778 * CHOOSE(CONTROL!$C$22, $C$13, 100%, $E$13)</f>
        <v>10.778</v>
      </c>
      <c r="D668" s="63">
        <f>10.778 * CHOOSE(CONTROL!$C$22, $C$13, 100%, $E$13)</f>
        <v>10.778</v>
      </c>
      <c r="E668" s="64">
        <f>12.5752 * CHOOSE(CONTROL!$C$22, $C$13, 100%, $E$13)</f>
        <v>12.575200000000001</v>
      </c>
      <c r="F668" s="64">
        <f>12.5752 * CHOOSE(CONTROL!$C$22, $C$13, 100%, $E$13)</f>
        <v>12.575200000000001</v>
      </c>
      <c r="G668" s="64">
        <f>12.5752 * CHOOSE(CONTROL!$C$22, $C$13, 100%, $E$13)</f>
        <v>12.575200000000001</v>
      </c>
      <c r="H668" s="64">
        <f>21.3321* CHOOSE(CONTROL!$C$22, $C$13, 100%, $E$13)</f>
        <v>21.332100000000001</v>
      </c>
      <c r="I668" s="64">
        <f>21.3322 * CHOOSE(CONTROL!$C$22, $C$13, 100%, $E$13)</f>
        <v>21.3322</v>
      </c>
      <c r="J668" s="64">
        <f>12.5752 * CHOOSE(CONTROL!$C$22, $C$13, 100%, $E$13)</f>
        <v>12.575200000000001</v>
      </c>
      <c r="K668" s="64">
        <f>12.5752 * CHOOSE(CONTROL!$C$22, $C$13, 100%, $E$13)</f>
        <v>12.575200000000001</v>
      </c>
    </row>
    <row r="669" spans="1:11" ht="15">
      <c r="A669" s="13">
        <v>61849</v>
      </c>
      <c r="B669" s="63">
        <f>10.778 * CHOOSE(CONTROL!$C$22, $C$13, 100%, $E$13)</f>
        <v>10.778</v>
      </c>
      <c r="C669" s="63">
        <f>10.778 * CHOOSE(CONTROL!$C$22, $C$13, 100%, $E$13)</f>
        <v>10.778</v>
      </c>
      <c r="D669" s="63">
        <f>10.791 * CHOOSE(CONTROL!$C$22, $C$13, 100%, $E$13)</f>
        <v>10.791</v>
      </c>
      <c r="E669" s="64">
        <f>12.6436 * CHOOSE(CONTROL!$C$22, $C$13, 100%, $E$13)</f>
        <v>12.643599999999999</v>
      </c>
      <c r="F669" s="64">
        <f>12.6436 * CHOOSE(CONTROL!$C$22, $C$13, 100%, $E$13)</f>
        <v>12.643599999999999</v>
      </c>
      <c r="G669" s="64">
        <f>12.6592 * CHOOSE(CONTROL!$C$22, $C$13, 100%, $E$13)</f>
        <v>12.6592</v>
      </c>
      <c r="H669" s="64">
        <f>21.3765* CHOOSE(CONTROL!$C$22, $C$13, 100%, $E$13)</f>
        <v>21.3765</v>
      </c>
      <c r="I669" s="64">
        <f>21.3922 * CHOOSE(CONTROL!$C$22, $C$13, 100%, $E$13)</f>
        <v>21.392199999999999</v>
      </c>
      <c r="J669" s="64">
        <f>12.6436 * CHOOSE(CONTROL!$C$22, $C$13, 100%, $E$13)</f>
        <v>12.643599999999999</v>
      </c>
      <c r="K669" s="64">
        <f>12.6592 * CHOOSE(CONTROL!$C$22, $C$13, 100%, $E$13)</f>
        <v>12.6592</v>
      </c>
    </row>
    <row r="670" spans="1:11" ht="15">
      <c r="A670" s="13">
        <v>61880</v>
      </c>
      <c r="B670" s="63">
        <f>10.7841 * CHOOSE(CONTROL!$C$22, $C$13, 100%, $E$13)</f>
        <v>10.7841</v>
      </c>
      <c r="C670" s="63">
        <f>10.7841 * CHOOSE(CONTROL!$C$22, $C$13, 100%, $E$13)</f>
        <v>10.7841</v>
      </c>
      <c r="D670" s="63">
        <f>10.7971 * CHOOSE(CONTROL!$C$22, $C$13, 100%, $E$13)</f>
        <v>10.7971</v>
      </c>
      <c r="E670" s="64">
        <f>12.5794 * CHOOSE(CONTROL!$C$22, $C$13, 100%, $E$13)</f>
        <v>12.5794</v>
      </c>
      <c r="F670" s="64">
        <f>12.5794 * CHOOSE(CONTROL!$C$22, $C$13, 100%, $E$13)</f>
        <v>12.5794</v>
      </c>
      <c r="G670" s="64">
        <f>12.5951 * CHOOSE(CONTROL!$C$22, $C$13, 100%, $E$13)</f>
        <v>12.5951</v>
      </c>
      <c r="H670" s="64">
        <f>21.4211* CHOOSE(CONTROL!$C$22, $C$13, 100%, $E$13)</f>
        <v>21.421099999999999</v>
      </c>
      <c r="I670" s="64">
        <f>21.4368 * CHOOSE(CONTROL!$C$22, $C$13, 100%, $E$13)</f>
        <v>21.436800000000002</v>
      </c>
      <c r="J670" s="64">
        <f>12.5794 * CHOOSE(CONTROL!$C$22, $C$13, 100%, $E$13)</f>
        <v>12.5794</v>
      </c>
      <c r="K670" s="64">
        <f>12.5951 * CHOOSE(CONTROL!$C$22, $C$13, 100%, $E$13)</f>
        <v>12.5951</v>
      </c>
    </row>
    <row r="671" spans="1:11" ht="15">
      <c r="A671" s="13">
        <v>61910</v>
      </c>
      <c r="B671" s="63">
        <f>10.9499 * CHOOSE(CONTROL!$C$22, $C$13, 100%, $E$13)</f>
        <v>10.9499</v>
      </c>
      <c r="C671" s="63">
        <f>10.9499 * CHOOSE(CONTROL!$C$22, $C$13, 100%, $E$13)</f>
        <v>10.9499</v>
      </c>
      <c r="D671" s="63">
        <f>10.9629 * CHOOSE(CONTROL!$C$22, $C$13, 100%, $E$13)</f>
        <v>10.962899999999999</v>
      </c>
      <c r="E671" s="64">
        <f>12.7821 * CHOOSE(CONTROL!$C$22, $C$13, 100%, $E$13)</f>
        <v>12.7821</v>
      </c>
      <c r="F671" s="64">
        <f>12.7821 * CHOOSE(CONTROL!$C$22, $C$13, 100%, $E$13)</f>
        <v>12.7821</v>
      </c>
      <c r="G671" s="64">
        <f>12.7977 * CHOOSE(CONTROL!$C$22, $C$13, 100%, $E$13)</f>
        <v>12.797700000000001</v>
      </c>
      <c r="H671" s="64">
        <f>21.4657* CHOOSE(CONTROL!$C$22, $C$13, 100%, $E$13)</f>
        <v>21.465699999999998</v>
      </c>
      <c r="I671" s="64">
        <f>21.4814 * CHOOSE(CONTROL!$C$22, $C$13, 100%, $E$13)</f>
        <v>21.481400000000001</v>
      </c>
      <c r="J671" s="64">
        <f>12.7821 * CHOOSE(CONTROL!$C$22, $C$13, 100%, $E$13)</f>
        <v>12.7821</v>
      </c>
      <c r="K671" s="64">
        <f>12.7977 * CHOOSE(CONTROL!$C$22, $C$13, 100%, $E$13)</f>
        <v>12.797700000000001</v>
      </c>
    </row>
    <row r="672" spans="1:11" ht="15">
      <c r="A672" s="13">
        <v>61941</v>
      </c>
      <c r="B672" s="63">
        <f>10.9566 * CHOOSE(CONTROL!$C$22, $C$13, 100%, $E$13)</f>
        <v>10.9566</v>
      </c>
      <c r="C672" s="63">
        <f>10.9566 * CHOOSE(CONTROL!$C$22, $C$13, 100%, $E$13)</f>
        <v>10.9566</v>
      </c>
      <c r="D672" s="63">
        <f>10.9696 * CHOOSE(CONTROL!$C$22, $C$13, 100%, $E$13)</f>
        <v>10.9696</v>
      </c>
      <c r="E672" s="64">
        <f>12.5815 * CHOOSE(CONTROL!$C$22, $C$13, 100%, $E$13)</f>
        <v>12.5815</v>
      </c>
      <c r="F672" s="64">
        <f>12.5815 * CHOOSE(CONTROL!$C$22, $C$13, 100%, $E$13)</f>
        <v>12.5815</v>
      </c>
      <c r="G672" s="64">
        <f>12.5972 * CHOOSE(CONTROL!$C$22, $C$13, 100%, $E$13)</f>
        <v>12.597200000000001</v>
      </c>
      <c r="H672" s="64">
        <f>21.5104* CHOOSE(CONTROL!$C$22, $C$13, 100%, $E$13)</f>
        <v>21.510400000000001</v>
      </c>
      <c r="I672" s="64">
        <f>21.5261 * CHOOSE(CONTROL!$C$22, $C$13, 100%, $E$13)</f>
        <v>21.5261</v>
      </c>
      <c r="J672" s="64">
        <f>12.5815 * CHOOSE(CONTROL!$C$22, $C$13, 100%, $E$13)</f>
        <v>12.5815</v>
      </c>
      <c r="K672" s="64">
        <f>12.5972 * CHOOSE(CONTROL!$C$22, $C$13, 100%, $E$13)</f>
        <v>12.597200000000001</v>
      </c>
    </row>
    <row r="673" spans="1:11" ht="15">
      <c r="A673" s="13">
        <v>61972</v>
      </c>
      <c r="B673" s="63">
        <f>10.9536 * CHOOSE(CONTROL!$C$22, $C$13, 100%, $E$13)</f>
        <v>10.9536</v>
      </c>
      <c r="C673" s="63">
        <f>10.9536 * CHOOSE(CONTROL!$C$22, $C$13, 100%, $E$13)</f>
        <v>10.9536</v>
      </c>
      <c r="D673" s="63">
        <f>10.9665 * CHOOSE(CONTROL!$C$22, $C$13, 100%, $E$13)</f>
        <v>10.9665</v>
      </c>
      <c r="E673" s="64">
        <f>12.5566 * CHOOSE(CONTROL!$C$22, $C$13, 100%, $E$13)</f>
        <v>12.5566</v>
      </c>
      <c r="F673" s="64">
        <f>12.5566 * CHOOSE(CONTROL!$C$22, $C$13, 100%, $E$13)</f>
        <v>12.5566</v>
      </c>
      <c r="G673" s="64">
        <f>12.5723 * CHOOSE(CONTROL!$C$22, $C$13, 100%, $E$13)</f>
        <v>12.5723</v>
      </c>
      <c r="H673" s="64">
        <f>21.5552* CHOOSE(CONTROL!$C$22, $C$13, 100%, $E$13)</f>
        <v>21.555199999999999</v>
      </c>
      <c r="I673" s="64">
        <f>21.5709 * CHOOSE(CONTROL!$C$22, $C$13, 100%, $E$13)</f>
        <v>21.570900000000002</v>
      </c>
      <c r="J673" s="64">
        <f>12.5566 * CHOOSE(CONTROL!$C$22, $C$13, 100%, $E$13)</f>
        <v>12.5566</v>
      </c>
      <c r="K673" s="64">
        <f>12.5723 * CHOOSE(CONTROL!$C$22, $C$13, 100%, $E$13)</f>
        <v>12.5723</v>
      </c>
    </row>
    <row r="674" spans="1:11" ht="15">
      <c r="A674" s="13">
        <v>62002</v>
      </c>
      <c r="B674" s="63">
        <f>10.9711 * CHOOSE(CONTROL!$C$22, $C$13, 100%, $E$13)</f>
        <v>10.9711</v>
      </c>
      <c r="C674" s="63">
        <f>10.9711 * CHOOSE(CONTROL!$C$22, $C$13, 100%, $E$13)</f>
        <v>10.9711</v>
      </c>
      <c r="D674" s="63">
        <f>10.9711 * CHOOSE(CONTROL!$C$22, $C$13, 100%, $E$13)</f>
        <v>10.9711</v>
      </c>
      <c r="E674" s="64">
        <f>12.6344 * CHOOSE(CONTROL!$C$22, $C$13, 100%, $E$13)</f>
        <v>12.634399999999999</v>
      </c>
      <c r="F674" s="64">
        <f>12.6344 * CHOOSE(CONTROL!$C$22, $C$13, 100%, $E$13)</f>
        <v>12.634399999999999</v>
      </c>
      <c r="G674" s="64">
        <f>12.6345 * CHOOSE(CONTROL!$C$22, $C$13, 100%, $E$13)</f>
        <v>12.634499999999999</v>
      </c>
      <c r="H674" s="64">
        <f>21.6001* CHOOSE(CONTROL!$C$22, $C$13, 100%, $E$13)</f>
        <v>21.600100000000001</v>
      </c>
      <c r="I674" s="64">
        <f>21.6002 * CHOOSE(CONTROL!$C$22, $C$13, 100%, $E$13)</f>
        <v>21.600200000000001</v>
      </c>
      <c r="J674" s="64">
        <f>12.6344 * CHOOSE(CONTROL!$C$22, $C$13, 100%, $E$13)</f>
        <v>12.634399999999999</v>
      </c>
      <c r="K674" s="64">
        <f>12.6345 * CHOOSE(CONTROL!$C$22, $C$13, 100%, $E$13)</f>
        <v>12.634499999999999</v>
      </c>
    </row>
    <row r="675" spans="1:11" ht="15">
      <c r="A675" s="13">
        <v>62033</v>
      </c>
      <c r="B675" s="63">
        <f>10.9742 * CHOOSE(CONTROL!$C$22, $C$13, 100%, $E$13)</f>
        <v>10.9742</v>
      </c>
      <c r="C675" s="63">
        <f>10.9742 * CHOOSE(CONTROL!$C$22, $C$13, 100%, $E$13)</f>
        <v>10.9742</v>
      </c>
      <c r="D675" s="63">
        <f>10.9742 * CHOOSE(CONTROL!$C$22, $C$13, 100%, $E$13)</f>
        <v>10.9742</v>
      </c>
      <c r="E675" s="64">
        <f>12.6821 * CHOOSE(CONTROL!$C$22, $C$13, 100%, $E$13)</f>
        <v>12.6821</v>
      </c>
      <c r="F675" s="64">
        <f>12.6821 * CHOOSE(CONTROL!$C$22, $C$13, 100%, $E$13)</f>
        <v>12.6821</v>
      </c>
      <c r="G675" s="64">
        <f>12.6822 * CHOOSE(CONTROL!$C$22, $C$13, 100%, $E$13)</f>
        <v>12.6822</v>
      </c>
      <c r="H675" s="64">
        <f>21.6451* CHOOSE(CONTROL!$C$22, $C$13, 100%, $E$13)</f>
        <v>21.645099999999999</v>
      </c>
      <c r="I675" s="64">
        <f>21.6452 * CHOOSE(CONTROL!$C$22, $C$13, 100%, $E$13)</f>
        <v>21.645199999999999</v>
      </c>
      <c r="J675" s="64">
        <f>12.6821 * CHOOSE(CONTROL!$C$22, $C$13, 100%, $E$13)</f>
        <v>12.6821</v>
      </c>
      <c r="K675" s="64">
        <f>12.6822 * CHOOSE(CONTROL!$C$22, $C$13, 100%, $E$13)</f>
        <v>12.6822</v>
      </c>
    </row>
    <row r="676" spans="1:11" ht="15">
      <c r="A676" s="13">
        <v>62063</v>
      </c>
      <c r="B676" s="63">
        <f>10.9742 * CHOOSE(CONTROL!$C$22, $C$13, 100%, $E$13)</f>
        <v>10.9742</v>
      </c>
      <c r="C676" s="63">
        <f>10.9742 * CHOOSE(CONTROL!$C$22, $C$13, 100%, $E$13)</f>
        <v>10.9742</v>
      </c>
      <c r="D676" s="63">
        <f>10.9742 * CHOOSE(CONTROL!$C$22, $C$13, 100%, $E$13)</f>
        <v>10.9742</v>
      </c>
      <c r="E676" s="64">
        <f>12.5681 * CHOOSE(CONTROL!$C$22, $C$13, 100%, $E$13)</f>
        <v>12.568099999999999</v>
      </c>
      <c r="F676" s="64">
        <f>12.5681 * CHOOSE(CONTROL!$C$22, $C$13, 100%, $E$13)</f>
        <v>12.568099999999999</v>
      </c>
      <c r="G676" s="64">
        <f>12.5682 * CHOOSE(CONTROL!$C$22, $C$13, 100%, $E$13)</f>
        <v>12.568199999999999</v>
      </c>
      <c r="H676" s="64">
        <f>21.6902* CHOOSE(CONTROL!$C$22, $C$13, 100%, $E$13)</f>
        <v>21.690200000000001</v>
      </c>
      <c r="I676" s="64">
        <f>21.6903 * CHOOSE(CONTROL!$C$22, $C$13, 100%, $E$13)</f>
        <v>21.690300000000001</v>
      </c>
      <c r="J676" s="64">
        <f>12.5681 * CHOOSE(CONTROL!$C$22, $C$13, 100%, $E$13)</f>
        <v>12.568099999999999</v>
      </c>
      <c r="K676" s="64">
        <f>12.5682 * CHOOSE(CONTROL!$C$22, $C$13, 100%, $E$13)</f>
        <v>12.568199999999999</v>
      </c>
    </row>
    <row r="677" spans="1:11" ht="15">
      <c r="A677" s="13">
        <v>62094</v>
      </c>
      <c r="B677" s="63">
        <f>11.0163 * CHOOSE(CONTROL!$C$22, $C$13, 100%, $E$13)</f>
        <v>11.016299999999999</v>
      </c>
      <c r="C677" s="63">
        <f>11.0163 * CHOOSE(CONTROL!$C$22, $C$13, 100%, $E$13)</f>
        <v>11.016299999999999</v>
      </c>
      <c r="D677" s="63">
        <f>11.0163 * CHOOSE(CONTROL!$C$22, $C$13, 100%, $E$13)</f>
        <v>11.016299999999999</v>
      </c>
      <c r="E677" s="64">
        <f>12.7015 * CHOOSE(CONTROL!$C$22, $C$13, 100%, $E$13)</f>
        <v>12.701499999999999</v>
      </c>
      <c r="F677" s="64">
        <f>12.7015 * CHOOSE(CONTROL!$C$22, $C$13, 100%, $E$13)</f>
        <v>12.701499999999999</v>
      </c>
      <c r="G677" s="64">
        <f>12.7016 * CHOOSE(CONTROL!$C$22, $C$13, 100%, $E$13)</f>
        <v>12.701599999999999</v>
      </c>
      <c r="H677" s="64">
        <f>21.6452* CHOOSE(CONTROL!$C$22, $C$13, 100%, $E$13)</f>
        <v>21.645199999999999</v>
      </c>
      <c r="I677" s="64">
        <f>21.6453 * CHOOSE(CONTROL!$C$22, $C$13, 100%, $E$13)</f>
        <v>21.645299999999999</v>
      </c>
      <c r="J677" s="64">
        <f>12.7015 * CHOOSE(CONTROL!$C$22, $C$13, 100%, $E$13)</f>
        <v>12.701499999999999</v>
      </c>
      <c r="K677" s="64">
        <f>12.7016 * CHOOSE(CONTROL!$C$22, $C$13, 100%, $E$13)</f>
        <v>12.701599999999999</v>
      </c>
    </row>
    <row r="678" spans="1:11" ht="15">
      <c r="A678" s="13">
        <v>62125</v>
      </c>
      <c r="B678" s="63">
        <f>11.0133 * CHOOSE(CONTROL!$C$22, $C$13, 100%, $E$13)</f>
        <v>11.013299999999999</v>
      </c>
      <c r="C678" s="63">
        <f>11.0133 * CHOOSE(CONTROL!$C$22, $C$13, 100%, $E$13)</f>
        <v>11.013299999999999</v>
      </c>
      <c r="D678" s="63">
        <f>11.0133 * CHOOSE(CONTROL!$C$22, $C$13, 100%, $E$13)</f>
        <v>11.013299999999999</v>
      </c>
      <c r="E678" s="64">
        <f>12.479 * CHOOSE(CONTROL!$C$22, $C$13, 100%, $E$13)</f>
        <v>12.478999999999999</v>
      </c>
      <c r="F678" s="64">
        <f>12.479 * CHOOSE(CONTROL!$C$22, $C$13, 100%, $E$13)</f>
        <v>12.478999999999999</v>
      </c>
      <c r="G678" s="64">
        <f>12.4791 * CHOOSE(CONTROL!$C$22, $C$13, 100%, $E$13)</f>
        <v>12.479100000000001</v>
      </c>
      <c r="H678" s="64">
        <f>21.6903* CHOOSE(CONTROL!$C$22, $C$13, 100%, $E$13)</f>
        <v>21.690300000000001</v>
      </c>
      <c r="I678" s="64">
        <f>21.6904 * CHOOSE(CONTROL!$C$22, $C$13, 100%, $E$13)</f>
        <v>21.6904</v>
      </c>
      <c r="J678" s="64">
        <f>12.479 * CHOOSE(CONTROL!$C$22, $C$13, 100%, $E$13)</f>
        <v>12.478999999999999</v>
      </c>
      <c r="K678" s="64">
        <f>12.4791 * CHOOSE(CONTROL!$C$22, $C$13, 100%, $E$13)</f>
        <v>12.479100000000001</v>
      </c>
    </row>
    <row r="679" spans="1:11" ht="15">
      <c r="A679" s="13">
        <v>62153</v>
      </c>
      <c r="B679" s="63">
        <f>11.0102 * CHOOSE(CONTROL!$C$22, $C$13, 100%, $E$13)</f>
        <v>11.010199999999999</v>
      </c>
      <c r="C679" s="63">
        <f>11.0102 * CHOOSE(CONTROL!$C$22, $C$13, 100%, $E$13)</f>
        <v>11.010199999999999</v>
      </c>
      <c r="D679" s="63">
        <f>11.0102 * CHOOSE(CONTROL!$C$22, $C$13, 100%, $E$13)</f>
        <v>11.010199999999999</v>
      </c>
      <c r="E679" s="64">
        <f>12.6507 * CHOOSE(CONTROL!$C$22, $C$13, 100%, $E$13)</f>
        <v>12.650700000000001</v>
      </c>
      <c r="F679" s="64">
        <f>12.6507 * CHOOSE(CONTROL!$C$22, $C$13, 100%, $E$13)</f>
        <v>12.650700000000001</v>
      </c>
      <c r="G679" s="64">
        <f>12.6507 * CHOOSE(CONTROL!$C$22, $C$13, 100%, $E$13)</f>
        <v>12.650700000000001</v>
      </c>
      <c r="H679" s="64">
        <f>21.7355* CHOOSE(CONTROL!$C$22, $C$13, 100%, $E$13)</f>
        <v>21.735499999999998</v>
      </c>
      <c r="I679" s="64">
        <f>21.7356 * CHOOSE(CONTROL!$C$22, $C$13, 100%, $E$13)</f>
        <v>21.735600000000002</v>
      </c>
      <c r="J679" s="64">
        <f>12.6507 * CHOOSE(CONTROL!$C$22, $C$13, 100%, $E$13)</f>
        <v>12.650700000000001</v>
      </c>
      <c r="K679" s="64">
        <f>12.6507 * CHOOSE(CONTROL!$C$22, $C$13, 100%, $E$13)</f>
        <v>12.650700000000001</v>
      </c>
    </row>
    <row r="680" spans="1:11" ht="15">
      <c r="A680" s="13">
        <v>62184</v>
      </c>
      <c r="B680" s="63">
        <f>11.0138 * CHOOSE(CONTROL!$C$22, $C$13, 100%, $E$13)</f>
        <v>11.0138</v>
      </c>
      <c r="C680" s="63">
        <f>11.0138 * CHOOSE(CONTROL!$C$22, $C$13, 100%, $E$13)</f>
        <v>11.0138</v>
      </c>
      <c r="D680" s="63">
        <f>11.0138 * CHOOSE(CONTROL!$C$22, $C$13, 100%, $E$13)</f>
        <v>11.0138</v>
      </c>
      <c r="E680" s="64">
        <f>12.833 * CHOOSE(CONTROL!$C$22, $C$13, 100%, $E$13)</f>
        <v>12.833</v>
      </c>
      <c r="F680" s="64">
        <f>12.833 * CHOOSE(CONTROL!$C$22, $C$13, 100%, $E$13)</f>
        <v>12.833</v>
      </c>
      <c r="G680" s="64">
        <f>12.8331 * CHOOSE(CONTROL!$C$22, $C$13, 100%, $E$13)</f>
        <v>12.8331</v>
      </c>
      <c r="H680" s="64">
        <f>21.7808* CHOOSE(CONTROL!$C$22, $C$13, 100%, $E$13)</f>
        <v>21.780799999999999</v>
      </c>
      <c r="I680" s="64">
        <f>21.7809 * CHOOSE(CONTROL!$C$22, $C$13, 100%, $E$13)</f>
        <v>21.780899999999999</v>
      </c>
      <c r="J680" s="64">
        <f>12.833 * CHOOSE(CONTROL!$C$22, $C$13, 100%, $E$13)</f>
        <v>12.833</v>
      </c>
      <c r="K680" s="64">
        <f>12.8331 * CHOOSE(CONTROL!$C$22, $C$13, 100%, $E$13)</f>
        <v>12.8331</v>
      </c>
    </row>
    <row r="681" spans="1:11" ht="15">
      <c r="A681" s="13">
        <v>62214</v>
      </c>
      <c r="B681" s="63">
        <f>11.0138 * CHOOSE(CONTROL!$C$22, $C$13, 100%, $E$13)</f>
        <v>11.0138</v>
      </c>
      <c r="C681" s="63">
        <f>11.0138 * CHOOSE(CONTROL!$C$22, $C$13, 100%, $E$13)</f>
        <v>11.0138</v>
      </c>
      <c r="D681" s="63">
        <f>11.0268 * CHOOSE(CONTROL!$C$22, $C$13, 100%, $E$13)</f>
        <v>11.0268</v>
      </c>
      <c r="E681" s="64">
        <f>12.903 * CHOOSE(CONTROL!$C$22, $C$13, 100%, $E$13)</f>
        <v>12.903</v>
      </c>
      <c r="F681" s="64">
        <f>12.903 * CHOOSE(CONTROL!$C$22, $C$13, 100%, $E$13)</f>
        <v>12.903</v>
      </c>
      <c r="G681" s="64">
        <f>12.9187 * CHOOSE(CONTROL!$C$22, $C$13, 100%, $E$13)</f>
        <v>12.918699999999999</v>
      </c>
      <c r="H681" s="64">
        <f>21.8262* CHOOSE(CONTROL!$C$22, $C$13, 100%, $E$13)</f>
        <v>21.8262</v>
      </c>
      <c r="I681" s="64">
        <f>21.8418 * CHOOSE(CONTROL!$C$22, $C$13, 100%, $E$13)</f>
        <v>21.841799999999999</v>
      </c>
      <c r="J681" s="64">
        <f>12.903 * CHOOSE(CONTROL!$C$22, $C$13, 100%, $E$13)</f>
        <v>12.903</v>
      </c>
      <c r="K681" s="64">
        <f>12.9187 * CHOOSE(CONTROL!$C$22, $C$13, 100%, $E$13)</f>
        <v>12.918699999999999</v>
      </c>
    </row>
    <row r="682" spans="1:11" ht="15">
      <c r="A682" s="13">
        <v>62245</v>
      </c>
      <c r="B682" s="63">
        <f>11.0199 * CHOOSE(CONTROL!$C$22, $C$13, 100%, $E$13)</f>
        <v>11.0199</v>
      </c>
      <c r="C682" s="63">
        <f>11.0199 * CHOOSE(CONTROL!$C$22, $C$13, 100%, $E$13)</f>
        <v>11.0199</v>
      </c>
      <c r="D682" s="63">
        <f>11.0328 * CHOOSE(CONTROL!$C$22, $C$13, 100%, $E$13)</f>
        <v>11.0328</v>
      </c>
      <c r="E682" s="64">
        <f>12.8373 * CHOOSE(CONTROL!$C$22, $C$13, 100%, $E$13)</f>
        <v>12.837300000000001</v>
      </c>
      <c r="F682" s="64">
        <f>12.8373 * CHOOSE(CONTROL!$C$22, $C$13, 100%, $E$13)</f>
        <v>12.837300000000001</v>
      </c>
      <c r="G682" s="64">
        <f>12.8529 * CHOOSE(CONTROL!$C$22, $C$13, 100%, $E$13)</f>
        <v>12.8529</v>
      </c>
      <c r="H682" s="64">
        <f>21.8716* CHOOSE(CONTROL!$C$22, $C$13, 100%, $E$13)</f>
        <v>21.871600000000001</v>
      </c>
      <c r="I682" s="64">
        <f>21.8873 * CHOOSE(CONTROL!$C$22, $C$13, 100%, $E$13)</f>
        <v>21.8873</v>
      </c>
      <c r="J682" s="64">
        <f>12.8373 * CHOOSE(CONTROL!$C$22, $C$13, 100%, $E$13)</f>
        <v>12.837300000000001</v>
      </c>
      <c r="K682" s="64">
        <f>12.8529 * CHOOSE(CONTROL!$C$22, $C$13, 100%, $E$13)</f>
        <v>12.8529</v>
      </c>
    </row>
    <row r="683" spans="1:11" ht="15">
      <c r="A683" s="13">
        <v>62275</v>
      </c>
      <c r="B683" s="63">
        <f>11.1891 * CHOOSE(CONTROL!$C$22, $C$13, 100%, $E$13)</f>
        <v>11.1891</v>
      </c>
      <c r="C683" s="63">
        <f>11.1891 * CHOOSE(CONTROL!$C$22, $C$13, 100%, $E$13)</f>
        <v>11.1891</v>
      </c>
      <c r="D683" s="63">
        <f>11.2021 * CHOOSE(CONTROL!$C$22, $C$13, 100%, $E$13)</f>
        <v>11.2021</v>
      </c>
      <c r="E683" s="64">
        <f>13.0438 * CHOOSE(CONTROL!$C$22, $C$13, 100%, $E$13)</f>
        <v>13.043799999999999</v>
      </c>
      <c r="F683" s="64">
        <f>13.0438 * CHOOSE(CONTROL!$C$22, $C$13, 100%, $E$13)</f>
        <v>13.043799999999999</v>
      </c>
      <c r="G683" s="64">
        <f>13.0595 * CHOOSE(CONTROL!$C$22, $C$13, 100%, $E$13)</f>
        <v>13.0595</v>
      </c>
      <c r="H683" s="64">
        <f>21.9172* CHOOSE(CONTROL!$C$22, $C$13, 100%, $E$13)</f>
        <v>21.917200000000001</v>
      </c>
      <c r="I683" s="64">
        <f>21.9329 * CHOOSE(CONTROL!$C$22, $C$13, 100%, $E$13)</f>
        <v>21.9329</v>
      </c>
      <c r="J683" s="64">
        <f>13.0438 * CHOOSE(CONTROL!$C$22, $C$13, 100%, $E$13)</f>
        <v>13.043799999999999</v>
      </c>
      <c r="K683" s="64">
        <f>13.0595 * CHOOSE(CONTROL!$C$22, $C$13, 100%, $E$13)</f>
        <v>13.0595</v>
      </c>
    </row>
    <row r="684" spans="1:11" ht="15">
      <c r="A684" s="13">
        <v>62306</v>
      </c>
      <c r="B684" s="63">
        <f>11.1958 * CHOOSE(CONTROL!$C$22, $C$13, 100%, $E$13)</f>
        <v>11.1958</v>
      </c>
      <c r="C684" s="63">
        <f>11.1958 * CHOOSE(CONTROL!$C$22, $C$13, 100%, $E$13)</f>
        <v>11.1958</v>
      </c>
      <c r="D684" s="63">
        <f>11.2088 * CHOOSE(CONTROL!$C$22, $C$13, 100%, $E$13)</f>
        <v>11.2088</v>
      </c>
      <c r="E684" s="64">
        <f>12.8386 * CHOOSE(CONTROL!$C$22, $C$13, 100%, $E$13)</f>
        <v>12.8386</v>
      </c>
      <c r="F684" s="64">
        <f>12.8386 * CHOOSE(CONTROL!$C$22, $C$13, 100%, $E$13)</f>
        <v>12.8386</v>
      </c>
      <c r="G684" s="64">
        <f>12.8542 * CHOOSE(CONTROL!$C$22, $C$13, 100%, $E$13)</f>
        <v>12.854200000000001</v>
      </c>
      <c r="H684" s="64">
        <f>21.9629* CHOOSE(CONTROL!$C$22, $C$13, 100%, $E$13)</f>
        <v>21.962900000000001</v>
      </c>
      <c r="I684" s="64">
        <f>21.9785 * CHOOSE(CONTROL!$C$22, $C$13, 100%, $E$13)</f>
        <v>21.9785</v>
      </c>
      <c r="J684" s="64">
        <f>12.8386 * CHOOSE(CONTROL!$C$22, $C$13, 100%, $E$13)</f>
        <v>12.8386</v>
      </c>
      <c r="K684" s="64">
        <f>12.8542 * CHOOSE(CONTROL!$C$22, $C$13, 100%, $E$13)</f>
        <v>12.854200000000001</v>
      </c>
    </row>
    <row r="685" spans="1:11" ht="15">
      <c r="A685" s="13">
        <v>62337</v>
      </c>
      <c r="B685" s="63">
        <f>11.1927 * CHOOSE(CONTROL!$C$22, $C$13, 100%, $E$13)</f>
        <v>11.1927</v>
      </c>
      <c r="C685" s="63">
        <f>11.1927 * CHOOSE(CONTROL!$C$22, $C$13, 100%, $E$13)</f>
        <v>11.1927</v>
      </c>
      <c r="D685" s="63">
        <f>11.2057 * CHOOSE(CONTROL!$C$22, $C$13, 100%, $E$13)</f>
        <v>11.2057</v>
      </c>
      <c r="E685" s="64">
        <f>12.8131 * CHOOSE(CONTROL!$C$22, $C$13, 100%, $E$13)</f>
        <v>12.8131</v>
      </c>
      <c r="F685" s="64">
        <f>12.8131 * CHOOSE(CONTROL!$C$22, $C$13, 100%, $E$13)</f>
        <v>12.8131</v>
      </c>
      <c r="G685" s="64">
        <f>12.8288 * CHOOSE(CONTROL!$C$22, $C$13, 100%, $E$13)</f>
        <v>12.828799999999999</v>
      </c>
      <c r="H685" s="64">
        <f>22.0086* CHOOSE(CONTROL!$C$22, $C$13, 100%, $E$13)</f>
        <v>22.008600000000001</v>
      </c>
      <c r="I685" s="64">
        <f>22.0243 * CHOOSE(CONTROL!$C$22, $C$13, 100%, $E$13)</f>
        <v>22.0243</v>
      </c>
      <c r="J685" s="64">
        <f>12.8131 * CHOOSE(CONTROL!$C$22, $C$13, 100%, $E$13)</f>
        <v>12.8131</v>
      </c>
      <c r="K685" s="64">
        <f>12.8288 * CHOOSE(CONTROL!$C$22, $C$13, 100%, $E$13)</f>
        <v>12.828799999999999</v>
      </c>
    </row>
    <row r="686" spans="1:11" ht="15">
      <c r="A686" s="13">
        <v>62367</v>
      </c>
      <c r="B686" s="63">
        <f>11.2111 * CHOOSE(CONTROL!$C$22, $C$13, 100%, $E$13)</f>
        <v>11.2111</v>
      </c>
      <c r="C686" s="63">
        <f>11.2111 * CHOOSE(CONTROL!$C$22, $C$13, 100%, $E$13)</f>
        <v>11.2111</v>
      </c>
      <c r="D686" s="63">
        <f>11.2111 * CHOOSE(CONTROL!$C$22, $C$13, 100%, $E$13)</f>
        <v>11.2111</v>
      </c>
      <c r="E686" s="64">
        <f>12.893 * CHOOSE(CONTROL!$C$22, $C$13, 100%, $E$13)</f>
        <v>12.893000000000001</v>
      </c>
      <c r="F686" s="64">
        <f>12.893 * CHOOSE(CONTROL!$C$22, $C$13, 100%, $E$13)</f>
        <v>12.893000000000001</v>
      </c>
      <c r="G686" s="64">
        <f>12.8931 * CHOOSE(CONTROL!$C$22, $C$13, 100%, $E$13)</f>
        <v>12.8931</v>
      </c>
      <c r="H686" s="64">
        <f>22.0545* CHOOSE(CONTROL!$C$22, $C$13, 100%, $E$13)</f>
        <v>22.054500000000001</v>
      </c>
      <c r="I686" s="64">
        <f>22.0545 * CHOOSE(CONTROL!$C$22, $C$13, 100%, $E$13)</f>
        <v>22.054500000000001</v>
      </c>
      <c r="J686" s="64">
        <f>12.893 * CHOOSE(CONTROL!$C$22, $C$13, 100%, $E$13)</f>
        <v>12.893000000000001</v>
      </c>
      <c r="K686" s="64">
        <f>12.8931 * CHOOSE(CONTROL!$C$22, $C$13, 100%, $E$13)</f>
        <v>12.8931</v>
      </c>
    </row>
    <row r="687" spans="1:11" ht="15">
      <c r="A687" s="13">
        <v>62398</v>
      </c>
      <c r="B687" s="63">
        <f>11.2141 * CHOOSE(CONTROL!$C$22, $C$13, 100%, $E$13)</f>
        <v>11.2141</v>
      </c>
      <c r="C687" s="63">
        <f>11.2141 * CHOOSE(CONTROL!$C$22, $C$13, 100%, $E$13)</f>
        <v>11.2141</v>
      </c>
      <c r="D687" s="63">
        <f>11.2141 * CHOOSE(CONTROL!$C$22, $C$13, 100%, $E$13)</f>
        <v>11.2141</v>
      </c>
      <c r="E687" s="64">
        <f>12.9418 * CHOOSE(CONTROL!$C$22, $C$13, 100%, $E$13)</f>
        <v>12.941800000000001</v>
      </c>
      <c r="F687" s="64">
        <f>12.9418 * CHOOSE(CONTROL!$C$22, $C$13, 100%, $E$13)</f>
        <v>12.941800000000001</v>
      </c>
      <c r="G687" s="64">
        <f>12.9419 * CHOOSE(CONTROL!$C$22, $C$13, 100%, $E$13)</f>
        <v>12.9419</v>
      </c>
      <c r="H687" s="64">
        <f>22.1004* CHOOSE(CONTROL!$C$22, $C$13, 100%, $E$13)</f>
        <v>22.1004</v>
      </c>
      <c r="I687" s="64">
        <f>22.1005 * CHOOSE(CONTROL!$C$22, $C$13, 100%, $E$13)</f>
        <v>22.1005</v>
      </c>
      <c r="J687" s="64">
        <f>12.9418 * CHOOSE(CONTROL!$C$22, $C$13, 100%, $E$13)</f>
        <v>12.941800000000001</v>
      </c>
      <c r="K687" s="64">
        <f>12.9419 * CHOOSE(CONTROL!$C$22, $C$13, 100%, $E$13)</f>
        <v>12.9419</v>
      </c>
    </row>
    <row r="688" spans="1:11" ht="15">
      <c r="A688" s="13">
        <v>62428</v>
      </c>
      <c r="B688" s="63">
        <f>11.2141 * CHOOSE(CONTROL!$C$22, $C$13, 100%, $E$13)</f>
        <v>11.2141</v>
      </c>
      <c r="C688" s="63">
        <f>11.2141 * CHOOSE(CONTROL!$C$22, $C$13, 100%, $E$13)</f>
        <v>11.2141</v>
      </c>
      <c r="D688" s="63">
        <f>11.2141 * CHOOSE(CONTROL!$C$22, $C$13, 100%, $E$13)</f>
        <v>11.2141</v>
      </c>
      <c r="E688" s="64">
        <f>12.8252 * CHOOSE(CONTROL!$C$22, $C$13, 100%, $E$13)</f>
        <v>12.825200000000001</v>
      </c>
      <c r="F688" s="64">
        <f>12.8252 * CHOOSE(CONTROL!$C$22, $C$13, 100%, $E$13)</f>
        <v>12.825200000000001</v>
      </c>
      <c r="G688" s="64">
        <f>12.8252 * CHOOSE(CONTROL!$C$22, $C$13, 100%, $E$13)</f>
        <v>12.825200000000001</v>
      </c>
      <c r="H688" s="64">
        <f>22.1465* CHOOSE(CONTROL!$C$22, $C$13, 100%, $E$13)</f>
        <v>22.1465</v>
      </c>
      <c r="I688" s="64">
        <f>22.1465 * CHOOSE(CONTROL!$C$22, $C$13, 100%, $E$13)</f>
        <v>22.1465</v>
      </c>
      <c r="J688" s="64">
        <f>12.8252 * CHOOSE(CONTROL!$C$22, $C$13, 100%, $E$13)</f>
        <v>12.825200000000001</v>
      </c>
      <c r="K688" s="64">
        <f>12.8252 * CHOOSE(CONTROL!$C$22, $C$13, 100%, $E$13)</f>
        <v>12.825200000000001</v>
      </c>
    </row>
    <row r="689" spans="1:11" ht="15">
      <c r="A689" s="13">
        <v>62459</v>
      </c>
      <c r="B689" s="63">
        <f>11.2519 * CHOOSE(CONTROL!$C$22, $C$13, 100%, $E$13)</f>
        <v>11.251899999999999</v>
      </c>
      <c r="C689" s="63">
        <f>11.2519 * CHOOSE(CONTROL!$C$22, $C$13, 100%, $E$13)</f>
        <v>11.251899999999999</v>
      </c>
      <c r="D689" s="63">
        <f>11.2519 * CHOOSE(CONTROL!$C$22, $C$13, 100%, $E$13)</f>
        <v>11.251899999999999</v>
      </c>
      <c r="E689" s="64">
        <f>12.9563 * CHOOSE(CONTROL!$C$22, $C$13, 100%, $E$13)</f>
        <v>12.956300000000001</v>
      </c>
      <c r="F689" s="64">
        <f>12.9563 * CHOOSE(CONTROL!$C$22, $C$13, 100%, $E$13)</f>
        <v>12.956300000000001</v>
      </c>
      <c r="G689" s="64">
        <f>12.9563 * CHOOSE(CONTROL!$C$22, $C$13, 100%, $E$13)</f>
        <v>12.956300000000001</v>
      </c>
      <c r="H689" s="64">
        <f>22.0911* CHOOSE(CONTROL!$C$22, $C$13, 100%, $E$13)</f>
        <v>22.091100000000001</v>
      </c>
      <c r="I689" s="64">
        <f>22.0912 * CHOOSE(CONTROL!$C$22, $C$13, 100%, $E$13)</f>
        <v>22.091200000000001</v>
      </c>
      <c r="J689" s="64">
        <f>12.9563 * CHOOSE(CONTROL!$C$22, $C$13, 100%, $E$13)</f>
        <v>12.956300000000001</v>
      </c>
      <c r="K689" s="64">
        <f>12.9563 * CHOOSE(CONTROL!$C$22, $C$13, 100%, $E$13)</f>
        <v>12.956300000000001</v>
      </c>
    </row>
    <row r="690" spans="1:11" ht="15">
      <c r="A690" s="13">
        <v>62490</v>
      </c>
      <c r="B690" s="63">
        <f>11.2488 * CHOOSE(CONTROL!$C$22, $C$13, 100%, $E$13)</f>
        <v>11.248799999999999</v>
      </c>
      <c r="C690" s="63">
        <f>11.2488 * CHOOSE(CONTROL!$C$22, $C$13, 100%, $E$13)</f>
        <v>11.248799999999999</v>
      </c>
      <c r="D690" s="63">
        <f>11.2489 * CHOOSE(CONTROL!$C$22, $C$13, 100%, $E$13)</f>
        <v>11.248900000000001</v>
      </c>
      <c r="E690" s="64">
        <f>12.7288 * CHOOSE(CONTROL!$C$22, $C$13, 100%, $E$13)</f>
        <v>12.7288</v>
      </c>
      <c r="F690" s="64">
        <f>12.7288 * CHOOSE(CONTROL!$C$22, $C$13, 100%, $E$13)</f>
        <v>12.7288</v>
      </c>
      <c r="G690" s="64">
        <f>12.7289 * CHOOSE(CONTROL!$C$22, $C$13, 100%, $E$13)</f>
        <v>12.728899999999999</v>
      </c>
      <c r="H690" s="64">
        <f>22.1371* CHOOSE(CONTROL!$C$22, $C$13, 100%, $E$13)</f>
        <v>22.1371</v>
      </c>
      <c r="I690" s="64">
        <f>22.1372 * CHOOSE(CONTROL!$C$22, $C$13, 100%, $E$13)</f>
        <v>22.1372</v>
      </c>
      <c r="J690" s="64">
        <f>12.7288 * CHOOSE(CONTROL!$C$22, $C$13, 100%, $E$13)</f>
        <v>12.7288</v>
      </c>
      <c r="K690" s="64">
        <f>12.7289 * CHOOSE(CONTROL!$C$22, $C$13, 100%, $E$13)</f>
        <v>12.728899999999999</v>
      </c>
    </row>
    <row r="691" spans="1:11" ht="15">
      <c r="A691" s="13">
        <v>62518</v>
      </c>
      <c r="B691" s="63">
        <f>11.2458 * CHOOSE(CONTROL!$C$22, $C$13, 100%, $E$13)</f>
        <v>11.245799999999999</v>
      </c>
      <c r="C691" s="63">
        <f>11.2458 * CHOOSE(CONTROL!$C$22, $C$13, 100%, $E$13)</f>
        <v>11.245799999999999</v>
      </c>
      <c r="D691" s="63">
        <f>11.2458 * CHOOSE(CONTROL!$C$22, $C$13, 100%, $E$13)</f>
        <v>11.245799999999999</v>
      </c>
      <c r="E691" s="64">
        <f>12.9043 * CHOOSE(CONTROL!$C$22, $C$13, 100%, $E$13)</f>
        <v>12.904299999999999</v>
      </c>
      <c r="F691" s="64">
        <f>12.9043 * CHOOSE(CONTROL!$C$22, $C$13, 100%, $E$13)</f>
        <v>12.904299999999999</v>
      </c>
      <c r="G691" s="64">
        <f>12.9044 * CHOOSE(CONTROL!$C$22, $C$13, 100%, $E$13)</f>
        <v>12.904400000000001</v>
      </c>
      <c r="H691" s="64">
        <f>22.1833* CHOOSE(CONTROL!$C$22, $C$13, 100%, $E$13)</f>
        <v>22.183299999999999</v>
      </c>
      <c r="I691" s="64">
        <f>22.1833 * CHOOSE(CONTROL!$C$22, $C$13, 100%, $E$13)</f>
        <v>22.183299999999999</v>
      </c>
      <c r="J691" s="64">
        <f>12.9043 * CHOOSE(CONTROL!$C$22, $C$13, 100%, $E$13)</f>
        <v>12.904299999999999</v>
      </c>
      <c r="K691" s="64">
        <f>12.9044 * CHOOSE(CONTROL!$C$22, $C$13, 100%, $E$13)</f>
        <v>12.904400000000001</v>
      </c>
    </row>
    <row r="692" spans="1:11" ht="15">
      <c r="A692" s="13">
        <v>62549</v>
      </c>
      <c r="B692" s="63">
        <f>11.2496 * CHOOSE(CONTROL!$C$22, $C$13, 100%, $E$13)</f>
        <v>11.249599999999999</v>
      </c>
      <c r="C692" s="63">
        <f>11.2496 * CHOOSE(CONTROL!$C$22, $C$13, 100%, $E$13)</f>
        <v>11.249599999999999</v>
      </c>
      <c r="D692" s="63">
        <f>11.2496 * CHOOSE(CONTROL!$C$22, $C$13, 100%, $E$13)</f>
        <v>11.249599999999999</v>
      </c>
      <c r="E692" s="64">
        <f>13.0909 * CHOOSE(CONTROL!$C$22, $C$13, 100%, $E$13)</f>
        <v>13.0909</v>
      </c>
      <c r="F692" s="64">
        <f>13.0909 * CHOOSE(CONTROL!$C$22, $C$13, 100%, $E$13)</f>
        <v>13.0909</v>
      </c>
      <c r="G692" s="64">
        <f>13.091 * CHOOSE(CONTROL!$C$22, $C$13, 100%, $E$13)</f>
        <v>13.090999999999999</v>
      </c>
      <c r="H692" s="64">
        <f>22.2295* CHOOSE(CONTROL!$C$22, $C$13, 100%, $E$13)</f>
        <v>22.229500000000002</v>
      </c>
      <c r="I692" s="64">
        <f>22.2295 * CHOOSE(CONTROL!$C$22, $C$13, 100%, $E$13)</f>
        <v>22.229500000000002</v>
      </c>
      <c r="J692" s="64">
        <f>13.0909 * CHOOSE(CONTROL!$C$22, $C$13, 100%, $E$13)</f>
        <v>13.0909</v>
      </c>
      <c r="K692" s="64">
        <f>13.091 * CHOOSE(CONTROL!$C$22, $C$13, 100%, $E$13)</f>
        <v>13.090999999999999</v>
      </c>
    </row>
    <row r="693" spans="1:11" ht="15">
      <c r="A693" s="13">
        <v>62579</v>
      </c>
      <c r="B693" s="63">
        <f>11.2496 * CHOOSE(CONTROL!$C$22, $C$13, 100%, $E$13)</f>
        <v>11.249599999999999</v>
      </c>
      <c r="C693" s="63">
        <f>11.2496 * CHOOSE(CONTROL!$C$22, $C$13, 100%, $E$13)</f>
        <v>11.249599999999999</v>
      </c>
      <c r="D693" s="63">
        <f>11.2625 * CHOOSE(CONTROL!$C$22, $C$13, 100%, $E$13)</f>
        <v>11.262499999999999</v>
      </c>
      <c r="E693" s="64">
        <f>13.1624 * CHOOSE(CONTROL!$C$22, $C$13, 100%, $E$13)</f>
        <v>13.1624</v>
      </c>
      <c r="F693" s="64">
        <f>13.1624 * CHOOSE(CONTROL!$C$22, $C$13, 100%, $E$13)</f>
        <v>13.1624</v>
      </c>
      <c r="G693" s="64">
        <f>13.1781 * CHOOSE(CONTROL!$C$22, $C$13, 100%, $E$13)</f>
        <v>13.178100000000001</v>
      </c>
      <c r="H693" s="64">
        <f>22.2758* CHOOSE(CONTROL!$C$22, $C$13, 100%, $E$13)</f>
        <v>22.2758</v>
      </c>
      <c r="I693" s="64">
        <f>22.2915 * CHOOSE(CONTROL!$C$22, $C$13, 100%, $E$13)</f>
        <v>22.291499999999999</v>
      </c>
      <c r="J693" s="64">
        <f>13.1624 * CHOOSE(CONTROL!$C$22, $C$13, 100%, $E$13)</f>
        <v>13.1624</v>
      </c>
      <c r="K693" s="64">
        <f>13.1781 * CHOOSE(CONTROL!$C$22, $C$13, 100%, $E$13)</f>
        <v>13.178100000000001</v>
      </c>
    </row>
    <row r="694" spans="1:11" ht="15">
      <c r="A694" s="13">
        <v>62610</v>
      </c>
      <c r="B694" s="63">
        <f>11.2556 * CHOOSE(CONTROL!$C$22, $C$13, 100%, $E$13)</f>
        <v>11.255599999999999</v>
      </c>
      <c r="C694" s="63">
        <f>11.2556 * CHOOSE(CONTROL!$C$22, $C$13, 100%, $E$13)</f>
        <v>11.255599999999999</v>
      </c>
      <c r="D694" s="63">
        <f>11.2686 * CHOOSE(CONTROL!$C$22, $C$13, 100%, $E$13)</f>
        <v>11.268599999999999</v>
      </c>
      <c r="E694" s="64">
        <f>13.0951 * CHOOSE(CONTROL!$C$22, $C$13, 100%, $E$13)</f>
        <v>13.0951</v>
      </c>
      <c r="F694" s="64">
        <f>13.0951 * CHOOSE(CONTROL!$C$22, $C$13, 100%, $E$13)</f>
        <v>13.0951</v>
      </c>
      <c r="G694" s="64">
        <f>13.1108 * CHOOSE(CONTROL!$C$22, $C$13, 100%, $E$13)</f>
        <v>13.110799999999999</v>
      </c>
      <c r="H694" s="64">
        <f>22.3222* CHOOSE(CONTROL!$C$22, $C$13, 100%, $E$13)</f>
        <v>22.322199999999999</v>
      </c>
      <c r="I694" s="64">
        <f>22.3379 * CHOOSE(CONTROL!$C$22, $C$13, 100%, $E$13)</f>
        <v>22.337900000000001</v>
      </c>
      <c r="J694" s="64">
        <f>13.0951 * CHOOSE(CONTROL!$C$22, $C$13, 100%, $E$13)</f>
        <v>13.0951</v>
      </c>
      <c r="K694" s="64">
        <f>13.1108 * CHOOSE(CONTROL!$C$22, $C$13, 100%, $E$13)</f>
        <v>13.110799999999999</v>
      </c>
    </row>
    <row r="695" spans="1:11" ht="15">
      <c r="A695" s="13">
        <v>62640</v>
      </c>
      <c r="B695" s="63">
        <f>11.4283 * CHOOSE(CONTROL!$C$22, $C$13, 100%, $E$13)</f>
        <v>11.4283</v>
      </c>
      <c r="C695" s="63">
        <f>11.4283 * CHOOSE(CONTROL!$C$22, $C$13, 100%, $E$13)</f>
        <v>11.4283</v>
      </c>
      <c r="D695" s="63">
        <f>11.4412 * CHOOSE(CONTROL!$C$22, $C$13, 100%, $E$13)</f>
        <v>11.4412</v>
      </c>
      <c r="E695" s="64">
        <f>13.3056 * CHOOSE(CONTROL!$C$22, $C$13, 100%, $E$13)</f>
        <v>13.3056</v>
      </c>
      <c r="F695" s="64">
        <f>13.3056 * CHOOSE(CONTROL!$C$22, $C$13, 100%, $E$13)</f>
        <v>13.3056</v>
      </c>
      <c r="G695" s="64">
        <f>13.3213 * CHOOSE(CONTROL!$C$22, $C$13, 100%, $E$13)</f>
        <v>13.321300000000001</v>
      </c>
      <c r="H695" s="64">
        <f>22.3687* CHOOSE(CONTROL!$C$22, $C$13, 100%, $E$13)</f>
        <v>22.3687</v>
      </c>
      <c r="I695" s="64">
        <f>22.3844 * CHOOSE(CONTROL!$C$22, $C$13, 100%, $E$13)</f>
        <v>22.384399999999999</v>
      </c>
      <c r="J695" s="64">
        <f>13.3056 * CHOOSE(CONTROL!$C$22, $C$13, 100%, $E$13)</f>
        <v>13.3056</v>
      </c>
      <c r="K695" s="64">
        <f>13.3213 * CHOOSE(CONTROL!$C$22, $C$13, 100%, $E$13)</f>
        <v>13.321300000000001</v>
      </c>
    </row>
    <row r="696" spans="1:11" ht="15">
      <c r="A696" s="13">
        <v>62671</v>
      </c>
      <c r="B696" s="63">
        <f>11.435 * CHOOSE(CONTROL!$C$22, $C$13, 100%, $E$13)</f>
        <v>11.435</v>
      </c>
      <c r="C696" s="63">
        <f>11.435 * CHOOSE(CONTROL!$C$22, $C$13, 100%, $E$13)</f>
        <v>11.435</v>
      </c>
      <c r="D696" s="63">
        <f>11.4479 * CHOOSE(CONTROL!$C$22, $C$13, 100%, $E$13)</f>
        <v>11.447900000000001</v>
      </c>
      <c r="E696" s="64">
        <f>13.0956 * CHOOSE(CONTROL!$C$22, $C$13, 100%, $E$13)</f>
        <v>13.095599999999999</v>
      </c>
      <c r="F696" s="64">
        <f>13.0956 * CHOOSE(CONTROL!$C$22, $C$13, 100%, $E$13)</f>
        <v>13.095599999999999</v>
      </c>
      <c r="G696" s="64">
        <f>13.1113 * CHOOSE(CONTROL!$C$22, $C$13, 100%, $E$13)</f>
        <v>13.1113</v>
      </c>
      <c r="H696" s="64">
        <f>22.4153* CHOOSE(CONTROL!$C$22, $C$13, 100%, $E$13)</f>
        <v>22.415299999999998</v>
      </c>
      <c r="I696" s="64">
        <f>22.431 * CHOOSE(CONTROL!$C$22, $C$13, 100%, $E$13)</f>
        <v>22.431000000000001</v>
      </c>
      <c r="J696" s="64">
        <f>13.0956 * CHOOSE(CONTROL!$C$22, $C$13, 100%, $E$13)</f>
        <v>13.095599999999999</v>
      </c>
      <c r="K696" s="64">
        <f>13.1113 * CHOOSE(CONTROL!$C$22, $C$13, 100%, $E$13)</f>
        <v>13.1113</v>
      </c>
    </row>
    <row r="697" spans="1:11" ht="15">
      <c r="A697" s="13">
        <v>62702</v>
      </c>
      <c r="B697" s="63">
        <f>11.4319 * CHOOSE(CONTROL!$C$22, $C$13, 100%, $E$13)</f>
        <v>11.431900000000001</v>
      </c>
      <c r="C697" s="63">
        <f>11.4319 * CHOOSE(CONTROL!$C$22, $C$13, 100%, $E$13)</f>
        <v>11.431900000000001</v>
      </c>
      <c r="D697" s="63">
        <f>11.4449 * CHOOSE(CONTROL!$C$22, $C$13, 100%, $E$13)</f>
        <v>11.444900000000001</v>
      </c>
      <c r="E697" s="64">
        <f>13.0697 * CHOOSE(CONTROL!$C$22, $C$13, 100%, $E$13)</f>
        <v>13.069699999999999</v>
      </c>
      <c r="F697" s="64">
        <f>13.0697 * CHOOSE(CONTROL!$C$22, $C$13, 100%, $E$13)</f>
        <v>13.069699999999999</v>
      </c>
      <c r="G697" s="64">
        <f>13.0854 * CHOOSE(CONTROL!$C$22, $C$13, 100%, $E$13)</f>
        <v>13.0854</v>
      </c>
      <c r="H697" s="64">
        <f>22.462* CHOOSE(CONTROL!$C$22, $C$13, 100%, $E$13)</f>
        <v>22.462</v>
      </c>
      <c r="I697" s="64">
        <f>22.4777 * CHOOSE(CONTROL!$C$22, $C$13, 100%, $E$13)</f>
        <v>22.477699999999999</v>
      </c>
      <c r="J697" s="64">
        <f>13.0697 * CHOOSE(CONTROL!$C$22, $C$13, 100%, $E$13)</f>
        <v>13.069699999999999</v>
      </c>
      <c r="K697" s="64">
        <f>13.0854 * CHOOSE(CONTROL!$C$22, $C$13, 100%, $E$13)</f>
        <v>13.0854</v>
      </c>
    </row>
    <row r="698" spans="1:11" ht="15">
      <c r="A698" s="13">
        <v>62732</v>
      </c>
      <c r="B698" s="63">
        <f>11.451 * CHOOSE(CONTROL!$C$22, $C$13, 100%, $E$13)</f>
        <v>11.451000000000001</v>
      </c>
      <c r="C698" s="63">
        <f>11.451 * CHOOSE(CONTROL!$C$22, $C$13, 100%, $E$13)</f>
        <v>11.451000000000001</v>
      </c>
      <c r="D698" s="63">
        <f>11.451 * CHOOSE(CONTROL!$C$22, $C$13, 100%, $E$13)</f>
        <v>11.451000000000001</v>
      </c>
      <c r="E698" s="64">
        <f>13.1516 * CHOOSE(CONTROL!$C$22, $C$13, 100%, $E$13)</f>
        <v>13.1516</v>
      </c>
      <c r="F698" s="64">
        <f>13.1516 * CHOOSE(CONTROL!$C$22, $C$13, 100%, $E$13)</f>
        <v>13.1516</v>
      </c>
      <c r="G698" s="64">
        <f>13.1517 * CHOOSE(CONTROL!$C$22, $C$13, 100%, $E$13)</f>
        <v>13.1517</v>
      </c>
      <c r="H698" s="64">
        <f>22.5088* CHOOSE(CONTROL!$C$22, $C$13, 100%, $E$13)</f>
        <v>22.508800000000001</v>
      </c>
      <c r="I698" s="64">
        <f>22.5089 * CHOOSE(CONTROL!$C$22, $C$13, 100%, $E$13)</f>
        <v>22.508900000000001</v>
      </c>
      <c r="J698" s="64">
        <f>13.1516 * CHOOSE(CONTROL!$C$22, $C$13, 100%, $E$13)</f>
        <v>13.1516</v>
      </c>
      <c r="K698" s="64">
        <f>13.1517 * CHOOSE(CONTROL!$C$22, $C$13, 100%, $E$13)</f>
        <v>13.1517</v>
      </c>
    </row>
    <row r="699" spans="1:11" ht="15">
      <c r="A699" s="13">
        <v>62763</v>
      </c>
      <c r="B699" s="63">
        <f>11.4541 * CHOOSE(CONTROL!$C$22, $C$13, 100%, $E$13)</f>
        <v>11.4541</v>
      </c>
      <c r="C699" s="63">
        <f>11.4541 * CHOOSE(CONTROL!$C$22, $C$13, 100%, $E$13)</f>
        <v>11.4541</v>
      </c>
      <c r="D699" s="63">
        <f>11.4541 * CHOOSE(CONTROL!$C$22, $C$13, 100%, $E$13)</f>
        <v>11.4541</v>
      </c>
      <c r="E699" s="64">
        <f>13.2015 * CHOOSE(CONTROL!$C$22, $C$13, 100%, $E$13)</f>
        <v>13.201499999999999</v>
      </c>
      <c r="F699" s="64">
        <f>13.2015 * CHOOSE(CONTROL!$C$22, $C$13, 100%, $E$13)</f>
        <v>13.201499999999999</v>
      </c>
      <c r="G699" s="64">
        <f>13.2015 * CHOOSE(CONTROL!$C$22, $C$13, 100%, $E$13)</f>
        <v>13.201499999999999</v>
      </c>
      <c r="H699" s="64">
        <f>22.5557* CHOOSE(CONTROL!$C$22, $C$13, 100%, $E$13)</f>
        <v>22.555700000000002</v>
      </c>
      <c r="I699" s="64">
        <f>22.5558 * CHOOSE(CONTROL!$C$22, $C$13, 100%, $E$13)</f>
        <v>22.555800000000001</v>
      </c>
      <c r="J699" s="64">
        <f>13.2015 * CHOOSE(CONTROL!$C$22, $C$13, 100%, $E$13)</f>
        <v>13.201499999999999</v>
      </c>
      <c r="K699" s="64">
        <f>13.2015 * CHOOSE(CONTROL!$C$22, $C$13, 100%, $E$13)</f>
        <v>13.201499999999999</v>
      </c>
    </row>
    <row r="700" spans="1:11" ht="15">
      <c r="A700" s="13">
        <v>62793</v>
      </c>
      <c r="B700" s="63">
        <f>11.4541 * CHOOSE(CONTROL!$C$22, $C$13, 100%, $E$13)</f>
        <v>11.4541</v>
      </c>
      <c r="C700" s="63">
        <f>11.4541 * CHOOSE(CONTROL!$C$22, $C$13, 100%, $E$13)</f>
        <v>11.4541</v>
      </c>
      <c r="D700" s="63">
        <f>11.4541 * CHOOSE(CONTROL!$C$22, $C$13, 100%, $E$13)</f>
        <v>11.4541</v>
      </c>
      <c r="E700" s="64">
        <f>13.0822 * CHOOSE(CONTROL!$C$22, $C$13, 100%, $E$13)</f>
        <v>13.0822</v>
      </c>
      <c r="F700" s="64">
        <f>13.0822 * CHOOSE(CONTROL!$C$22, $C$13, 100%, $E$13)</f>
        <v>13.0822</v>
      </c>
      <c r="G700" s="64">
        <f>13.0823 * CHOOSE(CONTROL!$C$22, $C$13, 100%, $E$13)</f>
        <v>13.0823</v>
      </c>
      <c r="H700" s="64">
        <f>22.6027* CHOOSE(CONTROL!$C$22, $C$13, 100%, $E$13)</f>
        <v>22.602699999999999</v>
      </c>
      <c r="I700" s="64">
        <f>22.6028 * CHOOSE(CONTROL!$C$22, $C$13, 100%, $E$13)</f>
        <v>22.602799999999998</v>
      </c>
      <c r="J700" s="64">
        <f>13.0822 * CHOOSE(CONTROL!$C$22, $C$13, 100%, $E$13)</f>
        <v>13.0822</v>
      </c>
      <c r="K700" s="64">
        <f>13.0823 * CHOOSE(CONTROL!$C$22, $C$13, 100%, $E$13)</f>
        <v>13.0823</v>
      </c>
    </row>
    <row r="701" spans="1:11" ht="15">
      <c r="A701" s="13">
        <v>62824</v>
      </c>
      <c r="B701" s="63">
        <f>11.4875 * CHOOSE(CONTROL!$C$22, $C$13, 100%, $E$13)</f>
        <v>11.487500000000001</v>
      </c>
      <c r="C701" s="63">
        <f>11.4875 * CHOOSE(CONTROL!$C$22, $C$13, 100%, $E$13)</f>
        <v>11.487500000000001</v>
      </c>
      <c r="D701" s="63">
        <f>11.4875 * CHOOSE(CONTROL!$C$22, $C$13, 100%, $E$13)</f>
        <v>11.487500000000001</v>
      </c>
      <c r="E701" s="64">
        <f>13.211 * CHOOSE(CONTROL!$C$22, $C$13, 100%, $E$13)</f>
        <v>13.211</v>
      </c>
      <c r="F701" s="64">
        <f>13.211 * CHOOSE(CONTROL!$C$22, $C$13, 100%, $E$13)</f>
        <v>13.211</v>
      </c>
      <c r="G701" s="64">
        <f>13.2111 * CHOOSE(CONTROL!$C$22, $C$13, 100%, $E$13)</f>
        <v>13.2111</v>
      </c>
      <c r="H701" s="64">
        <f>22.537* CHOOSE(CONTROL!$C$22, $C$13, 100%, $E$13)</f>
        <v>22.536999999999999</v>
      </c>
      <c r="I701" s="64">
        <f>22.5371 * CHOOSE(CONTROL!$C$22, $C$13, 100%, $E$13)</f>
        <v>22.537099999999999</v>
      </c>
      <c r="J701" s="64">
        <f>13.211 * CHOOSE(CONTROL!$C$22, $C$13, 100%, $E$13)</f>
        <v>13.211</v>
      </c>
      <c r="K701" s="64">
        <f>13.2111 * CHOOSE(CONTROL!$C$22, $C$13, 100%, $E$13)</f>
        <v>13.2111</v>
      </c>
    </row>
    <row r="702" spans="1:11" ht="15">
      <c r="A702" s="13">
        <v>62855</v>
      </c>
      <c r="B702" s="63">
        <f>11.4844 * CHOOSE(CONTROL!$C$22, $C$13, 100%, $E$13)</f>
        <v>11.484400000000001</v>
      </c>
      <c r="C702" s="63">
        <f>11.4844 * CHOOSE(CONTROL!$C$22, $C$13, 100%, $E$13)</f>
        <v>11.484400000000001</v>
      </c>
      <c r="D702" s="63">
        <f>11.4844 * CHOOSE(CONTROL!$C$22, $C$13, 100%, $E$13)</f>
        <v>11.484400000000001</v>
      </c>
      <c r="E702" s="64">
        <f>12.9786 * CHOOSE(CONTROL!$C$22, $C$13, 100%, $E$13)</f>
        <v>12.9786</v>
      </c>
      <c r="F702" s="64">
        <f>12.9786 * CHOOSE(CONTROL!$C$22, $C$13, 100%, $E$13)</f>
        <v>12.9786</v>
      </c>
      <c r="G702" s="64">
        <f>12.9787 * CHOOSE(CONTROL!$C$22, $C$13, 100%, $E$13)</f>
        <v>12.9787</v>
      </c>
      <c r="H702" s="64">
        <f>22.584* CHOOSE(CONTROL!$C$22, $C$13, 100%, $E$13)</f>
        <v>22.584</v>
      </c>
      <c r="I702" s="64">
        <f>22.584 * CHOOSE(CONTROL!$C$22, $C$13, 100%, $E$13)</f>
        <v>22.584</v>
      </c>
      <c r="J702" s="64">
        <f>12.9786 * CHOOSE(CONTROL!$C$22, $C$13, 100%, $E$13)</f>
        <v>12.9786</v>
      </c>
      <c r="K702" s="64">
        <f>12.9787 * CHOOSE(CONTROL!$C$22, $C$13, 100%, $E$13)</f>
        <v>12.9787</v>
      </c>
    </row>
    <row r="703" spans="1:11" ht="15">
      <c r="A703" s="13">
        <v>62884</v>
      </c>
      <c r="B703" s="63">
        <f>11.4814 * CHOOSE(CONTROL!$C$22, $C$13, 100%, $E$13)</f>
        <v>11.481400000000001</v>
      </c>
      <c r="C703" s="63">
        <f>11.4814 * CHOOSE(CONTROL!$C$22, $C$13, 100%, $E$13)</f>
        <v>11.481400000000001</v>
      </c>
      <c r="D703" s="63">
        <f>11.4814 * CHOOSE(CONTROL!$C$22, $C$13, 100%, $E$13)</f>
        <v>11.481400000000001</v>
      </c>
      <c r="E703" s="64">
        <f>13.158 * CHOOSE(CONTROL!$C$22, $C$13, 100%, $E$13)</f>
        <v>13.157999999999999</v>
      </c>
      <c r="F703" s="64">
        <f>13.158 * CHOOSE(CONTROL!$C$22, $C$13, 100%, $E$13)</f>
        <v>13.157999999999999</v>
      </c>
      <c r="G703" s="64">
        <f>13.1581 * CHOOSE(CONTROL!$C$22, $C$13, 100%, $E$13)</f>
        <v>13.158099999999999</v>
      </c>
      <c r="H703" s="64">
        <f>22.631* CHOOSE(CONTROL!$C$22, $C$13, 100%, $E$13)</f>
        <v>22.631</v>
      </c>
      <c r="I703" s="64">
        <f>22.6311 * CHOOSE(CONTROL!$C$22, $C$13, 100%, $E$13)</f>
        <v>22.6311</v>
      </c>
      <c r="J703" s="64">
        <f>13.158 * CHOOSE(CONTROL!$C$22, $C$13, 100%, $E$13)</f>
        <v>13.157999999999999</v>
      </c>
      <c r="K703" s="64">
        <f>13.1581 * CHOOSE(CONTROL!$C$22, $C$13, 100%, $E$13)</f>
        <v>13.158099999999999</v>
      </c>
    </row>
    <row r="704" spans="1:11" ht="15">
      <c r="A704" s="13">
        <v>62915</v>
      </c>
      <c r="B704" s="63">
        <f>11.4853 * CHOOSE(CONTROL!$C$22, $C$13, 100%, $E$13)</f>
        <v>11.485300000000001</v>
      </c>
      <c r="C704" s="63">
        <f>11.4853 * CHOOSE(CONTROL!$C$22, $C$13, 100%, $E$13)</f>
        <v>11.485300000000001</v>
      </c>
      <c r="D704" s="63">
        <f>11.4853 * CHOOSE(CONTROL!$C$22, $C$13, 100%, $E$13)</f>
        <v>11.485300000000001</v>
      </c>
      <c r="E704" s="64">
        <f>13.3487 * CHOOSE(CONTROL!$C$22, $C$13, 100%, $E$13)</f>
        <v>13.348699999999999</v>
      </c>
      <c r="F704" s="64">
        <f>13.3487 * CHOOSE(CONTROL!$C$22, $C$13, 100%, $E$13)</f>
        <v>13.348699999999999</v>
      </c>
      <c r="G704" s="64">
        <f>13.3488 * CHOOSE(CONTROL!$C$22, $C$13, 100%, $E$13)</f>
        <v>13.348800000000001</v>
      </c>
      <c r="H704" s="64">
        <f>22.6782* CHOOSE(CONTROL!$C$22, $C$13, 100%, $E$13)</f>
        <v>22.6782</v>
      </c>
      <c r="I704" s="64">
        <f>22.6782 * CHOOSE(CONTROL!$C$22, $C$13, 100%, $E$13)</f>
        <v>22.6782</v>
      </c>
      <c r="J704" s="64">
        <f>13.3487 * CHOOSE(CONTROL!$C$22, $C$13, 100%, $E$13)</f>
        <v>13.348699999999999</v>
      </c>
      <c r="K704" s="64">
        <f>13.3488 * CHOOSE(CONTROL!$C$22, $C$13, 100%, $E$13)</f>
        <v>13.348800000000001</v>
      </c>
    </row>
    <row r="705" spans="1:11" ht="15">
      <c r="A705" s="13">
        <v>62945</v>
      </c>
      <c r="B705" s="63">
        <f>11.4853 * CHOOSE(CONTROL!$C$22, $C$13, 100%, $E$13)</f>
        <v>11.485300000000001</v>
      </c>
      <c r="C705" s="63">
        <f>11.4853 * CHOOSE(CONTROL!$C$22, $C$13, 100%, $E$13)</f>
        <v>11.485300000000001</v>
      </c>
      <c r="D705" s="63">
        <f>11.4983 * CHOOSE(CONTROL!$C$22, $C$13, 100%, $E$13)</f>
        <v>11.4983</v>
      </c>
      <c r="E705" s="64">
        <f>13.4219 * CHOOSE(CONTROL!$C$22, $C$13, 100%, $E$13)</f>
        <v>13.421900000000001</v>
      </c>
      <c r="F705" s="64">
        <f>13.4219 * CHOOSE(CONTROL!$C$22, $C$13, 100%, $E$13)</f>
        <v>13.421900000000001</v>
      </c>
      <c r="G705" s="64">
        <f>13.4375 * CHOOSE(CONTROL!$C$22, $C$13, 100%, $E$13)</f>
        <v>13.4375</v>
      </c>
      <c r="H705" s="64">
        <f>22.7254* CHOOSE(CONTROL!$C$22, $C$13, 100%, $E$13)</f>
        <v>22.7254</v>
      </c>
      <c r="I705" s="64">
        <f>22.7411 * CHOOSE(CONTROL!$C$22, $C$13, 100%, $E$13)</f>
        <v>22.741099999999999</v>
      </c>
      <c r="J705" s="64">
        <f>13.4219 * CHOOSE(CONTROL!$C$22, $C$13, 100%, $E$13)</f>
        <v>13.421900000000001</v>
      </c>
      <c r="K705" s="64">
        <f>13.4375 * CHOOSE(CONTROL!$C$22, $C$13, 100%, $E$13)</f>
        <v>13.4375</v>
      </c>
    </row>
    <row r="706" spans="1:11" ht="15">
      <c r="A706" s="13">
        <v>62976</v>
      </c>
      <c r="B706" s="63">
        <f>11.4914 * CHOOSE(CONTROL!$C$22, $C$13, 100%, $E$13)</f>
        <v>11.491400000000001</v>
      </c>
      <c r="C706" s="63">
        <f>11.4914 * CHOOSE(CONTROL!$C$22, $C$13, 100%, $E$13)</f>
        <v>11.491400000000001</v>
      </c>
      <c r="D706" s="63">
        <f>11.5044 * CHOOSE(CONTROL!$C$22, $C$13, 100%, $E$13)</f>
        <v>11.5044</v>
      </c>
      <c r="E706" s="64">
        <f>13.353 * CHOOSE(CONTROL!$C$22, $C$13, 100%, $E$13)</f>
        <v>13.353</v>
      </c>
      <c r="F706" s="64">
        <f>13.353 * CHOOSE(CONTROL!$C$22, $C$13, 100%, $E$13)</f>
        <v>13.353</v>
      </c>
      <c r="G706" s="64">
        <f>13.3687 * CHOOSE(CONTROL!$C$22, $C$13, 100%, $E$13)</f>
        <v>13.3687</v>
      </c>
      <c r="H706" s="64">
        <f>22.7727* CHOOSE(CONTROL!$C$22, $C$13, 100%, $E$13)</f>
        <v>22.7727</v>
      </c>
      <c r="I706" s="64">
        <f>22.7884 * CHOOSE(CONTROL!$C$22, $C$13, 100%, $E$13)</f>
        <v>22.788399999999999</v>
      </c>
      <c r="J706" s="64">
        <f>13.353 * CHOOSE(CONTROL!$C$22, $C$13, 100%, $E$13)</f>
        <v>13.353</v>
      </c>
      <c r="K706" s="64">
        <f>13.3687 * CHOOSE(CONTROL!$C$22, $C$13, 100%, $E$13)</f>
        <v>13.3687</v>
      </c>
    </row>
    <row r="707" spans="1:11" ht="15">
      <c r="A707" s="13">
        <v>63006</v>
      </c>
      <c r="B707" s="63">
        <f>11.6674 * CHOOSE(CONTROL!$C$22, $C$13, 100%, $E$13)</f>
        <v>11.667400000000001</v>
      </c>
      <c r="C707" s="63">
        <f>11.6674 * CHOOSE(CONTROL!$C$22, $C$13, 100%, $E$13)</f>
        <v>11.667400000000001</v>
      </c>
      <c r="D707" s="63">
        <f>11.6804 * CHOOSE(CONTROL!$C$22, $C$13, 100%, $E$13)</f>
        <v>11.680400000000001</v>
      </c>
      <c r="E707" s="64">
        <f>13.5674 * CHOOSE(CONTROL!$C$22, $C$13, 100%, $E$13)</f>
        <v>13.567399999999999</v>
      </c>
      <c r="F707" s="64">
        <f>13.5674 * CHOOSE(CONTROL!$C$22, $C$13, 100%, $E$13)</f>
        <v>13.567399999999999</v>
      </c>
      <c r="G707" s="64">
        <f>13.5831 * CHOOSE(CONTROL!$C$22, $C$13, 100%, $E$13)</f>
        <v>13.5831</v>
      </c>
      <c r="H707" s="64">
        <f>22.8202* CHOOSE(CONTROL!$C$22, $C$13, 100%, $E$13)</f>
        <v>22.8202</v>
      </c>
      <c r="I707" s="64">
        <f>22.8359 * CHOOSE(CONTROL!$C$22, $C$13, 100%, $E$13)</f>
        <v>22.835899999999999</v>
      </c>
      <c r="J707" s="64">
        <f>13.5674 * CHOOSE(CONTROL!$C$22, $C$13, 100%, $E$13)</f>
        <v>13.567399999999999</v>
      </c>
      <c r="K707" s="64">
        <f>13.5831 * CHOOSE(CONTROL!$C$22, $C$13, 100%, $E$13)</f>
        <v>13.5831</v>
      </c>
    </row>
    <row r="708" spans="1:11" ht="15">
      <c r="A708" s="13">
        <v>63037</v>
      </c>
      <c r="B708" s="63">
        <f>11.6741 * CHOOSE(CONTROL!$C$22, $C$13, 100%, $E$13)</f>
        <v>11.674099999999999</v>
      </c>
      <c r="C708" s="63">
        <f>11.6741 * CHOOSE(CONTROL!$C$22, $C$13, 100%, $E$13)</f>
        <v>11.674099999999999</v>
      </c>
      <c r="D708" s="63">
        <f>11.6871 * CHOOSE(CONTROL!$C$22, $C$13, 100%, $E$13)</f>
        <v>11.687099999999999</v>
      </c>
      <c r="E708" s="64">
        <f>13.3527 * CHOOSE(CONTROL!$C$22, $C$13, 100%, $E$13)</f>
        <v>13.3527</v>
      </c>
      <c r="F708" s="64">
        <f>13.3527 * CHOOSE(CONTROL!$C$22, $C$13, 100%, $E$13)</f>
        <v>13.3527</v>
      </c>
      <c r="G708" s="64">
        <f>13.3684 * CHOOSE(CONTROL!$C$22, $C$13, 100%, $E$13)</f>
        <v>13.368399999999999</v>
      </c>
      <c r="H708" s="64">
        <f>22.8677* CHOOSE(CONTROL!$C$22, $C$13, 100%, $E$13)</f>
        <v>22.867699999999999</v>
      </c>
      <c r="I708" s="64">
        <f>22.8834 * CHOOSE(CONTROL!$C$22, $C$13, 100%, $E$13)</f>
        <v>22.883400000000002</v>
      </c>
      <c r="J708" s="64">
        <f>13.3527 * CHOOSE(CONTROL!$C$22, $C$13, 100%, $E$13)</f>
        <v>13.3527</v>
      </c>
      <c r="K708" s="64">
        <f>13.3684 * CHOOSE(CONTROL!$C$22, $C$13, 100%, $E$13)</f>
        <v>13.368399999999999</v>
      </c>
    </row>
    <row r="709" spans="1:11" ht="15">
      <c r="A709" s="13">
        <v>63068</v>
      </c>
      <c r="B709" s="63">
        <f>11.6711 * CHOOSE(CONTROL!$C$22, $C$13, 100%, $E$13)</f>
        <v>11.671099999999999</v>
      </c>
      <c r="C709" s="63">
        <f>11.6711 * CHOOSE(CONTROL!$C$22, $C$13, 100%, $E$13)</f>
        <v>11.671099999999999</v>
      </c>
      <c r="D709" s="63">
        <f>11.6841 * CHOOSE(CONTROL!$C$22, $C$13, 100%, $E$13)</f>
        <v>11.684100000000001</v>
      </c>
      <c r="E709" s="64">
        <f>13.3262 * CHOOSE(CONTROL!$C$22, $C$13, 100%, $E$13)</f>
        <v>13.3262</v>
      </c>
      <c r="F709" s="64">
        <f>13.3262 * CHOOSE(CONTROL!$C$22, $C$13, 100%, $E$13)</f>
        <v>13.3262</v>
      </c>
      <c r="G709" s="64">
        <f>13.3419 * CHOOSE(CONTROL!$C$22, $C$13, 100%, $E$13)</f>
        <v>13.341900000000001</v>
      </c>
      <c r="H709" s="64">
        <f>22.9154* CHOOSE(CONTROL!$C$22, $C$13, 100%, $E$13)</f>
        <v>22.915400000000002</v>
      </c>
      <c r="I709" s="64">
        <f>22.931 * CHOOSE(CONTROL!$C$22, $C$13, 100%, $E$13)</f>
        <v>22.931000000000001</v>
      </c>
      <c r="J709" s="64">
        <f>13.3262 * CHOOSE(CONTROL!$C$22, $C$13, 100%, $E$13)</f>
        <v>13.3262</v>
      </c>
      <c r="K709" s="64">
        <f>13.3419 * CHOOSE(CONTROL!$C$22, $C$13, 100%, $E$13)</f>
        <v>13.341900000000001</v>
      </c>
    </row>
    <row r="710" spans="1:11" ht="15">
      <c r="A710" s="13">
        <v>63098</v>
      </c>
      <c r="B710" s="63">
        <f>11.691 * CHOOSE(CONTROL!$C$22, $C$13, 100%, $E$13)</f>
        <v>11.691000000000001</v>
      </c>
      <c r="C710" s="63">
        <f>11.691 * CHOOSE(CONTROL!$C$22, $C$13, 100%, $E$13)</f>
        <v>11.691000000000001</v>
      </c>
      <c r="D710" s="63">
        <f>11.691 * CHOOSE(CONTROL!$C$22, $C$13, 100%, $E$13)</f>
        <v>11.691000000000001</v>
      </c>
      <c r="E710" s="64">
        <f>13.4103 * CHOOSE(CONTROL!$C$22, $C$13, 100%, $E$13)</f>
        <v>13.410299999999999</v>
      </c>
      <c r="F710" s="64">
        <f>13.4103 * CHOOSE(CONTROL!$C$22, $C$13, 100%, $E$13)</f>
        <v>13.410299999999999</v>
      </c>
      <c r="G710" s="64">
        <f>13.4104 * CHOOSE(CONTROL!$C$22, $C$13, 100%, $E$13)</f>
        <v>13.410399999999999</v>
      </c>
      <c r="H710" s="64">
        <f>22.9631* CHOOSE(CONTROL!$C$22, $C$13, 100%, $E$13)</f>
        <v>22.963100000000001</v>
      </c>
      <c r="I710" s="64">
        <f>22.9632 * CHOOSE(CONTROL!$C$22, $C$13, 100%, $E$13)</f>
        <v>22.963200000000001</v>
      </c>
      <c r="J710" s="64">
        <f>13.4103 * CHOOSE(CONTROL!$C$22, $C$13, 100%, $E$13)</f>
        <v>13.410299999999999</v>
      </c>
      <c r="K710" s="64">
        <f>13.4104 * CHOOSE(CONTROL!$C$22, $C$13, 100%, $E$13)</f>
        <v>13.410399999999999</v>
      </c>
    </row>
    <row r="711" spans="1:11" ht="15">
      <c r="A711" s="13">
        <v>63129</v>
      </c>
      <c r="B711" s="63">
        <f>11.694 * CHOOSE(CONTROL!$C$22, $C$13, 100%, $E$13)</f>
        <v>11.694000000000001</v>
      </c>
      <c r="C711" s="63">
        <f>11.694 * CHOOSE(CONTROL!$C$22, $C$13, 100%, $E$13)</f>
        <v>11.694000000000001</v>
      </c>
      <c r="D711" s="63">
        <f>11.694 * CHOOSE(CONTROL!$C$22, $C$13, 100%, $E$13)</f>
        <v>11.694000000000001</v>
      </c>
      <c r="E711" s="64">
        <f>13.4611 * CHOOSE(CONTROL!$C$22, $C$13, 100%, $E$13)</f>
        <v>13.4611</v>
      </c>
      <c r="F711" s="64">
        <f>13.4611 * CHOOSE(CONTROL!$C$22, $C$13, 100%, $E$13)</f>
        <v>13.4611</v>
      </c>
      <c r="G711" s="64">
        <f>13.4612 * CHOOSE(CONTROL!$C$22, $C$13, 100%, $E$13)</f>
        <v>13.4612</v>
      </c>
      <c r="H711" s="64">
        <f>23.0109* CHOOSE(CONTROL!$C$22, $C$13, 100%, $E$13)</f>
        <v>23.010899999999999</v>
      </c>
      <c r="I711" s="64">
        <f>23.011 * CHOOSE(CONTROL!$C$22, $C$13, 100%, $E$13)</f>
        <v>23.010999999999999</v>
      </c>
      <c r="J711" s="64">
        <f>13.4611 * CHOOSE(CONTROL!$C$22, $C$13, 100%, $E$13)</f>
        <v>13.4611</v>
      </c>
      <c r="K711" s="64">
        <f>13.4612 * CHOOSE(CONTROL!$C$22, $C$13, 100%, $E$13)</f>
        <v>13.4612</v>
      </c>
    </row>
    <row r="712" spans="1:11" ht="15">
      <c r="A712" s="13">
        <v>63159</v>
      </c>
      <c r="B712" s="63">
        <f>11.694 * CHOOSE(CONTROL!$C$22, $C$13, 100%, $E$13)</f>
        <v>11.694000000000001</v>
      </c>
      <c r="C712" s="63">
        <f>11.694 * CHOOSE(CONTROL!$C$22, $C$13, 100%, $E$13)</f>
        <v>11.694000000000001</v>
      </c>
      <c r="D712" s="63">
        <f>11.694 * CHOOSE(CONTROL!$C$22, $C$13, 100%, $E$13)</f>
        <v>11.694000000000001</v>
      </c>
      <c r="E712" s="64">
        <f>13.3393 * CHOOSE(CONTROL!$C$22, $C$13, 100%, $E$13)</f>
        <v>13.3393</v>
      </c>
      <c r="F712" s="64">
        <f>13.3393 * CHOOSE(CONTROL!$C$22, $C$13, 100%, $E$13)</f>
        <v>13.3393</v>
      </c>
      <c r="G712" s="64">
        <f>13.3394 * CHOOSE(CONTROL!$C$22, $C$13, 100%, $E$13)</f>
        <v>13.339399999999999</v>
      </c>
      <c r="H712" s="64">
        <f>23.0589* CHOOSE(CONTROL!$C$22, $C$13, 100%, $E$13)</f>
        <v>23.058900000000001</v>
      </c>
      <c r="I712" s="64">
        <f>23.059 * CHOOSE(CONTROL!$C$22, $C$13, 100%, $E$13)</f>
        <v>23.059000000000001</v>
      </c>
      <c r="J712" s="64">
        <f>13.3393 * CHOOSE(CONTROL!$C$22, $C$13, 100%, $E$13)</f>
        <v>13.3393</v>
      </c>
      <c r="K712" s="64">
        <f>13.3394 * CHOOSE(CONTROL!$C$22, $C$13, 100%, $E$13)</f>
        <v>13.339399999999999</v>
      </c>
    </row>
    <row r="713" spans="1:11" ht="15">
      <c r="A713" s="13">
        <v>63190</v>
      </c>
      <c r="B713" s="63">
        <f>11.723 * CHOOSE(CONTROL!$C$22, $C$13, 100%, $E$13)</f>
        <v>11.723000000000001</v>
      </c>
      <c r="C713" s="63">
        <f>11.723 * CHOOSE(CONTROL!$C$22, $C$13, 100%, $E$13)</f>
        <v>11.723000000000001</v>
      </c>
      <c r="D713" s="63">
        <f>11.723 * CHOOSE(CONTROL!$C$22, $C$13, 100%, $E$13)</f>
        <v>11.723000000000001</v>
      </c>
      <c r="E713" s="64">
        <f>13.4657 * CHOOSE(CONTROL!$C$22, $C$13, 100%, $E$13)</f>
        <v>13.4657</v>
      </c>
      <c r="F713" s="64">
        <f>13.4657 * CHOOSE(CONTROL!$C$22, $C$13, 100%, $E$13)</f>
        <v>13.4657</v>
      </c>
      <c r="G713" s="64">
        <f>13.4658 * CHOOSE(CONTROL!$C$22, $C$13, 100%, $E$13)</f>
        <v>13.4658</v>
      </c>
      <c r="H713" s="64">
        <f>22.9829* CHOOSE(CONTROL!$C$22, $C$13, 100%, $E$13)</f>
        <v>22.982900000000001</v>
      </c>
      <c r="I713" s="64">
        <f>22.983 * CHOOSE(CONTROL!$C$22, $C$13, 100%, $E$13)</f>
        <v>22.983000000000001</v>
      </c>
      <c r="J713" s="64">
        <f>13.4657 * CHOOSE(CONTROL!$C$22, $C$13, 100%, $E$13)</f>
        <v>13.4657</v>
      </c>
      <c r="K713" s="64">
        <f>13.4658 * CHOOSE(CONTROL!$C$22, $C$13, 100%, $E$13)</f>
        <v>13.4658</v>
      </c>
    </row>
    <row r="714" spans="1:11" ht="15">
      <c r="A714" s="13">
        <v>63221</v>
      </c>
      <c r="B714" s="63">
        <f>11.72 * CHOOSE(CONTROL!$C$22, $C$13, 100%, $E$13)</f>
        <v>11.72</v>
      </c>
      <c r="C714" s="63">
        <f>11.72 * CHOOSE(CONTROL!$C$22, $C$13, 100%, $E$13)</f>
        <v>11.72</v>
      </c>
      <c r="D714" s="63">
        <f>11.72 * CHOOSE(CONTROL!$C$22, $C$13, 100%, $E$13)</f>
        <v>11.72</v>
      </c>
      <c r="E714" s="64">
        <f>13.2284 * CHOOSE(CONTROL!$C$22, $C$13, 100%, $E$13)</f>
        <v>13.228400000000001</v>
      </c>
      <c r="F714" s="64">
        <f>13.2284 * CHOOSE(CONTROL!$C$22, $C$13, 100%, $E$13)</f>
        <v>13.228400000000001</v>
      </c>
      <c r="G714" s="64">
        <f>13.2285 * CHOOSE(CONTROL!$C$22, $C$13, 100%, $E$13)</f>
        <v>13.2285</v>
      </c>
      <c r="H714" s="64">
        <f>23.0308* CHOOSE(CONTROL!$C$22, $C$13, 100%, $E$13)</f>
        <v>23.030799999999999</v>
      </c>
      <c r="I714" s="64">
        <f>23.0309 * CHOOSE(CONTROL!$C$22, $C$13, 100%, $E$13)</f>
        <v>23.030899999999999</v>
      </c>
      <c r="J714" s="64">
        <f>13.2284 * CHOOSE(CONTROL!$C$22, $C$13, 100%, $E$13)</f>
        <v>13.228400000000001</v>
      </c>
      <c r="K714" s="64">
        <f>13.2285 * CHOOSE(CONTROL!$C$22, $C$13, 100%, $E$13)</f>
        <v>13.2285</v>
      </c>
    </row>
    <row r="715" spans="1:11" ht="15">
      <c r="A715" s="13">
        <v>63249</v>
      </c>
      <c r="B715" s="63">
        <f>11.717 * CHOOSE(CONTROL!$C$22, $C$13, 100%, $E$13)</f>
        <v>11.717000000000001</v>
      </c>
      <c r="C715" s="63">
        <f>11.717 * CHOOSE(CONTROL!$C$22, $C$13, 100%, $E$13)</f>
        <v>11.717000000000001</v>
      </c>
      <c r="D715" s="63">
        <f>11.717 * CHOOSE(CONTROL!$C$22, $C$13, 100%, $E$13)</f>
        <v>11.717000000000001</v>
      </c>
      <c r="E715" s="64">
        <f>13.4117 * CHOOSE(CONTROL!$C$22, $C$13, 100%, $E$13)</f>
        <v>13.4117</v>
      </c>
      <c r="F715" s="64">
        <f>13.4117 * CHOOSE(CONTROL!$C$22, $C$13, 100%, $E$13)</f>
        <v>13.4117</v>
      </c>
      <c r="G715" s="64">
        <f>13.4118 * CHOOSE(CONTROL!$C$22, $C$13, 100%, $E$13)</f>
        <v>13.411799999999999</v>
      </c>
      <c r="H715" s="64">
        <f>23.0788* CHOOSE(CONTROL!$C$22, $C$13, 100%, $E$13)</f>
        <v>23.078800000000001</v>
      </c>
      <c r="I715" s="64">
        <f>23.0788 * CHOOSE(CONTROL!$C$22, $C$13, 100%, $E$13)</f>
        <v>23.078800000000001</v>
      </c>
      <c r="J715" s="64">
        <f>13.4117 * CHOOSE(CONTROL!$C$22, $C$13, 100%, $E$13)</f>
        <v>13.4117</v>
      </c>
      <c r="K715" s="64">
        <f>13.4118 * CHOOSE(CONTROL!$C$22, $C$13, 100%, $E$13)</f>
        <v>13.411799999999999</v>
      </c>
    </row>
    <row r="716" spans="1:11" ht="15">
      <c r="A716" s="13">
        <v>63280</v>
      </c>
      <c r="B716" s="63">
        <f>11.7211 * CHOOSE(CONTROL!$C$22, $C$13, 100%, $E$13)</f>
        <v>11.7211</v>
      </c>
      <c r="C716" s="63">
        <f>11.7211 * CHOOSE(CONTROL!$C$22, $C$13, 100%, $E$13)</f>
        <v>11.7211</v>
      </c>
      <c r="D716" s="63">
        <f>11.7211 * CHOOSE(CONTROL!$C$22, $C$13, 100%, $E$13)</f>
        <v>11.7211</v>
      </c>
      <c r="E716" s="64">
        <f>13.6066 * CHOOSE(CONTROL!$C$22, $C$13, 100%, $E$13)</f>
        <v>13.6066</v>
      </c>
      <c r="F716" s="64">
        <f>13.6066 * CHOOSE(CONTROL!$C$22, $C$13, 100%, $E$13)</f>
        <v>13.6066</v>
      </c>
      <c r="G716" s="64">
        <f>13.6067 * CHOOSE(CONTROL!$C$22, $C$13, 100%, $E$13)</f>
        <v>13.6067</v>
      </c>
      <c r="H716" s="64">
        <f>23.1268* CHOOSE(CONTROL!$C$22, $C$13, 100%, $E$13)</f>
        <v>23.126799999999999</v>
      </c>
      <c r="I716" s="64">
        <f>23.1269 * CHOOSE(CONTROL!$C$22, $C$13, 100%, $E$13)</f>
        <v>23.126899999999999</v>
      </c>
      <c r="J716" s="64">
        <f>13.6066 * CHOOSE(CONTROL!$C$22, $C$13, 100%, $E$13)</f>
        <v>13.6066</v>
      </c>
      <c r="K716" s="64">
        <f>13.6067 * CHOOSE(CONTROL!$C$22, $C$13, 100%, $E$13)</f>
        <v>13.6067</v>
      </c>
    </row>
    <row r="717" spans="1:11" ht="15">
      <c r="A717" s="13">
        <v>63310</v>
      </c>
      <c r="B717" s="63">
        <f>11.7211 * CHOOSE(CONTROL!$C$22, $C$13, 100%, $E$13)</f>
        <v>11.7211</v>
      </c>
      <c r="C717" s="63">
        <f>11.7211 * CHOOSE(CONTROL!$C$22, $C$13, 100%, $E$13)</f>
        <v>11.7211</v>
      </c>
      <c r="D717" s="63">
        <f>11.7341 * CHOOSE(CONTROL!$C$22, $C$13, 100%, $E$13)</f>
        <v>11.7341</v>
      </c>
      <c r="E717" s="64">
        <f>13.6813 * CHOOSE(CONTROL!$C$22, $C$13, 100%, $E$13)</f>
        <v>13.6813</v>
      </c>
      <c r="F717" s="64">
        <f>13.6813 * CHOOSE(CONTROL!$C$22, $C$13, 100%, $E$13)</f>
        <v>13.6813</v>
      </c>
      <c r="G717" s="64">
        <f>13.697 * CHOOSE(CONTROL!$C$22, $C$13, 100%, $E$13)</f>
        <v>13.696999999999999</v>
      </c>
      <c r="H717" s="64">
        <f>23.175* CHOOSE(CONTROL!$C$22, $C$13, 100%, $E$13)</f>
        <v>23.175000000000001</v>
      </c>
      <c r="I717" s="64">
        <f>23.1907 * CHOOSE(CONTROL!$C$22, $C$13, 100%, $E$13)</f>
        <v>23.1907</v>
      </c>
      <c r="J717" s="64">
        <f>13.6813 * CHOOSE(CONTROL!$C$22, $C$13, 100%, $E$13)</f>
        <v>13.6813</v>
      </c>
      <c r="K717" s="64">
        <f>13.697 * CHOOSE(CONTROL!$C$22, $C$13, 100%, $E$13)</f>
        <v>13.696999999999999</v>
      </c>
    </row>
    <row r="718" spans="1:11" ht="15">
      <c r="A718" s="13">
        <v>63341</v>
      </c>
      <c r="B718" s="63">
        <f>11.7272 * CHOOSE(CONTROL!$C$22, $C$13, 100%, $E$13)</f>
        <v>11.7272</v>
      </c>
      <c r="C718" s="63">
        <f>11.7272 * CHOOSE(CONTROL!$C$22, $C$13, 100%, $E$13)</f>
        <v>11.7272</v>
      </c>
      <c r="D718" s="63">
        <f>11.7401 * CHOOSE(CONTROL!$C$22, $C$13, 100%, $E$13)</f>
        <v>11.7401</v>
      </c>
      <c r="E718" s="64">
        <f>13.6108 * CHOOSE(CONTROL!$C$22, $C$13, 100%, $E$13)</f>
        <v>13.610799999999999</v>
      </c>
      <c r="F718" s="64">
        <f>13.6108 * CHOOSE(CONTROL!$C$22, $C$13, 100%, $E$13)</f>
        <v>13.610799999999999</v>
      </c>
      <c r="G718" s="64">
        <f>13.6265 * CHOOSE(CONTROL!$C$22, $C$13, 100%, $E$13)</f>
        <v>13.6265</v>
      </c>
      <c r="H718" s="64">
        <f>23.2233* CHOOSE(CONTROL!$C$22, $C$13, 100%, $E$13)</f>
        <v>23.223299999999998</v>
      </c>
      <c r="I718" s="64">
        <f>23.239 * CHOOSE(CONTROL!$C$22, $C$13, 100%, $E$13)</f>
        <v>23.239000000000001</v>
      </c>
      <c r="J718" s="64">
        <f>13.6108 * CHOOSE(CONTROL!$C$22, $C$13, 100%, $E$13)</f>
        <v>13.610799999999999</v>
      </c>
      <c r="K718" s="64">
        <f>13.6265 * CHOOSE(CONTROL!$C$22, $C$13, 100%, $E$13)</f>
        <v>13.6265</v>
      </c>
    </row>
    <row r="719" spans="1:11" ht="15">
      <c r="A719" s="13">
        <v>63371</v>
      </c>
      <c r="B719" s="63">
        <f>11.9066 * CHOOSE(CONTROL!$C$22, $C$13, 100%, $E$13)</f>
        <v>11.906599999999999</v>
      </c>
      <c r="C719" s="63">
        <f>11.9066 * CHOOSE(CONTROL!$C$22, $C$13, 100%, $E$13)</f>
        <v>11.906599999999999</v>
      </c>
      <c r="D719" s="63">
        <f>11.9196 * CHOOSE(CONTROL!$C$22, $C$13, 100%, $E$13)</f>
        <v>11.919600000000001</v>
      </c>
      <c r="E719" s="64">
        <f>13.8292 * CHOOSE(CONTROL!$C$22, $C$13, 100%, $E$13)</f>
        <v>13.8292</v>
      </c>
      <c r="F719" s="64">
        <f>13.8292 * CHOOSE(CONTROL!$C$22, $C$13, 100%, $E$13)</f>
        <v>13.8292</v>
      </c>
      <c r="G719" s="64">
        <f>13.8448 * CHOOSE(CONTROL!$C$22, $C$13, 100%, $E$13)</f>
        <v>13.844799999999999</v>
      </c>
      <c r="H719" s="64">
        <f>23.2717* CHOOSE(CONTROL!$C$22, $C$13, 100%, $E$13)</f>
        <v>23.271699999999999</v>
      </c>
      <c r="I719" s="64">
        <f>23.2874 * CHOOSE(CONTROL!$C$22, $C$13, 100%, $E$13)</f>
        <v>23.287400000000002</v>
      </c>
      <c r="J719" s="64">
        <f>13.8292 * CHOOSE(CONTROL!$C$22, $C$13, 100%, $E$13)</f>
        <v>13.8292</v>
      </c>
      <c r="K719" s="64">
        <f>13.8448 * CHOOSE(CONTROL!$C$22, $C$13, 100%, $E$13)</f>
        <v>13.844799999999999</v>
      </c>
    </row>
    <row r="720" spans="1:11" ht="15">
      <c r="A720" s="13">
        <v>63402</v>
      </c>
      <c r="B720" s="63">
        <f>11.9133 * CHOOSE(CONTROL!$C$22, $C$13, 100%, $E$13)</f>
        <v>11.9133</v>
      </c>
      <c r="C720" s="63">
        <f>11.9133 * CHOOSE(CONTROL!$C$22, $C$13, 100%, $E$13)</f>
        <v>11.9133</v>
      </c>
      <c r="D720" s="63">
        <f>11.9263 * CHOOSE(CONTROL!$C$22, $C$13, 100%, $E$13)</f>
        <v>11.926299999999999</v>
      </c>
      <c r="E720" s="64">
        <f>13.6098 * CHOOSE(CONTROL!$C$22, $C$13, 100%, $E$13)</f>
        <v>13.6098</v>
      </c>
      <c r="F720" s="64">
        <f>13.6098 * CHOOSE(CONTROL!$C$22, $C$13, 100%, $E$13)</f>
        <v>13.6098</v>
      </c>
      <c r="G720" s="64">
        <f>13.6255 * CHOOSE(CONTROL!$C$22, $C$13, 100%, $E$13)</f>
        <v>13.625500000000001</v>
      </c>
      <c r="H720" s="64">
        <f>23.3202* CHOOSE(CONTROL!$C$22, $C$13, 100%, $E$13)</f>
        <v>23.3202</v>
      </c>
      <c r="I720" s="64">
        <f>23.3358 * CHOOSE(CONTROL!$C$22, $C$13, 100%, $E$13)</f>
        <v>23.335799999999999</v>
      </c>
      <c r="J720" s="64">
        <f>13.6098 * CHOOSE(CONTROL!$C$22, $C$13, 100%, $E$13)</f>
        <v>13.6098</v>
      </c>
      <c r="K720" s="64">
        <f>13.6255 * CHOOSE(CONTROL!$C$22, $C$13, 100%, $E$13)</f>
        <v>13.625500000000001</v>
      </c>
    </row>
    <row r="721" spans="1:11" ht="15">
      <c r="A721" s="13">
        <v>63433</v>
      </c>
      <c r="B721" s="63">
        <f>11.9103 * CHOOSE(CONTROL!$C$22, $C$13, 100%, $E$13)</f>
        <v>11.910299999999999</v>
      </c>
      <c r="C721" s="63">
        <f>11.9103 * CHOOSE(CONTROL!$C$22, $C$13, 100%, $E$13)</f>
        <v>11.910299999999999</v>
      </c>
      <c r="D721" s="63">
        <f>11.9233 * CHOOSE(CONTROL!$C$22, $C$13, 100%, $E$13)</f>
        <v>11.923299999999999</v>
      </c>
      <c r="E721" s="64">
        <f>13.5828 * CHOOSE(CONTROL!$C$22, $C$13, 100%, $E$13)</f>
        <v>13.582800000000001</v>
      </c>
      <c r="F721" s="64">
        <f>13.5828 * CHOOSE(CONTROL!$C$22, $C$13, 100%, $E$13)</f>
        <v>13.582800000000001</v>
      </c>
      <c r="G721" s="64">
        <f>13.5984 * CHOOSE(CONTROL!$C$22, $C$13, 100%, $E$13)</f>
        <v>13.5984</v>
      </c>
      <c r="H721" s="64">
        <f>23.3687* CHOOSE(CONTROL!$C$22, $C$13, 100%, $E$13)</f>
        <v>23.3687</v>
      </c>
      <c r="I721" s="64">
        <f>23.3844 * CHOOSE(CONTROL!$C$22, $C$13, 100%, $E$13)</f>
        <v>23.384399999999999</v>
      </c>
      <c r="J721" s="64">
        <f>13.5828 * CHOOSE(CONTROL!$C$22, $C$13, 100%, $E$13)</f>
        <v>13.582800000000001</v>
      </c>
      <c r="K721" s="64">
        <f>13.5984 * CHOOSE(CONTROL!$C$22, $C$13, 100%, $E$13)</f>
        <v>13.5984</v>
      </c>
    </row>
    <row r="722" spans="1:11" ht="15">
      <c r="A722" s="13">
        <v>63463</v>
      </c>
      <c r="B722" s="63">
        <f>11.9309 * CHOOSE(CONTROL!$C$22, $C$13, 100%, $E$13)</f>
        <v>11.930899999999999</v>
      </c>
      <c r="C722" s="63">
        <f>11.9309 * CHOOSE(CONTROL!$C$22, $C$13, 100%, $E$13)</f>
        <v>11.930899999999999</v>
      </c>
      <c r="D722" s="63">
        <f>11.9309 * CHOOSE(CONTROL!$C$22, $C$13, 100%, $E$13)</f>
        <v>11.930899999999999</v>
      </c>
      <c r="E722" s="64">
        <f>13.6689 * CHOOSE(CONTROL!$C$22, $C$13, 100%, $E$13)</f>
        <v>13.668900000000001</v>
      </c>
      <c r="F722" s="64">
        <f>13.6689 * CHOOSE(CONTROL!$C$22, $C$13, 100%, $E$13)</f>
        <v>13.668900000000001</v>
      </c>
      <c r="G722" s="64">
        <f>13.669 * CHOOSE(CONTROL!$C$22, $C$13, 100%, $E$13)</f>
        <v>13.669</v>
      </c>
      <c r="H722" s="64">
        <f>23.4174* CHOOSE(CONTROL!$C$22, $C$13, 100%, $E$13)</f>
        <v>23.417400000000001</v>
      </c>
      <c r="I722" s="64">
        <f>23.4175 * CHOOSE(CONTROL!$C$22, $C$13, 100%, $E$13)</f>
        <v>23.4175</v>
      </c>
      <c r="J722" s="64">
        <f>13.6689 * CHOOSE(CONTROL!$C$22, $C$13, 100%, $E$13)</f>
        <v>13.668900000000001</v>
      </c>
      <c r="K722" s="64">
        <f>13.669 * CHOOSE(CONTROL!$C$22, $C$13, 100%, $E$13)</f>
        <v>13.669</v>
      </c>
    </row>
    <row r="723" spans="1:11" ht="15">
      <c r="A723" s="13">
        <v>63494</v>
      </c>
      <c r="B723" s="63">
        <f>11.9339 * CHOOSE(CONTROL!$C$22, $C$13, 100%, $E$13)</f>
        <v>11.9339</v>
      </c>
      <c r="C723" s="63">
        <f>11.9339 * CHOOSE(CONTROL!$C$22, $C$13, 100%, $E$13)</f>
        <v>11.9339</v>
      </c>
      <c r="D723" s="63">
        <f>11.9339 * CHOOSE(CONTROL!$C$22, $C$13, 100%, $E$13)</f>
        <v>11.9339</v>
      </c>
      <c r="E723" s="64">
        <f>13.7208 * CHOOSE(CONTROL!$C$22, $C$13, 100%, $E$13)</f>
        <v>13.720800000000001</v>
      </c>
      <c r="F723" s="64">
        <f>13.7208 * CHOOSE(CONTROL!$C$22, $C$13, 100%, $E$13)</f>
        <v>13.720800000000001</v>
      </c>
      <c r="G723" s="64">
        <f>13.7209 * CHOOSE(CONTROL!$C$22, $C$13, 100%, $E$13)</f>
        <v>13.7209</v>
      </c>
      <c r="H723" s="64">
        <f>23.4662* CHOOSE(CONTROL!$C$22, $C$13, 100%, $E$13)</f>
        <v>23.466200000000001</v>
      </c>
      <c r="I723" s="64">
        <f>23.4663 * CHOOSE(CONTROL!$C$22, $C$13, 100%, $E$13)</f>
        <v>23.4663</v>
      </c>
      <c r="J723" s="64">
        <f>13.7208 * CHOOSE(CONTROL!$C$22, $C$13, 100%, $E$13)</f>
        <v>13.720800000000001</v>
      </c>
      <c r="K723" s="64">
        <f>13.7209 * CHOOSE(CONTROL!$C$22, $C$13, 100%, $E$13)</f>
        <v>13.7209</v>
      </c>
    </row>
    <row r="724" spans="1:11" ht="15">
      <c r="A724" s="13">
        <v>63524</v>
      </c>
      <c r="B724" s="63">
        <f>11.9339 * CHOOSE(CONTROL!$C$22, $C$13, 100%, $E$13)</f>
        <v>11.9339</v>
      </c>
      <c r="C724" s="63">
        <f>11.9339 * CHOOSE(CONTROL!$C$22, $C$13, 100%, $E$13)</f>
        <v>11.9339</v>
      </c>
      <c r="D724" s="63">
        <f>11.9339 * CHOOSE(CONTROL!$C$22, $C$13, 100%, $E$13)</f>
        <v>11.9339</v>
      </c>
      <c r="E724" s="64">
        <f>13.5964 * CHOOSE(CONTROL!$C$22, $C$13, 100%, $E$13)</f>
        <v>13.596399999999999</v>
      </c>
      <c r="F724" s="64">
        <f>13.5964 * CHOOSE(CONTROL!$C$22, $C$13, 100%, $E$13)</f>
        <v>13.596399999999999</v>
      </c>
      <c r="G724" s="64">
        <f>13.5964 * CHOOSE(CONTROL!$C$22, $C$13, 100%, $E$13)</f>
        <v>13.596399999999999</v>
      </c>
      <c r="H724" s="64">
        <f>23.5151* CHOOSE(CONTROL!$C$22, $C$13, 100%, $E$13)</f>
        <v>23.5151</v>
      </c>
      <c r="I724" s="64">
        <f>23.5152 * CHOOSE(CONTROL!$C$22, $C$13, 100%, $E$13)</f>
        <v>23.5152</v>
      </c>
      <c r="J724" s="64">
        <f>13.5964 * CHOOSE(CONTROL!$C$22, $C$13, 100%, $E$13)</f>
        <v>13.596399999999999</v>
      </c>
      <c r="K724" s="64">
        <f>13.5964 * CHOOSE(CONTROL!$C$22, $C$13, 100%, $E$13)</f>
        <v>13.596399999999999</v>
      </c>
    </row>
    <row r="725" spans="1:11" ht="15">
      <c r="A725" s="13">
        <v>63555</v>
      </c>
      <c r="B725" s="63">
        <f>11.9586 * CHOOSE(CONTROL!$C$22, $C$13, 100%, $E$13)</f>
        <v>11.958600000000001</v>
      </c>
      <c r="C725" s="63">
        <f>11.9586 * CHOOSE(CONTROL!$C$22, $C$13, 100%, $E$13)</f>
        <v>11.958600000000001</v>
      </c>
      <c r="D725" s="63">
        <f>11.9586 * CHOOSE(CONTROL!$C$22, $C$13, 100%, $E$13)</f>
        <v>11.958600000000001</v>
      </c>
      <c r="E725" s="64">
        <f>13.7204 * CHOOSE(CONTROL!$C$22, $C$13, 100%, $E$13)</f>
        <v>13.7204</v>
      </c>
      <c r="F725" s="64">
        <f>13.7204 * CHOOSE(CONTROL!$C$22, $C$13, 100%, $E$13)</f>
        <v>13.7204</v>
      </c>
      <c r="G725" s="64">
        <f>13.7205 * CHOOSE(CONTROL!$C$22, $C$13, 100%, $E$13)</f>
        <v>13.720499999999999</v>
      </c>
      <c r="H725" s="64">
        <f>23.4288* CHOOSE(CONTROL!$C$22, $C$13, 100%, $E$13)</f>
        <v>23.428799999999999</v>
      </c>
      <c r="I725" s="64">
        <f>23.4289 * CHOOSE(CONTROL!$C$22, $C$13, 100%, $E$13)</f>
        <v>23.428899999999999</v>
      </c>
      <c r="J725" s="64">
        <f>13.7204 * CHOOSE(CONTROL!$C$22, $C$13, 100%, $E$13)</f>
        <v>13.7204</v>
      </c>
      <c r="K725" s="64">
        <f>13.7205 * CHOOSE(CONTROL!$C$22, $C$13, 100%, $E$13)</f>
        <v>13.720499999999999</v>
      </c>
    </row>
    <row r="726" spans="1:11" ht="15">
      <c r="A726" s="13">
        <v>63586</v>
      </c>
      <c r="B726" s="63">
        <f>11.9556 * CHOOSE(CONTROL!$C$22, $C$13, 100%, $E$13)</f>
        <v>11.9556</v>
      </c>
      <c r="C726" s="63">
        <f>11.9556 * CHOOSE(CONTROL!$C$22, $C$13, 100%, $E$13)</f>
        <v>11.9556</v>
      </c>
      <c r="D726" s="63">
        <f>11.9556 * CHOOSE(CONTROL!$C$22, $C$13, 100%, $E$13)</f>
        <v>11.9556</v>
      </c>
      <c r="E726" s="64">
        <f>13.4782 * CHOOSE(CONTROL!$C$22, $C$13, 100%, $E$13)</f>
        <v>13.478199999999999</v>
      </c>
      <c r="F726" s="64">
        <f>13.4782 * CHOOSE(CONTROL!$C$22, $C$13, 100%, $E$13)</f>
        <v>13.478199999999999</v>
      </c>
      <c r="G726" s="64">
        <f>13.4782 * CHOOSE(CONTROL!$C$22, $C$13, 100%, $E$13)</f>
        <v>13.478199999999999</v>
      </c>
      <c r="H726" s="64">
        <f>23.4776* CHOOSE(CONTROL!$C$22, $C$13, 100%, $E$13)</f>
        <v>23.477599999999999</v>
      </c>
      <c r="I726" s="64">
        <f>23.4777 * CHOOSE(CONTROL!$C$22, $C$13, 100%, $E$13)</f>
        <v>23.477699999999999</v>
      </c>
      <c r="J726" s="64">
        <f>13.4782 * CHOOSE(CONTROL!$C$22, $C$13, 100%, $E$13)</f>
        <v>13.478199999999999</v>
      </c>
      <c r="K726" s="64">
        <f>13.4782 * CHOOSE(CONTROL!$C$22, $C$13, 100%, $E$13)</f>
        <v>13.478199999999999</v>
      </c>
    </row>
    <row r="727" spans="1:11" ht="15">
      <c r="A727" s="13">
        <v>63614</v>
      </c>
      <c r="B727" s="63">
        <f>11.9525 * CHOOSE(CONTROL!$C$22, $C$13, 100%, $E$13)</f>
        <v>11.952500000000001</v>
      </c>
      <c r="C727" s="63">
        <f>11.9525 * CHOOSE(CONTROL!$C$22, $C$13, 100%, $E$13)</f>
        <v>11.952500000000001</v>
      </c>
      <c r="D727" s="63">
        <f>11.9525 * CHOOSE(CONTROL!$C$22, $C$13, 100%, $E$13)</f>
        <v>11.952500000000001</v>
      </c>
      <c r="E727" s="64">
        <f>13.6654 * CHOOSE(CONTROL!$C$22, $C$13, 100%, $E$13)</f>
        <v>13.6654</v>
      </c>
      <c r="F727" s="64">
        <f>13.6654 * CHOOSE(CONTROL!$C$22, $C$13, 100%, $E$13)</f>
        <v>13.6654</v>
      </c>
      <c r="G727" s="64">
        <f>13.6655 * CHOOSE(CONTROL!$C$22, $C$13, 100%, $E$13)</f>
        <v>13.6655</v>
      </c>
      <c r="H727" s="64">
        <f>23.5265* CHOOSE(CONTROL!$C$22, $C$13, 100%, $E$13)</f>
        <v>23.526499999999999</v>
      </c>
      <c r="I727" s="64">
        <f>23.5266 * CHOOSE(CONTROL!$C$22, $C$13, 100%, $E$13)</f>
        <v>23.526599999999998</v>
      </c>
      <c r="J727" s="64">
        <f>13.6654 * CHOOSE(CONTROL!$C$22, $C$13, 100%, $E$13)</f>
        <v>13.6654</v>
      </c>
      <c r="K727" s="64">
        <f>13.6655 * CHOOSE(CONTROL!$C$22, $C$13, 100%, $E$13)</f>
        <v>13.6655</v>
      </c>
    </row>
    <row r="728" spans="1:11" ht="15">
      <c r="A728" s="13">
        <v>63645</v>
      </c>
      <c r="B728" s="63">
        <f>11.9569 * CHOOSE(CONTROL!$C$22, $C$13, 100%, $E$13)</f>
        <v>11.956899999999999</v>
      </c>
      <c r="C728" s="63">
        <f>11.9569 * CHOOSE(CONTROL!$C$22, $C$13, 100%, $E$13)</f>
        <v>11.956899999999999</v>
      </c>
      <c r="D728" s="63">
        <f>11.9569 * CHOOSE(CONTROL!$C$22, $C$13, 100%, $E$13)</f>
        <v>11.956899999999999</v>
      </c>
      <c r="E728" s="64">
        <f>13.8645 * CHOOSE(CONTROL!$C$22, $C$13, 100%, $E$13)</f>
        <v>13.8645</v>
      </c>
      <c r="F728" s="64">
        <f>13.8645 * CHOOSE(CONTROL!$C$22, $C$13, 100%, $E$13)</f>
        <v>13.8645</v>
      </c>
      <c r="G728" s="64">
        <f>13.8645 * CHOOSE(CONTROL!$C$22, $C$13, 100%, $E$13)</f>
        <v>13.8645</v>
      </c>
      <c r="H728" s="64">
        <f>23.5755* CHOOSE(CONTROL!$C$22, $C$13, 100%, $E$13)</f>
        <v>23.575500000000002</v>
      </c>
      <c r="I728" s="64">
        <f>23.5756 * CHOOSE(CONTROL!$C$22, $C$13, 100%, $E$13)</f>
        <v>23.575600000000001</v>
      </c>
      <c r="J728" s="64">
        <f>13.8645 * CHOOSE(CONTROL!$C$22, $C$13, 100%, $E$13)</f>
        <v>13.8645</v>
      </c>
      <c r="K728" s="64">
        <f>13.8645 * CHOOSE(CONTROL!$C$22, $C$13, 100%, $E$13)</f>
        <v>13.8645</v>
      </c>
    </row>
    <row r="729" spans="1:11" ht="15">
      <c r="A729" s="13">
        <v>63675</v>
      </c>
      <c r="B729" s="63">
        <f>11.9569 * CHOOSE(CONTROL!$C$22, $C$13, 100%, $E$13)</f>
        <v>11.956899999999999</v>
      </c>
      <c r="C729" s="63">
        <f>11.9569 * CHOOSE(CONTROL!$C$22, $C$13, 100%, $E$13)</f>
        <v>11.956899999999999</v>
      </c>
      <c r="D729" s="63">
        <f>11.9698 * CHOOSE(CONTROL!$C$22, $C$13, 100%, $E$13)</f>
        <v>11.969799999999999</v>
      </c>
      <c r="E729" s="64">
        <f>13.9407 * CHOOSE(CONTROL!$C$22, $C$13, 100%, $E$13)</f>
        <v>13.9407</v>
      </c>
      <c r="F729" s="64">
        <f>13.9407 * CHOOSE(CONTROL!$C$22, $C$13, 100%, $E$13)</f>
        <v>13.9407</v>
      </c>
      <c r="G729" s="64">
        <f>13.9564 * CHOOSE(CONTROL!$C$22, $C$13, 100%, $E$13)</f>
        <v>13.9564</v>
      </c>
      <c r="H729" s="64">
        <f>23.6246* CHOOSE(CONTROL!$C$22, $C$13, 100%, $E$13)</f>
        <v>23.624600000000001</v>
      </c>
      <c r="I729" s="64">
        <f>23.6403 * CHOOSE(CONTROL!$C$22, $C$13, 100%, $E$13)</f>
        <v>23.6403</v>
      </c>
      <c r="J729" s="64">
        <f>13.9407 * CHOOSE(CONTROL!$C$22, $C$13, 100%, $E$13)</f>
        <v>13.9407</v>
      </c>
      <c r="K729" s="64">
        <f>13.9564 * CHOOSE(CONTROL!$C$22, $C$13, 100%, $E$13)</f>
        <v>13.9564</v>
      </c>
    </row>
    <row r="730" spans="1:11" ht="15">
      <c r="A730" s="13">
        <v>63706</v>
      </c>
      <c r="B730" s="63">
        <f>11.9629 * CHOOSE(CONTROL!$C$22, $C$13, 100%, $E$13)</f>
        <v>11.962899999999999</v>
      </c>
      <c r="C730" s="63">
        <f>11.9629 * CHOOSE(CONTROL!$C$22, $C$13, 100%, $E$13)</f>
        <v>11.962899999999999</v>
      </c>
      <c r="D730" s="63">
        <f>11.9759 * CHOOSE(CONTROL!$C$22, $C$13, 100%, $E$13)</f>
        <v>11.975899999999999</v>
      </c>
      <c r="E730" s="64">
        <f>13.8687 * CHOOSE(CONTROL!$C$22, $C$13, 100%, $E$13)</f>
        <v>13.8687</v>
      </c>
      <c r="F730" s="64">
        <f>13.8687 * CHOOSE(CONTROL!$C$22, $C$13, 100%, $E$13)</f>
        <v>13.8687</v>
      </c>
      <c r="G730" s="64">
        <f>13.8844 * CHOOSE(CONTROL!$C$22, $C$13, 100%, $E$13)</f>
        <v>13.884399999999999</v>
      </c>
      <c r="H730" s="64">
        <f>23.6739* CHOOSE(CONTROL!$C$22, $C$13, 100%, $E$13)</f>
        <v>23.6739</v>
      </c>
      <c r="I730" s="64">
        <f>23.6895 * CHOOSE(CONTROL!$C$22, $C$13, 100%, $E$13)</f>
        <v>23.689499999999999</v>
      </c>
      <c r="J730" s="64">
        <f>13.8687 * CHOOSE(CONTROL!$C$22, $C$13, 100%, $E$13)</f>
        <v>13.8687</v>
      </c>
      <c r="K730" s="64">
        <f>13.8844 * CHOOSE(CONTROL!$C$22, $C$13, 100%, $E$13)</f>
        <v>13.884399999999999</v>
      </c>
    </row>
    <row r="731" spans="1:11" ht="15">
      <c r="A731" s="13">
        <v>63736</v>
      </c>
      <c r="B731" s="63">
        <f>12.1458 * CHOOSE(CONTROL!$C$22, $C$13, 100%, $E$13)</f>
        <v>12.145799999999999</v>
      </c>
      <c r="C731" s="63">
        <f>12.1458 * CHOOSE(CONTROL!$C$22, $C$13, 100%, $E$13)</f>
        <v>12.145799999999999</v>
      </c>
      <c r="D731" s="63">
        <f>12.1588 * CHOOSE(CONTROL!$C$22, $C$13, 100%, $E$13)</f>
        <v>12.158799999999999</v>
      </c>
      <c r="E731" s="64">
        <f>14.0909 * CHOOSE(CONTROL!$C$22, $C$13, 100%, $E$13)</f>
        <v>14.0909</v>
      </c>
      <c r="F731" s="64">
        <f>14.0909 * CHOOSE(CONTROL!$C$22, $C$13, 100%, $E$13)</f>
        <v>14.0909</v>
      </c>
      <c r="G731" s="64">
        <f>14.1066 * CHOOSE(CONTROL!$C$22, $C$13, 100%, $E$13)</f>
        <v>14.1066</v>
      </c>
      <c r="H731" s="64">
        <f>23.7232* CHOOSE(CONTROL!$C$22, $C$13, 100%, $E$13)</f>
        <v>23.723199999999999</v>
      </c>
      <c r="I731" s="64">
        <f>23.7389 * CHOOSE(CONTROL!$C$22, $C$13, 100%, $E$13)</f>
        <v>23.738900000000001</v>
      </c>
      <c r="J731" s="64">
        <f>14.0909 * CHOOSE(CONTROL!$C$22, $C$13, 100%, $E$13)</f>
        <v>14.0909</v>
      </c>
      <c r="K731" s="64">
        <f>14.1066 * CHOOSE(CONTROL!$C$22, $C$13, 100%, $E$13)</f>
        <v>14.1066</v>
      </c>
    </row>
    <row r="732" spans="1:11" ht="15">
      <c r="A732" s="13">
        <v>63767</v>
      </c>
      <c r="B732" s="63">
        <f>12.1525 * CHOOSE(CONTROL!$C$22, $C$13, 100%, $E$13)</f>
        <v>12.1525</v>
      </c>
      <c r="C732" s="63">
        <f>12.1525 * CHOOSE(CONTROL!$C$22, $C$13, 100%, $E$13)</f>
        <v>12.1525</v>
      </c>
      <c r="D732" s="63">
        <f>12.1655 * CHOOSE(CONTROL!$C$22, $C$13, 100%, $E$13)</f>
        <v>12.1655</v>
      </c>
      <c r="E732" s="64">
        <f>13.8668 * CHOOSE(CONTROL!$C$22, $C$13, 100%, $E$13)</f>
        <v>13.8668</v>
      </c>
      <c r="F732" s="64">
        <f>13.8668 * CHOOSE(CONTROL!$C$22, $C$13, 100%, $E$13)</f>
        <v>13.8668</v>
      </c>
      <c r="G732" s="64">
        <f>13.8825 * CHOOSE(CONTROL!$C$22, $C$13, 100%, $E$13)</f>
        <v>13.8825</v>
      </c>
      <c r="H732" s="64">
        <f>23.7726* CHOOSE(CONTROL!$C$22, $C$13, 100%, $E$13)</f>
        <v>23.772600000000001</v>
      </c>
      <c r="I732" s="64">
        <f>23.7883 * CHOOSE(CONTROL!$C$22, $C$13, 100%, $E$13)</f>
        <v>23.7883</v>
      </c>
      <c r="J732" s="64">
        <f>13.8668 * CHOOSE(CONTROL!$C$22, $C$13, 100%, $E$13)</f>
        <v>13.8668</v>
      </c>
      <c r="K732" s="64">
        <f>13.8825 * CHOOSE(CONTROL!$C$22, $C$13, 100%, $E$13)</f>
        <v>13.8825</v>
      </c>
    </row>
    <row r="733" spans="1:11" ht="15">
      <c r="A733" s="13">
        <v>63798</v>
      </c>
      <c r="B733" s="63">
        <f>12.1495 * CHOOSE(CONTROL!$C$22, $C$13, 100%, $E$13)</f>
        <v>12.1495</v>
      </c>
      <c r="C733" s="63">
        <f>12.1495 * CHOOSE(CONTROL!$C$22, $C$13, 100%, $E$13)</f>
        <v>12.1495</v>
      </c>
      <c r="D733" s="63">
        <f>12.1624 * CHOOSE(CONTROL!$C$22, $C$13, 100%, $E$13)</f>
        <v>12.1624</v>
      </c>
      <c r="E733" s="64">
        <f>13.8393 * CHOOSE(CONTROL!$C$22, $C$13, 100%, $E$13)</f>
        <v>13.8393</v>
      </c>
      <c r="F733" s="64">
        <f>13.8393 * CHOOSE(CONTROL!$C$22, $C$13, 100%, $E$13)</f>
        <v>13.8393</v>
      </c>
      <c r="G733" s="64">
        <f>13.855 * CHOOSE(CONTROL!$C$22, $C$13, 100%, $E$13)</f>
        <v>13.855</v>
      </c>
      <c r="H733" s="64">
        <f>23.8221* CHOOSE(CONTROL!$C$22, $C$13, 100%, $E$13)</f>
        <v>23.822099999999999</v>
      </c>
      <c r="I733" s="64">
        <f>23.8378 * CHOOSE(CONTROL!$C$22, $C$13, 100%, $E$13)</f>
        <v>23.837800000000001</v>
      </c>
      <c r="J733" s="64">
        <f>13.8393 * CHOOSE(CONTROL!$C$22, $C$13, 100%, $E$13)</f>
        <v>13.8393</v>
      </c>
      <c r="K733" s="64">
        <f>13.855 * CHOOSE(CONTROL!$C$22, $C$13, 100%, $E$13)</f>
        <v>13.855</v>
      </c>
    </row>
    <row r="734" spans="1:11" ht="15">
      <c r="A734" s="13">
        <v>63828</v>
      </c>
      <c r="B734" s="63">
        <f>12.1708 * CHOOSE(CONTROL!$C$22, $C$13, 100%, $E$13)</f>
        <v>12.1708</v>
      </c>
      <c r="C734" s="63">
        <f>12.1708 * CHOOSE(CONTROL!$C$22, $C$13, 100%, $E$13)</f>
        <v>12.1708</v>
      </c>
      <c r="D734" s="63">
        <f>12.1708 * CHOOSE(CONTROL!$C$22, $C$13, 100%, $E$13)</f>
        <v>12.1708</v>
      </c>
      <c r="E734" s="64">
        <f>13.9276 * CHOOSE(CONTROL!$C$22, $C$13, 100%, $E$13)</f>
        <v>13.9276</v>
      </c>
      <c r="F734" s="64">
        <f>13.9276 * CHOOSE(CONTROL!$C$22, $C$13, 100%, $E$13)</f>
        <v>13.9276</v>
      </c>
      <c r="G734" s="64">
        <f>13.9276 * CHOOSE(CONTROL!$C$22, $C$13, 100%, $E$13)</f>
        <v>13.9276</v>
      </c>
      <c r="H734" s="64">
        <f>23.8718* CHOOSE(CONTROL!$C$22, $C$13, 100%, $E$13)</f>
        <v>23.8718</v>
      </c>
      <c r="I734" s="64">
        <f>23.8718 * CHOOSE(CONTROL!$C$22, $C$13, 100%, $E$13)</f>
        <v>23.8718</v>
      </c>
      <c r="J734" s="64">
        <f>13.9276 * CHOOSE(CONTROL!$C$22, $C$13, 100%, $E$13)</f>
        <v>13.9276</v>
      </c>
      <c r="K734" s="64">
        <f>13.9276 * CHOOSE(CONTROL!$C$22, $C$13, 100%, $E$13)</f>
        <v>13.9276</v>
      </c>
    </row>
    <row r="735" spans="1:11" ht="15">
      <c r="A735" s="13">
        <v>63859</v>
      </c>
      <c r="B735" s="63">
        <f>12.1739 * CHOOSE(CONTROL!$C$22, $C$13, 100%, $E$13)</f>
        <v>12.1739</v>
      </c>
      <c r="C735" s="63">
        <f>12.1739 * CHOOSE(CONTROL!$C$22, $C$13, 100%, $E$13)</f>
        <v>12.1739</v>
      </c>
      <c r="D735" s="63">
        <f>12.1739 * CHOOSE(CONTROL!$C$22, $C$13, 100%, $E$13)</f>
        <v>12.1739</v>
      </c>
      <c r="E735" s="64">
        <f>13.9805 * CHOOSE(CONTROL!$C$22, $C$13, 100%, $E$13)</f>
        <v>13.980499999999999</v>
      </c>
      <c r="F735" s="64">
        <f>13.9805 * CHOOSE(CONTROL!$C$22, $C$13, 100%, $E$13)</f>
        <v>13.980499999999999</v>
      </c>
      <c r="G735" s="64">
        <f>13.9806 * CHOOSE(CONTROL!$C$22, $C$13, 100%, $E$13)</f>
        <v>13.980600000000001</v>
      </c>
      <c r="H735" s="64">
        <f>23.9215* CHOOSE(CONTROL!$C$22, $C$13, 100%, $E$13)</f>
        <v>23.921500000000002</v>
      </c>
      <c r="I735" s="64">
        <f>23.9216 * CHOOSE(CONTROL!$C$22, $C$13, 100%, $E$13)</f>
        <v>23.921600000000002</v>
      </c>
      <c r="J735" s="64">
        <f>13.9805 * CHOOSE(CONTROL!$C$22, $C$13, 100%, $E$13)</f>
        <v>13.980499999999999</v>
      </c>
      <c r="K735" s="64">
        <f>13.9806 * CHOOSE(CONTROL!$C$22, $C$13, 100%, $E$13)</f>
        <v>13.980600000000001</v>
      </c>
    </row>
    <row r="736" spans="1:11" ht="15">
      <c r="A736" s="13">
        <v>63889</v>
      </c>
      <c r="B736" s="63">
        <f>12.1739 * CHOOSE(CONTROL!$C$22, $C$13, 100%, $E$13)</f>
        <v>12.1739</v>
      </c>
      <c r="C736" s="63">
        <f>12.1739 * CHOOSE(CONTROL!$C$22, $C$13, 100%, $E$13)</f>
        <v>12.1739</v>
      </c>
      <c r="D736" s="63">
        <f>12.1739 * CHOOSE(CONTROL!$C$22, $C$13, 100%, $E$13)</f>
        <v>12.1739</v>
      </c>
      <c r="E736" s="64">
        <f>13.8534 * CHOOSE(CONTROL!$C$22, $C$13, 100%, $E$13)</f>
        <v>13.853400000000001</v>
      </c>
      <c r="F736" s="64">
        <f>13.8534 * CHOOSE(CONTROL!$C$22, $C$13, 100%, $E$13)</f>
        <v>13.853400000000001</v>
      </c>
      <c r="G736" s="64">
        <f>13.8535 * CHOOSE(CONTROL!$C$22, $C$13, 100%, $E$13)</f>
        <v>13.8535</v>
      </c>
      <c r="H736" s="64">
        <f>23.9713* CHOOSE(CONTROL!$C$22, $C$13, 100%, $E$13)</f>
        <v>23.971299999999999</v>
      </c>
      <c r="I736" s="64">
        <f>23.9714 * CHOOSE(CONTROL!$C$22, $C$13, 100%, $E$13)</f>
        <v>23.971399999999999</v>
      </c>
      <c r="J736" s="64">
        <f>13.8534 * CHOOSE(CONTROL!$C$22, $C$13, 100%, $E$13)</f>
        <v>13.853400000000001</v>
      </c>
      <c r="K736" s="64">
        <f>13.8535 * CHOOSE(CONTROL!$C$22, $C$13, 100%, $E$13)</f>
        <v>13.8535</v>
      </c>
    </row>
    <row r="737" spans="1:11" ht="15">
      <c r="A737" s="13">
        <v>63920</v>
      </c>
      <c r="B737" s="63">
        <f>12.1942 * CHOOSE(CONTROL!$C$22, $C$13, 100%, $E$13)</f>
        <v>12.1942</v>
      </c>
      <c r="C737" s="63">
        <f>12.1942 * CHOOSE(CONTROL!$C$22, $C$13, 100%, $E$13)</f>
        <v>12.1942</v>
      </c>
      <c r="D737" s="63">
        <f>12.1942 * CHOOSE(CONTROL!$C$22, $C$13, 100%, $E$13)</f>
        <v>12.1942</v>
      </c>
      <c r="E737" s="64">
        <f>13.9752 * CHOOSE(CONTROL!$C$22, $C$13, 100%, $E$13)</f>
        <v>13.975199999999999</v>
      </c>
      <c r="F737" s="64">
        <f>13.9752 * CHOOSE(CONTROL!$C$22, $C$13, 100%, $E$13)</f>
        <v>13.975199999999999</v>
      </c>
      <c r="G737" s="64">
        <f>13.9752 * CHOOSE(CONTROL!$C$22, $C$13, 100%, $E$13)</f>
        <v>13.975199999999999</v>
      </c>
      <c r="H737" s="64">
        <f>23.8747* CHOOSE(CONTROL!$C$22, $C$13, 100%, $E$13)</f>
        <v>23.874700000000001</v>
      </c>
      <c r="I737" s="64">
        <f>23.8748 * CHOOSE(CONTROL!$C$22, $C$13, 100%, $E$13)</f>
        <v>23.8748</v>
      </c>
      <c r="J737" s="64">
        <f>13.9752 * CHOOSE(CONTROL!$C$22, $C$13, 100%, $E$13)</f>
        <v>13.975199999999999</v>
      </c>
      <c r="K737" s="64">
        <f>13.9752 * CHOOSE(CONTROL!$C$22, $C$13, 100%, $E$13)</f>
        <v>13.975199999999999</v>
      </c>
    </row>
    <row r="738" spans="1:11" ht="15">
      <c r="A738" s="13">
        <v>63951</v>
      </c>
      <c r="B738" s="63">
        <f>12.1911 * CHOOSE(CONTROL!$C$22, $C$13, 100%, $E$13)</f>
        <v>12.1911</v>
      </c>
      <c r="C738" s="63">
        <f>12.1911 * CHOOSE(CONTROL!$C$22, $C$13, 100%, $E$13)</f>
        <v>12.1911</v>
      </c>
      <c r="D738" s="63">
        <f>12.1911 * CHOOSE(CONTROL!$C$22, $C$13, 100%, $E$13)</f>
        <v>12.1911</v>
      </c>
      <c r="E738" s="64">
        <f>13.728 * CHOOSE(CONTROL!$C$22, $C$13, 100%, $E$13)</f>
        <v>13.728</v>
      </c>
      <c r="F738" s="64">
        <f>13.728 * CHOOSE(CONTROL!$C$22, $C$13, 100%, $E$13)</f>
        <v>13.728</v>
      </c>
      <c r="G738" s="64">
        <f>13.728 * CHOOSE(CONTROL!$C$22, $C$13, 100%, $E$13)</f>
        <v>13.728</v>
      </c>
      <c r="H738" s="64">
        <f>23.9244* CHOOSE(CONTROL!$C$22, $C$13, 100%, $E$13)</f>
        <v>23.924399999999999</v>
      </c>
      <c r="I738" s="64">
        <f>23.9245 * CHOOSE(CONTROL!$C$22, $C$13, 100%, $E$13)</f>
        <v>23.924499999999998</v>
      </c>
      <c r="J738" s="64">
        <f>13.728 * CHOOSE(CONTROL!$C$22, $C$13, 100%, $E$13)</f>
        <v>13.728</v>
      </c>
      <c r="K738" s="64">
        <f>13.728 * CHOOSE(CONTROL!$C$22, $C$13, 100%, $E$13)</f>
        <v>13.728</v>
      </c>
    </row>
    <row r="739" spans="1:11" ht="15">
      <c r="A739" s="13">
        <v>63979</v>
      </c>
      <c r="B739" s="63">
        <f>12.1881 * CHOOSE(CONTROL!$C$22, $C$13, 100%, $E$13)</f>
        <v>12.1881</v>
      </c>
      <c r="C739" s="63">
        <f>12.1881 * CHOOSE(CONTROL!$C$22, $C$13, 100%, $E$13)</f>
        <v>12.1881</v>
      </c>
      <c r="D739" s="63">
        <f>12.1881 * CHOOSE(CONTROL!$C$22, $C$13, 100%, $E$13)</f>
        <v>12.1881</v>
      </c>
      <c r="E739" s="64">
        <f>13.9191 * CHOOSE(CONTROL!$C$22, $C$13, 100%, $E$13)</f>
        <v>13.9191</v>
      </c>
      <c r="F739" s="64">
        <f>13.9191 * CHOOSE(CONTROL!$C$22, $C$13, 100%, $E$13)</f>
        <v>13.9191</v>
      </c>
      <c r="G739" s="64">
        <f>13.9191 * CHOOSE(CONTROL!$C$22, $C$13, 100%, $E$13)</f>
        <v>13.9191</v>
      </c>
      <c r="H739" s="64">
        <f>23.9743* CHOOSE(CONTROL!$C$22, $C$13, 100%, $E$13)</f>
        <v>23.974299999999999</v>
      </c>
      <c r="I739" s="64">
        <f>23.9743 * CHOOSE(CONTROL!$C$22, $C$13, 100%, $E$13)</f>
        <v>23.974299999999999</v>
      </c>
      <c r="J739" s="64">
        <f>13.9191 * CHOOSE(CONTROL!$C$22, $C$13, 100%, $E$13)</f>
        <v>13.9191</v>
      </c>
      <c r="K739" s="64">
        <f>13.9191 * CHOOSE(CONTROL!$C$22, $C$13, 100%, $E$13)</f>
        <v>13.9191</v>
      </c>
    </row>
    <row r="740" spans="1:11" ht="15">
      <c r="A740" s="13">
        <v>64010</v>
      </c>
      <c r="B740" s="63">
        <f>12.1926 * CHOOSE(CONTROL!$C$22, $C$13, 100%, $E$13)</f>
        <v>12.192600000000001</v>
      </c>
      <c r="C740" s="63">
        <f>12.1926 * CHOOSE(CONTROL!$C$22, $C$13, 100%, $E$13)</f>
        <v>12.192600000000001</v>
      </c>
      <c r="D740" s="63">
        <f>12.1926 * CHOOSE(CONTROL!$C$22, $C$13, 100%, $E$13)</f>
        <v>12.192600000000001</v>
      </c>
      <c r="E740" s="64">
        <f>14.1223 * CHOOSE(CONTROL!$C$22, $C$13, 100%, $E$13)</f>
        <v>14.122299999999999</v>
      </c>
      <c r="F740" s="64">
        <f>14.1223 * CHOOSE(CONTROL!$C$22, $C$13, 100%, $E$13)</f>
        <v>14.122299999999999</v>
      </c>
      <c r="G740" s="64">
        <f>14.1224 * CHOOSE(CONTROL!$C$22, $C$13, 100%, $E$13)</f>
        <v>14.122400000000001</v>
      </c>
      <c r="H740" s="64">
        <f>24.0242* CHOOSE(CONTROL!$C$22, $C$13, 100%, $E$13)</f>
        <v>24.0242</v>
      </c>
      <c r="I740" s="64">
        <f>24.0243 * CHOOSE(CONTROL!$C$22, $C$13, 100%, $E$13)</f>
        <v>24.0243</v>
      </c>
      <c r="J740" s="64">
        <f>14.1223 * CHOOSE(CONTROL!$C$22, $C$13, 100%, $E$13)</f>
        <v>14.122299999999999</v>
      </c>
      <c r="K740" s="64">
        <f>14.1224 * CHOOSE(CONTROL!$C$22, $C$13, 100%, $E$13)</f>
        <v>14.122400000000001</v>
      </c>
    </row>
    <row r="741" spans="1:11" ht="15">
      <c r="A741" s="13">
        <v>64040</v>
      </c>
      <c r="B741" s="63">
        <f>12.1926 * CHOOSE(CONTROL!$C$22, $C$13, 100%, $E$13)</f>
        <v>12.192600000000001</v>
      </c>
      <c r="C741" s="63">
        <f>12.1926 * CHOOSE(CONTROL!$C$22, $C$13, 100%, $E$13)</f>
        <v>12.192600000000001</v>
      </c>
      <c r="D741" s="63">
        <f>12.2056 * CHOOSE(CONTROL!$C$22, $C$13, 100%, $E$13)</f>
        <v>12.2056</v>
      </c>
      <c r="E741" s="64">
        <f>14.2001 * CHOOSE(CONTROL!$C$22, $C$13, 100%, $E$13)</f>
        <v>14.200100000000001</v>
      </c>
      <c r="F741" s="64">
        <f>14.2001 * CHOOSE(CONTROL!$C$22, $C$13, 100%, $E$13)</f>
        <v>14.200100000000001</v>
      </c>
      <c r="G741" s="64">
        <f>14.2158 * CHOOSE(CONTROL!$C$22, $C$13, 100%, $E$13)</f>
        <v>14.2158</v>
      </c>
      <c r="H741" s="64">
        <f>24.0743* CHOOSE(CONTROL!$C$22, $C$13, 100%, $E$13)</f>
        <v>24.074300000000001</v>
      </c>
      <c r="I741" s="64">
        <f>24.0899 * CHOOSE(CONTROL!$C$22, $C$13, 100%, $E$13)</f>
        <v>24.0899</v>
      </c>
      <c r="J741" s="64">
        <f>14.2001 * CHOOSE(CONTROL!$C$22, $C$13, 100%, $E$13)</f>
        <v>14.200100000000001</v>
      </c>
      <c r="K741" s="64">
        <f>14.2158 * CHOOSE(CONTROL!$C$22, $C$13, 100%, $E$13)</f>
        <v>14.2158</v>
      </c>
    </row>
    <row r="742" spans="1:11" ht="15">
      <c r="A742" s="13">
        <v>64071</v>
      </c>
      <c r="B742" s="63">
        <f>12.1987 * CHOOSE(CONTROL!$C$22, $C$13, 100%, $E$13)</f>
        <v>12.198700000000001</v>
      </c>
      <c r="C742" s="63">
        <f>12.1987 * CHOOSE(CONTROL!$C$22, $C$13, 100%, $E$13)</f>
        <v>12.198700000000001</v>
      </c>
      <c r="D742" s="63">
        <f>12.2117 * CHOOSE(CONTROL!$C$22, $C$13, 100%, $E$13)</f>
        <v>12.2117</v>
      </c>
      <c r="E742" s="64">
        <f>14.1266 * CHOOSE(CONTROL!$C$22, $C$13, 100%, $E$13)</f>
        <v>14.1266</v>
      </c>
      <c r="F742" s="64">
        <f>14.1266 * CHOOSE(CONTROL!$C$22, $C$13, 100%, $E$13)</f>
        <v>14.1266</v>
      </c>
      <c r="G742" s="64">
        <f>14.1422 * CHOOSE(CONTROL!$C$22, $C$13, 100%, $E$13)</f>
        <v>14.142200000000001</v>
      </c>
      <c r="H742" s="64">
        <f>24.1244* CHOOSE(CONTROL!$C$22, $C$13, 100%, $E$13)</f>
        <v>24.124400000000001</v>
      </c>
      <c r="I742" s="64">
        <f>24.1401 * CHOOSE(CONTROL!$C$22, $C$13, 100%, $E$13)</f>
        <v>24.1401</v>
      </c>
      <c r="J742" s="64">
        <f>14.1266 * CHOOSE(CONTROL!$C$22, $C$13, 100%, $E$13)</f>
        <v>14.1266</v>
      </c>
      <c r="K742" s="64">
        <f>14.1422 * CHOOSE(CONTROL!$C$22, $C$13, 100%, $E$13)</f>
        <v>14.142200000000001</v>
      </c>
    </row>
    <row r="743" spans="1:11" ht="15">
      <c r="A743" s="13">
        <v>64101</v>
      </c>
      <c r="B743" s="63">
        <f>12.385 * CHOOSE(CONTROL!$C$22, $C$13, 100%, $E$13)</f>
        <v>12.385</v>
      </c>
      <c r="C743" s="63">
        <f>12.385 * CHOOSE(CONTROL!$C$22, $C$13, 100%, $E$13)</f>
        <v>12.385</v>
      </c>
      <c r="D743" s="63">
        <f>12.398 * CHOOSE(CONTROL!$C$22, $C$13, 100%, $E$13)</f>
        <v>12.398</v>
      </c>
      <c r="E743" s="64">
        <f>14.3527 * CHOOSE(CONTROL!$C$22, $C$13, 100%, $E$13)</f>
        <v>14.3527</v>
      </c>
      <c r="F743" s="64">
        <f>14.3527 * CHOOSE(CONTROL!$C$22, $C$13, 100%, $E$13)</f>
        <v>14.3527</v>
      </c>
      <c r="G743" s="64">
        <f>14.3684 * CHOOSE(CONTROL!$C$22, $C$13, 100%, $E$13)</f>
        <v>14.368399999999999</v>
      </c>
      <c r="H743" s="64">
        <f>24.1747* CHOOSE(CONTROL!$C$22, $C$13, 100%, $E$13)</f>
        <v>24.174700000000001</v>
      </c>
      <c r="I743" s="64">
        <f>24.1903 * CHOOSE(CONTROL!$C$22, $C$13, 100%, $E$13)</f>
        <v>24.190300000000001</v>
      </c>
      <c r="J743" s="64">
        <f>14.3527 * CHOOSE(CONTROL!$C$22, $C$13, 100%, $E$13)</f>
        <v>14.3527</v>
      </c>
      <c r="K743" s="64">
        <f>14.3684 * CHOOSE(CONTROL!$C$22, $C$13, 100%, $E$13)</f>
        <v>14.368399999999999</v>
      </c>
    </row>
    <row r="744" spans="1:11" ht="15">
      <c r="A744" s="13">
        <v>64132</v>
      </c>
      <c r="B744" s="63">
        <f>12.3917 * CHOOSE(CONTROL!$C$22, $C$13, 100%, $E$13)</f>
        <v>12.3917</v>
      </c>
      <c r="C744" s="63">
        <f>12.3917 * CHOOSE(CONTROL!$C$22, $C$13, 100%, $E$13)</f>
        <v>12.3917</v>
      </c>
      <c r="D744" s="63">
        <f>12.4046 * CHOOSE(CONTROL!$C$22, $C$13, 100%, $E$13)</f>
        <v>12.4046</v>
      </c>
      <c r="E744" s="64">
        <f>14.1239 * CHOOSE(CONTROL!$C$22, $C$13, 100%, $E$13)</f>
        <v>14.123900000000001</v>
      </c>
      <c r="F744" s="64">
        <f>14.1239 * CHOOSE(CONTROL!$C$22, $C$13, 100%, $E$13)</f>
        <v>14.123900000000001</v>
      </c>
      <c r="G744" s="64">
        <f>14.1396 * CHOOSE(CONTROL!$C$22, $C$13, 100%, $E$13)</f>
        <v>14.1396</v>
      </c>
      <c r="H744" s="64">
        <f>24.225* CHOOSE(CONTROL!$C$22, $C$13, 100%, $E$13)</f>
        <v>24.225000000000001</v>
      </c>
      <c r="I744" s="64">
        <f>24.2407 * CHOOSE(CONTROL!$C$22, $C$13, 100%, $E$13)</f>
        <v>24.2407</v>
      </c>
      <c r="J744" s="64">
        <f>14.1239 * CHOOSE(CONTROL!$C$22, $C$13, 100%, $E$13)</f>
        <v>14.123900000000001</v>
      </c>
      <c r="K744" s="64">
        <f>14.1396 * CHOOSE(CONTROL!$C$22, $C$13, 100%, $E$13)</f>
        <v>14.1396</v>
      </c>
    </row>
    <row r="745" spans="1:11" ht="15">
      <c r="A745" s="13">
        <v>64163</v>
      </c>
      <c r="B745" s="63">
        <f>12.3886 * CHOOSE(CONTROL!$C$22, $C$13, 100%, $E$13)</f>
        <v>12.3886</v>
      </c>
      <c r="C745" s="63">
        <f>12.3886 * CHOOSE(CONTROL!$C$22, $C$13, 100%, $E$13)</f>
        <v>12.3886</v>
      </c>
      <c r="D745" s="63">
        <f>12.4016 * CHOOSE(CONTROL!$C$22, $C$13, 100%, $E$13)</f>
        <v>12.4016</v>
      </c>
      <c r="E745" s="64">
        <f>14.0959 * CHOOSE(CONTROL!$C$22, $C$13, 100%, $E$13)</f>
        <v>14.0959</v>
      </c>
      <c r="F745" s="64">
        <f>14.0959 * CHOOSE(CONTROL!$C$22, $C$13, 100%, $E$13)</f>
        <v>14.0959</v>
      </c>
      <c r="G745" s="64">
        <f>14.1115 * CHOOSE(CONTROL!$C$22, $C$13, 100%, $E$13)</f>
        <v>14.111499999999999</v>
      </c>
      <c r="H745" s="64">
        <f>24.2755* CHOOSE(CONTROL!$C$22, $C$13, 100%, $E$13)</f>
        <v>24.275500000000001</v>
      </c>
      <c r="I745" s="64">
        <f>24.2912 * CHOOSE(CONTROL!$C$22, $C$13, 100%, $E$13)</f>
        <v>24.2912</v>
      </c>
      <c r="J745" s="64">
        <f>14.0959 * CHOOSE(CONTROL!$C$22, $C$13, 100%, $E$13)</f>
        <v>14.0959</v>
      </c>
      <c r="K745" s="64">
        <f>14.1115 * CHOOSE(CONTROL!$C$22, $C$13, 100%, $E$13)</f>
        <v>14.111499999999999</v>
      </c>
    </row>
    <row r="746" spans="1:11" ht="15">
      <c r="A746" s="13">
        <v>64193</v>
      </c>
      <c r="B746" s="63">
        <f>12.4108 * CHOOSE(CONTROL!$C$22, $C$13, 100%, $E$13)</f>
        <v>12.4108</v>
      </c>
      <c r="C746" s="63">
        <f>12.4108 * CHOOSE(CONTROL!$C$22, $C$13, 100%, $E$13)</f>
        <v>12.4108</v>
      </c>
      <c r="D746" s="63">
        <f>12.4108 * CHOOSE(CONTROL!$C$22, $C$13, 100%, $E$13)</f>
        <v>12.4108</v>
      </c>
      <c r="E746" s="64">
        <f>14.1862 * CHOOSE(CONTROL!$C$22, $C$13, 100%, $E$13)</f>
        <v>14.186199999999999</v>
      </c>
      <c r="F746" s="64">
        <f>14.1862 * CHOOSE(CONTROL!$C$22, $C$13, 100%, $E$13)</f>
        <v>14.186199999999999</v>
      </c>
      <c r="G746" s="64">
        <f>14.1863 * CHOOSE(CONTROL!$C$22, $C$13, 100%, $E$13)</f>
        <v>14.186299999999999</v>
      </c>
      <c r="H746" s="64">
        <f>24.3261* CHOOSE(CONTROL!$C$22, $C$13, 100%, $E$13)</f>
        <v>24.3261</v>
      </c>
      <c r="I746" s="64">
        <f>24.3262 * CHOOSE(CONTROL!$C$22, $C$13, 100%, $E$13)</f>
        <v>24.3262</v>
      </c>
      <c r="J746" s="64">
        <f>14.1862 * CHOOSE(CONTROL!$C$22, $C$13, 100%, $E$13)</f>
        <v>14.186199999999999</v>
      </c>
      <c r="K746" s="64">
        <f>14.1863 * CHOOSE(CONTROL!$C$22, $C$13, 100%, $E$13)</f>
        <v>14.186299999999999</v>
      </c>
    </row>
    <row r="747" spans="1:11" ht="15">
      <c r="A747" s="13">
        <v>64224</v>
      </c>
      <c r="B747" s="63">
        <f>12.4138 * CHOOSE(CONTROL!$C$22, $C$13, 100%, $E$13)</f>
        <v>12.4138</v>
      </c>
      <c r="C747" s="63">
        <f>12.4138 * CHOOSE(CONTROL!$C$22, $C$13, 100%, $E$13)</f>
        <v>12.4138</v>
      </c>
      <c r="D747" s="63">
        <f>12.4138 * CHOOSE(CONTROL!$C$22, $C$13, 100%, $E$13)</f>
        <v>12.4138</v>
      </c>
      <c r="E747" s="64">
        <f>14.2402 * CHOOSE(CONTROL!$C$22, $C$13, 100%, $E$13)</f>
        <v>14.2402</v>
      </c>
      <c r="F747" s="64">
        <f>14.2402 * CHOOSE(CONTROL!$C$22, $C$13, 100%, $E$13)</f>
        <v>14.2402</v>
      </c>
      <c r="G747" s="64">
        <f>14.2403 * CHOOSE(CONTROL!$C$22, $C$13, 100%, $E$13)</f>
        <v>14.2403</v>
      </c>
      <c r="H747" s="64">
        <f>24.3768* CHOOSE(CONTROL!$C$22, $C$13, 100%, $E$13)</f>
        <v>24.376799999999999</v>
      </c>
      <c r="I747" s="64">
        <f>24.3768 * CHOOSE(CONTROL!$C$22, $C$13, 100%, $E$13)</f>
        <v>24.376799999999999</v>
      </c>
      <c r="J747" s="64">
        <f>14.2402 * CHOOSE(CONTROL!$C$22, $C$13, 100%, $E$13)</f>
        <v>14.2402</v>
      </c>
      <c r="K747" s="64">
        <f>14.2403 * CHOOSE(CONTROL!$C$22, $C$13, 100%, $E$13)</f>
        <v>14.2403</v>
      </c>
    </row>
    <row r="748" spans="1:11" ht="15">
      <c r="A748" s="13">
        <v>64254</v>
      </c>
      <c r="B748" s="63">
        <f>12.4138 * CHOOSE(CONTROL!$C$22, $C$13, 100%, $E$13)</f>
        <v>12.4138</v>
      </c>
      <c r="C748" s="63">
        <f>12.4138 * CHOOSE(CONTROL!$C$22, $C$13, 100%, $E$13)</f>
        <v>12.4138</v>
      </c>
      <c r="D748" s="63">
        <f>12.4138 * CHOOSE(CONTROL!$C$22, $C$13, 100%, $E$13)</f>
        <v>12.4138</v>
      </c>
      <c r="E748" s="64">
        <f>14.1105 * CHOOSE(CONTROL!$C$22, $C$13, 100%, $E$13)</f>
        <v>14.1105</v>
      </c>
      <c r="F748" s="64">
        <f>14.1105 * CHOOSE(CONTROL!$C$22, $C$13, 100%, $E$13)</f>
        <v>14.1105</v>
      </c>
      <c r="G748" s="64">
        <f>14.1106 * CHOOSE(CONTROL!$C$22, $C$13, 100%, $E$13)</f>
        <v>14.1106</v>
      </c>
      <c r="H748" s="64">
        <f>24.4275* CHOOSE(CONTROL!$C$22, $C$13, 100%, $E$13)</f>
        <v>24.427499999999998</v>
      </c>
      <c r="I748" s="64">
        <f>24.4276 * CHOOSE(CONTROL!$C$22, $C$13, 100%, $E$13)</f>
        <v>24.427600000000002</v>
      </c>
      <c r="J748" s="64">
        <f>14.1105 * CHOOSE(CONTROL!$C$22, $C$13, 100%, $E$13)</f>
        <v>14.1105</v>
      </c>
      <c r="K748" s="64">
        <f>14.1106 * CHOOSE(CONTROL!$C$22, $C$13, 100%, $E$13)</f>
        <v>14.1106</v>
      </c>
    </row>
    <row r="749" spans="1:11" ht="15">
      <c r="A749" s="13">
        <v>64285</v>
      </c>
      <c r="B749" s="63">
        <f>12.4297 * CHOOSE(CONTROL!$C$22, $C$13, 100%, $E$13)</f>
        <v>12.4297</v>
      </c>
      <c r="C749" s="63">
        <f>12.4297 * CHOOSE(CONTROL!$C$22, $C$13, 100%, $E$13)</f>
        <v>12.4297</v>
      </c>
      <c r="D749" s="63">
        <f>12.4297 * CHOOSE(CONTROL!$C$22, $C$13, 100%, $E$13)</f>
        <v>12.4297</v>
      </c>
      <c r="E749" s="64">
        <f>14.2299 * CHOOSE(CONTROL!$C$22, $C$13, 100%, $E$13)</f>
        <v>14.229900000000001</v>
      </c>
      <c r="F749" s="64">
        <f>14.2299 * CHOOSE(CONTROL!$C$22, $C$13, 100%, $E$13)</f>
        <v>14.229900000000001</v>
      </c>
      <c r="G749" s="64">
        <f>14.23 * CHOOSE(CONTROL!$C$22, $C$13, 100%, $E$13)</f>
        <v>14.23</v>
      </c>
      <c r="H749" s="64">
        <f>24.3206* CHOOSE(CONTROL!$C$22, $C$13, 100%, $E$13)</f>
        <v>24.320599999999999</v>
      </c>
      <c r="I749" s="64">
        <f>24.3206 * CHOOSE(CONTROL!$C$22, $C$13, 100%, $E$13)</f>
        <v>24.320599999999999</v>
      </c>
      <c r="J749" s="64">
        <f>14.2299 * CHOOSE(CONTROL!$C$22, $C$13, 100%, $E$13)</f>
        <v>14.229900000000001</v>
      </c>
      <c r="K749" s="64">
        <f>14.23 * CHOOSE(CONTROL!$C$22, $C$13, 100%, $E$13)</f>
        <v>14.23</v>
      </c>
    </row>
    <row r="750" spans="1:11" ht="15">
      <c r="A750" s="13">
        <v>64316</v>
      </c>
      <c r="B750" s="63">
        <f>12.4267 * CHOOSE(CONTROL!$C$22, $C$13, 100%, $E$13)</f>
        <v>12.4267</v>
      </c>
      <c r="C750" s="63">
        <f>12.4267 * CHOOSE(CONTROL!$C$22, $C$13, 100%, $E$13)</f>
        <v>12.4267</v>
      </c>
      <c r="D750" s="63">
        <f>12.4267 * CHOOSE(CONTROL!$C$22, $C$13, 100%, $E$13)</f>
        <v>12.4267</v>
      </c>
      <c r="E750" s="64">
        <f>13.9777 * CHOOSE(CONTROL!$C$22, $C$13, 100%, $E$13)</f>
        <v>13.9777</v>
      </c>
      <c r="F750" s="64">
        <f>13.9777 * CHOOSE(CONTROL!$C$22, $C$13, 100%, $E$13)</f>
        <v>13.9777</v>
      </c>
      <c r="G750" s="64">
        <f>13.9778 * CHOOSE(CONTROL!$C$22, $C$13, 100%, $E$13)</f>
        <v>13.9778</v>
      </c>
      <c r="H750" s="64">
        <f>24.3712* CHOOSE(CONTROL!$C$22, $C$13, 100%, $E$13)</f>
        <v>24.371200000000002</v>
      </c>
      <c r="I750" s="64">
        <f>24.3713 * CHOOSE(CONTROL!$C$22, $C$13, 100%, $E$13)</f>
        <v>24.371300000000002</v>
      </c>
      <c r="J750" s="64">
        <f>13.9777 * CHOOSE(CONTROL!$C$22, $C$13, 100%, $E$13)</f>
        <v>13.9777</v>
      </c>
      <c r="K750" s="64">
        <f>13.9778 * CHOOSE(CONTROL!$C$22, $C$13, 100%, $E$13)</f>
        <v>13.9778</v>
      </c>
    </row>
    <row r="751" spans="1:11" ht="15">
      <c r="A751" s="13">
        <v>64345</v>
      </c>
      <c r="B751" s="63">
        <f>12.4237 * CHOOSE(CONTROL!$C$22, $C$13, 100%, $E$13)</f>
        <v>12.4237</v>
      </c>
      <c r="C751" s="63">
        <f>12.4237 * CHOOSE(CONTROL!$C$22, $C$13, 100%, $E$13)</f>
        <v>12.4237</v>
      </c>
      <c r="D751" s="63">
        <f>12.4237 * CHOOSE(CONTROL!$C$22, $C$13, 100%, $E$13)</f>
        <v>12.4237</v>
      </c>
      <c r="E751" s="64">
        <f>14.1727 * CHOOSE(CONTROL!$C$22, $C$13, 100%, $E$13)</f>
        <v>14.172700000000001</v>
      </c>
      <c r="F751" s="64">
        <f>14.1727 * CHOOSE(CONTROL!$C$22, $C$13, 100%, $E$13)</f>
        <v>14.172700000000001</v>
      </c>
      <c r="G751" s="64">
        <f>14.1728 * CHOOSE(CONTROL!$C$22, $C$13, 100%, $E$13)</f>
        <v>14.172800000000001</v>
      </c>
      <c r="H751" s="64">
        <f>24.422* CHOOSE(CONTROL!$C$22, $C$13, 100%, $E$13)</f>
        <v>24.422000000000001</v>
      </c>
      <c r="I751" s="64">
        <f>24.4221 * CHOOSE(CONTROL!$C$22, $C$13, 100%, $E$13)</f>
        <v>24.4221</v>
      </c>
      <c r="J751" s="64">
        <f>14.1727 * CHOOSE(CONTROL!$C$22, $C$13, 100%, $E$13)</f>
        <v>14.172700000000001</v>
      </c>
      <c r="K751" s="64">
        <f>14.1728 * CHOOSE(CONTROL!$C$22, $C$13, 100%, $E$13)</f>
        <v>14.172800000000001</v>
      </c>
    </row>
    <row r="752" spans="1:11" ht="15">
      <c r="A752" s="13">
        <v>64376</v>
      </c>
      <c r="B752" s="63">
        <f>12.4284 * CHOOSE(CONTROL!$C$22, $C$13, 100%, $E$13)</f>
        <v>12.4284</v>
      </c>
      <c r="C752" s="63">
        <f>12.4284 * CHOOSE(CONTROL!$C$22, $C$13, 100%, $E$13)</f>
        <v>12.4284</v>
      </c>
      <c r="D752" s="63">
        <f>12.4284 * CHOOSE(CONTROL!$C$22, $C$13, 100%, $E$13)</f>
        <v>12.4284</v>
      </c>
      <c r="E752" s="64">
        <f>14.3802 * CHOOSE(CONTROL!$C$22, $C$13, 100%, $E$13)</f>
        <v>14.3802</v>
      </c>
      <c r="F752" s="64">
        <f>14.3802 * CHOOSE(CONTROL!$C$22, $C$13, 100%, $E$13)</f>
        <v>14.3802</v>
      </c>
      <c r="G752" s="64">
        <f>14.3803 * CHOOSE(CONTROL!$C$22, $C$13, 100%, $E$13)</f>
        <v>14.3803</v>
      </c>
      <c r="H752" s="64">
        <f>24.4729* CHOOSE(CONTROL!$C$22, $C$13, 100%, $E$13)</f>
        <v>24.472899999999999</v>
      </c>
      <c r="I752" s="64">
        <f>24.473 * CHOOSE(CONTROL!$C$22, $C$13, 100%, $E$13)</f>
        <v>24.472999999999999</v>
      </c>
      <c r="J752" s="64">
        <f>14.3802 * CHOOSE(CONTROL!$C$22, $C$13, 100%, $E$13)</f>
        <v>14.3802</v>
      </c>
      <c r="K752" s="64">
        <f>14.3803 * CHOOSE(CONTROL!$C$22, $C$13, 100%, $E$13)</f>
        <v>14.3803</v>
      </c>
    </row>
    <row r="753" spans="1:11" ht="15">
      <c r="A753" s="13">
        <v>64406</v>
      </c>
      <c r="B753" s="63">
        <f>12.4284 * CHOOSE(CONTROL!$C$22, $C$13, 100%, $E$13)</f>
        <v>12.4284</v>
      </c>
      <c r="C753" s="63">
        <f>12.4284 * CHOOSE(CONTROL!$C$22, $C$13, 100%, $E$13)</f>
        <v>12.4284</v>
      </c>
      <c r="D753" s="63">
        <f>12.4414 * CHOOSE(CONTROL!$C$22, $C$13, 100%, $E$13)</f>
        <v>12.4414</v>
      </c>
      <c r="E753" s="64">
        <f>14.4596 * CHOOSE(CONTROL!$C$22, $C$13, 100%, $E$13)</f>
        <v>14.4596</v>
      </c>
      <c r="F753" s="64">
        <f>14.4596 * CHOOSE(CONTROL!$C$22, $C$13, 100%, $E$13)</f>
        <v>14.4596</v>
      </c>
      <c r="G753" s="64">
        <f>14.4752 * CHOOSE(CONTROL!$C$22, $C$13, 100%, $E$13)</f>
        <v>14.475199999999999</v>
      </c>
      <c r="H753" s="64">
        <f>24.5239* CHOOSE(CONTROL!$C$22, $C$13, 100%, $E$13)</f>
        <v>24.523900000000001</v>
      </c>
      <c r="I753" s="64">
        <f>24.5396 * CHOOSE(CONTROL!$C$22, $C$13, 100%, $E$13)</f>
        <v>24.5396</v>
      </c>
      <c r="J753" s="64">
        <f>14.4596 * CHOOSE(CONTROL!$C$22, $C$13, 100%, $E$13)</f>
        <v>14.4596</v>
      </c>
      <c r="K753" s="64">
        <f>14.4752 * CHOOSE(CONTROL!$C$22, $C$13, 100%, $E$13)</f>
        <v>14.475199999999999</v>
      </c>
    </row>
    <row r="754" spans="1:11" ht="15">
      <c r="A754" s="13">
        <v>64437</v>
      </c>
      <c r="B754" s="63">
        <f>12.4345 * CHOOSE(CONTROL!$C$22, $C$13, 100%, $E$13)</f>
        <v>12.4345</v>
      </c>
      <c r="C754" s="63">
        <f>12.4345 * CHOOSE(CONTROL!$C$22, $C$13, 100%, $E$13)</f>
        <v>12.4345</v>
      </c>
      <c r="D754" s="63">
        <f>12.4474 * CHOOSE(CONTROL!$C$22, $C$13, 100%, $E$13)</f>
        <v>12.4474</v>
      </c>
      <c r="E754" s="64">
        <f>14.3844 * CHOOSE(CONTROL!$C$22, $C$13, 100%, $E$13)</f>
        <v>14.384399999999999</v>
      </c>
      <c r="F754" s="64">
        <f>14.3844 * CHOOSE(CONTROL!$C$22, $C$13, 100%, $E$13)</f>
        <v>14.384399999999999</v>
      </c>
      <c r="G754" s="64">
        <f>14.4001 * CHOOSE(CONTROL!$C$22, $C$13, 100%, $E$13)</f>
        <v>14.4001</v>
      </c>
      <c r="H754" s="64">
        <f>24.575* CHOOSE(CONTROL!$C$22, $C$13, 100%, $E$13)</f>
        <v>24.574999999999999</v>
      </c>
      <c r="I754" s="64">
        <f>24.5906 * CHOOSE(CONTROL!$C$22, $C$13, 100%, $E$13)</f>
        <v>24.590599999999998</v>
      </c>
      <c r="J754" s="64">
        <f>14.3844 * CHOOSE(CONTROL!$C$22, $C$13, 100%, $E$13)</f>
        <v>14.384399999999999</v>
      </c>
      <c r="K754" s="64">
        <f>14.4001 * CHOOSE(CONTROL!$C$22, $C$13, 100%, $E$13)</f>
        <v>14.4001</v>
      </c>
    </row>
    <row r="755" spans="1:11" ht="15">
      <c r="A755" s="13">
        <v>64467</v>
      </c>
      <c r="B755" s="63">
        <f>12.6242 * CHOOSE(CONTROL!$C$22, $C$13, 100%, $E$13)</f>
        <v>12.6242</v>
      </c>
      <c r="C755" s="63">
        <f>12.6242 * CHOOSE(CONTROL!$C$22, $C$13, 100%, $E$13)</f>
        <v>12.6242</v>
      </c>
      <c r="D755" s="63">
        <f>12.6371 * CHOOSE(CONTROL!$C$22, $C$13, 100%, $E$13)</f>
        <v>12.6371</v>
      </c>
      <c r="E755" s="64">
        <f>14.6145 * CHOOSE(CONTROL!$C$22, $C$13, 100%, $E$13)</f>
        <v>14.6145</v>
      </c>
      <c r="F755" s="64">
        <f>14.6145 * CHOOSE(CONTROL!$C$22, $C$13, 100%, $E$13)</f>
        <v>14.6145</v>
      </c>
      <c r="G755" s="64">
        <f>14.6302 * CHOOSE(CONTROL!$C$22, $C$13, 100%, $E$13)</f>
        <v>14.6302</v>
      </c>
      <c r="H755" s="64">
        <f>24.6262* CHOOSE(CONTROL!$C$22, $C$13, 100%, $E$13)</f>
        <v>24.626200000000001</v>
      </c>
      <c r="I755" s="64">
        <f>24.6418 * CHOOSE(CONTROL!$C$22, $C$13, 100%, $E$13)</f>
        <v>24.6418</v>
      </c>
      <c r="J755" s="64">
        <f>14.6145 * CHOOSE(CONTROL!$C$22, $C$13, 100%, $E$13)</f>
        <v>14.6145</v>
      </c>
      <c r="K755" s="64">
        <f>14.6302 * CHOOSE(CONTROL!$C$22, $C$13, 100%, $E$13)</f>
        <v>14.6302</v>
      </c>
    </row>
    <row r="756" spans="1:11" ht="15">
      <c r="A756" s="13">
        <v>64498</v>
      </c>
      <c r="B756" s="63">
        <f>12.6309 * CHOOSE(CONTROL!$C$22, $C$13, 100%, $E$13)</f>
        <v>12.6309</v>
      </c>
      <c r="C756" s="63">
        <f>12.6309 * CHOOSE(CONTROL!$C$22, $C$13, 100%, $E$13)</f>
        <v>12.6309</v>
      </c>
      <c r="D756" s="63">
        <f>12.6438 * CHOOSE(CONTROL!$C$22, $C$13, 100%, $E$13)</f>
        <v>12.643800000000001</v>
      </c>
      <c r="E756" s="64">
        <f>14.381 * CHOOSE(CONTROL!$C$22, $C$13, 100%, $E$13)</f>
        <v>14.381</v>
      </c>
      <c r="F756" s="64">
        <f>14.381 * CHOOSE(CONTROL!$C$22, $C$13, 100%, $E$13)</f>
        <v>14.381</v>
      </c>
      <c r="G756" s="64">
        <f>14.3967 * CHOOSE(CONTROL!$C$22, $C$13, 100%, $E$13)</f>
        <v>14.396699999999999</v>
      </c>
      <c r="H756" s="64">
        <f>24.6775* CHOOSE(CONTROL!$C$22, $C$13, 100%, $E$13)</f>
        <v>24.677499999999998</v>
      </c>
      <c r="I756" s="64">
        <f>24.6931 * CHOOSE(CONTROL!$C$22, $C$13, 100%, $E$13)</f>
        <v>24.693100000000001</v>
      </c>
      <c r="J756" s="64">
        <f>14.381 * CHOOSE(CONTROL!$C$22, $C$13, 100%, $E$13)</f>
        <v>14.381</v>
      </c>
      <c r="K756" s="64">
        <f>14.3967 * CHOOSE(CONTROL!$C$22, $C$13, 100%, $E$13)</f>
        <v>14.396699999999999</v>
      </c>
    </row>
    <row r="757" spans="1:11" ht="15">
      <c r="A757" s="13">
        <v>64529</v>
      </c>
      <c r="B757" s="63">
        <f>12.6278 * CHOOSE(CONTROL!$C$22, $C$13, 100%, $E$13)</f>
        <v>12.627800000000001</v>
      </c>
      <c r="C757" s="63">
        <f>12.6278 * CHOOSE(CONTROL!$C$22, $C$13, 100%, $E$13)</f>
        <v>12.627800000000001</v>
      </c>
      <c r="D757" s="63">
        <f>12.6408 * CHOOSE(CONTROL!$C$22, $C$13, 100%, $E$13)</f>
        <v>12.6408</v>
      </c>
      <c r="E757" s="64">
        <f>14.3524 * CHOOSE(CONTROL!$C$22, $C$13, 100%, $E$13)</f>
        <v>14.352399999999999</v>
      </c>
      <c r="F757" s="64">
        <f>14.3524 * CHOOSE(CONTROL!$C$22, $C$13, 100%, $E$13)</f>
        <v>14.352399999999999</v>
      </c>
      <c r="G757" s="64">
        <f>14.3681 * CHOOSE(CONTROL!$C$22, $C$13, 100%, $E$13)</f>
        <v>14.3681</v>
      </c>
      <c r="H757" s="64">
        <f>24.7289* CHOOSE(CONTROL!$C$22, $C$13, 100%, $E$13)</f>
        <v>24.728899999999999</v>
      </c>
      <c r="I757" s="64">
        <f>24.7446 * CHOOSE(CONTROL!$C$22, $C$13, 100%, $E$13)</f>
        <v>24.744599999999998</v>
      </c>
      <c r="J757" s="64">
        <f>14.3524 * CHOOSE(CONTROL!$C$22, $C$13, 100%, $E$13)</f>
        <v>14.352399999999999</v>
      </c>
      <c r="K757" s="64">
        <f>14.3681 * CHOOSE(CONTROL!$C$22, $C$13, 100%, $E$13)</f>
        <v>14.3681</v>
      </c>
    </row>
    <row r="758" spans="1:11" ht="15">
      <c r="A758" s="13">
        <v>64559</v>
      </c>
      <c r="B758" s="63">
        <f>12.6507 * CHOOSE(CONTROL!$C$22, $C$13, 100%, $E$13)</f>
        <v>12.650700000000001</v>
      </c>
      <c r="C758" s="63">
        <f>12.6507 * CHOOSE(CONTROL!$C$22, $C$13, 100%, $E$13)</f>
        <v>12.650700000000001</v>
      </c>
      <c r="D758" s="63">
        <f>12.6507 * CHOOSE(CONTROL!$C$22, $C$13, 100%, $E$13)</f>
        <v>12.650700000000001</v>
      </c>
      <c r="E758" s="64">
        <f>14.4448 * CHOOSE(CONTROL!$C$22, $C$13, 100%, $E$13)</f>
        <v>14.444800000000001</v>
      </c>
      <c r="F758" s="64">
        <f>14.4448 * CHOOSE(CONTROL!$C$22, $C$13, 100%, $E$13)</f>
        <v>14.444800000000001</v>
      </c>
      <c r="G758" s="64">
        <f>14.4449 * CHOOSE(CONTROL!$C$22, $C$13, 100%, $E$13)</f>
        <v>14.444900000000001</v>
      </c>
      <c r="H758" s="64">
        <f>24.7804* CHOOSE(CONTROL!$C$22, $C$13, 100%, $E$13)</f>
        <v>24.7804</v>
      </c>
      <c r="I758" s="64">
        <f>24.7805 * CHOOSE(CONTROL!$C$22, $C$13, 100%, $E$13)</f>
        <v>24.7805</v>
      </c>
      <c r="J758" s="64">
        <f>14.4448 * CHOOSE(CONTROL!$C$22, $C$13, 100%, $E$13)</f>
        <v>14.444800000000001</v>
      </c>
      <c r="K758" s="64">
        <f>14.4449 * CHOOSE(CONTROL!$C$22, $C$13, 100%, $E$13)</f>
        <v>14.444900000000001</v>
      </c>
    </row>
    <row r="759" spans="1:11" ht="15">
      <c r="A759" s="13">
        <v>64590</v>
      </c>
      <c r="B759" s="63">
        <f>12.6538 * CHOOSE(CONTROL!$C$22, $C$13, 100%, $E$13)</f>
        <v>12.6538</v>
      </c>
      <c r="C759" s="63">
        <f>12.6538 * CHOOSE(CONTROL!$C$22, $C$13, 100%, $E$13)</f>
        <v>12.6538</v>
      </c>
      <c r="D759" s="63">
        <f>12.6538 * CHOOSE(CONTROL!$C$22, $C$13, 100%, $E$13)</f>
        <v>12.6538</v>
      </c>
      <c r="E759" s="64">
        <f>14.4999 * CHOOSE(CONTROL!$C$22, $C$13, 100%, $E$13)</f>
        <v>14.4999</v>
      </c>
      <c r="F759" s="64">
        <f>14.4999 * CHOOSE(CONTROL!$C$22, $C$13, 100%, $E$13)</f>
        <v>14.4999</v>
      </c>
      <c r="G759" s="64">
        <f>14.5 * CHOOSE(CONTROL!$C$22, $C$13, 100%, $E$13)</f>
        <v>14.5</v>
      </c>
      <c r="H759" s="64">
        <f>24.832* CHOOSE(CONTROL!$C$22, $C$13, 100%, $E$13)</f>
        <v>24.832000000000001</v>
      </c>
      <c r="I759" s="64">
        <f>24.8321 * CHOOSE(CONTROL!$C$22, $C$13, 100%, $E$13)</f>
        <v>24.832100000000001</v>
      </c>
      <c r="J759" s="64">
        <f>14.4999 * CHOOSE(CONTROL!$C$22, $C$13, 100%, $E$13)</f>
        <v>14.4999</v>
      </c>
      <c r="K759" s="64">
        <f>14.5 * CHOOSE(CONTROL!$C$22, $C$13, 100%, $E$13)</f>
        <v>14.5</v>
      </c>
    </row>
    <row r="760" spans="1:11" ht="15">
      <c r="A760" s="13">
        <v>64620</v>
      </c>
      <c r="B760" s="63">
        <f>12.6538 * CHOOSE(CONTROL!$C$22, $C$13, 100%, $E$13)</f>
        <v>12.6538</v>
      </c>
      <c r="C760" s="63">
        <f>12.6538 * CHOOSE(CONTROL!$C$22, $C$13, 100%, $E$13)</f>
        <v>12.6538</v>
      </c>
      <c r="D760" s="63">
        <f>12.6538 * CHOOSE(CONTROL!$C$22, $C$13, 100%, $E$13)</f>
        <v>12.6538</v>
      </c>
      <c r="E760" s="64">
        <f>14.3676 * CHOOSE(CONTROL!$C$22, $C$13, 100%, $E$13)</f>
        <v>14.367599999999999</v>
      </c>
      <c r="F760" s="64">
        <f>14.3676 * CHOOSE(CONTROL!$C$22, $C$13, 100%, $E$13)</f>
        <v>14.367599999999999</v>
      </c>
      <c r="G760" s="64">
        <f>14.3677 * CHOOSE(CONTROL!$C$22, $C$13, 100%, $E$13)</f>
        <v>14.367699999999999</v>
      </c>
      <c r="H760" s="64">
        <f>24.8838* CHOOSE(CONTROL!$C$22, $C$13, 100%, $E$13)</f>
        <v>24.883800000000001</v>
      </c>
      <c r="I760" s="64">
        <f>24.8838 * CHOOSE(CONTROL!$C$22, $C$13, 100%, $E$13)</f>
        <v>24.883800000000001</v>
      </c>
      <c r="J760" s="64">
        <f>14.3676 * CHOOSE(CONTROL!$C$22, $C$13, 100%, $E$13)</f>
        <v>14.367599999999999</v>
      </c>
      <c r="K760" s="64">
        <f>14.3677 * CHOOSE(CONTROL!$C$22, $C$13, 100%, $E$13)</f>
        <v>14.367699999999999</v>
      </c>
    </row>
    <row r="761" spans="1:11" ht="15">
      <c r="A761" s="13">
        <v>64651</v>
      </c>
      <c r="B761" s="63">
        <f>12.6653 * CHOOSE(CONTROL!$C$22, $C$13, 100%, $E$13)</f>
        <v>12.6653</v>
      </c>
      <c r="C761" s="63">
        <f>12.6653 * CHOOSE(CONTROL!$C$22, $C$13, 100%, $E$13)</f>
        <v>12.6653</v>
      </c>
      <c r="D761" s="63">
        <f>12.6653 * CHOOSE(CONTROL!$C$22, $C$13, 100%, $E$13)</f>
        <v>12.6653</v>
      </c>
      <c r="E761" s="64">
        <f>14.4846 * CHOOSE(CONTROL!$C$22, $C$13, 100%, $E$13)</f>
        <v>14.4846</v>
      </c>
      <c r="F761" s="64">
        <f>14.4846 * CHOOSE(CONTROL!$C$22, $C$13, 100%, $E$13)</f>
        <v>14.4846</v>
      </c>
      <c r="G761" s="64">
        <f>14.4847 * CHOOSE(CONTROL!$C$22, $C$13, 100%, $E$13)</f>
        <v>14.4847</v>
      </c>
      <c r="H761" s="64">
        <f>24.7665* CHOOSE(CONTROL!$C$22, $C$13, 100%, $E$13)</f>
        <v>24.766500000000001</v>
      </c>
      <c r="I761" s="64">
        <f>24.7665 * CHOOSE(CONTROL!$C$22, $C$13, 100%, $E$13)</f>
        <v>24.766500000000001</v>
      </c>
      <c r="J761" s="64">
        <f>14.4846 * CHOOSE(CONTROL!$C$22, $C$13, 100%, $E$13)</f>
        <v>14.4846</v>
      </c>
      <c r="K761" s="64">
        <f>14.4847 * CHOOSE(CONTROL!$C$22, $C$13, 100%, $E$13)</f>
        <v>14.4847</v>
      </c>
    </row>
    <row r="762" spans="1:11" ht="15">
      <c r="A762" s="13">
        <v>64682</v>
      </c>
      <c r="B762" s="63">
        <f>12.6623 * CHOOSE(CONTROL!$C$22, $C$13, 100%, $E$13)</f>
        <v>12.6623</v>
      </c>
      <c r="C762" s="63">
        <f>12.6623 * CHOOSE(CONTROL!$C$22, $C$13, 100%, $E$13)</f>
        <v>12.6623</v>
      </c>
      <c r="D762" s="63">
        <f>12.6623 * CHOOSE(CONTROL!$C$22, $C$13, 100%, $E$13)</f>
        <v>12.6623</v>
      </c>
      <c r="E762" s="64">
        <f>14.2275 * CHOOSE(CONTROL!$C$22, $C$13, 100%, $E$13)</f>
        <v>14.227499999999999</v>
      </c>
      <c r="F762" s="64">
        <f>14.2275 * CHOOSE(CONTROL!$C$22, $C$13, 100%, $E$13)</f>
        <v>14.227499999999999</v>
      </c>
      <c r="G762" s="64">
        <f>14.2276 * CHOOSE(CONTROL!$C$22, $C$13, 100%, $E$13)</f>
        <v>14.227600000000001</v>
      </c>
      <c r="H762" s="64">
        <f>24.8181* CHOOSE(CONTROL!$C$22, $C$13, 100%, $E$13)</f>
        <v>24.818100000000001</v>
      </c>
      <c r="I762" s="64">
        <f>24.8181 * CHOOSE(CONTROL!$C$22, $C$13, 100%, $E$13)</f>
        <v>24.818100000000001</v>
      </c>
      <c r="J762" s="64">
        <f>14.2275 * CHOOSE(CONTROL!$C$22, $C$13, 100%, $E$13)</f>
        <v>14.227499999999999</v>
      </c>
      <c r="K762" s="64">
        <f>14.2276 * CHOOSE(CONTROL!$C$22, $C$13, 100%, $E$13)</f>
        <v>14.227600000000001</v>
      </c>
    </row>
    <row r="763" spans="1:11" ht="15">
      <c r="A763" s="13">
        <v>64710</v>
      </c>
      <c r="B763" s="63">
        <f>12.6592 * CHOOSE(CONTROL!$C$22, $C$13, 100%, $E$13)</f>
        <v>12.6592</v>
      </c>
      <c r="C763" s="63">
        <f>12.6592 * CHOOSE(CONTROL!$C$22, $C$13, 100%, $E$13)</f>
        <v>12.6592</v>
      </c>
      <c r="D763" s="63">
        <f>12.6592 * CHOOSE(CONTROL!$C$22, $C$13, 100%, $E$13)</f>
        <v>12.6592</v>
      </c>
      <c r="E763" s="64">
        <f>14.4264 * CHOOSE(CONTROL!$C$22, $C$13, 100%, $E$13)</f>
        <v>14.426399999999999</v>
      </c>
      <c r="F763" s="64">
        <f>14.4264 * CHOOSE(CONTROL!$C$22, $C$13, 100%, $E$13)</f>
        <v>14.426399999999999</v>
      </c>
      <c r="G763" s="64">
        <f>14.4265 * CHOOSE(CONTROL!$C$22, $C$13, 100%, $E$13)</f>
        <v>14.426500000000001</v>
      </c>
      <c r="H763" s="64">
        <f>24.8698* CHOOSE(CONTROL!$C$22, $C$13, 100%, $E$13)</f>
        <v>24.869800000000001</v>
      </c>
      <c r="I763" s="64">
        <f>24.8698 * CHOOSE(CONTROL!$C$22, $C$13, 100%, $E$13)</f>
        <v>24.869800000000001</v>
      </c>
      <c r="J763" s="64">
        <f>14.4264 * CHOOSE(CONTROL!$C$22, $C$13, 100%, $E$13)</f>
        <v>14.426399999999999</v>
      </c>
      <c r="K763" s="64">
        <f>14.4265 * CHOOSE(CONTROL!$C$22, $C$13, 100%, $E$13)</f>
        <v>14.426500000000001</v>
      </c>
    </row>
    <row r="764" spans="1:11" ht="15">
      <c r="A764" s="13">
        <v>64741</v>
      </c>
      <c r="B764" s="63">
        <f>12.6642 * CHOOSE(CONTROL!$C$22, $C$13, 100%, $E$13)</f>
        <v>12.664199999999999</v>
      </c>
      <c r="C764" s="63">
        <f>12.6642 * CHOOSE(CONTROL!$C$22, $C$13, 100%, $E$13)</f>
        <v>12.664199999999999</v>
      </c>
      <c r="D764" s="63">
        <f>12.6642 * CHOOSE(CONTROL!$C$22, $C$13, 100%, $E$13)</f>
        <v>12.664199999999999</v>
      </c>
      <c r="E764" s="64">
        <f>14.638 * CHOOSE(CONTROL!$C$22, $C$13, 100%, $E$13)</f>
        <v>14.638</v>
      </c>
      <c r="F764" s="64">
        <f>14.638 * CHOOSE(CONTROL!$C$22, $C$13, 100%, $E$13)</f>
        <v>14.638</v>
      </c>
      <c r="G764" s="64">
        <f>14.6381 * CHOOSE(CONTROL!$C$22, $C$13, 100%, $E$13)</f>
        <v>14.6381</v>
      </c>
      <c r="H764" s="64">
        <f>24.9216* CHOOSE(CONTROL!$C$22, $C$13, 100%, $E$13)</f>
        <v>24.921600000000002</v>
      </c>
      <c r="I764" s="64">
        <f>24.9217 * CHOOSE(CONTROL!$C$22, $C$13, 100%, $E$13)</f>
        <v>24.921700000000001</v>
      </c>
      <c r="J764" s="64">
        <f>14.638 * CHOOSE(CONTROL!$C$22, $C$13, 100%, $E$13)</f>
        <v>14.638</v>
      </c>
      <c r="K764" s="64">
        <f>14.6381 * CHOOSE(CONTROL!$C$22, $C$13, 100%, $E$13)</f>
        <v>14.6381</v>
      </c>
    </row>
    <row r="765" spans="1:11" ht="15">
      <c r="A765" s="13">
        <v>64771</v>
      </c>
      <c r="B765" s="63">
        <f>12.6642 * CHOOSE(CONTROL!$C$22, $C$13, 100%, $E$13)</f>
        <v>12.664199999999999</v>
      </c>
      <c r="C765" s="63">
        <f>12.6642 * CHOOSE(CONTROL!$C$22, $C$13, 100%, $E$13)</f>
        <v>12.664199999999999</v>
      </c>
      <c r="D765" s="63">
        <f>12.6771 * CHOOSE(CONTROL!$C$22, $C$13, 100%, $E$13)</f>
        <v>12.677099999999999</v>
      </c>
      <c r="E765" s="64">
        <f>14.719 * CHOOSE(CONTROL!$C$22, $C$13, 100%, $E$13)</f>
        <v>14.718999999999999</v>
      </c>
      <c r="F765" s="64">
        <f>14.719 * CHOOSE(CONTROL!$C$22, $C$13, 100%, $E$13)</f>
        <v>14.718999999999999</v>
      </c>
      <c r="G765" s="64">
        <f>14.7347 * CHOOSE(CONTROL!$C$22, $C$13, 100%, $E$13)</f>
        <v>14.7347</v>
      </c>
      <c r="H765" s="64">
        <f>24.9735* CHOOSE(CONTROL!$C$22, $C$13, 100%, $E$13)</f>
        <v>24.973500000000001</v>
      </c>
      <c r="I765" s="64">
        <f>24.9892 * CHOOSE(CONTROL!$C$22, $C$13, 100%, $E$13)</f>
        <v>24.9892</v>
      </c>
      <c r="J765" s="64">
        <f>14.719 * CHOOSE(CONTROL!$C$22, $C$13, 100%, $E$13)</f>
        <v>14.718999999999999</v>
      </c>
      <c r="K765" s="64">
        <f>14.7347 * CHOOSE(CONTROL!$C$22, $C$13, 100%, $E$13)</f>
        <v>14.7347</v>
      </c>
    </row>
    <row r="766" spans="1:11" ht="15">
      <c r="A766" s="13">
        <v>64802</v>
      </c>
      <c r="B766" s="63">
        <f>12.6702 * CHOOSE(CONTROL!$C$22, $C$13, 100%, $E$13)</f>
        <v>12.670199999999999</v>
      </c>
      <c r="C766" s="63">
        <f>12.6702 * CHOOSE(CONTROL!$C$22, $C$13, 100%, $E$13)</f>
        <v>12.670199999999999</v>
      </c>
      <c r="D766" s="63">
        <f>12.6832 * CHOOSE(CONTROL!$C$22, $C$13, 100%, $E$13)</f>
        <v>12.683199999999999</v>
      </c>
      <c r="E766" s="64">
        <f>14.6423 * CHOOSE(CONTROL!$C$22, $C$13, 100%, $E$13)</f>
        <v>14.642300000000001</v>
      </c>
      <c r="F766" s="64">
        <f>14.6423 * CHOOSE(CONTROL!$C$22, $C$13, 100%, $E$13)</f>
        <v>14.642300000000001</v>
      </c>
      <c r="G766" s="64">
        <f>14.658 * CHOOSE(CONTROL!$C$22, $C$13, 100%, $E$13)</f>
        <v>14.657999999999999</v>
      </c>
      <c r="H766" s="64">
        <f>25.0255* CHOOSE(CONTROL!$C$22, $C$13, 100%, $E$13)</f>
        <v>25.025500000000001</v>
      </c>
      <c r="I766" s="64">
        <f>25.0412 * CHOOSE(CONTROL!$C$22, $C$13, 100%, $E$13)</f>
        <v>25.0412</v>
      </c>
      <c r="J766" s="64">
        <f>14.6423 * CHOOSE(CONTROL!$C$22, $C$13, 100%, $E$13)</f>
        <v>14.642300000000001</v>
      </c>
      <c r="K766" s="64">
        <f>14.658 * CHOOSE(CONTROL!$C$22, $C$13, 100%, $E$13)</f>
        <v>14.657999999999999</v>
      </c>
    </row>
    <row r="767" spans="1:11" ht="15">
      <c r="A767" s="13">
        <v>64832</v>
      </c>
      <c r="B767" s="63">
        <f>12.8633 * CHOOSE(CONTROL!$C$22, $C$13, 100%, $E$13)</f>
        <v>12.863300000000001</v>
      </c>
      <c r="C767" s="63">
        <f>12.8633 * CHOOSE(CONTROL!$C$22, $C$13, 100%, $E$13)</f>
        <v>12.863300000000001</v>
      </c>
      <c r="D767" s="63">
        <f>12.8763 * CHOOSE(CONTROL!$C$22, $C$13, 100%, $E$13)</f>
        <v>12.876300000000001</v>
      </c>
      <c r="E767" s="64">
        <f>14.8762 * CHOOSE(CONTROL!$C$22, $C$13, 100%, $E$13)</f>
        <v>14.876200000000001</v>
      </c>
      <c r="F767" s="64">
        <f>14.8762 * CHOOSE(CONTROL!$C$22, $C$13, 100%, $E$13)</f>
        <v>14.876200000000001</v>
      </c>
      <c r="G767" s="64">
        <f>14.8919 * CHOOSE(CONTROL!$C$22, $C$13, 100%, $E$13)</f>
        <v>14.8919</v>
      </c>
      <c r="H767" s="64">
        <f>25.0777* CHOOSE(CONTROL!$C$22, $C$13, 100%, $E$13)</f>
        <v>25.0777</v>
      </c>
      <c r="I767" s="64">
        <f>25.0933 * CHOOSE(CONTROL!$C$22, $C$13, 100%, $E$13)</f>
        <v>25.093299999999999</v>
      </c>
      <c r="J767" s="64">
        <f>14.8762 * CHOOSE(CONTROL!$C$22, $C$13, 100%, $E$13)</f>
        <v>14.876200000000001</v>
      </c>
      <c r="K767" s="64">
        <f>14.8919 * CHOOSE(CONTROL!$C$22, $C$13, 100%, $E$13)</f>
        <v>14.8919</v>
      </c>
    </row>
    <row r="768" spans="1:11" ht="15">
      <c r="A768" s="13">
        <v>64863</v>
      </c>
      <c r="B768" s="63">
        <f>12.87 * CHOOSE(CONTROL!$C$22, $C$13, 100%, $E$13)</f>
        <v>12.87</v>
      </c>
      <c r="C768" s="63">
        <f>12.87 * CHOOSE(CONTROL!$C$22, $C$13, 100%, $E$13)</f>
        <v>12.87</v>
      </c>
      <c r="D768" s="63">
        <f>12.883 * CHOOSE(CONTROL!$C$22, $C$13, 100%, $E$13)</f>
        <v>12.882999999999999</v>
      </c>
      <c r="E768" s="64">
        <f>14.6381 * CHOOSE(CONTROL!$C$22, $C$13, 100%, $E$13)</f>
        <v>14.6381</v>
      </c>
      <c r="F768" s="64">
        <f>14.6381 * CHOOSE(CONTROL!$C$22, $C$13, 100%, $E$13)</f>
        <v>14.6381</v>
      </c>
      <c r="G768" s="64">
        <f>14.6537 * CHOOSE(CONTROL!$C$22, $C$13, 100%, $E$13)</f>
        <v>14.653700000000001</v>
      </c>
      <c r="H768" s="64">
        <f>25.1299* CHOOSE(CONTROL!$C$22, $C$13, 100%, $E$13)</f>
        <v>25.129899999999999</v>
      </c>
      <c r="I768" s="64">
        <f>25.1456 * CHOOSE(CONTROL!$C$22, $C$13, 100%, $E$13)</f>
        <v>25.145600000000002</v>
      </c>
      <c r="J768" s="64">
        <f>14.6381 * CHOOSE(CONTROL!$C$22, $C$13, 100%, $E$13)</f>
        <v>14.6381</v>
      </c>
      <c r="K768" s="64">
        <f>14.6537 * CHOOSE(CONTROL!$C$22, $C$13, 100%, $E$13)</f>
        <v>14.653700000000001</v>
      </c>
    </row>
    <row r="769" spans="1:11" ht="15">
      <c r="A769" s="13">
        <v>64894</v>
      </c>
      <c r="B769" s="63">
        <f>12.867 * CHOOSE(CONTROL!$C$22, $C$13, 100%, $E$13)</f>
        <v>12.867000000000001</v>
      </c>
      <c r="C769" s="63">
        <f>12.867 * CHOOSE(CONTROL!$C$22, $C$13, 100%, $E$13)</f>
        <v>12.867000000000001</v>
      </c>
      <c r="D769" s="63">
        <f>12.88 * CHOOSE(CONTROL!$C$22, $C$13, 100%, $E$13)</f>
        <v>12.88</v>
      </c>
      <c r="E769" s="64">
        <f>14.609 * CHOOSE(CONTROL!$C$22, $C$13, 100%, $E$13)</f>
        <v>14.609</v>
      </c>
      <c r="F769" s="64">
        <f>14.609 * CHOOSE(CONTROL!$C$22, $C$13, 100%, $E$13)</f>
        <v>14.609</v>
      </c>
      <c r="G769" s="64">
        <f>14.6246 * CHOOSE(CONTROL!$C$22, $C$13, 100%, $E$13)</f>
        <v>14.624599999999999</v>
      </c>
      <c r="H769" s="64">
        <f>25.1823* CHOOSE(CONTROL!$C$22, $C$13, 100%, $E$13)</f>
        <v>25.182300000000001</v>
      </c>
      <c r="I769" s="64">
        <f>25.1979 * CHOOSE(CONTROL!$C$22, $C$13, 100%, $E$13)</f>
        <v>25.197900000000001</v>
      </c>
      <c r="J769" s="64">
        <f>14.609 * CHOOSE(CONTROL!$C$22, $C$13, 100%, $E$13)</f>
        <v>14.609</v>
      </c>
      <c r="K769" s="64">
        <f>14.6246 * CHOOSE(CONTROL!$C$22, $C$13, 100%, $E$13)</f>
        <v>14.624599999999999</v>
      </c>
    </row>
    <row r="770" spans="1:11" ht="15">
      <c r="A770" s="13">
        <v>64924</v>
      </c>
      <c r="B770" s="63">
        <f>12.8907 * CHOOSE(CONTROL!$C$22, $C$13, 100%, $E$13)</f>
        <v>12.890700000000001</v>
      </c>
      <c r="C770" s="63">
        <f>12.8907 * CHOOSE(CONTROL!$C$22, $C$13, 100%, $E$13)</f>
        <v>12.890700000000001</v>
      </c>
      <c r="D770" s="63">
        <f>12.8907 * CHOOSE(CONTROL!$C$22, $C$13, 100%, $E$13)</f>
        <v>12.890700000000001</v>
      </c>
      <c r="E770" s="64">
        <f>14.7035 * CHOOSE(CONTROL!$C$22, $C$13, 100%, $E$13)</f>
        <v>14.7035</v>
      </c>
      <c r="F770" s="64">
        <f>14.7035 * CHOOSE(CONTROL!$C$22, $C$13, 100%, $E$13)</f>
        <v>14.7035</v>
      </c>
      <c r="G770" s="64">
        <f>14.7036 * CHOOSE(CONTROL!$C$22, $C$13, 100%, $E$13)</f>
        <v>14.7036</v>
      </c>
      <c r="H770" s="64">
        <f>25.2347* CHOOSE(CONTROL!$C$22, $C$13, 100%, $E$13)</f>
        <v>25.2347</v>
      </c>
      <c r="I770" s="64">
        <f>25.2348 * CHOOSE(CONTROL!$C$22, $C$13, 100%, $E$13)</f>
        <v>25.2348</v>
      </c>
      <c r="J770" s="64">
        <f>14.7035 * CHOOSE(CONTROL!$C$22, $C$13, 100%, $E$13)</f>
        <v>14.7035</v>
      </c>
      <c r="K770" s="64">
        <f>14.7036 * CHOOSE(CONTROL!$C$22, $C$13, 100%, $E$13)</f>
        <v>14.7036</v>
      </c>
    </row>
    <row r="771" spans="1:11" ht="15">
      <c r="A771" s="13">
        <v>64955</v>
      </c>
      <c r="B771" s="63">
        <f>12.8937 * CHOOSE(CONTROL!$C$22, $C$13, 100%, $E$13)</f>
        <v>12.893700000000001</v>
      </c>
      <c r="C771" s="63">
        <f>12.8937 * CHOOSE(CONTROL!$C$22, $C$13, 100%, $E$13)</f>
        <v>12.893700000000001</v>
      </c>
      <c r="D771" s="63">
        <f>12.8937 * CHOOSE(CONTROL!$C$22, $C$13, 100%, $E$13)</f>
        <v>12.893700000000001</v>
      </c>
      <c r="E771" s="64">
        <f>14.7596 * CHOOSE(CONTROL!$C$22, $C$13, 100%, $E$13)</f>
        <v>14.759600000000001</v>
      </c>
      <c r="F771" s="64">
        <f>14.7596 * CHOOSE(CONTROL!$C$22, $C$13, 100%, $E$13)</f>
        <v>14.759600000000001</v>
      </c>
      <c r="G771" s="64">
        <f>14.7596 * CHOOSE(CONTROL!$C$22, $C$13, 100%, $E$13)</f>
        <v>14.759600000000001</v>
      </c>
      <c r="H771" s="64">
        <f>25.2873* CHOOSE(CONTROL!$C$22, $C$13, 100%, $E$13)</f>
        <v>25.287299999999998</v>
      </c>
      <c r="I771" s="64">
        <f>25.2874 * CHOOSE(CONTROL!$C$22, $C$13, 100%, $E$13)</f>
        <v>25.287400000000002</v>
      </c>
      <c r="J771" s="64">
        <f>14.7596 * CHOOSE(CONTROL!$C$22, $C$13, 100%, $E$13)</f>
        <v>14.759600000000001</v>
      </c>
      <c r="K771" s="64">
        <f>14.7596 * CHOOSE(CONTROL!$C$22, $C$13, 100%, $E$13)</f>
        <v>14.759600000000001</v>
      </c>
    </row>
    <row r="772" spans="1:11" ht="15">
      <c r="A772" s="13">
        <v>64985</v>
      </c>
      <c r="B772" s="63">
        <f>12.8937 * CHOOSE(CONTROL!$C$22, $C$13, 100%, $E$13)</f>
        <v>12.893700000000001</v>
      </c>
      <c r="C772" s="63">
        <f>12.8937 * CHOOSE(CONTROL!$C$22, $C$13, 100%, $E$13)</f>
        <v>12.893700000000001</v>
      </c>
      <c r="D772" s="63">
        <f>12.8937 * CHOOSE(CONTROL!$C$22, $C$13, 100%, $E$13)</f>
        <v>12.893700000000001</v>
      </c>
      <c r="E772" s="64">
        <f>14.6246 * CHOOSE(CONTROL!$C$22, $C$13, 100%, $E$13)</f>
        <v>14.624599999999999</v>
      </c>
      <c r="F772" s="64">
        <f>14.6246 * CHOOSE(CONTROL!$C$22, $C$13, 100%, $E$13)</f>
        <v>14.624599999999999</v>
      </c>
      <c r="G772" s="64">
        <f>14.6247 * CHOOSE(CONTROL!$C$22, $C$13, 100%, $E$13)</f>
        <v>14.624700000000001</v>
      </c>
      <c r="H772" s="64">
        <f>25.34* CHOOSE(CONTROL!$C$22, $C$13, 100%, $E$13)</f>
        <v>25.34</v>
      </c>
      <c r="I772" s="64">
        <f>25.3401 * CHOOSE(CONTROL!$C$22, $C$13, 100%, $E$13)</f>
        <v>25.3401</v>
      </c>
      <c r="J772" s="64">
        <f>14.6246 * CHOOSE(CONTROL!$C$22, $C$13, 100%, $E$13)</f>
        <v>14.624599999999999</v>
      </c>
      <c r="K772" s="64">
        <f>14.6247 * CHOOSE(CONTROL!$C$22, $C$13, 100%, $E$13)</f>
        <v>14.624700000000001</v>
      </c>
    </row>
    <row r="773" spans="1:11" ht="15">
      <c r="A773" s="13">
        <v>65016</v>
      </c>
      <c r="B773" s="63">
        <f>12.9009 * CHOOSE(CONTROL!$C$22, $C$13, 100%, $E$13)</f>
        <v>12.9009</v>
      </c>
      <c r="C773" s="63">
        <f>12.9009 * CHOOSE(CONTROL!$C$22, $C$13, 100%, $E$13)</f>
        <v>12.9009</v>
      </c>
      <c r="D773" s="63">
        <f>12.9009 * CHOOSE(CONTROL!$C$22, $C$13, 100%, $E$13)</f>
        <v>12.9009</v>
      </c>
      <c r="E773" s="64">
        <f>14.7393 * CHOOSE(CONTROL!$C$22, $C$13, 100%, $E$13)</f>
        <v>14.7393</v>
      </c>
      <c r="F773" s="64">
        <f>14.7393 * CHOOSE(CONTROL!$C$22, $C$13, 100%, $E$13)</f>
        <v>14.7393</v>
      </c>
      <c r="G773" s="64">
        <f>14.7394 * CHOOSE(CONTROL!$C$22, $C$13, 100%, $E$13)</f>
        <v>14.7394</v>
      </c>
      <c r="H773" s="64">
        <f>25.2123* CHOOSE(CONTROL!$C$22, $C$13, 100%, $E$13)</f>
        <v>25.212299999999999</v>
      </c>
      <c r="I773" s="64">
        <f>25.2124 * CHOOSE(CONTROL!$C$22, $C$13, 100%, $E$13)</f>
        <v>25.212399999999999</v>
      </c>
      <c r="J773" s="64">
        <f>14.7393 * CHOOSE(CONTROL!$C$22, $C$13, 100%, $E$13)</f>
        <v>14.7393</v>
      </c>
      <c r="K773" s="64">
        <f>14.7394 * CHOOSE(CONTROL!$C$22, $C$13, 100%, $E$13)</f>
        <v>14.7394</v>
      </c>
    </row>
    <row r="774" spans="1:11" ht="15">
      <c r="A774" s="13">
        <v>65047</v>
      </c>
      <c r="B774" s="63">
        <f>12.8978 * CHOOSE(CONTROL!$C$22, $C$13, 100%, $E$13)</f>
        <v>12.8978</v>
      </c>
      <c r="C774" s="63">
        <f>12.8978 * CHOOSE(CONTROL!$C$22, $C$13, 100%, $E$13)</f>
        <v>12.8978</v>
      </c>
      <c r="D774" s="63">
        <f>12.8978 * CHOOSE(CONTROL!$C$22, $C$13, 100%, $E$13)</f>
        <v>12.8978</v>
      </c>
      <c r="E774" s="64">
        <f>14.4773 * CHOOSE(CONTROL!$C$22, $C$13, 100%, $E$13)</f>
        <v>14.4773</v>
      </c>
      <c r="F774" s="64">
        <f>14.4773 * CHOOSE(CONTROL!$C$22, $C$13, 100%, $E$13)</f>
        <v>14.4773</v>
      </c>
      <c r="G774" s="64">
        <f>14.4774 * CHOOSE(CONTROL!$C$22, $C$13, 100%, $E$13)</f>
        <v>14.477399999999999</v>
      </c>
      <c r="H774" s="64">
        <f>25.2649* CHOOSE(CONTROL!$C$22, $C$13, 100%, $E$13)</f>
        <v>25.264900000000001</v>
      </c>
      <c r="I774" s="64">
        <f>25.265 * CHOOSE(CONTROL!$C$22, $C$13, 100%, $E$13)</f>
        <v>25.265000000000001</v>
      </c>
      <c r="J774" s="64">
        <f>14.4773 * CHOOSE(CONTROL!$C$22, $C$13, 100%, $E$13)</f>
        <v>14.4773</v>
      </c>
      <c r="K774" s="64">
        <f>14.4774 * CHOOSE(CONTROL!$C$22, $C$13, 100%, $E$13)</f>
        <v>14.477399999999999</v>
      </c>
    </row>
    <row r="775" spans="1:11" ht="15">
      <c r="A775" s="13">
        <v>65075</v>
      </c>
      <c r="B775" s="63">
        <f>12.8948 * CHOOSE(CONTROL!$C$22, $C$13, 100%, $E$13)</f>
        <v>12.8948</v>
      </c>
      <c r="C775" s="63">
        <f>12.8948 * CHOOSE(CONTROL!$C$22, $C$13, 100%, $E$13)</f>
        <v>12.8948</v>
      </c>
      <c r="D775" s="63">
        <f>12.8948 * CHOOSE(CONTROL!$C$22, $C$13, 100%, $E$13)</f>
        <v>12.8948</v>
      </c>
      <c r="E775" s="64">
        <f>14.6801 * CHOOSE(CONTROL!$C$22, $C$13, 100%, $E$13)</f>
        <v>14.680099999999999</v>
      </c>
      <c r="F775" s="64">
        <f>14.6801 * CHOOSE(CONTROL!$C$22, $C$13, 100%, $E$13)</f>
        <v>14.680099999999999</v>
      </c>
      <c r="G775" s="64">
        <f>14.6802 * CHOOSE(CONTROL!$C$22, $C$13, 100%, $E$13)</f>
        <v>14.680199999999999</v>
      </c>
      <c r="H775" s="64">
        <f>25.3175* CHOOSE(CONTROL!$C$22, $C$13, 100%, $E$13)</f>
        <v>25.317499999999999</v>
      </c>
      <c r="I775" s="64">
        <f>25.3176 * CHOOSE(CONTROL!$C$22, $C$13, 100%, $E$13)</f>
        <v>25.317599999999999</v>
      </c>
      <c r="J775" s="64">
        <f>14.6801 * CHOOSE(CONTROL!$C$22, $C$13, 100%, $E$13)</f>
        <v>14.680099999999999</v>
      </c>
      <c r="K775" s="64">
        <f>14.6802 * CHOOSE(CONTROL!$C$22, $C$13, 100%, $E$13)</f>
        <v>14.680199999999999</v>
      </c>
    </row>
    <row r="776" spans="1:11" ht="15">
      <c r="A776" s="13">
        <v>65106</v>
      </c>
      <c r="B776" s="63">
        <f>12.8999 * CHOOSE(CONTROL!$C$22, $C$13, 100%, $E$13)</f>
        <v>12.899900000000001</v>
      </c>
      <c r="C776" s="63">
        <f>12.8999 * CHOOSE(CONTROL!$C$22, $C$13, 100%, $E$13)</f>
        <v>12.899900000000001</v>
      </c>
      <c r="D776" s="63">
        <f>12.8999 * CHOOSE(CONTROL!$C$22, $C$13, 100%, $E$13)</f>
        <v>12.899900000000001</v>
      </c>
      <c r="E776" s="64">
        <f>14.8959 * CHOOSE(CONTROL!$C$22, $C$13, 100%, $E$13)</f>
        <v>14.895899999999999</v>
      </c>
      <c r="F776" s="64">
        <f>14.8959 * CHOOSE(CONTROL!$C$22, $C$13, 100%, $E$13)</f>
        <v>14.895899999999999</v>
      </c>
      <c r="G776" s="64">
        <f>14.896 * CHOOSE(CONTROL!$C$22, $C$13, 100%, $E$13)</f>
        <v>14.896000000000001</v>
      </c>
      <c r="H776" s="64">
        <f>25.3703* CHOOSE(CONTROL!$C$22, $C$13, 100%, $E$13)</f>
        <v>25.3703</v>
      </c>
      <c r="I776" s="64">
        <f>25.3703 * CHOOSE(CONTROL!$C$22, $C$13, 100%, $E$13)</f>
        <v>25.3703</v>
      </c>
      <c r="J776" s="64">
        <f>14.8959 * CHOOSE(CONTROL!$C$22, $C$13, 100%, $E$13)</f>
        <v>14.895899999999999</v>
      </c>
      <c r="K776" s="64">
        <f>14.896 * CHOOSE(CONTROL!$C$22, $C$13, 100%, $E$13)</f>
        <v>14.896000000000001</v>
      </c>
    </row>
    <row r="777" spans="1:11" ht="15">
      <c r="A777" s="13">
        <v>65136</v>
      </c>
      <c r="B777" s="63">
        <f>12.8999 * CHOOSE(CONTROL!$C$22, $C$13, 100%, $E$13)</f>
        <v>12.899900000000001</v>
      </c>
      <c r="C777" s="63">
        <f>12.8999 * CHOOSE(CONTROL!$C$22, $C$13, 100%, $E$13)</f>
        <v>12.899900000000001</v>
      </c>
      <c r="D777" s="63">
        <f>12.9129 * CHOOSE(CONTROL!$C$22, $C$13, 100%, $E$13)</f>
        <v>12.9129</v>
      </c>
      <c r="E777" s="64">
        <f>14.9784 * CHOOSE(CONTROL!$C$22, $C$13, 100%, $E$13)</f>
        <v>14.978400000000001</v>
      </c>
      <c r="F777" s="64">
        <f>14.9784 * CHOOSE(CONTROL!$C$22, $C$13, 100%, $E$13)</f>
        <v>14.978400000000001</v>
      </c>
      <c r="G777" s="64">
        <f>14.9941 * CHOOSE(CONTROL!$C$22, $C$13, 100%, $E$13)</f>
        <v>14.9941</v>
      </c>
      <c r="H777" s="64">
        <f>25.4231* CHOOSE(CONTROL!$C$22, $C$13, 100%, $E$13)</f>
        <v>25.423100000000002</v>
      </c>
      <c r="I777" s="64">
        <f>25.4388 * CHOOSE(CONTROL!$C$22, $C$13, 100%, $E$13)</f>
        <v>25.438800000000001</v>
      </c>
      <c r="J777" s="64">
        <f>14.9784 * CHOOSE(CONTROL!$C$22, $C$13, 100%, $E$13)</f>
        <v>14.978400000000001</v>
      </c>
      <c r="K777" s="64">
        <f>14.9941 * CHOOSE(CONTROL!$C$22, $C$13, 100%, $E$13)</f>
        <v>14.9941</v>
      </c>
    </row>
    <row r="778" spans="1:11" ht="15">
      <c r="A778" s="13">
        <v>65167</v>
      </c>
      <c r="B778" s="63">
        <f>12.906 * CHOOSE(CONTROL!$C$22, $C$13, 100%, $E$13)</f>
        <v>12.906000000000001</v>
      </c>
      <c r="C778" s="63">
        <f>12.906 * CHOOSE(CONTROL!$C$22, $C$13, 100%, $E$13)</f>
        <v>12.906000000000001</v>
      </c>
      <c r="D778" s="63">
        <f>12.919 * CHOOSE(CONTROL!$C$22, $C$13, 100%, $E$13)</f>
        <v>12.919</v>
      </c>
      <c r="E778" s="64">
        <f>14.9001 * CHOOSE(CONTROL!$C$22, $C$13, 100%, $E$13)</f>
        <v>14.9001</v>
      </c>
      <c r="F778" s="64">
        <f>14.9001 * CHOOSE(CONTROL!$C$22, $C$13, 100%, $E$13)</f>
        <v>14.9001</v>
      </c>
      <c r="G778" s="64">
        <f>14.9158 * CHOOSE(CONTROL!$C$22, $C$13, 100%, $E$13)</f>
        <v>14.915800000000001</v>
      </c>
      <c r="H778" s="64">
        <f>25.4761* CHOOSE(CONTROL!$C$22, $C$13, 100%, $E$13)</f>
        <v>25.476099999999999</v>
      </c>
      <c r="I778" s="64">
        <f>25.4918 * CHOOSE(CONTROL!$C$22, $C$13, 100%, $E$13)</f>
        <v>25.491800000000001</v>
      </c>
      <c r="J778" s="64">
        <f>14.9001 * CHOOSE(CONTROL!$C$22, $C$13, 100%, $E$13)</f>
        <v>14.9001</v>
      </c>
      <c r="K778" s="64">
        <f>14.9158 * CHOOSE(CONTROL!$C$22, $C$13, 100%, $E$13)</f>
        <v>14.915800000000001</v>
      </c>
    </row>
    <row r="779" spans="1:11" ht="15">
      <c r="A779" s="13">
        <v>65197</v>
      </c>
      <c r="B779" s="63">
        <f>13.1025 * CHOOSE(CONTROL!$C$22, $C$13, 100%, $E$13)</f>
        <v>13.102499999999999</v>
      </c>
      <c r="C779" s="63">
        <f>13.1025 * CHOOSE(CONTROL!$C$22, $C$13, 100%, $E$13)</f>
        <v>13.102499999999999</v>
      </c>
      <c r="D779" s="63">
        <f>13.1155 * CHOOSE(CONTROL!$C$22, $C$13, 100%, $E$13)</f>
        <v>13.115500000000001</v>
      </c>
      <c r="E779" s="64">
        <f>15.138 * CHOOSE(CONTROL!$C$22, $C$13, 100%, $E$13)</f>
        <v>15.138</v>
      </c>
      <c r="F779" s="64">
        <f>15.138 * CHOOSE(CONTROL!$C$22, $C$13, 100%, $E$13)</f>
        <v>15.138</v>
      </c>
      <c r="G779" s="64">
        <f>15.1537 * CHOOSE(CONTROL!$C$22, $C$13, 100%, $E$13)</f>
        <v>15.153700000000001</v>
      </c>
      <c r="H779" s="64">
        <f>25.5291* CHOOSE(CONTROL!$C$22, $C$13, 100%, $E$13)</f>
        <v>25.5291</v>
      </c>
      <c r="I779" s="64">
        <f>25.5448 * CHOOSE(CONTROL!$C$22, $C$13, 100%, $E$13)</f>
        <v>25.544799999999999</v>
      </c>
      <c r="J779" s="64">
        <f>15.138 * CHOOSE(CONTROL!$C$22, $C$13, 100%, $E$13)</f>
        <v>15.138</v>
      </c>
      <c r="K779" s="64">
        <f>15.1537 * CHOOSE(CONTROL!$C$22, $C$13, 100%, $E$13)</f>
        <v>15.153700000000001</v>
      </c>
    </row>
    <row r="780" spans="1:11" ht="15">
      <c r="A780" s="13">
        <v>65228</v>
      </c>
      <c r="B780" s="63">
        <f>13.1092 * CHOOSE(CONTROL!$C$22, $C$13, 100%, $E$13)</f>
        <v>13.1092</v>
      </c>
      <c r="C780" s="63">
        <f>13.1092 * CHOOSE(CONTROL!$C$22, $C$13, 100%, $E$13)</f>
        <v>13.1092</v>
      </c>
      <c r="D780" s="63">
        <f>13.1222 * CHOOSE(CONTROL!$C$22, $C$13, 100%, $E$13)</f>
        <v>13.122199999999999</v>
      </c>
      <c r="E780" s="64">
        <f>14.8951 * CHOOSE(CONTROL!$C$22, $C$13, 100%, $E$13)</f>
        <v>14.895099999999999</v>
      </c>
      <c r="F780" s="64">
        <f>14.8951 * CHOOSE(CONTROL!$C$22, $C$13, 100%, $E$13)</f>
        <v>14.895099999999999</v>
      </c>
      <c r="G780" s="64">
        <f>14.9108 * CHOOSE(CONTROL!$C$22, $C$13, 100%, $E$13)</f>
        <v>14.9108</v>
      </c>
      <c r="H780" s="64">
        <f>25.5823* CHOOSE(CONTROL!$C$22, $C$13, 100%, $E$13)</f>
        <v>25.5823</v>
      </c>
      <c r="I780" s="64">
        <f>25.598 * CHOOSE(CONTROL!$C$22, $C$13, 100%, $E$13)</f>
        <v>25.597999999999999</v>
      </c>
      <c r="J780" s="64">
        <f>14.8951 * CHOOSE(CONTROL!$C$22, $C$13, 100%, $E$13)</f>
        <v>14.895099999999999</v>
      </c>
      <c r="K780" s="64">
        <f>14.9108 * CHOOSE(CONTROL!$C$22, $C$13, 100%, $E$13)</f>
        <v>14.9108</v>
      </c>
    </row>
    <row r="781" spans="1:11" ht="15">
      <c r="A781" s="13">
        <v>65259</v>
      </c>
      <c r="B781" s="63">
        <f>13.1062 * CHOOSE(CONTROL!$C$22, $C$13, 100%, $E$13)</f>
        <v>13.106199999999999</v>
      </c>
      <c r="C781" s="63">
        <f>13.1062 * CHOOSE(CONTROL!$C$22, $C$13, 100%, $E$13)</f>
        <v>13.106199999999999</v>
      </c>
      <c r="D781" s="63">
        <f>13.1191 * CHOOSE(CONTROL!$C$22, $C$13, 100%, $E$13)</f>
        <v>13.1191</v>
      </c>
      <c r="E781" s="64">
        <f>14.8655 * CHOOSE(CONTROL!$C$22, $C$13, 100%, $E$13)</f>
        <v>14.865500000000001</v>
      </c>
      <c r="F781" s="64">
        <f>14.8655 * CHOOSE(CONTROL!$C$22, $C$13, 100%, $E$13)</f>
        <v>14.865500000000001</v>
      </c>
      <c r="G781" s="64">
        <f>14.8812 * CHOOSE(CONTROL!$C$22, $C$13, 100%, $E$13)</f>
        <v>14.8812</v>
      </c>
      <c r="H781" s="64">
        <f>25.6356* CHOOSE(CONTROL!$C$22, $C$13, 100%, $E$13)</f>
        <v>25.6356</v>
      </c>
      <c r="I781" s="64">
        <f>25.6513 * CHOOSE(CONTROL!$C$22, $C$13, 100%, $E$13)</f>
        <v>25.651299999999999</v>
      </c>
      <c r="J781" s="64">
        <f>14.8655 * CHOOSE(CONTROL!$C$22, $C$13, 100%, $E$13)</f>
        <v>14.865500000000001</v>
      </c>
      <c r="K781" s="64">
        <f>14.8812 * CHOOSE(CONTROL!$C$22, $C$13, 100%, $E$13)</f>
        <v>14.8812</v>
      </c>
    </row>
    <row r="782" spans="1:11" ht="15">
      <c r="A782" s="13">
        <v>65289</v>
      </c>
      <c r="B782" s="63">
        <f>13.1306 * CHOOSE(CONTROL!$C$22, $C$13, 100%, $E$13)</f>
        <v>13.130599999999999</v>
      </c>
      <c r="C782" s="63">
        <f>13.1306 * CHOOSE(CONTROL!$C$22, $C$13, 100%, $E$13)</f>
        <v>13.130599999999999</v>
      </c>
      <c r="D782" s="63">
        <f>13.1306 * CHOOSE(CONTROL!$C$22, $C$13, 100%, $E$13)</f>
        <v>13.130599999999999</v>
      </c>
      <c r="E782" s="64">
        <f>14.9621 * CHOOSE(CONTROL!$C$22, $C$13, 100%, $E$13)</f>
        <v>14.9621</v>
      </c>
      <c r="F782" s="64">
        <f>14.9621 * CHOOSE(CONTROL!$C$22, $C$13, 100%, $E$13)</f>
        <v>14.9621</v>
      </c>
      <c r="G782" s="64">
        <f>14.9622 * CHOOSE(CONTROL!$C$22, $C$13, 100%, $E$13)</f>
        <v>14.962199999999999</v>
      </c>
      <c r="H782" s="64">
        <f>25.689* CHOOSE(CONTROL!$C$22, $C$13, 100%, $E$13)</f>
        <v>25.689</v>
      </c>
      <c r="I782" s="64">
        <f>25.6891 * CHOOSE(CONTROL!$C$22, $C$13, 100%, $E$13)</f>
        <v>25.6891</v>
      </c>
      <c r="J782" s="64">
        <f>14.9621 * CHOOSE(CONTROL!$C$22, $C$13, 100%, $E$13)</f>
        <v>14.9621</v>
      </c>
      <c r="K782" s="64">
        <f>14.9622 * CHOOSE(CONTROL!$C$22, $C$13, 100%, $E$13)</f>
        <v>14.962199999999999</v>
      </c>
    </row>
    <row r="783" spans="1:11" ht="15">
      <c r="A783" s="13">
        <v>65320</v>
      </c>
      <c r="B783" s="63">
        <f>13.1336 * CHOOSE(CONTROL!$C$22, $C$13, 100%, $E$13)</f>
        <v>13.133599999999999</v>
      </c>
      <c r="C783" s="63">
        <f>13.1336 * CHOOSE(CONTROL!$C$22, $C$13, 100%, $E$13)</f>
        <v>13.133599999999999</v>
      </c>
      <c r="D783" s="63">
        <f>13.1336 * CHOOSE(CONTROL!$C$22, $C$13, 100%, $E$13)</f>
        <v>13.133599999999999</v>
      </c>
      <c r="E783" s="64">
        <f>15.0192 * CHOOSE(CONTROL!$C$22, $C$13, 100%, $E$13)</f>
        <v>15.0192</v>
      </c>
      <c r="F783" s="64">
        <f>15.0192 * CHOOSE(CONTROL!$C$22, $C$13, 100%, $E$13)</f>
        <v>15.0192</v>
      </c>
      <c r="G783" s="64">
        <f>15.0193 * CHOOSE(CONTROL!$C$22, $C$13, 100%, $E$13)</f>
        <v>15.019299999999999</v>
      </c>
      <c r="H783" s="64">
        <f>25.7426* CHOOSE(CONTROL!$C$22, $C$13, 100%, $E$13)</f>
        <v>25.742599999999999</v>
      </c>
      <c r="I783" s="64">
        <f>25.7426 * CHOOSE(CONTROL!$C$22, $C$13, 100%, $E$13)</f>
        <v>25.742599999999999</v>
      </c>
      <c r="J783" s="64">
        <f>15.0192 * CHOOSE(CONTROL!$C$22, $C$13, 100%, $E$13)</f>
        <v>15.0192</v>
      </c>
      <c r="K783" s="64">
        <f>15.0193 * CHOOSE(CONTROL!$C$22, $C$13, 100%, $E$13)</f>
        <v>15.019299999999999</v>
      </c>
    </row>
    <row r="784" spans="1:11" ht="15">
      <c r="A784" s="13">
        <v>65350</v>
      </c>
      <c r="B784" s="63">
        <f>13.1336 * CHOOSE(CONTROL!$C$22, $C$13, 100%, $E$13)</f>
        <v>13.133599999999999</v>
      </c>
      <c r="C784" s="63">
        <f>13.1336 * CHOOSE(CONTROL!$C$22, $C$13, 100%, $E$13)</f>
        <v>13.133599999999999</v>
      </c>
      <c r="D784" s="63">
        <f>13.1336 * CHOOSE(CONTROL!$C$22, $C$13, 100%, $E$13)</f>
        <v>13.133599999999999</v>
      </c>
      <c r="E784" s="64">
        <f>14.8817 * CHOOSE(CONTROL!$C$22, $C$13, 100%, $E$13)</f>
        <v>14.8817</v>
      </c>
      <c r="F784" s="64">
        <f>14.8817 * CHOOSE(CONTROL!$C$22, $C$13, 100%, $E$13)</f>
        <v>14.8817</v>
      </c>
      <c r="G784" s="64">
        <f>14.8818 * CHOOSE(CONTROL!$C$22, $C$13, 100%, $E$13)</f>
        <v>14.8818</v>
      </c>
      <c r="H784" s="64">
        <f>25.7962* CHOOSE(CONTROL!$C$22, $C$13, 100%, $E$13)</f>
        <v>25.796199999999999</v>
      </c>
      <c r="I784" s="64">
        <f>25.7963 * CHOOSE(CONTROL!$C$22, $C$13, 100%, $E$13)</f>
        <v>25.796299999999999</v>
      </c>
      <c r="J784" s="64">
        <f>14.8817 * CHOOSE(CONTROL!$C$22, $C$13, 100%, $E$13)</f>
        <v>14.8817</v>
      </c>
      <c r="K784" s="64">
        <f>14.8818 * CHOOSE(CONTROL!$C$22, $C$13, 100%, $E$13)</f>
        <v>14.8818</v>
      </c>
    </row>
    <row r="785" spans="1:11" ht="15">
      <c r="A785" s="13">
        <v>65381</v>
      </c>
      <c r="B785" s="63">
        <f>13.1365 * CHOOSE(CONTROL!$C$22, $C$13, 100%, $E$13)</f>
        <v>13.1365</v>
      </c>
      <c r="C785" s="63">
        <f>13.1365 * CHOOSE(CONTROL!$C$22, $C$13, 100%, $E$13)</f>
        <v>13.1365</v>
      </c>
      <c r="D785" s="63">
        <f>13.1365 * CHOOSE(CONTROL!$C$22, $C$13, 100%, $E$13)</f>
        <v>13.1365</v>
      </c>
      <c r="E785" s="64">
        <f>14.9941 * CHOOSE(CONTROL!$C$22, $C$13, 100%, $E$13)</f>
        <v>14.9941</v>
      </c>
      <c r="F785" s="64">
        <f>14.9941 * CHOOSE(CONTROL!$C$22, $C$13, 100%, $E$13)</f>
        <v>14.9941</v>
      </c>
      <c r="G785" s="64">
        <f>14.9941 * CHOOSE(CONTROL!$C$22, $C$13, 100%, $E$13)</f>
        <v>14.9941</v>
      </c>
      <c r="H785" s="64">
        <f>25.6582* CHOOSE(CONTROL!$C$22, $C$13, 100%, $E$13)</f>
        <v>25.658200000000001</v>
      </c>
      <c r="I785" s="64">
        <f>25.6583 * CHOOSE(CONTROL!$C$22, $C$13, 100%, $E$13)</f>
        <v>25.658300000000001</v>
      </c>
      <c r="J785" s="64">
        <f>14.9941 * CHOOSE(CONTROL!$C$22, $C$13, 100%, $E$13)</f>
        <v>14.9941</v>
      </c>
      <c r="K785" s="64">
        <f>14.9941 * CHOOSE(CONTROL!$C$22, $C$13, 100%, $E$13)</f>
        <v>14.9941</v>
      </c>
    </row>
    <row r="786" spans="1:11" ht="15">
      <c r="A786" s="13">
        <v>65412</v>
      </c>
      <c r="B786" s="63">
        <f>13.1334 * CHOOSE(CONTROL!$C$22, $C$13, 100%, $E$13)</f>
        <v>13.1334</v>
      </c>
      <c r="C786" s="63">
        <f>13.1334 * CHOOSE(CONTROL!$C$22, $C$13, 100%, $E$13)</f>
        <v>13.1334</v>
      </c>
      <c r="D786" s="63">
        <f>13.1334 * CHOOSE(CONTROL!$C$22, $C$13, 100%, $E$13)</f>
        <v>13.1334</v>
      </c>
      <c r="E786" s="64">
        <f>14.7271 * CHOOSE(CONTROL!$C$22, $C$13, 100%, $E$13)</f>
        <v>14.7271</v>
      </c>
      <c r="F786" s="64">
        <f>14.7271 * CHOOSE(CONTROL!$C$22, $C$13, 100%, $E$13)</f>
        <v>14.7271</v>
      </c>
      <c r="G786" s="64">
        <f>14.7272 * CHOOSE(CONTROL!$C$22, $C$13, 100%, $E$13)</f>
        <v>14.7272</v>
      </c>
      <c r="H786" s="64">
        <f>25.7117* CHOOSE(CONTROL!$C$22, $C$13, 100%, $E$13)</f>
        <v>25.7117</v>
      </c>
      <c r="I786" s="64">
        <f>25.7118 * CHOOSE(CONTROL!$C$22, $C$13, 100%, $E$13)</f>
        <v>25.7118</v>
      </c>
      <c r="J786" s="64">
        <f>14.7271 * CHOOSE(CONTROL!$C$22, $C$13, 100%, $E$13)</f>
        <v>14.7271</v>
      </c>
      <c r="K786" s="64">
        <f>14.7272 * CHOOSE(CONTROL!$C$22, $C$13, 100%, $E$13)</f>
        <v>14.7272</v>
      </c>
    </row>
    <row r="787" spans="1:11" ht="15">
      <c r="A787" s="13">
        <v>65440</v>
      </c>
      <c r="B787" s="63">
        <f>13.1304 * CHOOSE(CONTROL!$C$22, $C$13, 100%, $E$13)</f>
        <v>13.1304</v>
      </c>
      <c r="C787" s="63">
        <f>13.1304 * CHOOSE(CONTROL!$C$22, $C$13, 100%, $E$13)</f>
        <v>13.1304</v>
      </c>
      <c r="D787" s="63">
        <f>13.1304 * CHOOSE(CONTROL!$C$22, $C$13, 100%, $E$13)</f>
        <v>13.1304</v>
      </c>
      <c r="E787" s="64">
        <f>14.9338 * CHOOSE(CONTROL!$C$22, $C$13, 100%, $E$13)</f>
        <v>14.9338</v>
      </c>
      <c r="F787" s="64">
        <f>14.9338 * CHOOSE(CONTROL!$C$22, $C$13, 100%, $E$13)</f>
        <v>14.9338</v>
      </c>
      <c r="G787" s="64">
        <f>14.9338 * CHOOSE(CONTROL!$C$22, $C$13, 100%, $E$13)</f>
        <v>14.9338</v>
      </c>
      <c r="H787" s="64">
        <f>25.7653* CHOOSE(CONTROL!$C$22, $C$13, 100%, $E$13)</f>
        <v>25.7653</v>
      </c>
      <c r="I787" s="64">
        <f>25.7653 * CHOOSE(CONTROL!$C$22, $C$13, 100%, $E$13)</f>
        <v>25.7653</v>
      </c>
      <c r="J787" s="64">
        <f>14.9338 * CHOOSE(CONTROL!$C$22, $C$13, 100%, $E$13)</f>
        <v>14.9338</v>
      </c>
      <c r="K787" s="64">
        <f>14.9338 * CHOOSE(CONTROL!$C$22, $C$13, 100%, $E$13)</f>
        <v>14.9338</v>
      </c>
    </row>
    <row r="788" spans="1:11" ht="15">
      <c r="A788" s="13">
        <v>65471</v>
      </c>
      <c r="B788" s="63">
        <f>13.1357 * CHOOSE(CONTROL!$C$22, $C$13, 100%, $E$13)</f>
        <v>13.1357</v>
      </c>
      <c r="C788" s="63">
        <f>13.1357 * CHOOSE(CONTROL!$C$22, $C$13, 100%, $E$13)</f>
        <v>13.1357</v>
      </c>
      <c r="D788" s="63">
        <f>13.1357 * CHOOSE(CONTROL!$C$22, $C$13, 100%, $E$13)</f>
        <v>13.1357</v>
      </c>
      <c r="E788" s="64">
        <f>15.1538 * CHOOSE(CONTROL!$C$22, $C$13, 100%, $E$13)</f>
        <v>15.1538</v>
      </c>
      <c r="F788" s="64">
        <f>15.1538 * CHOOSE(CONTROL!$C$22, $C$13, 100%, $E$13)</f>
        <v>15.1538</v>
      </c>
      <c r="G788" s="64">
        <f>15.1538 * CHOOSE(CONTROL!$C$22, $C$13, 100%, $E$13)</f>
        <v>15.1538</v>
      </c>
      <c r="H788" s="64">
        <f>25.8189* CHOOSE(CONTROL!$C$22, $C$13, 100%, $E$13)</f>
        <v>25.818899999999999</v>
      </c>
      <c r="I788" s="64">
        <f>25.819 * CHOOSE(CONTROL!$C$22, $C$13, 100%, $E$13)</f>
        <v>25.818999999999999</v>
      </c>
      <c r="J788" s="64">
        <f>15.1538 * CHOOSE(CONTROL!$C$22, $C$13, 100%, $E$13)</f>
        <v>15.1538</v>
      </c>
      <c r="K788" s="64">
        <f>15.1538 * CHOOSE(CONTROL!$C$22, $C$13, 100%, $E$13)</f>
        <v>15.1538</v>
      </c>
    </row>
    <row r="789" spans="1:11" ht="15">
      <c r="A789" s="13">
        <v>65501</v>
      </c>
      <c r="B789" s="63">
        <f>13.1357 * CHOOSE(CONTROL!$C$22, $C$13, 100%, $E$13)</f>
        <v>13.1357</v>
      </c>
      <c r="C789" s="63">
        <f>13.1357 * CHOOSE(CONTROL!$C$22, $C$13, 100%, $E$13)</f>
        <v>13.1357</v>
      </c>
      <c r="D789" s="63">
        <f>13.1487 * CHOOSE(CONTROL!$C$22, $C$13, 100%, $E$13)</f>
        <v>13.1487</v>
      </c>
      <c r="E789" s="64">
        <f>15.2378 * CHOOSE(CONTROL!$C$22, $C$13, 100%, $E$13)</f>
        <v>15.2378</v>
      </c>
      <c r="F789" s="64">
        <f>15.2378 * CHOOSE(CONTROL!$C$22, $C$13, 100%, $E$13)</f>
        <v>15.2378</v>
      </c>
      <c r="G789" s="64">
        <f>15.2535 * CHOOSE(CONTROL!$C$22, $C$13, 100%, $E$13)</f>
        <v>15.253500000000001</v>
      </c>
      <c r="H789" s="64">
        <f>25.8727* CHOOSE(CONTROL!$C$22, $C$13, 100%, $E$13)</f>
        <v>25.872699999999998</v>
      </c>
      <c r="I789" s="64">
        <f>25.8884 * CHOOSE(CONTROL!$C$22, $C$13, 100%, $E$13)</f>
        <v>25.888400000000001</v>
      </c>
      <c r="J789" s="64">
        <f>15.2378 * CHOOSE(CONTROL!$C$22, $C$13, 100%, $E$13)</f>
        <v>15.2378</v>
      </c>
      <c r="K789" s="64">
        <f>15.2535 * CHOOSE(CONTROL!$C$22, $C$13, 100%, $E$13)</f>
        <v>15.253500000000001</v>
      </c>
    </row>
    <row r="790" spans="1:11" ht="15">
      <c r="A790" s="13">
        <v>65532</v>
      </c>
      <c r="B790" s="63">
        <f>13.1418 * CHOOSE(CONTROL!$C$22, $C$13, 100%, $E$13)</f>
        <v>13.1418</v>
      </c>
      <c r="C790" s="63">
        <f>13.1418 * CHOOSE(CONTROL!$C$22, $C$13, 100%, $E$13)</f>
        <v>13.1418</v>
      </c>
      <c r="D790" s="63">
        <f>13.1547 * CHOOSE(CONTROL!$C$22, $C$13, 100%, $E$13)</f>
        <v>13.1547</v>
      </c>
      <c r="E790" s="64">
        <f>15.158 * CHOOSE(CONTROL!$C$22, $C$13, 100%, $E$13)</f>
        <v>15.157999999999999</v>
      </c>
      <c r="F790" s="64">
        <f>15.158 * CHOOSE(CONTROL!$C$22, $C$13, 100%, $E$13)</f>
        <v>15.157999999999999</v>
      </c>
      <c r="G790" s="64">
        <f>15.1737 * CHOOSE(CONTROL!$C$22, $C$13, 100%, $E$13)</f>
        <v>15.1737</v>
      </c>
      <c r="H790" s="64">
        <f>25.9266* CHOOSE(CONTROL!$C$22, $C$13, 100%, $E$13)</f>
        <v>25.926600000000001</v>
      </c>
      <c r="I790" s="64">
        <f>25.9423 * CHOOSE(CONTROL!$C$22, $C$13, 100%, $E$13)</f>
        <v>25.942299999999999</v>
      </c>
      <c r="J790" s="64">
        <f>15.158 * CHOOSE(CONTROL!$C$22, $C$13, 100%, $E$13)</f>
        <v>15.157999999999999</v>
      </c>
      <c r="K790" s="64">
        <f>15.1737 * CHOOSE(CONTROL!$C$22, $C$13, 100%, $E$13)</f>
        <v>15.1737</v>
      </c>
    </row>
    <row r="791" spans="1:11" ht="15">
      <c r="A791" s="13">
        <v>65562</v>
      </c>
      <c r="B791" s="63">
        <f>13.3417 * CHOOSE(CONTROL!$C$22, $C$13, 100%, $E$13)</f>
        <v>13.341699999999999</v>
      </c>
      <c r="C791" s="63">
        <f>13.3417 * CHOOSE(CONTROL!$C$22, $C$13, 100%, $E$13)</f>
        <v>13.341699999999999</v>
      </c>
      <c r="D791" s="63">
        <f>13.3547 * CHOOSE(CONTROL!$C$22, $C$13, 100%, $E$13)</f>
        <v>13.354699999999999</v>
      </c>
      <c r="E791" s="64">
        <f>15.3998 * CHOOSE(CONTROL!$C$22, $C$13, 100%, $E$13)</f>
        <v>15.399800000000001</v>
      </c>
      <c r="F791" s="64">
        <f>15.3998 * CHOOSE(CONTROL!$C$22, $C$13, 100%, $E$13)</f>
        <v>15.399800000000001</v>
      </c>
      <c r="G791" s="64">
        <f>15.4155 * CHOOSE(CONTROL!$C$22, $C$13, 100%, $E$13)</f>
        <v>15.4155</v>
      </c>
      <c r="H791" s="64">
        <f>25.9806* CHOOSE(CONTROL!$C$22, $C$13, 100%, $E$13)</f>
        <v>25.980599999999999</v>
      </c>
      <c r="I791" s="64">
        <f>25.9963 * CHOOSE(CONTROL!$C$22, $C$13, 100%, $E$13)</f>
        <v>25.996300000000002</v>
      </c>
      <c r="J791" s="64">
        <f>15.3998 * CHOOSE(CONTROL!$C$22, $C$13, 100%, $E$13)</f>
        <v>15.399800000000001</v>
      </c>
      <c r="K791" s="64">
        <f>15.4155 * CHOOSE(CONTROL!$C$22, $C$13, 100%, $E$13)</f>
        <v>15.4155</v>
      </c>
    </row>
    <row r="792" spans="1:11" ht="15">
      <c r="A792" s="13">
        <v>65593</v>
      </c>
      <c r="B792" s="63">
        <f>13.3484 * CHOOSE(CONTROL!$C$22, $C$13, 100%, $E$13)</f>
        <v>13.3484</v>
      </c>
      <c r="C792" s="63">
        <f>13.3484 * CHOOSE(CONTROL!$C$22, $C$13, 100%, $E$13)</f>
        <v>13.3484</v>
      </c>
      <c r="D792" s="63">
        <f>13.3614 * CHOOSE(CONTROL!$C$22, $C$13, 100%, $E$13)</f>
        <v>13.3614</v>
      </c>
      <c r="E792" s="64">
        <f>15.1522 * CHOOSE(CONTROL!$C$22, $C$13, 100%, $E$13)</f>
        <v>15.152200000000001</v>
      </c>
      <c r="F792" s="64">
        <f>15.1522 * CHOOSE(CONTROL!$C$22, $C$13, 100%, $E$13)</f>
        <v>15.152200000000001</v>
      </c>
      <c r="G792" s="64">
        <f>15.1679 * CHOOSE(CONTROL!$C$22, $C$13, 100%, $E$13)</f>
        <v>15.167899999999999</v>
      </c>
      <c r="H792" s="64">
        <f>26.0348* CHOOSE(CONTROL!$C$22, $C$13, 100%, $E$13)</f>
        <v>26.034800000000001</v>
      </c>
      <c r="I792" s="64">
        <f>26.0504 * CHOOSE(CONTROL!$C$22, $C$13, 100%, $E$13)</f>
        <v>26.0504</v>
      </c>
      <c r="J792" s="64">
        <f>15.1522 * CHOOSE(CONTROL!$C$22, $C$13, 100%, $E$13)</f>
        <v>15.152200000000001</v>
      </c>
      <c r="K792" s="64">
        <f>15.1679 * CHOOSE(CONTROL!$C$22, $C$13, 100%, $E$13)</f>
        <v>15.167899999999999</v>
      </c>
    </row>
    <row r="793" spans="1:11" ht="15">
      <c r="A793" s="13">
        <v>65624</v>
      </c>
      <c r="B793" s="63">
        <f>13.3454 * CHOOSE(CONTROL!$C$22, $C$13, 100%, $E$13)</f>
        <v>13.3454</v>
      </c>
      <c r="C793" s="63">
        <f>13.3454 * CHOOSE(CONTROL!$C$22, $C$13, 100%, $E$13)</f>
        <v>13.3454</v>
      </c>
      <c r="D793" s="63">
        <f>13.3583 * CHOOSE(CONTROL!$C$22, $C$13, 100%, $E$13)</f>
        <v>13.3583</v>
      </c>
      <c r="E793" s="64">
        <f>15.1221 * CHOOSE(CONTROL!$C$22, $C$13, 100%, $E$13)</f>
        <v>15.1221</v>
      </c>
      <c r="F793" s="64">
        <f>15.1221 * CHOOSE(CONTROL!$C$22, $C$13, 100%, $E$13)</f>
        <v>15.1221</v>
      </c>
      <c r="G793" s="64">
        <f>15.1377 * CHOOSE(CONTROL!$C$22, $C$13, 100%, $E$13)</f>
        <v>15.137700000000001</v>
      </c>
      <c r="H793" s="64">
        <f>26.089* CHOOSE(CONTROL!$C$22, $C$13, 100%, $E$13)</f>
        <v>26.088999999999999</v>
      </c>
      <c r="I793" s="64">
        <f>26.1047 * CHOOSE(CONTROL!$C$22, $C$13, 100%, $E$13)</f>
        <v>26.104700000000001</v>
      </c>
      <c r="J793" s="64">
        <f>15.1221 * CHOOSE(CONTROL!$C$22, $C$13, 100%, $E$13)</f>
        <v>15.1221</v>
      </c>
      <c r="K793" s="64">
        <f>15.1377 * CHOOSE(CONTROL!$C$22, $C$13, 100%, $E$13)</f>
        <v>15.137700000000001</v>
      </c>
    </row>
    <row r="794" spans="1:11" ht="15">
      <c r="A794" s="13">
        <v>65654</v>
      </c>
      <c r="B794" s="63">
        <f>13.3705 * CHOOSE(CONTROL!$C$22, $C$13, 100%, $E$13)</f>
        <v>13.3705</v>
      </c>
      <c r="C794" s="63">
        <f>13.3705 * CHOOSE(CONTROL!$C$22, $C$13, 100%, $E$13)</f>
        <v>13.3705</v>
      </c>
      <c r="D794" s="63">
        <f>13.3705 * CHOOSE(CONTROL!$C$22, $C$13, 100%, $E$13)</f>
        <v>13.3705</v>
      </c>
      <c r="E794" s="64">
        <f>15.2207 * CHOOSE(CONTROL!$C$22, $C$13, 100%, $E$13)</f>
        <v>15.220700000000001</v>
      </c>
      <c r="F794" s="64">
        <f>15.2207 * CHOOSE(CONTROL!$C$22, $C$13, 100%, $E$13)</f>
        <v>15.220700000000001</v>
      </c>
      <c r="G794" s="64">
        <f>15.2208 * CHOOSE(CONTROL!$C$22, $C$13, 100%, $E$13)</f>
        <v>15.220800000000001</v>
      </c>
      <c r="H794" s="64">
        <f>26.1434* CHOOSE(CONTROL!$C$22, $C$13, 100%, $E$13)</f>
        <v>26.1434</v>
      </c>
      <c r="I794" s="64">
        <f>26.1434 * CHOOSE(CONTROL!$C$22, $C$13, 100%, $E$13)</f>
        <v>26.1434</v>
      </c>
      <c r="J794" s="64">
        <f>15.2207 * CHOOSE(CONTROL!$C$22, $C$13, 100%, $E$13)</f>
        <v>15.220700000000001</v>
      </c>
      <c r="K794" s="64">
        <f>15.2208 * CHOOSE(CONTROL!$C$22, $C$13, 100%, $E$13)</f>
        <v>15.220800000000001</v>
      </c>
    </row>
    <row r="795" spans="1:11" ht="15">
      <c r="A795" s="13">
        <v>65685</v>
      </c>
      <c r="B795" s="63">
        <f>13.3736 * CHOOSE(CONTROL!$C$22, $C$13, 100%, $E$13)</f>
        <v>13.3736</v>
      </c>
      <c r="C795" s="63">
        <f>13.3736 * CHOOSE(CONTROL!$C$22, $C$13, 100%, $E$13)</f>
        <v>13.3736</v>
      </c>
      <c r="D795" s="63">
        <f>13.3736 * CHOOSE(CONTROL!$C$22, $C$13, 100%, $E$13)</f>
        <v>13.3736</v>
      </c>
      <c r="E795" s="64">
        <f>15.2789 * CHOOSE(CONTROL!$C$22, $C$13, 100%, $E$13)</f>
        <v>15.2789</v>
      </c>
      <c r="F795" s="64">
        <f>15.2789 * CHOOSE(CONTROL!$C$22, $C$13, 100%, $E$13)</f>
        <v>15.2789</v>
      </c>
      <c r="G795" s="64">
        <f>15.279 * CHOOSE(CONTROL!$C$22, $C$13, 100%, $E$13)</f>
        <v>15.279</v>
      </c>
      <c r="H795" s="64">
        <f>26.1978* CHOOSE(CONTROL!$C$22, $C$13, 100%, $E$13)</f>
        <v>26.197800000000001</v>
      </c>
      <c r="I795" s="64">
        <f>26.1979 * CHOOSE(CONTROL!$C$22, $C$13, 100%, $E$13)</f>
        <v>26.197900000000001</v>
      </c>
      <c r="J795" s="64">
        <f>15.2789 * CHOOSE(CONTROL!$C$22, $C$13, 100%, $E$13)</f>
        <v>15.2789</v>
      </c>
      <c r="K795" s="64">
        <f>15.279 * CHOOSE(CONTROL!$C$22, $C$13, 100%, $E$13)</f>
        <v>15.279</v>
      </c>
    </row>
    <row r="796" spans="1:11" ht="15">
      <c r="A796" s="13">
        <v>65715</v>
      </c>
      <c r="B796" s="63">
        <f>13.3736 * CHOOSE(CONTROL!$C$22, $C$13, 100%, $E$13)</f>
        <v>13.3736</v>
      </c>
      <c r="C796" s="63">
        <f>13.3736 * CHOOSE(CONTROL!$C$22, $C$13, 100%, $E$13)</f>
        <v>13.3736</v>
      </c>
      <c r="D796" s="63">
        <f>13.3736 * CHOOSE(CONTROL!$C$22, $C$13, 100%, $E$13)</f>
        <v>13.3736</v>
      </c>
      <c r="E796" s="64">
        <f>15.1388 * CHOOSE(CONTROL!$C$22, $C$13, 100%, $E$13)</f>
        <v>15.1388</v>
      </c>
      <c r="F796" s="64">
        <f>15.1388 * CHOOSE(CONTROL!$C$22, $C$13, 100%, $E$13)</f>
        <v>15.1388</v>
      </c>
      <c r="G796" s="64">
        <f>15.1389 * CHOOSE(CONTROL!$C$22, $C$13, 100%, $E$13)</f>
        <v>15.1389</v>
      </c>
      <c r="H796" s="64">
        <f>26.2524* CHOOSE(CONTROL!$C$22, $C$13, 100%, $E$13)</f>
        <v>26.252400000000002</v>
      </c>
      <c r="I796" s="64">
        <f>26.2525 * CHOOSE(CONTROL!$C$22, $C$13, 100%, $E$13)</f>
        <v>26.252500000000001</v>
      </c>
      <c r="J796" s="64">
        <f>15.1388 * CHOOSE(CONTROL!$C$22, $C$13, 100%, $E$13)</f>
        <v>15.1388</v>
      </c>
      <c r="K796" s="64">
        <f>15.1389 * CHOOSE(CONTROL!$C$22, $C$13, 100%, $E$13)</f>
        <v>15.1389</v>
      </c>
    </row>
    <row r="797" spans="1:11" ht="15">
      <c r="A797" s="13">
        <v>65746</v>
      </c>
      <c r="B797" s="63">
        <f>13.372 * CHOOSE(CONTROL!$C$22, $C$13, 100%, $E$13)</f>
        <v>13.372</v>
      </c>
      <c r="C797" s="63">
        <f>13.372 * CHOOSE(CONTROL!$C$22, $C$13, 100%, $E$13)</f>
        <v>13.372</v>
      </c>
      <c r="D797" s="63">
        <f>13.372 * CHOOSE(CONTROL!$C$22, $C$13, 100%, $E$13)</f>
        <v>13.372</v>
      </c>
      <c r="E797" s="64">
        <f>15.2488 * CHOOSE(CONTROL!$C$22, $C$13, 100%, $E$13)</f>
        <v>15.248799999999999</v>
      </c>
      <c r="F797" s="64">
        <f>15.2488 * CHOOSE(CONTROL!$C$22, $C$13, 100%, $E$13)</f>
        <v>15.248799999999999</v>
      </c>
      <c r="G797" s="64">
        <f>15.2489 * CHOOSE(CONTROL!$C$22, $C$13, 100%, $E$13)</f>
        <v>15.248900000000001</v>
      </c>
      <c r="H797" s="64">
        <f>26.1041* CHOOSE(CONTROL!$C$22, $C$13, 100%, $E$13)</f>
        <v>26.104099999999999</v>
      </c>
      <c r="I797" s="64">
        <f>26.1042 * CHOOSE(CONTROL!$C$22, $C$13, 100%, $E$13)</f>
        <v>26.104199999999999</v>
      </c>
      <c r="J797" s="64">
        <f>15.2488 * CHOOSE(CONTROL!$C$22, $C$13, 100%, $E$13)</f>
        <v>15.248799999999999</v>
      </c>
      <c r="K797" s="64">
        <f>15.2489 * CHOOSE(CONTROL!$C$22, $C$13, 100%, $E$13)</f>
        <v>15.248900000000001</v>
      </c>
    </row>
    <row r="798" spans="1:11" ht="15">
      <c r="A798" s="13">
        <v>65777</v>
      </c>
      <c r="B798" s="63">
        <f>13.369 * CHOOSE(CONTROL!$C$22, $C$13, 100%, $E$13)</f>
        <v>13.369</v>
      </c>
      <c r="C798" s="63">
        <f>13.369 * CHOOSE(CONTROL!$C$22, $C$13, 100%, $E$13)</f>
        <v>13.369</v>
      </c>
      <c r="D798" s="63">
        <f>13.369 * CHOOSE(CONTROL!$C$22, $C$13, 100%, $E$13)</f>
        <v>13.369</v>
      </c>
      <c r="E798" s="64">
        <f>14.9769 * CHOOSE(CONTROL!$C$22, $C$13, 100%, $E$13)</f>
        <v>14.976900000000001</v>
      </c>
      <c r="F798" s="64">
        <f>14.9769 * CHOOSE(CONTROL!$C$22, $C$13, 100%, $E$13)</f>
        <v>14.976900000000001</v>
      </c>
      <c r="G798" s="64">
        <f>14.977 * CHOOSE(CONTROL!$C$22, $C$13, 100%, $E$13)</f>
        <v>14.977</v>
      </c>
      <c r="H798" s="64">
        <f>26.1585* CHOOSE(CONTROL!$C$22, $C$13, 100%, $E$13)</f>
        <v>26.1585</v>
      </c>
      <c r="I798" s="64">
        <f>26.1586 * CHOOSE(CONTROL!$C$22, $C$13, 100%, $E$13)</f>
        <v>26.1586</v>
      </c>
      <c r="J798" s="64">
        <f>14.9769 * CHOOSE(CONTROL!$C$22, $C$13, 100%, $E$13)</f>
        <v>14.976900000000001</v>
      </c>
      <c r="K798" s="64">
        <f>14.977 * CHOOSE(CONTROL!$C$22, $C$13, 100%, $E$13)</f>
        <v>14.977</v>
      </c>
    </row>
    <row r="799" spans="1:11" ht="15">
      <c r="A799" s="13">
        <v>65806</v>
      </c>
      <c r="B799" s="63">
        <f>13.3659 * CHOOSE(CONTROL!$C$22, $C$13, 100%, $E$13)</f>
        <v>13.3659</v>
      </c>
      <c r="C799" s="63">
        <f>13.3659 * CHOOSE(CONTROL!$C$22, $C$13, 100%, $E$13)</f>
        <v>13.3659</v>
      </c>
      <c r="D799" s="63">
        <f>13.366 * CHOOSE(CONTROL!$C$22, $C$13, 100%, $E$13)</f>
        <v>13.366</v>
      </c>
      <c r="E799" s="64">
        <f>15.1874 * CHOOSE(CONTROL!$C$22, $C$13, 100%, $E$13)</f>
        <v>15.1874</v>
      </c>
      <c r="F799" s="64">
        <f>15.1874 * CHOOSE(CONTROL!$C$22, $C$13, 100%, $E$13)</f>
        <v>15.1874</v>
      </c>
      <c r="G799" s="64">
        <f>15.1875 * CHOOSE(CONTROL!$C$22, $C$13, 100%, $E$13)</f>
        <v>15.1875</v>
      </c>
      <c r="H799" s="64">
        <f>26.213* CHOOSE(CONTROL!$C$22, $C$13, 100%, $E$13)</f>
        <v>26.213000000000001</v>
      </c>
      <c r="I799" s="64">
        <f>26.2131 * CHOOSE(CONTROL!$C$22, $C$13, 100%, $E$13)</f>
        <v>26.213100000000001</v>
      </c>
      <c r="J799" s="64">
        <f>15.1874 * CHOOSE(CONTROL!$C$22, $C$13, 100%, $E$13)</f>
        <v>15.1874</v>
      </c>
      <c r="K799" s="64">
        <f>15.1875 * CHOOSE(CONTROL!$C$22, $C$13, 100%, $E$13)</f>
        <v>15.1875</v>
      </c>
    </row>
    <row r="800" spans="1:11" ht="15">
      <c r="A800" s="13">
        <v>65837</v>
      </c>
      <c r="B800" s="63">
        <f>13.3715 * CHOOSE(CONTROL!$C$22, $C$13, 100%, $E$13)</f>
        <v>13.371499999999999</v>
      </c>
      <c r="C800" s="63">
        <f>13.3715 * CHOOSE(CONTROL!$C$22, $C$13, 100%, $E$13)</f>
        <v>13.371499999999999</v>
      </c>
      <c r="D800" s="63">
        <f>13.3715 * CHOOSE(CONTROL!$C$22, $C$13, 100%, $E$13)</f>
        <v>13.371499999999999</v>
      </c>
      <c r="E800" s="64">
        <f>15.4116 * CHOOSE(CONTROL!$C$22, $C$13, 100%, $E$13)</f>
        <v>15.4116</v>
      </c>
      <c r="F800" s="64">
        <f>15.4116 * CHOOSE(CONTROL!$C$22, $C$13, 100%, $E$13)</f>
        <v>15.4116</v>
      </c>
      <c r="G800" s="64">
        <f>15.4117 * CHOOSE(CONTROL!$C$22, $C$13, 100%, $E$13)</f>
        <v>15.4117</v>
      </c>
      <c r="H800" s="64">
        <f>26.2676* CHOOSE(CONTROL!$C$22, $C$13, 100%, $E$13)</f>
        <v>26.267600000000002</v>
      </c>
      <c r="I800" s="64">
        <f>26.2677 * CHOOSE(CONTROL!$C$22, $C$13, 100%, $E$13)</f>
        <v>26.267700000000001</v>
      </c>
      <c r="J800" s="64">
        <f>15.4116 * CHOOSE(CONTROL!$C$22, $C$13, 100%, $E$13)</f>
        <v>15.4116</v>
      </c>
      <c r="K800" s="64">
        <f>15.4117 * CHOOSE(CONTROL!$C$22, $C$13, 100%, $E$13)</f>
        <v>15.4117</v>
      </c>
    </row>
    <row r="801" spans="1:11" ht="15">
      <c r="A801" s="13">
        <v>65867</v>
      </c>
      <c r="B801" s="63">
        <f>13.3715 * CHOOSE(CONTROL!$C$22, $C$13, 100%, $E$13)</f>
        <v>13.371499999999999</v>
      </c>
      <c r="C801" s="63">
        <f>13.3715 * CHOOSE(CONTROL!$C$22, $C$13, 100%, $E$13)</f>
        <v>13.371499999999999</v>
      </c>
      <c r="D801" s="63">
        <f>13.3844 * CHOOSE(CONTROL!$C$22, $C$13, 100%, $E$13)</f>
        <v>13.384399999999999</v>
      </c>
      <c r="E801" s="64">
        <f>15.4973 * CHOOSE(CONTROL!$C$22, $C$13, 100%, $E$13)</f>
        <v>15.497299999999999</v>
      </c>
      <c r="F801" s="64">
        <f>15.4973 * CHOOSE(CONTROL!$C$22, $C$13, 100%, $E$13)</f>
        <v>15.497299999999999</v>
      </c>
      <c r="G801" s="64">
        <f>15.513 * CHOOSE(CONTROL!$C$22, $C$13, 100%, $E$13)</f>
        <v>15.513</v>
      </c>
      <c r="H801" s="64">
        <f>26.3223* CHOOSE(CONTROL!$C$22, $C$13, 100%, $E$13)</f>
        <v>26.322299999999998</v>
      </c>
      <c r="I801" s="64">
        <f>26.338 * CHOOSE(CONTROL!$C$22, $C$13, 100%, $E$13)</f>
        <v>26.338000000000001</v>
      </c>
      <c r="J801" s="64">
        <f>15.4973 * CHOOSE(CONTROL!$C$22, $C$13, 100%, $E$13)</f>
        <v>15.497299999999999</v>
      </c>
      <c r="K801" s="64">
        <f>15.513 * CHOOSE(CONTROL!$C$22, $C$13, 100%, $E$13)</f>
        <v>15.513</v>
      </c>
    </row>
    <row r="802" spans="1:11" ht="15">
      <c r="A802" s="13">
        <v>65898</v>
      </c>
      <c r="B802" s="63">
        <f>13.3775 * CHOOSE(CONTROL!$C$22, $C$13, 100%, $E$13)</f>
        <v>13.3775</v>
      </c>
      <c r="C802" s="63">
        <f>13.3775 * CHOOSE(CONTROL!$C$22, $C$13, 100%, $E$13)</f>
        <v>13.3775</v>
      </c>
      <c r="D802" s="63">
        <f>13.3905 * CHOOSE(CONTROL!$C$22, $C$13, 100%, $E$13)</f>
        <v>13.390499999999999</v>
      </c>
      <c r="E802" s="64">
        <f>15.4159 * CHOOSE(CONTROL!$C$22, $C$13, 100%, $E$13)</f>
        <v>15.415900000000001</v>
      </c>
      <c r="F802" s="64">
        <f>15.4159 * CHOOSE(CONTROL!$C$22, $C$13, 100%, $E$13)</f>
        <v>15.415900000000001</v>
      </c>
      <c r="G802" s="64">
        <f>15.4315 * CHOOSE(CONTROL!$C$22, $C$13, 100%, $E$13)</f>
        <v>15.4315</v>
      </c>
      <c r="H802" s="64">
        <f>26.3772* CHOOSE(CONTROL!$C$22, $C$13, 100%, $E$13)</f>
        <v>26.377199999999998</v>
      </c>
      <c r="I802" s="64">
        <f>26.3929 * CHOOSE(CONTROL!$C$22, $C$13, 100%, $E$13)</f>
        <v>26.392900000000001</v>
      </c>
      <c r="J802" s="64">
        <f>15.4159 * CHOOSE(CONTROL!$C$22, $C$13, 100%, $E$13)</f>
        <v>15.415900000000001</v>
      </c>
      <c r="K802" s="64">
        <f>15.4315 * CHOOSE(CONTROL!$C$22, $C$13, 100%, $E$13)</f>
        <v>15.4315</v>
      </c>
    </row>
    <row r="803" spans="1:11" ht="15">
      <c r="A803" s="13">
        <v>65928</v>
      </c>
      <c r="B803" s="63">
        <f>13.5809 * CHOOSE(CONTROL!$C$22, $C$13, 100%, $E$13)</f>
        <v>13.5809</v>
      </c>
      <c r="C803" s="63">
        <f>13.5809 * CHOOSE(CONTROL!$C$22, $C$13, 100%, $E$13)</f>
        <v>13.5809</v>
      </c>
      <c r="D803" s="63">
        <f>13.5939 * CHOOSE(CONTROL!$C$22, $C$13, 100%, $E$13)</f>
        <v>13.5939</v>
      </c>
      <c r="E803" s="64">
        <f>15.6616 * CHOOSE(CONTROL!$C$22, $C$13, 100%, $E$13)</f>
        <v>15.6616</v>
      </c>
      <c r="F803" s="64">
        <f>15.6616 * CHOOSE(CONTROL!$C$22, $C$13, 100%, $E$13)</f>
        <v>15.6616</v>
      </c>
      <c r="G803" s="64">
        <f>15.6773 * CHOOSE(CONTROL!$C$22, $C$13, 100%, $E$13)</f>
        <v>15.677300000000001</v>
      </c>
      <c r="H803" s="64">
        <f>26.4321* CHOOSE(CONTROL!$C$22, $C$13, 100%, $E$13)</f>
        <v>26.432099999999998</v>
      </c>
      <c r="I803" s="64">
        <f>26.4478 * CHOOSE(CONTROL!$C$22, $C$13, 100%, $E$13)</f>
        <v>26.447800000000001</v>
      </c>
      <c r="J803" s="64">
        <f>15.6616 * CHOOSE(CONTROL!$C$22, $C$13, 100%, $E$13)</f>
        <v>15.6616</v>
      </c>
      <c r="K803" s="64">
        <f>15.6773 * CHOOSE(CONTROL!$C$22, $C$13, 100%, $E$13)</f>
        <v>15.677300000000001</v>
      </c>
    </row>
    <row r="804" spans="1:11" ht="15">
      <c r="A804" s="13">
        <v>65959</v>
      </c>
      <c r="B804" s="63">
        <f>13.5876 * CHOOSE(CONTROL!$C$22, $C$13, 100%, $E$13)</f>
        <v>13.5876</v>
      </c>
      <c r="C804" s="63">
        <f>13.5876 * CHOOSE(CONTROL!$C$22, $C$13, 100%, $E$13)</f>
        <v>13.5876</v>
      </c>
      <c r="D804" s="63">
        <f>13.6005 * CHOOSE(CONTROL!$C$22, $C$13, 100%, $E$13)</f>
        <v>13.6005</v>
      </c>
      <c r="E804" s="64">
        <f>15.4093 * CHOOSE(CONTROL!$C$22, $C$13, 100%, $E$13)</f>
        <v>15.4093</v>
      </c>
      <c r="F804" s="64">
        <f>15.4093 * CHOOSE(CONTROL!$C$22, $C$13, 100%, $E$13)</f>
        <v>15.4093</v>
      </c>
      <c r="G804" s="64">
        <f>15.4249 * CHOOSE(CONTROL!$C$22, $C$13, 100%, $E$13)</f>
        <v>15.424899999999999</v>
      </c>
      <c r="H804" s="64">
        <f>26.4872* CHOOSE(CONTROL!$C$22, $C$13, 100%, $E$13)</f>
        <v>26.487200000000001</v>
      </c>
      <c r="I804" s="64">
        <f>26.5029 * CHOOSE(CONTROL!$C$22, $C$13, 100%, $E$13)</f>
        <v>26.5029</v>
      </c>
      <c r="J804" s="64">
        <f>15.4093 * CHOOSE(CONTROL!$C$22, $C$13, 100%, $E$13)</f>
        <v>15.4093</v>
      </c>
      <c r="K804" s="64">
        <f>15.4249 * CHOOSE(CONTROL!$C$22, $C$13, 100%, $E$13)</f>
        <v>15.424899999999999</v>
      </c>
    </row>
    <row r="805" spans="1:11" ht="15">
      <c r="A805" s="13">
        <v>65990</v>
      </c>
      <c r="B805" s="63">
        <f>13.5845 * CHOOSE(CONTROL!$C$22, $C$13, 100%, $E$13)</f>
        <v>13.5845</v>
      </c>
      <c r="C805" s="63">
        <f>13.5845 * CHOOSE(CONTROL!$C$22, $C$13, 100%, $E$13)</f>
        <v>13.5845</v>
      </c>
      <c r="D805" s="63">
        <f>13.5975 * CHOOSE(CONTROL!$C$22, $C$13, 100%, $E$13)</f>
        <v>13.5975</v>
      </c>
      <c r="E805" s="64">
        <f>15.3786 * CHOOSE(CONTROL!$C$22, $C$13, 100%, $E$13)</f>
        <v>15.3786</v>
      </c>
      <c r="F805" s="64">
        <f>15.3786 * CHOOSE(CONTROL!$C$22, $C$13, 100%, $E$13)</f>
        <v>15.3786</v>
      </c>
      <c r="G805" s="64">
        <f>15.3943 * CHOOSE(CONTROL!$C$22, $C$13, 100%, $E$13)</f>
        <v>15.394299999999999</v>
      </c>
      <c r="H805" s="64">
        <f>26.5424* CHOOSE(CONTROL!$C$22, $C$13, 100%, $E$13)</f>
        <v>26.542400000000001</v>
      </c>
      <c r="I805" s="64">
        <f>26.5581 * CHOOSE(CONTROL!$C$22, $C$13, 100%, $E$13)</f>
        <v>26.5581</v>
      </c>
      <c r="J805" s="64">
        <f>15.3786 * CHOOSE(CONTROL!$C$22, $C$13, 100%, $E$13)</f>
        <v>15.3786</v>
      </c>
      <c r="K805" s="64">
        <f>15.3943 * CHOOSE(CONTROL!$C$22, $C$13, 100%, $E$13)</f>
        <v>15.394299999999999</v>
      </c>
    </row>
    <row r="806" spans="1:11" ht="15">
      <c r="A806" s="13">
        <v>66020</v>
      </c>
      <c r="B806" s="63">
        <f>13.6105 * CHOOSE(CONTROL!$C$22, $C$13, 100%, $E$13)</f>
        <v>13.6105</v>
      </c>
      <c r="C806" s="63">
        <f>13.6105 * CHOOSE(CONTROL!$C$22, $C$13, 100%, $E$13)</f>
        <v>13.6105</v>
      </c>
      <c r="D806" s="63">
        <f>13.6105 * CHOOSE(CONTROL!$C$22, $C$13, 100%, $E$13)</f>
        <v>13.6105</v>
      </c>
      <c r="E806" s="64">
        <f>15.4794 * CHOOSE(CONTROL!$C$22, $C$13, 100%, $E$13)</f>
        <v>15.4794</v>
      </c>
      <c r="F806" s="64">
        <f>15.4794 * CHOOSE(CONTROL!$C$22, $C$13, 100%, $E$13)</f>
        <v>15.4794</v>
      </c>
      <c r="G806" s="64">
        <f>15.4795 * CHOOSE(CONTROL!$C$22, $C$13, 100%, $E$13)</f>
        <v>15.4795</v>
      </c>
      <c r="H806" s="64">
        <f>26.5977* CHOOSE(CONTROL!$C$22, $C$13, 100%, $E$13)</f>
        <v>26.5977</v>
      </c>
      <c r="I806" s="64">
        <f>26.5978 * CHOOSE(CONTROL!$C$22, $C$13, 100%, $E$13)</f>
        <v>26.597799999999999</v>
      </c>
      <c r="J806" s="64">
        <f>15.4794 * CHOOSE(CONTROL!$C$22, $C$13, 100%, $E$13)</f>
        <v>15.4794</v>
      </c>
      <c r="K806" s="64">
        <f>15.4795 * CHOOSE(CONTROL!$C$22, $C$13, 100%, $E$13)</f>
        <v>15.4795</v>
      </c>
    </row>
    <row r="807" spans="1:11" ht="15">
      <c r="A807" s="13">
        <v>66051</v>
      </c>
      <c r="B807" s="63">
        <f>13.6135 * CHOOSE(CONTROL!$C$22, $C$13, 100%, $E$13)</f>
        <v>13.6135</v>
      </c>
      <c r="C807" s="63">
        <f>13.6135 * CHOOSE(CONTROL!$C$22, $C$13, 100%, $E$13)</f>
        <v>13.6135</v>
      </c>
      <c r="D807" s="63">
        <f>13.6135 * CHOOSE(CONTROL!$C$22, $C$13, 100%, $E$13)</f>
        <v>13.6135</v>
      </c>
      <c r="E807" s="64">
        <f>15.5386 * CHOOSE(CONTROL!$C$22, $C$13, 100%, $E$13)</f>
        <v>15.538600000000001</v>
      </c>
      <c r="F807" s="64">
        <f>15.5386 * CHOOSE(CONTROL!$C$22, $C$13, 100%, $E$13)</f>
        <v>15.538600000000001</v>
      </c>
      <c r="G807" s="64">
        <f>15.5387 * CHOOSE(CONTROL!$C$22, $C$13, 100%, $E$13)</f>
        <v>15.5387</v>
      </c>
      <c r="H807" s="64">
        <f>26.6531* CHOOSE(CONTROL!$C$22, $C$13, 100%, $E$13)</f>
        <v>26.653099999999998</v>
      </c>
      <c r="I807" s="64">
        <f>26.6532 * CHOOSE(CONTROL!$C$22, $C$13, 100%, $E$13)</f>
        <v>26.653199999999998</v>
      </c>
      <c r="J807" s="64">
        <f>15.5386 * CHOOSE(CONTROL!$C$22, $C$13, 100%, $E$13)</f>
        <v>15.538600000000001</v>
      </c>
      <c r="K807" s="64">
        <f>15.5387 * CHOOSE(CONTROL!$C$22, $C$13, 100%, $E$13)</f>
        <v>15.5387</v>
      </c>
    </row>
    <row r="808" spans="1:11" ht="15">
      <c r="A808" s="13">
        <v>66081</v>
      </c>
      <c r="B808" s="63">
        <f>13.6135 * CHOOSE(CONTROL!$C$22, $C$13, 100%, $E$13)</f>
        <v>13.6135</v>
      </c>
      <c r="C808" s="63">
        <f>13.6135 * CHOOSE(CONTROL!$C$22, $C$13, 100%, $E$13)</f>
        <v>13.6135</v>
      </c>
      <c r="D808" s="63">
        <f>13.6135 * CHOOSE(CONTROL!$C$22, $C$13, 100%, $E$13)</f>
        <v>13.6135</v>
      </c>
      <c r="E808" s="64">
        <f>15.3959 * CHOOSE(CONTROL!$C$22, $C$13, 100%, $E$13)</f>
        <v>15.395899999999999</v>
      </c>
      <c r="F808" s="64">
        <f>15.3959 * CHOOSE(CONTROL!$C$22, $C$13, 100%, $E$13)</f>
        <v>15.395899999999999</v>
      </c>
      <c r="G808" s="64">
        <f>15.3959 * CHOOSE(CONTROL!$C$22, $C$13, 100%, $E$13)</f>
        <v>15.395899999999999</v>
      </c>
      <c r="H808" s="64">
        <f>26.7086* CHOOSE(CONTROL!$C$22, $C$13, 100%, $E$13)</f>
        <v>26.708600000000001</v>
      </c>
      <c r="I808" s="64">
        <f>26.7087 * CHOOSE(CONTROL!$C$22, $C$13, 100%, $E$13)</f>
        <v>26.7087</v>
      </c>
      <c r="J808" s="64">
        <f>15.3959 * CHOOSE(CONTROL!$C$22, $C$13, 100%, $E$13)</f>
        <v>15.395899999999999</v>
      </c>
      <c r="K808" s="64">
        <f>15.3959 * CHOOSE(CONTROL!$C$22, $C$13, 100%, $E$13)</f>
        <v>15.395899999999999</v>
      </c>
    </row>
    <row r="809" spans="1:11" ht="15">
      <c r="A809" s="13">
        <v>66112</v>
      </c>
      <c r="B809" s="63">
        <f>13.6076 * CHOOSE(CONTROL!$C$22, $C$13, 100%, $E$13)</f>
        <v>13.6076</v>
      </c>
      <c r="C809" s="63">
        <f>13.6076 * CHOOSE(CONTROL!$C$22, $C$13, 100%, $E$13)</f>
        <v>13.6076</v>
      </c>
      <c r="D809" s="63">
        <f>13.6076 * CHOOSE(CONTROL!$C$22, $C$13, 100%, $E$13)</f>
        <v>13.6076</v>
      </c>
      <c r="E809" s="64">
        <f>15.5035 * CHOOSE(CONTROL!$C$22, $C$13, 100%, $E$13)</f>
        <v>15.503500000000001</v>
      </c>
      <c r="F809" s="64">
        <f>15.5035 * CHOOSE(CONTROL!$C$22, $C$13, 100%, $E$13)</f>
        <v>15.503500000000001</v>
      </c>
      <c r="G809" s="64">
        <f>15.5036 * CHOOSE(CONTROL!$C$22, $C$13, 100%, $E$13)</f>
        <v>15.5036</v>
      </c>
      <c r="H809" s="64">
        <f>26.55* CHOOSE(CONTROL!$C$22, $C$13, 100%, $E$13)</f>
        <v>26.55</v>
      </c>
      <c r="I809" s="64">
        <f>26.5501 * CHOOSE(CONTROL!$C$22, $C$13, 100%, $E$13)</f>
        <v>26.5501</v>
      </c>
      <c r="J809" s="64">
        <f>15.5035 * CHOOSE(CONTROL!$C$22, $C$13, 100%, $E$13)</f>
        <v>15.503500000000001</v>
      </c>
      <c r="K809" s="64">
        <f>15.5036 * CHOOSE(CONTROL!$C$22, $C$13, 100%, $E$13)</f>
        <v>15.5036</v>
      </c>
    </row>
    <row r="810" spans="1:11" ht="15">
      <c r="A810" s="13">
        <v>66143</v>
      </c>
      <c r="B810" s="63">
        <f>13.6046 * CHOOSE(CONTROL!$C$22, $C$13, 100%, $E$13)</f>
        <v>13.6046</v>
      </c>
      <c r="C810" s="63">
        <f>13.6046 * CHOOSE(CONTROL!$C$22, $C$13, 100%, $E$13)</f>
        <v>13.6046</v>
      </c>
      <c r="D810" s="63">
        <f>13.6046 * CHOOSE(CONTROL!$C$22, $C$13, 100%, $E$13)</f>
        <v>13.6046</v>
      </c>
      <c r="E810" s="64">
        <f>15.2267 * CHOOSE(CONTROL!$C$22, $C$13, 100%, $E$13)</f>
        <v>15.226699999999999</v>
      </c>
      <c r="F810" s="64">
        <f>15.2267 * CHOOSE(CONTROL!$C$22, $C$13, 100%, $E$13)</f>
        <v>15.226699999999999</v>
      </c>
      <c r="G810" s="64">
        <f>15.2268 * CHOOSE(CONTROL!$C$22, $C$13, 100%, $E$13)</f>
        <v>15.226800000000001</v>
      </c>
      <c r="H810" s="64">
        <f>26.6053* CHOOSE(CONTROL!$C$22, $C$13, 100%, $E$13)</f>
        <v>26.6053</v>
      </c>
      <c r="I810" s="64">
        <f>26.6054 * CHOOSE(CONTROL!$C$22, $C$13, 100%, $E$13)</f>
        <v>26.605399999999999</v>
      </c>
      <c r="J810" s="64">
        <f>15.2267 * CHOOSE(CONTROL!$C$22, $C$13, 100%, $E$13)</f>
        <v>15.226699999999999</v>
      </c>
      <c r="K810" s="64">
        <f>15.2268 * CHOOSE(CONTROL!$C$22, $C$13, 100%, $E$13)</f>
        <v>15.226800000000001</v>
      </c>
    </row>
    <row r="811" spans="1:11" ht="15">
      <c r="A811" s="13">
        <v>66171</v>
      </c>
      <c r="B811" s="63">
        <f>13.6015 * CHOOSE(CONTROL!$C$22, $C$13, 100%, $E$13)</f>
        <v>13.6015</v>
      </c>
      <c r="C811" s="63">
        <f>13.6015 * CHOOSE(CONTROL!$C$22, $C$13, 100%, $E$13)</f>
        <v>13.6015</v>
      </c>
      <c r="D811" s="63">
        <f>13.6015 * CHOOSE(CONTROL!$C$22, $C$13, 100%, $E$13)</f>
        <v>13.6015</v>
      </c>
      <c r="E811" s="64">
        <f>15.4411 * CHOOSE(CONTROL!$C$22, $C$13, 100%, $E$13)</f>
        <v>15.4411</v>
      </c>
      <c r="F811" s="64">
        <f>15.4411 * CHOOSE(CONTROL!$C$22, $C$13, 100%, $E$13)</f>
        <v>15.4411</v>
      </c>
      <c r="G811" s="64">
        <f>15.4412 * CHOOSE(CONTROL!$C$22, $C$13, 100%, $E$13)</f>
        <v>15.4412</v>
      </c>
      <c r="H811" s="64">
        <f>26.6608* CHOOSE(CONTROL!$C$22, $C$13, 100%, $E$13)</f>
        <v>26.660799999999998</v>
      </c>
      <c r="I811" s="64">
        <f>26.6608 * CHOOSE(CONTROL!$C$22, $C$13, 100%, $E$13)</f>
        <v>26.660799999999998</v>
      </c>
      <c r="J811" s="64">
        <f>15.4411 * CHOOSE(CONTROL!$C$22, $C$13, 100%, $E$13)</f>
        <v>15.4411</v>
      </c>
      <c r="K811" s="64">
        <f>15.4412 * CHOOSE(CONTROL!$C$22, $C$13, 100%, $E$13)</f>
        <v>15.4412</v>
      </c>
    </row>
    <row r="812" spans="1:11" ht="15">
      <c r="A812" s="13">
        <v>66202</v>
      </c>
      <c r="B812" s="63">
        <f>13.6072 * CHOOSE(CONTROL!$C$22, $C$13, 100%, $E$13)</f>
        <v>13.607200000000001</v>
      </c>
      <c r="C812" s="63">
        <f>13.6072 * CHOOSE(CONTROL!$C$22, $C$13, 100%, $E$13)</f>
        <v>13.607200000000001</v>
      </c>
      <c r="D812" s="63">
        <f>13.6072 * CHOOSE(CONTROL!$C$22, $C$13, 100%, $E$13)</f>
        <v>13.607200000000001</v>
      </c>
      <c r="E812" s="64">
        <f>15.6695 * CHOOSE(CONTROL!$C$22, $C$13, 100%, $E$13)</f>
        <v>15.669499999999999</v>
      </c>
      <c r="F812" s="64">
        <f>15.6695 * CHOOSE(CONTROL!$C$22, $C$13, 100%, $E$13)</f>
        <v>15.669499999999999</v>
      </c>
      <c r="G812" s="64">
        <f>15.6696 * CHOOSE(CONTROL!$C$22, $C$13, 100%, $E$13)</f>
        <v>15.669600000000001</v>
      </c>
      <c r="H812" s="64">
        <f>26.7163* CHOOSE(CONTROL!$C$22, $C$13, 100%, $E$13)</f>
        <v>26.7163</v>
      </c>
      <c r="I812" s="64">
        <f>26.7164 * CHOOSE(CONTROL!$C$22, $C$13, 100%, $E$13)</f>
        <v>26.7164</v>
      </c>
      <c r="J812" s="64">
        <f>15.6695 * CHOOSE(CONTROL!$C$22, $C$13, 100%, $E$13)</f>
        <v>15.669499999999999</v>
      </c>
      <c r="K812" s="64">
        <f>15.6696 * CHOOSE(CONTROL!$C$22, $C$13, 100%, $E$13)</f>
        <v>15.669600000000001</v>
      </c>
    </row>
    <row r="813" spans="1:11" ht="15">
      <c r="A813" s="13">
        <v>66232</v>
      </c>
      <c r="B813" s="63">
        <f>13.6072 * CHOOSE(CONTROL!$C$22, $C$13, 100%, $E$13)</f>
        <v>13.607200000000001</v>
      </c>
      <c r="C813" s="63">
        <f>13.6072 * CHOOSE(CONTROL!$C$22, $C$13, 100%, $E$13)</f>
        <v>13.607200000000001</v>
      </c>
      <c r="D813" s="63">
        <f>13.6202 * CHOOSE(CONTROL!$C$22, $C$13, 100%, $E$13)</f>
        <v>13.620200000000001</v>
      </c>
      <c r="E813" s="64">
        <f>15.7567 * CHOOSE(CONTROL!$C$22, $C$13, 100%, $E$13)</f>
        <v>15.7567</v>
      </c>
      <c r="F813" s="64">
        <f>15.7567 * CHOOSE(CONTROL!$C$22, $C$13, 100%, $E$13)</f>
        <v>15.7567</v>
      </c>
      <c r="G813" s="64">
        <f>15.7724 * CHOOSE(CONTROL!$C$22, $C$13, 100%, $E$13)</f>
        <v>15.772399999999999</v>
      </c>
      <c r="H813" s="64">
        <f>26.772* CHOOSE(CONTROL!$C$22, $C$13, 100%, $E$13)</f>
        <v>26.771999999999998</v>
      </c>
      <c r="I813" s="64">
        <f>26.7876 * CHOOSE(CONTROL!$C$22, $C$13, 100%, $E$13)</f>
        <v>26.787600000000001</v>
      </c>
      <c r="J813" s="64">
        <f>15.7567 * CHOOSE(CONTROL!$C$22, $C$13, 100%, $E$13)</f>
        <v>15.7567</v>
      </c>
      <c r="K813" s="64">
        <f>15.7724 * CHOOSE(CONTROL!$C$22, $C$13, 100%, $E$13)</f>
        <v>15.772399999999999</v>
      </c>
    </row>
    <row r="814" spans="1:11" ht="15">
      <c r="A814" s="13">
        <v>66263</v>
      </c>
      <c r="B814" s="63">
        <f>13.6133 * CHOOSE(CONTROL!$C$22, $C$13, 100%, $E$13)</f>
        <v>13.613300000000001</v>
      </c>
      <c r="C814" s="63">
        <f>13.6133 * CHOOSE(CONTROL!$C$22, $C$13, 100%, $E$13)</f>
        <v>13.613300000000001</v>
      </c>
      <c r="D814" s="63">
        <f>13.6263 * CHOOSE(CONTROL!$C$22, $C$13, 100%, $E$13)</f>
        <v>13.626300000000001</v>
      </c>
      <c r="E814" s="64">
        <f>15.6737 * CHOOSE(CONTROL!$C$22, $C$13, 100%, $E$13)</f>
        <v>15.6737</v>
      </c>
      <c r="F814" s="64">
        <f>15.6737 * CHOOSE(CONTROL!$C$22, $C$13, 100%, $E$13)</f>
        <v>15.6737</v>
      </c>
      <c r="G814" s="64">
        <f>15.6894 * CHOOSE(CONTROL!$C$22, $C$13, 100%, $E$13)</f>
        <v>15.689399999999999</v>
      </c>
      <c r="H814" s="64">
        <f>26.8277* CHOOSE(CONTROL!$C$22, $C$13, 100%, $E$13)</f>
        <v>26.8277</v>
      </c>
      <c r="I814" s="64">
        <f>26.8434 * CHOOSE(CONTROL!$C$22, $C$13, 100%, $E$13)</f>
        <v>26.843399999999999</v>
      </c>
      <c r="J814" s="64">
        <f>15.6737 * CHOOSE(CONTROL!$C$22, $C$13, 100%, $E$13)</f>
        <v>15.6737</v>
      </c>
      <c r="K814" s="64">
        <f>15.6894 * CHOOSE(CONTROL!$C$22, $C$13, 100%, $E$13)</f>
        <v>15.689399999999999</v>
      </c>
    </row>
    <row r="815" spans="1:11" ht="15">
      <c r="A815" s="13">
        <v>66293</v>
      </c>
      <c r="B815" s="63">
        <f>13.8201 * CHOOSE(CONTROL!$C$22, $C$13, 100%, $E$13)</f>
        <v>13.8201</v>
      </c>
      <c r="C815" s="63">
        <f>13.8201 * CHOOSE(CONTROL!$C$22, $C$13, 100%, $E$13)</f>
        <v>13.8201</v>
      </c>
      <c r="D815" s="63">
        <f>13.833 * CHOOSE(CONTROL!$C$22, $C$13, 100%, $E$13)</f>
        <v>13.833</v>
      </c>
      <c r="E815" s="64">
        <f>15.9233 * CHOOSE(CONTROL!$C$22, $C$13, 100%, $E$13)</f>
        <v>15.923299999999999</v>
      </c>
      <c r="F815" s="64">
        <f>15.9233 * CHOOSE(CONTROL!$C$22, $C$13, 100%, $E$13)</f>
        <v>15.923299999999999</v>
      </c>
      <c r="G815" s="64">
        <f>15.939 * CHOOSE(CONTROL!$C$22, $C$13, 100%, $E$13)</f>
        <v>15.939</v>
      </c>
      <c r="H815" s="64">
        <f>26.8836* CHOOSE(CONTROL!$C$22, $C$13, 100%, $E$13)</f>
        <v>26.883600000000001</v>
      </c>
      <c r="I815" s="64">
        <f>26.8993 * CHOOSE(CONTROL!$C$22, $C$13, 100%, $E$13)</f>
        <v>26.8993</v>
      </c>
      <c r="J815" s="64">
        <f>15.9233 * CHOOSE(CONTROL!$C$22, $C$13, 100%, $E$13)</f>
        <v>15.923299999999999</v>
      </c>
      <c r="K815" s="64">
        <f>15.939 * CHOOSE(CONTROL!$C$22, $C$13, 100%, $E$13)</f>
        <v>15.939</v>
      </c>
    </row>
    <row r="816" spans="1:11" ht="15">
      <c r="A816" s="13">
        <v>66324</v>
      </c>
      <c r="B816" s="63">
        <f>13.8268 * CHOOSE(CONTROL!$C$22, $C$13, 100%, $E$13)</f>
        <v>13.8268</v>
      </c>
      <c r="C816" s="63">
        <f>13.8268 * CHOOSE(CONTROL!$C$22, $C$13, 100%, $E$13)</f>
        <v>13.8268</v>
      </c>
      <c r="D816" s="63">
        <f>13.8397 * CHOOSE(CONTROL!$C$22, $C$13, 100%, $E$13)</f>
        <v>13.839700000000001</v>
      </c>
      <c r="E816" s="64">
        <f>15.6663 * CHOOSE(CONTROL!$C$22, $C$13, 100%, $E$13)</f>
        <v>15.6663</v>
      </c>
      <c r="F816" s="64">
        <f>15.6663 * CHOOSE(CONTROL!$C$22, $C$13, 100%, $E$13)</f>
        <v>15.6663</v>
      </c>
      <c r="G816" s="64">
        <f>15.682 * CHOOSE(CONTROL!$C$22, $C$13, 100%, $E$13)</f>
        <v>15.682</v>
      </c>
      <c r="H816" s="64">
        <f>26.9396* CHOOSE(CONTROL!$C$22, $C$13, 100%, $E$13)</f>
        <v>26.939599999999999</v>
      </c>
      <c r="I816" s="64">
        <f>26.9553 * CHOOSE(CONTROL!$C$22, $C$13, 100%, $E$13)</f>
        <v>26.955300000000001</v>
      </c>
      <c r="J816" s="64">
        <f>15.6663 * CHOOSE(CONTROL!$C$22, $C$13, 100%, $E$13)</f>
        <v>15.6663</v>
      </c>
      <c r="K816" s="64">
        <f>15.682 * CHOOSE(CONTROL!$C$22, $C$13, 100%, $E$13)</f>
        <v>15.682</v>
      </c>
    </row>
    <row r="817" spans="1:11" ht="15">
      <c r="A817" s="13">
        <v>66355</v>
      </c>
      <c r="B817" s="63">
        <f>13.8237 * CHOOSE(CONTROL!$C$22, $C$13, 100%, $E$13)</f>
        <v>13.823700000000001</v>
      </c>
      <c r="C817" s="63">
        <f>13.8237 * CHOOSE(CONTROL!$C$22, $C$13, 100%, $E$13)</f>
        <v>13.823700000000001</v>
      </c>
      <c r="D817" s="63">
        <f>13.8367 * CHOOSE(CONTROL!$C$22, $C$13, 100%, $E$13)</f>
        <v>13.8367</v>
      </c>
      <c r="E817" s="64">
        <f>15.6351 * CHOOSE(CONTROL!$C$22, $C$13, 100%, $E$13)</f>
        <v>15.6351</v>
      </c>
      <c r="F817" s="64">
        <f>15.6351 * CHOOSE(CONTROL!$C$22, $C$13, 100%, $E$13)</f>
        <v>15.6351</v>
      </c>
      <c r="G817" s="64">
        <f>15.6508 * CHOOSE(CONTROL!$C$22, $C$13, 100%, $E$13)</f>
        <v>15.6508</v>
      </c>
      <c r="H817" s="64">
        <f>26.9958* CHOOSE(CONTROL!$C$22, $C$13, 100%, $E$13)</f>
        <v>26.995799999999999</v>
      </c>
      <c r="I817" s="64">
        <f>27.0114 * CHOOSE(CONTROL!$C$22, $C$13, 100%, $E$13)</f>
        <v>27.011399999999998</v>
      </c>
      <c r="J817" s="64">
        <f>15.6351 * CHOOSE(CONTROL!$C$22, $C$13, 100%, $E$13)</f>
        <v>15.6351</v>
      </c>
      <c r="K817" s="64">
        <f>15.6508 * CHOOSE(CONTROL!$C$22, $C$13, 100%, $E$13)</f>
        <v>15.6508</v>
      </c>
    </row>
    <row r="818" spans="1:11" ht="15">
      <c r="A818" s="13">
        <v>66385</v>
      </c>
      <c r="B818" s="63">
        <f>13.8504 * CHOOSE(CONTROL!$C$22, $C$13, 100%, $E$13)</f>
        <v>13.8504</v>
      </c>
      <c r="C818" s="63">
        <f>13.8504 * CHOOSE(CONTROL!$C$22, $C$13, 100%, $E$13)</f>
        <v>13.8504</v>
      </c>
      <c r="D818" s="63">
        <f>13.8504 * CHOOSE(CONTROL!$C$22, $C$13, 100%, $E$13)</f>
        <v>13.8504</v>
      </c>
      <c r="E818" s="64">
        <f>15.738 * CHOOSE(CONTROL!$C$22, $C$13, 100%, $E$13)</f>
        <v>15.738</v>
      </c>
      <c r="F818" s="64">
        <f>15.738 * CHOOSE(CONTROL!$C$22, $C$13, 100%, $E$13)</f>
        <v>15.738</v>
      </c>
      <c r="G818" s="64">
        <f>15.7381 * CHOOSE(CONTROL!$C$22, $C$13, 100%, $E$13)</f>
        <v>15.738099999999999</v>
      </c>
      <c r="H818" s="64">
        <f>27.052* CHOOSE(CONTROL!$C$22, $C$13, 100%, $E$13)</f>
        <v>27.052</v>
      </c>
      <c r="I818" s="64">
        <f>27.0521 * CHOOSE(CONTROL!$C$22, $C$13, 100%, $E$13)</f>
        <v>27.052099999999999</v>
      </c>
      <c r="J818" s="64">
        <f>15.738 * CHOOSE(CONTROL!$C$22, $C$13, 100%, $E$13)</f>
        <v>15.738</v>
      </c>
      <c r="K818" s="64">
        <f>15.7381 * CHOOSE(CONTROL!$C$22, $C$13, 100%, $E$13)</f>
        <v>15.738099999999999</v>
      </c>
    </row>
    <row r="819" spans="1:11" ht="15">
      <c r="A819" s="13">
        <v>66416</v>
      </c>
      <c r="B819" s="63">
        <f>13.8535 * CHOOSE(CONTROL!$C$22, $C$13, 100%, $E$13)</f>
        <v>13.8535</v>
      </c>
      <c r="C819" s="63">
        <f>13.8535 * CHOOSE(CONTROL!$C$22, $C$13, 100%, $E$13)</f>
        <v>13.8535</v>
      </c>
      <c r="D819" s="63">
        <f>13.8535 * CHOOSE(CONTROL!$C$22, $C$13, 100%, $E$13)</f>
        <v>13.8535</v>
      </c>
      <c r="E819" s="64">
        <f>15.7983 * CHOOSE(CONTROL!$C$22, $C$13, 100%, $E$13)</f>
        <v>15.798299999999999</v>
      </c>
      <c r="F819" s="64">
        <f>15.7983 * CHOOSE(CONTROL!$C$22, $C$13, 100%, $E$13)</f>
        <v>15.798299999999999</v>
      </c>
      <c r="G819" s="64">
        <f>15.7984 * CHOOSE(CONTROL!$C$22, $C$13, 100%, $E$13)</f>
        <v>15.798400000000001</v>
      </c>
      <c r="H819" s="64">
        <f>27.1084* CHOOSE(CONTROL!$C$22, $C$13, 100%, $E$13)</f>
        <v>27.1084</v>
      </c>
      <c r="I819" s="64">
        <f>27.1084 * CHOOSE(CONTROL!$C$22, $C$13, 100%, $E$13)</f>
        <v>27.1084</v>
      </c>
      <c r="J819" s="64">
        <f>15.7983 * CHOOSE(CONTROL!$C$22, $C$13, 100%, $E$13)</f>
        <v>15.798299999999999</v>
      </c>
      <c r="K819" s="64">
        <f>15.7984 * CHOOSE(CONTROL!$C$22, $C$13, 100%, $E$13)</f>
        <v>15.798400000000001</v>
      </c>
    </row>
    <row r="820" spans="1:11" ht="15">
      <c r="A820" s="13">
        <v>66446</v>
      </c>
      <c r="B820" s="63">
        <f>13.8535 * CHOOSE(CONTROL!$C$22, $C$13, 100%, $E$13)</f>
        <v>13.8535</v>
      </c>
      <c r="C820" s="63">
        <f>13.8535 * CHOOSE(CONTROL!$C$22, $C$13, 100%, $E$13)</f>
        <v>13.8535</v>
      </c>
      <c r="D820" s="63">
        <f>13.8535 * CHOOSE(CONTROL!$C$22, $C$13, 100%, $E$13)</f>
        <v>13.8535</v>
      </c>
      <c r="E820" s="64">
        <f>15.6529 * CHOOSE(CONTROL!$C$22, $C$13, 100%, $E$13)</f>
        <v>15.652900000000001</v>
      </c>
      <c r="F820" s="64">
        <f>15.6529 * CHOOSE(CONTROL!$C$22, $C$13, 100%, $E$13)</f>
        <v>15.652900000000001</v>
      </c>
      <c r="G820" s="64">
        <f>15.653 * CHOOSE(CONTROL!$C$22, $C$13, 100%, $E$13)</f>
        <v>15.653</v>
      </c>
      <c r="H820" s="64">
        <f>27.1648* CHOOSE(CONTROL!$C$22, $C$13, 100%, $E$13)</f>
        <v>27.1648</v>
      </c>
      <c r="I820" s="64">
        <f>27.1649 * CHOOSE(CONTROL!$C$22, $C$13, 100%, $E$13)</f>
        <v>27.164899999999999</v>
      </c>
      <c r="J820" s="64">
        <f>15.6529 * CHOOSE(CONTROL!$C$22, $C$13, 100%, $E$13)</f>
        <v>15.652900000000001</v>
      </c>
      <c r="K820" s="64">
        <f>15.653 * CHOOSE(CONTROL!$C$22, $C$13, 100%, $E$13)</f>
        <v>15.653</v>
      </c>
    </row>
    <row r="821" spans="1:11" ht="15">
      <c r="A821" s="13">
        <v>66477</v>
      </c>
      <c r="B821" s="63">
        <f>13.8432 * CHOOSE(CONTROL!$C$22, $C$13, 100%, $E$13)</f>
        <v>13.8432</v>
      </c>
      <c r="C821" s="63">
        <f>13.8432 * CHOOSE(CONTROL!$C$22, $C$13, 100%, $E$13)</f>
        <v>13.8432</v>
      </c>
      <c r="D821" s="63">
        <f>13.8432 * CHOOSE(CONTROL!$C$22, $C$13, 100%, $E$13)</f>
        <v>13.8432</v>
      </c>
      <c r="E821" s="64">
        <f>15.7582 * CHOOSE(CONTROL!$C$22, $C$13, 100%, $E$13)</f>
        <v>15.7582</v>
      </c>
      <c r="F821" s="64">
        <f>15.7582 * CHOOSE(CONTROL!$C$22, $C$13, 100%, $E$13)</f>
        <v>15.7582</v>
      </c>
      <c r="G821" s="64">
        <f>15.7583 * CHOOSE(CONTROL!$C$22, $C$13, 100%, $E$13)</f>
        <v>15.7583</v>
      </c>
      <c r="H821" s="64">
        <f>26.9959* CHOOSE(CONTROL!$C$22, $C$13, 100%, $E$13)</f>
        <v>26.995899999999999</v>
      </c>
      <c r="I821" s="64">
        <f>26.996 * CHOOSE(CONTROL!$C$22, $C$13, 100%, $E$13)</f>
        <v>26.995999999999999</v>
      </c>
      <c r="J821" s="64">
        <f>15.7582 * CHOOSE(CONTROL!$C$22, $C$13, 100%, $E$13)</f>
        <v>15.7582</v>
      </c>
      <c r="K821" s="64">
        <f>15.7583 * CHOOSE(CONTROL!$C$22, $C$13, 100%, $E$13)</f>
        <v>15.7583</v>
      </c>
    </row>
    <row r="822" spans="1:11" ht="15">
      <c r="A822" s="13">
        <v>66508</v>
      </c>
      <c r="B822" s="63">
        <f>13.8401 * CHOOSE(CONTROL!$C$22, $C$13, 100%, $E$13)</f>
        <v>13.8401</v>
      </c>
      <c r="C822" s="63">
        <f>13.8401 * CHOOSE(CONTROL!$C$22, $C$13, 100%, $E$13)</f>
        <v>13.8401</v>
      </c>
      <c r="D822" s="63">
        <f>13.8401 * CHOOSE(CONTROL!$C$22, $C$13, 100%, $E$13)</f>
        <v>13.8401</v>
      </c>
      <c r="E822" s="64">
        <f>15.4765 * CHOOSE(CONTROL!$C$22, $C$13, 100%, $E$13)</f>
        <v>15.4765</v>
      </c>
      <c r="F822" s="64">
        <f>15.4765 * CHOOSE(CONTROL!$C$22, $C$13, 100%, $E$13)</f>
        <v>15.4765</v>
      </c>
      <c r="G822" s="64">
        <f>15.4765 * CHOOSE(CONTROL!$C$22, $C$13, 100%, $E$13)</f>
        <v>15.4765</v>
      </c>
      <c r="H822" s="64">
        <f>27.0522* CHOOSE(CONTROL!$C$22, $C$13, 100%, $E$13)</f>
        <v>27.052199999999999</v>
      </c>
      <c r="I822" s="64">
        <f>27.0522 * CHOOSE(CONTROL!$C$22, $C$13, 100%, $E$13)</f>
        <v>27.052199999999999</v>
      </c>
      <c r="J822" s="64">
        <f>15.4765 * CHOOSE(CONTROL!$C$22, $C$13, 100%, $E$13)</f>
        <v>15.4765</v>
      </c>
      <c r="K822" s="64">
        <f>15.4765 * CHOOSE(CONTROL!$C$22, $C$13, 100%, $E$13)</f>
        <v>15.4765</v>
      </c>
    </row>
    <row r="823" spans="1:11" ht="15">
      <c r="A823" s="13">
        <v>66536</v>
      </c>
      <c r="B823" s="63">
        <f>13.8371 * CHOOSE(CONTROL!$C$22, $C$13, 100%, $E$13)</f>
        <v>13.8371</v>
      </c>
      <c r="C823" s="63">
        <f>13.8371 * CHOOSE(CONTROL!$C$22, $C$13, 100%, $E$13)</f>
        <v>13.8371</v>
      </c>
      <c r="D823" s="63">
        <f>13.8371 * CHOOSE(CONTROL!$C$22, $C$13, 100%, $E$13)</f>
        <v>13.8371</v>
      </c>
      <c r="E823" s="64">
        <f>15.6948 * CHOOSE(CONTROL!$C$22, $C$13, 100%, $E$13)</f>
        <v>15.694800000000001</v>
      </c>
      <c r="F823" s="64">
        <f>15.6948 * CHOOSE(CONTROL!$C$22, $C$13, 100%, $E$13)</f>
        <v>15.694800000000001</v>
      </c>
      <c r="G823" s="64">
        <f>15.6949 * CHOOSE(CONTROL!$C$22, $C$13, 100%, $E$13)</f>
        <v>15.694900000000001</v>
      </c>
      <c r="H823" s="64">
        <f>27.1085* CHOOSE(CONTROL!$C$22, $C$13, 100%, $E$13)</f>
        <v>27.108499999999999</v>
      </c>
      <c r="I823" s="64">
        <f>27.1086 * CHOOSE(CONTROL!$C$22, $C$13, 100%, $E$13)</f>
        <v>27.108599999999999</v>
      </c>
      <c r="J823" s="64">
        <f>15.6948 * CHOOSE(CONTROL!$C$22, $C$13, 100%, $E$13)</f>
        <v>15.694800000000001</v>
      </c>
      <c r="K823" s="64">
        <f>15.6949 * CHOOSE(CONTROL!$C$22, $C$13, 100%, $E$13)</f>
        <v>15.694900000000001</v>
      </c>
    </row>
    <row r="824" spans="1:11" ht="15">
      <c r="A824" s="13">
        <v>66567</v>
      </c>
      <c r="B824" s="63">
        <f>13.843 * CHOOSE(CONTROL!$C$22, $C$13, 100%, $E$13)</f>
        <v>13.843</v>
      </c>
      <c r="C824" s="63">
        <f>13.843 * CHOOSE(CONTROL!$C$22, $C$13, 100%, $E$13)</f>
        <v>13.843</v>
      </c>
      <c r="D824" s="63">
        <f>13.843 * CHOOSE(CONTROL!$C$22, $C$13, 100%, $E$13)</f>
        <v>13.843</v>
      </c>
      <c r="E824" s="64">
        <f>15.9273 * CHOOSE(CONTROL!$C$22, $C$13, 100%, $E$13)</f>
        <v>15.927300000000001</v>
      </c>
      <c r="F824" s="64">
        <f>15.9273 * CHOOSE(CONTROL!$C$22, $C$13, 100%, $E$13)</f>
        <v>15.927300000000001</v>
      </c>
      <c r="G824" s="64">
        <f>15.9274 * CHOOSE(CONTROL!$C$22, $C$13, 100%, $E$13)</f>
        <v>15.9274</v>
      </c>
      <c r="H824" s="64">
        <f>27.165* CHOOSE(CONTROL!$C$22, $C$13, 100%, $E$13)</f>
        <v>27.164999999999999</v>
      </c>
      <c r="I824" s="64">
        <f>27.1651 * CHOOSE(CONTROL!$C$22, $C$13, 100%, $E$13)</f>
        <v>27.165099999999999</v>
      </c>
      <c r="J824" s="64">
        <f>15.9273 * CHOOSE(CONTROL!$C$22, $C$13, 100%, $E$13)</f>
        <v>15.927300000000001</v>
      </c>
      <c r="K824" s="64">
        <f>15.9274 * CHOOSE(CONTROL!$C$22, $C$13, 100%, $E$13)</f>
        <v>15.9274</v>
      </c>
    </row>
    <row r="825" spans="1:11" ht="15">
      <c r="A825" s="13">
        <v>66597</v>
      </c>
      <c r="B825" s="63">
        <f>13.843 * CHOOSE(CONTROL!$C$22, $C$13, 100%, $E$13)</f>
        <v>13.843</v>
      </c>
      <c r="C825" s="63">
        <f>13.843 * CHOOSE(CONTROL!$C$22, $C$13, 100%, $E$13)</f>
        <v>13.843</v>
      </c>
      <c r="D825" s="63">
        <f>13.856 * CHOOSE(CONTROL!$C$22, $C$13, 100%, $E$13)</f>
        <v>13.856</v>
      </c>
      <c r="E825" s="64">
        <f>16.0161 * CHOOSE(CONTROL!$C$22, $C$13, 100%, $E$13)</f>
        <v>16.016100000000002</v>
      </c>
      <c r="F825" s="64">
        <f>16.0161 * CHOOSE(CONTROL!$C$22, $C$13, 100%, $E$13)</f>
        <v>16.016100000000002</v>
      </c>
      <c r="G825" s="64">
        <f>16.0318 * CHOOSE(CONTROL!$C$22, $C$13, 100%, $E$13)</f>
        <v>16.0318</v>
      </c>
      <c r="H825" s="64">
        <f>27.2216* CHOOSE(CONTROL!$C$22, $C$13, 100%, $E$13)</f>
        <v>27.221599999999999</v>
      </c>
      <c r="I825" s="64">
        <f>27.2373 * CHOOSE(CONTROL!$C$22, $C$13, 100%, $E$13)</f>
        <v>27.237300000000001</v>
      </c>
      <c r="J825" s="64">
        <f>16.0161 * CHOOSE(CONTROL!$C$22, $C$13, 100%, $E$13)</f>
        <v>16.016100000000002</v>
      </c>
      <c r="K825" s="64">
        <f>16.0318 * CHOOSE(CONTROL!$C$22, $C$13, 100%, $E$13)</f>
        <v>16.0318</v>
      </c>
    </row>
    <row r="826" spans="1:11" ht="15">
      <c r="A826" s="13">
        <v>66628</v>
      </c>
      <c r="B826" s="63">
        <f>13.8491 * CHOOSE(CONTROL!$C$22, $C$13, 100%, $E$13)</f>
        <v>13.8491</v>
      </c>
      <c r="C826" s="63">
        <f>13.8491 * CHOOSE(CONTROL!$C$22, $C$13, 100%, $E$13)</f>
        <v>13.8491</v>
      </c>
      <c r="D826" s="63">
        <f>13.862 * CHOOSE(CONTROL!$C$22, $C$13, 100%, $E$13)</f>
        <v>13.862</v>
      </c>
      <c r="E826" s="64">
        <f>15.9316 * CHOOSE(CONTROL!$C$22, $C$13, 100%, $E$13)</f>
        <v>15.9316</v>
      </c>
      <c r="F826" s="64">
        <f>15.9316 * CHOOSE(CONTROL!$C$22, $C$13, 100%, $E$13)</f>
        <v>15.9316</v>
      </c>
      <c r="G826" s="64">
        <f>15.9473 * CHOOSE(CONTROL!$C$22, $C$13, 100%, $E$13)</f>
        <v>15.9473</v>
      </c>
      <c r="H826" s="64">
        <f>27.2783* CHOOSE(CONTROL!$C$22, $C$13, 100%, $E$13)</f>
        <v>27.278300000000002</v>
      </c>
      <c r="I826" s="64">
        <f>27.294 * CHOOSE(CONTROL!$C$22, $C$13, 100%, $E$13)</f>
        <v>27.294</v>
      </c>
      <c r="J826" s="64">
        <f>15.9316 * CHOOSE(CONTROL!$C$22, $C$13, 100%, $E$13)</f>
        <v>15.9316</v>
      </c>
      <c r="K826" s="64">
        <f>15.9473 * CHOOSE(CONTROL!$C$22, $C$13, 100%, $E$13)</f>
        <v>15.9473</v>
      </c>
    </row>
    <row r="827" spans="1:11" ht="15">
      <c r="A827" s="13">
        <v>66658</v>
      </c>
      <c r="B827" s="63">
        <f>14.0592 * CHOOSE(CONTROL!$C$22, $C$13, 100%, $E$13)</f>
        <v>14.059200000000001</v>
      </c>
      <c r="C827" s="63">
        <f>14.0592 * CHOOSE(CONTROL!$C$22, $C$13, 100%, $E$13)</f>
        <v>14.059200000000001</v>
      </c>
      <c r="D827" s="63">
        <f>14.0722 * CHOOSE(CONTROL!$C$22, $C$13, 100%, $E$13)</f>
        <v>14.0722</v>
      </c>
      <c r="E827" s="64">
        <f>16.1851 * CHOOSE(CONTROL!$C$22, $C$13, 100%, $E$13)</f>
        <v>16.185099999999998</v>
      </c>
      <c r="F827" s="64">
        <f>16.1851 * CHOOSE(CONTROL!$C$22, $C$13, 100%, $E$13)</f>
        <v>16.185099999999998</v>
      </c>
      <c r="G827" s="64">
        <f>16.2008 * CHOOSE(CONTROL!$C$22, $C$13, 100%, $E$13)</f>
        <v>16.200800000000001</v>
      </c>
      <c r="H827" s="64">
        <f>27.3351* CHOOSE(CONTROL!$C$22, $C$13, 100%, $E$13)</f>
        <v>27.335100000000001</v>
      </c>
      <c r="I827" s="64">
        <f>27.3508 * CHOOSE(CONTROL!$C$22, $C$13, 100%, $E$13)</f>
        <v>27.3508</v>
      </c>
      <c r="J827" s="64">
        <f>16.1851 * CHOOSE(CONTROL!$C$22, $C$13, 100%, $E$13)</f>
        <v>16.185099999999998</v>
      </c>
      <c r="K827" s="64">
        <f>16.2008 * CHOOSE(CONTROL!$C$22, $C$13, 100%, $E$13)</f>
        <v>16.200800000000001</v>
      </c>
    </row>
    <row r="828" spans="1:11" ht="15">
      <c r="A828" s="13">
        <v>66689</v>
      </c>
      <c r="B828" s="63">
        <f>14.0659 * CHOOSE(CONTROL!$C$22, $C$13, 100%, $E$13)</f>
        <v>14.065899999999999</v>
      </c>
      <c r="C828" s="63">
        <f>14.0659 * CHOOSE(CONTROL!$C$22, $C$13, 100%, $E$13)</f>
        <v>14.065899999999999</v>
      </c>
      <c r="D828" s="63">
        <f>14.0789 * CHOOSE(CONTROL!$C$22, $C$13, 100%, $E$13)</f>
        <v>14.078900000000001</v>
      </c>
      <c r="E828" s="64">
        <f>15.9234 * CHOOSE(CONTROL!$C$22, $C$13, 100%, $E$13)</f>
        <v>15.923400000000001</v>
      </c>
      <c r="F828" s="64">
        <f>15.9234 * CHOOSE(CONTROL!$C$22, $C$13, 100%, $E$13)</f>
        <v>15.923400000000001</v>
      </c>
      <c r="G828" s="64">
        <f>15.9391 * CHOOSE(CONTROL!$C$22, $C$13, 100%, $E$13)</f>
        <v>15.9391</v>
      </c>
      <c r="H828" s="64">
        <f>27.3921* CHOOSE(CONTROL!$C$22, $C$13, 100%, $E$13)</f>
        <v>27.392099999999999</v>
      </c>
      <c r="I828" s="64">
        <f>27.4078 * CHOOSE(CONTROL!$C$22, $C$13, 100%, $E$13)</f>
        <v>27.407800000000002</v>
      </c>
      <c r="J828" s="64">
        <f>15.9234 * CHOOSE(CONTROL!$C$22, $C$13, 100%, $E$13)</f>
        <v>15.923400000000001</v>
      </c>
      <c r="K828" s="64">
        <f>15.9391 * CHOOSE(CONTROL!$C$22, $C$13, 100%, $E$13)</f>
        <v>15.9391</v>
      </c>
    </row>
    <row r="829" spans="1:11" ht="15">
      <c r="A829" s="13">
        <v>66720</v>
      </c>
      <c r="B829" s="63">
        <f>14.0629 * CHOOSE(CONTROL!$C$22, $C$13, 100%, $E$13)</f>
        <v>14.062900000000001</v>
      </c>
      <c r="C829" s="63">
        <f>14.0629 * CHOOSE(CONTROL!$C$22, $C$13, 100%, $E$13)</f>
        <v>14.062900000000001</v>
      </c>
      <c r="D829" s="63">
        <f>14.0759 * CHOOSE(CONTROL!$C$22, $C$13, 100%, $E$13)</f>
        <v>14.075900000000001</v>
      </c>
      <c r="E829" s="64">
        <f>15.8917 * CHOOSE(CONTROL!$C$22, $C$13, 100%, $E$13)</f>
        <v>15.8917</v>
      </c>
      <c r="F829" s="64">
        <f>15.8917 * CHOOSE(CONTROL!$C$22, $C$13, 100%, $E$13)</f>
        <v>15.8917</v>
      </c>
      <c r="G829" s="64">
        <f>15.9074 * CHOOSE(CONTROL!$C$22, $C$13, 100%, $E$13)</f>
        <v>15.907400000000001</v>
      </c>
      <c r="H829" s="64">
        <f>27.4491* CHOOSE(CONTROL!$C$22, $C$13, 100%, $E$13)</f>
        <v>27.449100000000001</v>
      </c>
      <c r="I829" s="64">
        <f>27.4648 * CHOOSE(CONTROL!$C$22, $C$13, 100%, $E$13)</f>
        <v>27.4648</v>
      </c>
      <c r="J829" s="64">
        <f>15.8917 * CHOOSE(CONTROL!$C$22, $C$13, 100%, $E$13)</f>
        <v>15.8917</v>
      </c>
      <c r="K829" s="64">
        <f>15.9074 * CHOOSE(CONTROL!$C$22, $C$13, 100%, $E$13)</f>
        <v>15.907400000000001</v>
      </c>
    </row>
    <row r="830" spans="1:11" ht="15">
      <c r="A830" s="13">
        <v>66750</v>
      </c>
      <c r="B830" s="63">
        <f>14.0904 * CHOOSE(CONTROL!$C$22, $C$13, 100%, $E$13)</f>
        <v>14.090400000000001</v>
      </c>
      <c r="C830" s="63">
        <f>14.0904 * CHOOSE(CONTROL!$C$22, $C$13, 100%, $E$13)</f>
        <v>14.090400000000001</v>
      </c>
      <c r="D830" s="63">
        <f>14.0904 * CHOOSE(CONTROL!$C$22, $C$13, 100%, $E$13)</f>
        <v>14.090400000000001</v>
      </c>
      <c r="E830" s="64">
        <f>15.9967 * CHOOSE(CONTROL!$C$22, $C$13, 100%, $E$13)</f>
        <v>15.996700000000001</v>
      </c>
      <c r="F830" s="64">
        <f>15.9967 * CHOOSE(CONTROL!$C$22, $C$13, 100%, $E$13)</f>
        <v>15.996700000000001</v>
      </c>
      <c r="G830" s="64">
        <f>15.9967 * CHOOSE(CONTROL!$C$22, $C$13, 100%, $E$13)</f>
        <v>15.996700000000001</v>
      </c>
      <c r="H830" s="64">
        <f>27.5063* CHOOSE(CONTROL!$C$22, $C$13, 100%, $E$13)</f>
        <v>27.5063</v>
      </c>
      <c r="I830" s="64">
        <f>27.5064 * CHOOSE(CONTROL!$C$22, $C$13, 100%, $E$13)</f>
        <v>27.506399999999999</v>
      </c>
      <c r="J830" s="64">
        <f>15.9967 * CHOOSE(CONTROL!$C$22, $C$13, 100%, $E$13)</f>
        <v>15.996700000000001</v>
      </c>
      <c r="K830" s="64">
        <f>15.9967 * CHOOSE(CONTROL!$C$22, $C$13, 100%, $E$13)</f>
        <v>15.996700000000001</v>
      </c>
    </row>
    <row r="831" spans="1:11" ht="15">
      <c r="A831" s="13">
        <v>66781</v>
      </c>
      <c r="B831" s="63">
        <f>14.0934 * CHOOSE(CONTROL!$C$22, $C$13, 100%, $E$13)</f>
        <v>14.093400000000001</v>
      </c>
      <c r="C831" s="63">
        <f>14.0934 * CHOOSE(CONTROL!$C$22, $C$13, 100%, $E$13)</f>
        <v>14.093400000000001</v>
      </c>
      <c r="D831" s="63">
        <f>14.0934 * CHOOSE(CONTROL!$C$22, $C$13, 100%, $E$13)</f>
        <v>14.093400000000001</v>
      </c>
      <c r="E831" s="64">
        <f>16.058 * CHOOSE(CONTROL!$C$22, $C$13, 100%, $E$13)</f>
        <v>16.058</v>
      </c>
      <c r="F831" s="64">
        <f>16.058 * CHOOSE(CONTROL!$C$22, $C$13, 100%, $E$13)</f>
        <v>16.058</v>
      </c>
      <c r="G831" s="64">
        <f>16.0581 * CHOOSE(CONTROL!$C$22, $C$13, 100%, $E$13)</f>
        <v>16.0581</v>
      </c>
      <c r="H831" s="64">
        <f>27.5636* CHOOSE(CONTROL!$C$22, $C$13, 100%, $E$13)</f>
        <v>27.563600000000001</v>
      </c>
      <c r="I831" s="64">
        <f>27.5637 * CHOOSE(CONTROL!$C$22, $C$13, 100%, $E$13)</f>
        <v>27.563700000000001</v>
      </c>
      <c r="J831" s="64">
        <f>16.058 * CHOOSE(CONTROL!$C$22, $C$13, 100%, $E$13)</f>
        <v>16.058</v>
      </c>
      <c r="K831" s="64">
        <f>16.0581 * CHOOSE(CONTROL!$C$22, $C$13, 100%, $E$13)</f>
        <v>16.0581</v>
      </c>
    </row>
    <row r="832" spans="1:11" ht="15">
      <c r="A832" s="13">
        <v>66811</v>
      </c>
      <c r="B832" s="63">
        <f>14.0934 * CHOOSE(CONTROL!$C$22, $C$13, 100%, $E$13)</f>
        <v>14.093400000000001</v>
      </c>
      <c r="C832" s="63">
        <f>14.0934 * CHOOSE(CONTROL!$C$22, $C$13, 100%, $E$13)</f>
        <v>14.093400000000001</v>
      </c>
      <c r="D832" s="63">
        <f>14.0934 * CHOOSE(CONTROL!$C$22, $C$13, 100%, $E$13)</f>
        <v>14.093400000000001</v>
      </c>
      <c r="E832" s="64">
        <f>15.91 * CHOOSE(CONTROL!$C$22, $C$13, 100%, $E$13)</f>
        <v>15.91</v>
      </c>
      <c r="F832" s="64">
        <f>15.91 * CHOOSE(CONTROL!$C$22, $C$13, 100%, $E$13)</f>
        <v>15.91</v>
      </c>
      <c r="G832" s="64">
        <f>15.9101 * CHOOSE(CONTROL!$C$22, $C$13, 100%, $E$13)</f>
        <v>15.9101</v>
      </c>
      <c r="H832" s="64">
        <f>27.6211* CHOOSE(CONTROL!$C$22, $C$13, 100%, $E$13)</f>
        <v>27.621099999999998</v>
      </c>
      <c r="I832" s="64">
        <f>27.6211 * CHOOSE(CONTROL!$C$22, $C$13, 100%, $E$13)</f>
        <v>27.621099999999998</v>
      </c>
      <c r="J832" s="64">
        <f>15.91 * CHOOSE(CONTROL!$C$22, $C$13, 100%, $E$13)</f>
        <v>15.91</v>
      </c>
      <c r="K832" s="64">
        <f>15.9101 * CHOOSE(CONTROL!$C$22, $C$13, 100%, $E$13)</f>
        <v>15.9101</v>
      </c>
    </row>
    <row r="833" spans="1:11" ht="15">
      <c r="A833" s="13">
        <v>66842</v>
      </c>
      <c r="B833" s="63">
        <f>14.0787 * CHOOSE(CONTROL!$C$22, $C$13, 100%, $E$13)</f>
        <v>14.0787</v>
      </c>
      <c r="C833" s="63">
        <f>14.0787 * CHOOSE(CONTROL!$C$22, $C$13, 100%, $E$13)</f>
        <v>14.0787</v>
      </c>
      <c r="D833" s="63">
        <f>14.0787 * CHOOSE(CONTROL!$C$22, $C$13, 100%, $E$13)</f>
        <v>14.0787</v>
      </c>
      <c r="E833" s="64">
        <f>16.013 * CHOOSE(CONTROL!$C$22, $C$13, 100%, $E$13)</f>
        <v>16.013000000000002</v>
      </c>
      <c r="F833" s="64">
        <f>16.013 * CHOOSE(CONTROL!$C$22, $C$13, 100%, $E$13)</f>
        <v>16.013000000000002</v>
      </c>
      <c r="G833" s="64">
        <f>16.013 * CHOOSE(CONTROL!$C$22, $C$13, 100%, $E$13)</f>
        <v>16.013000000000002</v>
      </c>
      <c r="H833" s="64">
        <f>27.4418* CHOOSE(CONTROL!$C$22, $C$13, 100%, $E$13)</f>
        <v>27.441800000000001</v>
      </c>
      <c r="I833" s="64">
        <f>27.4419 * CHOOSE(CONTROL!$C$22, $C$13, 100%, $E$13)</f>
        <v>27.4419</v>
      </c>
      <c r="J833" s="64">
        <f>16.013 * CHOOSE(CONTROL!$C$22, $C$13, 100%, $E$13)</f>
        <v>16.013000000000002</v>
      </c>
      <c r="K833" s="64">
        <f>16.013 * CHOOSE(CONTROL!$C$22, $C$13, 100%, $E$13)</f>
        <v>16.013000000000002</v>
      </c>
    </row>
    <row r="834" spans="1:11" ht="15">
      <c r="A834" s="13">
        <v>66873</v>
      </c>
      <c r="B834" s="63">
        <f>14.0757 * CHOOSE(CONTROL!$C$22, $C$13, 100%, $E$13)</f>
        <v>14.075699999999999</v>
      </c>
      <c r="C834" s="63">
        <f>14.0757 * CHOOSE(CONTROL!$C$22, $C$13, 100%, $E$13)</f>
        <v>14.075699999999999</v>
      </c>
      <c r="D834" s="63">
        <f>14.0757 * CHOOSE(CONTROL!$C$22, $C$13, 100%, $E$13)</f>
        <v>14.075699999999999</v>
      </c>
      <c r="E834" s="64">
        <f>15.7262 * CHOOSE(CONTROL!$C$22, $C$13, 100%, $E$13)</f>
        <v>15.7262</v>
      </c>
      <c r="F834" s="64">
        <f>15.7262 * CHOOSE(CONTROL!$C$22, $C$13, 100%, $E$13)</f>
        <v>15.7262</v>
      </c>
      <c r="G834" s="64">
        <f>15.7263 * CHOOSE(CONTROL!$C$22, $C$13, 100%, $E$13)</f>
        <v>15.7263</v>
      </c>
      <c r="H834" s="64">
        <f>27.499* CHOOSE(CONTROL!$C$22, $C$13, 100%, $E$13)</f>
        <v>27.498999999999999</v>
      </c>
      <c r="I834" s="64">
        <f>27.4991 * CHOOSE(CONTROL!$C$22, $C$13, 100%, $E$13)</f>
        <v>27.499099999999999</v>
      </c>
      <c r="J834" s="64">
        <f>15.7262 * CHOOSE(CONTROL!$C$22, $C$13, 100%, $E$13)</f>
        <v>15.7262</v>
      </c>
      <c r="K834" s="64">
        <f>15.7263 * CHOOSE(CONTROL!$C$22, $C$13, 100%, $E$13)</f>
        <v>15.7263</v>
      </c>
    </row>
    <row r="835" spans="1:11" ht="15">
      <c r="A835" s="13">
        <v>66901</v>
      </c>
      <c r="B835" s="63">
        <f>14.0727 * CHOOSE(CONTROL!$C$22, $C$13, 100%, $E$13)</f>
        <v>14.072699999999999</v>
      </c>
      <c r="C835" s="63">
        <f>14.0727 * CHOOSE(CONTROL!$C$22, $C$13, 100%, $E$13)</f>
        <v>14.072699999999999</v>
      </c>
      <c r="D835" s="63">
        <f>14.0727 * CHOOSE(CONTROL!$C$22, $C$13, 100%, $E$13)</f>
        <v>14.072699999999999</v>
      </c>
      <c r="E835" s="64">
        <f>15.9485 * CHOOSE(CONTROL!$C$22, $C$13, 100%, $E$13)</f>
        <v>15.948499999999999</v>
      </c>
      <c r="F835" s="64">
        <f>15.9485 * CHOOSE(CONTROL!$C$22, $C$13, 100%, $E$13)</f>
        <v>15.948499999999999</v>
      </c>
      <c r="G835" s="64">
        <f>15.9486 * CHOOSE(CONTROL!$C$22, $C$13, 100%, $E$13)</f>
        <v>15.948600000000001</v>
      </c>
      <c r="H835" s="64">
        <f>27.5563* CHOOSE(CONTROL!$C$22, $C$13, 100%, $E$13)</f>
        <v>27.5563</v>
      </c>
      <c r="I835" s="64">
        <f>27.5563 * CHOOSE(CONTROL!$C$22, $C$13, 100%, $E$13)</f>
        <v>27.5563</v>
      </c>
      <c r="J835" s="64">
        <f>15.9485 * CHOOSE(CONTROL!$C$22, $C$13, 100%, $E$13)</f>
        <v>15.948499999999999</v>
      </c>
      <c r="K835" s="64">
        <f>15.9486 * CHOOSE(CONTROL!$C$22, $C$13, 100%, $E$13)</f>
        <v>15.948600000000001</v>
      </c>
    </row>
    <row r="836" spans="1:11" ht="15">
      <c r="A836" s="13">
        <v>66932</v>
      </c>
      <c r="B836" s="63">
        <f>14.0787 * CHOOSE(CONTROL!$C$22, $C$13, 100%, $E$13)</f>
        <v>14.0787</v>
      </c>
      <c r="C836" s="63">
        <f>14.0787 * CHOOSE(CONTROL!$C$22, $C$13, 100%, $E$13)</f>
        <v>14.0787</v>
      </c>
      <c r="D836" s="63">
        <f>14.0788 * CHOOSE(CONTROL!$C$22, $C$13, 100%, $E$13)</f>
        <v>14.078799999999999</v>
      </c>
      <c r="E836" s="64">
        <f>16.1852 * CHOOSE(CONTROL!$C$22, $C$13, 100%, $E$13)</f>
        <v>16.185199999999998</v>
      </c>
      <c r="F836" s="64">
        <f>16.1852 * CHOOSE(CONTROL!$C$22, $C$13, 100%, $E$13)</f>
        <v>16.185199999999998</v>
      </c>
      <c r="G836" s="64">
        <f>16.1853 * CHOOSE(CONTROL!$C$22, $C$13, 100%, $E$13)</f>
        <v>16.185300000000002</v>
      </c>
      <c r="H836" s="64">
        <f>27.6137* CHOOSE(CONTROL!$C$22, $C$13, 100%, $E$13)</f>
        <v>27.613700000000001</v>
      </c>
      <c r="I836" s="64">
        <f>27.6138 * CHOOSE(CONTROL!$C$22, $C$13, 100%, $E$13)</f>
        <v>27.613800000000001</v>
      </c>
      <c r="J836" s="64">
        <f>16.1852 * CHOOSE(CONTROL!$C$22, $C$13, 100%, $E$13)</f>
        <v>16.185199999999998</v>
      </c>
      <c r="K836" s="64">
        <f>16.1853 * CHOOSE(CONTROL!$C$22, $C$13, 100%, $E$13)</f>
        <v>16.185300000000002</v>
      </c>
    </row>
    <row r="837" spans="1:11" ht="15">
      <c r="A837" s="13">
        <v>66962</v>
      </c>
      <c r="B837" s="63">
        <f>14.0787 * CHOOSE(CONTROL!$C$22, $C$13, 100%, $E$13)</f>
        <v>14.0787</v>
      </c>
      <c r="C837" s="63">
        <f>14.0787 * CHOOSE(CONTROL!$C$22, $C$13, 100%, $E$13)</f>
        <v>14.0787</v>
      </c>
      <c r="D837" s="63">
        <f>14.0917 * CHOOSE(CONTROL!$C$22, $C$13, 100%, $E$13)</f>
        <v>14.091699999999999</v>
      </c>
      <c r="E837" s="64">
        <f>16.2756 * CHOOSE(CONTROL!$C$22, $C$13, 100%, $E$13)</f>
        <v>16.275600000000001</v>
      </c>
      <c r="F837" s="64">
        <f>16.2756 * CHOOSE(CONTROL!$C$22, $C$13, 100%, $E$13)</f>
        <v>16.275600000000001</v>
      </c>
      <c r="G837" s="64">
        <f>16.2912 * CHOOSE(CONTROL!$C$22, $C$13, 100%, $E$13)</f>
        <v>16.2912</v>
      </c>
      <c r="H837" s="64">
        <f>27.6712* CHOOSE(CONTROL!$C$22, $C$13, 100%, $E$13)</f>
        <v>27.671199999999999</v>
      </c>
      <c r="I837" s="64">
        <f>27.6869 * CHOOSE(CONTROL!$C$22, $C$13, 100%, $E$13)</f>
        <v>27.686900000000001</v>
      </c>
      <c r="J837" s="64">
        <f>16.2756 * CHOOSE(CONTROL!$C$22, $C$13, 100%, $E$13)</f>
        <v>16.275600000000001</v>
      </c>
      <c r="K837" s="64">
        <f>16.2912 * CHOOSE(CONTROL!$C$22, $C$13, 100%, $E$13)</f>
        <v>16.2912</v>
      </c>
    </row>
    <row r="838" spans="1:11" ht="15">
      <c r="A838" s="13">
        <v>66993</v>
      </c>
      <c r="B838" s="63">
        <f>14.0848 * CHOOSE(CONTROL!$C$22, $C$13, 100%, $E$13)</f>
        <v>14.0848</v>
      </c>
      <c r="C838" s="63">
        <f>14.0848 * CHOOSE(CONTROL!$C$22, $C$13, 100%, $E$13)</f>
        <v>14.0848</v>
      </c>
      <c r="D838" s="63">
        <f>14.0978 * CHOOSE(CONTROL!$C$22, $C$13, 100%, $E$13)</f>
        <v>14.097799999999999</v>
      </c>
      <c r="E838" s="64">
        <f>16.1894 * CHOOSE(CONTROL!$C$22, $C$13, 100%, $E$13)</f>
        <v>16.189399999999999</v>
      </c>
      <c r="F838" s="64">
        <f>16.1894 * CHOOSE(CONTROL!$C$22, $C$13, 100%, $E$13)</f>
        <v>16.189399999999999</v>
      </c>
      <c r="G838" s="64">
        <f>16.2051 * CHOOSE(CONTROL!$C$22, $C$13, 100%, $E$13)</f>
        <v>16.205100000000002</v>
      </c>
      <c r="H838" s="64">
        <f>27.7288* CHOOSE(CONTROL!$C$22, $C$13, 100%, $E$13)</f>
        <v>27.7288</v>
      </c>
      <c r="I838" s="64">
        <f>27.7445 * CHOOSE(CONTROL!$C$22, $C$13, 100%, $E$13)</f>
        <v>27.744499999999999</v>
      </c>
      <c r="J838" s="64">
        <f>16.1894 * CHOOSE(CONTROL!$C$22, $C$13, 100%, $E$13)</f>
        <v>16.189399999999999</v>
      </c>
      <c r="K838" s="64">
        <f>16.2051 * CHOOSE(CONTROL!$C$22, $C$13, 100%, $E$13)</f>
        <v>16.205100000000002</v>
      </c>
    </row>
    <row r="839" spans="1:11" ht="15">
      <c r="A839" s="13">
        <v>67023</v>
      </c>
      <c r="B839" s="63">
        <f>14.2984 * CHOOSE(CONTROL!$C$22, $C$13, 100%, $E$13)</f>
        <v>14.298400000000001</v>
      </c>
      <c r="C839" s="63">
        <f>14.2984 * CHOOSE(CONTROL!$C$22, $C$13, 100%, $E$13)</f>
        <v>14.298400000000001</v>
      </c>
      <c r="D839" s="63">
        <f>14.3114 * CHOOSE(CONTROL!$C$22, $C$13, 100%, $E$13)</f>
        <v>14.311400000000001</v>
      </c>
      <c r="E839" s="64">
        <f>16.4469 * CHOOSE(CONTROL!$C$22, $C$13, 100%, $E$13)</f>
        <v>16.446899999999999</v>
      </c>
      <c r="F839" s="64">
        <f>16.4469 * CHOOSE(CONTROL!$C$22, $C$13, 100%, $E$13)</f>
        <v>16.446899999999999</v>
      </c>
      <c r="G839" s="64">
        <f>16.4626 * CHOOSE(CONTROL!$C$22, $C$13, 100%, $E$13)</f>
        <v>16.462599999999998</v>
      </c>
      <c r="H839" s="64">
        <f>27.7866* CHOOSE(CONTROL!$C$22, $C$13, 100%, $E$13)</f>
        <v>27.7866</v>
      </c>
      <c r="I839" s="64">
        <f>27.8023 * CHOOSE(CONTROL!$C$22, $C$13, 100%, $E$13)</f>
        <v>27.802299999999999</v>
      </c>
      <c r="J839" s="64">
        <f>16.4469 * CHOOSE(CONTROL!$C$22, $C$13, 100%, $E$13)</f>
        <v>16.446899999999999</v>
      </c>
      <c r="K839" s="64">
        <f>16.4626 * CHOOSE(CONTROL!$C$22, $C$13, 100%, $E$13)</f>
        <v>16.462599999999998</v>
      </c>
    </row>
    <row r="840" spans="1:11" ht="15">
      <c r="A840" s="13">
        <v>67054</v>
      </c>
      <c r="B840" s="63">
        <f>14.3051 * CHOOSE(CONTROL!$C$22, $C$13, 100%, $E$13)</f>
        <v>14.305099999999999</v>
      </c>
      <c r="C840" s="63">
        <f>14.3051 * CHOOSE(CONTROL!$C$22, $C$13, 100%, $E$13)</f>
        <v>14.305099999999999</v>
      </c>
      <c r="D840" s="63">
        <f>14.3181 * CHOOSE(CONTROL!$C$22, $C$13, 100%, $E$13)</f>
        <v>14.318099999999999</v>
      </c>
      <c r="E840" s="64">
        <f>16.1805 * CHOOSE(CONTROL!$C$22, $C$13, 100%, $E$13)</f>
        <v>16.180499999999999</v>
      </c>
      <c r="F840" s="64">
        <f>16.1805 * CHOOSE(CONTROL!$C$22, $C$13, 100%, $E$13)</f>
        <v>16.180499999999999</v>
      </c>
      <c r="G840" s="64">
        <f>16.1962 * CHOOSE(CONTROL!$C$22, $C$13, 100%, $E$13)</f>
        <v>16.196200000000001</v>
      </c>
      <c r="H840" s="64">
        <f>27.8445* CHOOSE(CONTROL!$C$22, $C$13, 100%, $E$13)</f>
        <v>27.8445</v>
      </c>
      <c r="I840" s="64">
        <f>27.8602 * CHOOSE(CONTROL!$C$22, $C$13, 100%, $E$13)</f>
        <v>27.860199999999999</v>
      </c>
      <c r="J840" s="64">
        <f>16.1805 * CHOOSE(CONTROL!$C$22, $C$13, 100%, $E$13)</f>
        <v>16.180499999999999</v>
      </c>
      <c r="K840" s="64">
        <f>16.1962 * CHOOSE(CONTROL!$C$22, $C$13, 100%, $E$13)</f>
        <v>16.196200000000001</v>
      </c>
    </row>
    <row r="841" spans="1:11" ht="15">
      <c r="A841" s="13">
        <v>67085</v>
      </c>
      <c r="B841" s="63">
        <f>14.3021 * CHOOSE(CONTROL!$C$22, $C$13, 100%, $E$13)</f>
        <v>14.302099999999999</v>
      </c>
      <c r="C841" s="63">
        <f>14.3021 * CHOOSE(CONTROL!$C$22, $C$13, 100%, $E$13)</f>
        <v>14.302099999999999</v>
      </c>
      <c r="D841" s="63">
        <f>14.315 * CHOOSE(CONTROL!$C$22, $C$13, 100%, $E$13)</f>
        <v>14.315</v>
      </c>
      <c r="E841" s="64">
        <f>16.1482 * CHOOSE(CONTROL!$C$22, $C$13, 100%, $E$13)</f>
        <v>16.148199999999999</v>
      </c>
      <c r="F841" s="64">
        <f>16.1482 * CHOOSE(CONTROL!$C$22, $C$13, 100%, $E$13)</f>
        <v>16.148199999999999</v>
      </c>
      <c r="G841" s="64">
        <f>16.1639 * CHOOSE(CONTROL!$C$22, $C$13, 100%, $E$13)</f>
        <v>16.163900000000002</v>
      </c>
      <c r="H841" s="64">
        <f>27.9025* CHOOSE(CONTROL!$C$22, $C$13, 100%, $E$13)</f>
        <v>27.9025</v>
      </c>
      <c r="I841" s="64">
        <f>27.9182 * CHOOSE(CONTROL!$C$22, $C$13, 100%, $E$13)</f>
        <v>27.918199999999999</v>
      </c>
      <c r="J841" s="64">
        <f>16.1482 * CHOOSE(CONTROL!$C$22, $C$13, 100%, $E$13)</f>
        <v>16.148199999999999</v>
      </c>
      <c r="K841" s="64">
        <f>16.1639 * CHOOSE(CONTROL!$C$22, $C$13, 100%, $E$13)</f>
        <v>16.163900000000002</v>
      </c>
    </row>
    <row r="842" spans="1:11" ht="15">
      <c r="A842" s="13">
        <v>67115</v>
      </c>
      <c r="B842" s="63">
        <f>14.3303 * CHOOSE(CONTROL!$C$22, $C$13, 100%, $E$13)</f>
        <v>14.330299999999999</v>
      </c>
      <c r="C842" s="63">
        <f>14.3303 * CHOOSE(CONTROL!$C$22, $C$13, 100%, $E$13)</f>
        <v>14.330299999999999</v>
      </c>
      <c r="D842" s="63">
        <f>14.3303 * CHOOSE(CONTROL!$C$22, $C$13, 100%, $E$13)</f>
        <v>14.330299999999999</v>
      </c>
      <c r="E842" s="64">
        <f>16.2553 * CHOOSE(CONTROL!$C$22, $C$13, 100%, $E$13)</f>
        <v>16.255299999999998</v>
      </c>
      <c r="F842" s="64">
        <f>16.2553 * CHOOSE(CONTROL!$C$22, $C$13, 100%, $E$13)</f>
        <v>16.255299999999998</v>
      </c>
      <c r="G842" s="64">
        <f>16.2554 * CHOOSE(CONTROL!$C$22, $C$13, 100%, $E$13)</f>
        <v>16.255400000000002</v>
      </c>
      <c r="H842" s="64">
        <f>27.9606* CHOOSE(CONTROL!$C$22, $C$13, 100%, $E$13)</f>
        <v>27.960599999999999</v>
      </c>
      <c r="I842" s="64">
        <f>27.9607 * CHOOSE(CONTROL!$C$22, $C$13, 100%, $E$13)</f>
        <v>27.960699999999999</v>
      </c>
      <c r="J842" s="64">
        <f>16.2553 * CHOOSE(CONTROL!$C$22, $C$13, 100%, $E$13)</f>
        <v>16.255299999999998</v>
      </c>
      <c r="K842" s="64">
        <f>16.2554 * CHOOSE(CONTROL!$C$22, $C$13, 100%, $E$13)</f>
        <v>16.255400000000002</v>
      </c>
    </row>
    <row r="843" spans="1:11" ht="15">
      <c r="A843" s="13">
        <v>67146</v>
      </c>
      <c r="B843" s="63">
        <f>14.3333 * CHOOSE(CONTROL!$C$22, $C$13, 100%, $E$13)</f>
        <v>14.333299999999999</v>
      </c>
      <c r="C843" s="63">
        <f>14.3333 * CHOOSE(CONTROL!$C$22, $C$13, 100%, $E$13)</f>
        <v>14.333299999999999</v>
      </c>
      <c r="D843" s="63">
        <f>14.3333 * CHOOSE(CONTROL!$C$22, $C$13, 100%, $E$13)</f>
        <v>14.333299999999999</v>
      </c>
      <c r="E843" s="64">
        <f>16.3177 * CHOOSE(CONTROL!$C$22, $C$13, 100%, $E$13)</f>
        <v>16.317699999999999</v>
      </c>
      <c r="F843" s="64">
        <f>16.3177 * CHOOSE(CONTROL!$C$22, $C$13, 100%, $E$13)</f>
        <v>16.317699999999999</v>
      </c>
      <c r="G843" s="64">
        <f>16.3177 * CHOOSE(CONTROL!$C$22, $C$13, 100%, $E$13)</f>
        <v>16.317699999999999</v>
      </c>
      <c r="H843" s="64">
        <f>28.0189* CHOOSE(CONTROL!$C$22, $C$13, 100%, $E$13)</f>
        <v>28.018899999999999</v>
      </c>
      <c r="I843" s="64">
        <f>28.019 * CHOOSE(CONTROL!$C$22, $C$13, 100%, $E$13)</f>
        <v>28.018999999999998</v>
      </c>
      <c r="J843" s="64">
        <f>16.3177 * CHOOSE(CONTROL!$C$22, $C$13, 100%, $E$13)</f>
        <v>16.317699999999999</v>
      </c>
      <c r="K843" s="64">
        <f>16.3177 * CHOOSE(CONTROL!$C$22, $C$13, 100%, $E$13)</f>
        <v>16.317699999999999</v>
      </c>
    </row>
    <row r="844" spans="1:11" ht="15">
      <c r="A844" s="13">
        <v>67176</v>
      </c>
      <c r="B844" s="63">
        <f>14.3333 * CHOOSE(CONTROL!$C$22, $C$13, 100%, $E$13)</f>
        <v>14.333299999999999</v>
      </c>
      <c r="C844" s="63">
        <f>14.3333 * CHOOSE(CONTROL!$C$22, $C$13, 100%, $E$13)</f>
        <v>14.333299999999999</v>
      </c>
      <c r="D844" s="63">
        <f>14.3333 * CHOOSE(CONTROL!$C$22, $C$13, 100%, $E$13)</f>
        <v>14.333299999999999</v>
      </c>
      <c r="E844" s="64">
        <f>16.1671 * CHOOSE(CONTROL!$C$22, $C$13, 100%, $E$13)</f>
        <v>16.167100000000001</v>
      </c>
      <c r="F844" s="64">
        <f>16.1671 * CHOOSE(CONTROL!$C$22, $C$13, 100%, $E$13)</f>
        <v>16.167100000000001</v>
      </c>
      <c r="G844" s="64">
        <f>16.1671 * CHOOSE(CONTROL!$C$22, $C$13, 100%, $E$13)</f>
        <v>16.167100000000001</v>
      </c>
      <c r="H844" s="64">
        <f>28.0773* CHOOSE(CONTROL!$C$22, $C$13, 100%, $E$13)</f>
        <v>28.077300000000001</v>
      </c>
      <c r="I844" s="64">
        <f>28.0774 * CHOOSE(CONTROL!$C$22, $C$13, 100%, $E$13)</f>
        <v>28.077400000000001</v>
      </c>
      <c r="J844" s="64">
        <f>16.1671 * CHOOSE(CONTROL!$C$22, $C$13, 100%, $E$13)</f>
        <v>16.167100000000001</v>
      </c>
      <c r="K844" s="64">
        <f>16.1671 * CHOOSE(CONTROL!$C$22, $C$13, 100%, $E$13)</f>
        <v>16.167100000000001</v>
      </c>
    </row>
    <row r="845" spans="1:11" ht="15">
      <c r="A845" s="13">
        <v>67207</v>
      </c>
      <c r="B845" s="63">
        <f>14.3143 * CHOOSE(CONTROL!$C$22, $C$13, 100%, $E$13)</f>
        <v>14.314299999999999</v>
      </c>
      <c r="C845" s="63">
        <f>14.3143 * CHOOSE(CONTROL!$C$22, $C$13, 100%, $E$13)</f>
        <v>14.314299999999999</v>
      </c>
      <c r="D845" s="63">
        <f>14.3143 * CHOOSE(CONTROL!$C$22, $C$13, 100%, $E$13)</f>
        <v>14.314299999999999</v>
      </c>
      <c r="E845" s="64">
        <f>16.2677 * CHOOSE(CONTROL!$C$22, $C$13, 100%, $E$13)</f>
        <v>16.267700000000001</v>
      </c>
      <c r="F845" s="64">
        <f>16.2677 * CHOOSE(CONTROL!$C$22, $C$13, 100%, $E$13)</f>
        <v>16.267700000000001</v>
      </c>
      <c r="G845" s="64">
        <f>16.2678 * CHOOSE(CONTROL!$C$22, $C$13, 100%, $E$13)</f>
        <v>16.267800000000001</v>
      </c>
      <c r="H845" s="64">
        <f>27.8877* CHOOSE(CONTROL!$C$22, $C$13, 100%, $E$13)</f>
        <v>27.887699999999999</v>
      </c>
      <c r="I845" s="64">
        <f>27.8878 * CHOOSE(CONTROL!$C$22, $C$13, 100%, $E$13)</f>
        <v>27.887799999999999</v>
      </c>
      <c r="J845" s="64">
        <f>16.2677 * CHOOSE(CONTROL!$C$22, $C$13, 100%, $E$13)</f>
        <v>16.267700000000001</v>
      </c>
      <c r="K845" s="64">
        <f>16.2678 * CHOOSE(CONTROL!$C$22, $C$13, 100%, $E$13)</f>
        <v>16.267800000000001</v>
      </c>
    </row>
    <row r="846" spans="1:11" ht="15">
      <c r="A846" s="13">
        <v>67238</v>
      </c>
      <c r="B846" s="63">
        <f>14.3113 * CHOOSE(CONTROL!$C$22, $C$13, 100%, $E$13)</f>
        <v>14.311299999999999</v>
      </c>
      <c r="C846" s="63">
        <f>14.3113 * CHOOSE(CONTROL!$C$22, $C$13, 100%, $E$13)</f>
        <v>14.311299999999999</v>
      </c>
      <c r="D846" s="63">
        <f>14.3113 * CHOOSE(CONTROL!$C$22, $C$13, 100%, $E$13)</f>
        <v>14.311299999999999</v>
      </c>
      <c r="E846" s="64">
        <f>15.976 * CHOOSE(CONTROL!$C$22, $C$13, 100%, $E$13)</f>
        <v>15.976000000000001</v>
      </c>
      <c r="F846" s="64">
        <f>15.976 * CHOOSE(CONTROL!$C$22, $C$13, 100%, $E$13)</f>
        <v>15.976000000000001</v>
      </c>
      <c r="G846" s="64">
        <f>15.9761 * CHOOSE(CONTROL!$C$22, $C$13, 100%, $E$13)</f>
        <v>15.976100000000001</v>
      </c>
      <c r="H846" s="64">
        <f>27.9458* CHOOSE(CONTROL!$C$22, $C$13, 100%, $E$13)</f>
        <v>27.945799999999998</v>
      </c>
      <c r="I846" s="64">
        <f>27.9459 * CHOOSE(CONTROL!$C$22, $C$13, 100%, $E$13)</f>
        <v>27.945900000000002</v>
      </c>
      <c r="J846" s="64">
        <f>15.976 * CHOOSE(CONTROL!$C$22, $C$13, 100%, $E$13)</f>
        <v>15.976000000000001</v>
      </c>
      <c r="K846" s="64">
        <f>15.9761 * CHOOSE(CONTROL!$C$22, $C$13, 100%, $E$13)</f>
        <v>15.976100000000001</v>
      </c>
    </row>
    <row r="847" spans="1:11" ht="15">
      <c r="A847" s="13">
        <v>67267</v>
      </c>
      <c r="B847" s="63">
        <f>14.3082 * CHOOSE(CONTROL!$C$22, $C$13, 100%, $E$13)</f>
        <v>14.308199999999999</v>
      </c>
      <c r="C847" s="63">
        <f>14.3082 * CHOOSE(CONTROL!$C$22, $C$13, 100%, $E$13)</f>
        <v>14.308199999999999</v>
      </c>
      <c r="D847" s="63">
        <f>14.3082 * CHOOSE(CONTROL!$C$22, $C$13, 100%, $E$13)</f>
        <v>14.308199999999999</v>
      </c>
      <c r="E847" s="64">
        <f>16.2022 * CHOOSE(CONTROL!$C$22, $C$13, 100%, $E$13)</f>
        <v>16.202200000000001</v>
      </c>
      <c r="F847" s="64">
        <f>16.2022 * CHOOSE(CONTROL!$C$22, $C$13, 100%, $E$13)</f>
        <v>16.202200000000001</v>
      </c>
      <c r="G847" s="64">
        <f>16.2022 * CHOOSE(CONTROL!$C$22, $C$13, 100%, $E$13)</f>
        <v>16.202200000000001</v>
      </c>
      <c r="H847" s="64">
        <f>28.004* CHOOSE(CONTROL!$C$22, $C$13, 100%, $E$13)</f>
        <v>28.004000000000001</v>
      </c>
      <c r="I847" s="64">
        <f>28.0041 * CHOOSE(CONTROL!$C$22, $C$13, 100%, $E$13)</f>
        <v>28.004100000000001</v>
      </c>
      <c r="J847" s="64">
        <f>16.2022 * CHOOSE(CONTROL!$C$22, $C$13, 100%, $E$13)</f>
        <v>16.202200000000001</v>
      </c>
      <c r="K847" s="64">
        <f>16.2022 * CHOOSE(CONTROL!$C$22, $C$13, 100%, $E$13)</f>
        <v>16.202200000000001</v>
      </c>
    </row>
    <row r="848" spans="1:11" ht="15">
      <c r="A848" s="13">
        <v>67298</v>
      </c>
      <c r="B848" s="63">
        <f>14.3145 * CHOOSE(CONTROL!$C$22, $C$13, 100%, $E$13)</f>
        <v>14.314500000000001</v>
      </c>
      <c r="C848" s="63">
        <f>14.3145 * CHOOSE(CONTROL!$C$22, $C$13, 100%, $E$13)</f>
        <v>14.314500000000001</v>
      </c>
      <c r="D848" s="63">
        <f>14.3145 * CHOOSE(CONTROL!$C$22, $C$13, 100%, $E$13)</f>
        <v>14.314500000000001</v>
      </c>
      <c r="E848" s="64">
        <f>16.4431 * CHOOSE(CONTROL!$C$22, $C$13, 100%, $E$13)</f>
        <v>16.443100000000001</v>
      </c>
      <c r="F848" s="64">
        <f>16.4431 * CHOOSE(CONTROL!$C$22, $C$13, 100%, $E$13)</f>
        <v>16.443100000000001</v>
      </c>
      <c r="G848" s="64">
        <f>16.4431 * CHOOSE(CONTROL!$C$22, $C$13, 100%, $E$13)</f>
        <v>16.443100000000001</v>
      </c>
      <c r="H848" s="64">
        <f>28.0624* CHOOSE(CONTROL!$C$22, $C$13, 100%, $E$13)</f>
        <v>28.0624</v>
      </c>
      <c r="I848" s="64">
        <f>28.0624 * CHOOSE(CONTROL!$C$22, $C$13, 100%, $E$13)</f>
        <v>28.0624</v>
      </c>
      <c r="J848" s="64">
        <f>16.4431 * CHOOSE(CONTROL!$C$22, $C$13, 100%, $E$13)</f>
        <v>16.443100000000001</v>
      </c>
      <c r="K848" s="64">
        <f>16.4431 * CHOOSE(CONTROL!$C$22, $C$13, 100%, $E$13)</f>
        <v>16.443100000000001</v>
      </c>
    </row>
    <row r="849" spans="1:11" ht="15">
      <c r="A849" s="13">
        <v>67328</v>
      </c>
      <c r="B849" s="63">
        <f>14.3145 * CHOOSE(CONTROL!$C$22, $C$13, 100%, $E$13)</f>
        <v>14.314500000000001</v>
      </c>
      <c r="C849" s="63">
        <f>14.3145 * CHOOSE(CONTROL!$C$22, $C$13, 100%, $E$13)</f>
        <v>14.314500000000001</v>
      </c>
      <c r="D849" s="63">
        <f>14.3275 * CHOOSE(CONTROL!$C$22, $C$13, 100%, $E$13)</f>
        <v>14.327500000000001</v>
      </c>
      <c r="E849" s="64">
        <f>16.535 * CHOOSE(CONTROL!$C$22, $C$13, 100%, $E$13)</f>
        <v>16.535</v>
      </c>
      <c r="F849" s="64">
        <f>16.535 * CHOOSE(CONTROL!$C$22, $C$13, 100%, $E$13)</f>
        <v>16.535</v>
      </c>
      <c r="G849" s="64">
        <f>16.5507 * CHOOSE(CONTROL!$C$22, $C$13, 100%, $E$13)</f>
        <v>16.550699999999999</v>
      </c>
      <c r="H849" s="64">
        <f>28.1208* CHOOSE(CONTROL!$C$22, $C$13, 100%, $E$13)</f>
        <v>28.120799999999999</v>
      </c>
      <c r="I849" s="64">
        <f>28.1365 * CHOOSE(CONTROL!$C$22, $C$13, 100%, $E$13)</f>
        <v>28.136500000000002</v>
      </c>
      <c r="J849" s="64">
        <f>16.535 * CHOOSE(CONTROL!$C$22, $C$13, 100%, $E$13)</f>
        <v>16.535</v>
      </c>
      <c r="K849" s="64">
        <f>16.5507 * CHOOSE(CONTROL!$C$22, $C$13, 100%, $E$13)</f>
        <v>16.550699999999999</v>
      </c>
    </row>
    <row r="850" spans="1:11" ht="15">
      <c r="A850" s="13">
        <v>67359</v>
      </c>
      <c r="B850" s="63">
        <f>14.3206 * CHOOSE(CONTROL!$C$22, $C$13, 100%, $E$13)</f>
        <v>14.320600000000001</v>
      </c>
      <c r="C850" s="63">
        <f>14.3206 * CHOOSE(CONTROL!$C$22, $C$13, 100%, $E$13)</f>
        <v>14.320600000000001</v>
      </c>
      <c r="D850" s="63">
        <f>14.3336 * CHOOSE(CONTROL!$C$22, $C$13, 100%, $E$13)</f>
        <v>14.333600000000001</v>
      </c>
      <c r="E850" s="64">
        <f>16.4473 * CHOOSE(CONTROL!$C$22, $C$13, 100%, $E$13)</f>
        <v>16.447299999999998</v>
      </c>
      <c r="F850" s="64">
        <f>16.4473 * CHOOSE(CONTROL!$C$22, $C$13, 100%, $E$13)</f>
        <v>16.447299999999998</v>
      </c>
      <c r="G850" s="64">
        <f>16.463 * CHOOSE(CONTROL!$C$22, $C$13, 100%, $E$13)</f>
        <v>16.463000000000001</v>
      </c>
      <c r="H850" s="64">
        <f>28.1794* CHOOSE(CONTROL!$C$22, $C$13, 100%, $E$13)</f>
        <v>28.179400000000001</v>
      </c>
      <c r="I850" s="64">
        <f>28.1951 * CHOOSE(CONTROL!$C$22, $C$13, 100%, $E$13)</f>
        <v>28.1951</v>
      </c>
      <c r="J850" s="64">
        <f>16.4473 * CHOOSE(CONTROL!$C$22, $C$13, 100%, $E$13)</f>
        <v>16.447299999999998</v>
      </c>
      <c r="K850" s="64">
        <f>16.463 * CHOOSE(CONTROL!$C$22, $C$13, 100%, $E$13)</f>
        <v>16.463000000000001</v>
      </c>
    </row>
    <row r="851" spans="1:11" ht="15">
      <c r="A851" s="13">
        <v>67389</v>
      </c>
      <c r="B851" s="63">
        <f>14.5376 * CHOOSE(CONTROL!$C$22, $C$13, 100%, $E$13)</f>
        <v>14.537599999999999</v>
      </c>
      <c r="C851" s="63">
        <f>14.5376 * CHOOSE(CONTROL!$C$22, $C$13, 100%, $E$13)</f>
        <v>14.537599999999999</v>
      </c>
      <c r="D851" s="63">
        <f>14.5506 * CHOOSE(CONTROL!$C$22, $C$13, 100%, $E$13)</f>
        <v>14.550599999999999</v>
      </c>
      <c r="E851" s="64">
        <f>16.7087 * CHOOSE(CONTROL!$C$22, $C$13, 100%, $E$13)</f>
        <v>16.7087</v>
      </c>
      <c r="F851" s="64">
        <f>16.7087 * CHOOSE(CONTROL!$C$22, $C$13, 100%, $E$13)</f>
        <v>16.7087</v>
      </c>
      <c r="G851" s="64">
        <f>16.7243 * CHOOSE(CONTROL!$C$22, $C$13, 100%, $E$13)</f>
        <v>16.724299999999999</v>
      </c>
      <c r="H851" s="64">
        <f>28.2381* CHOOSE(CONTROL!$C$22, $C$13, 100%, $E$13)</f>
        <v>28.238099999999999</v>
      </c>
      <c r="I851" s="64">
        <f>28.2538 * CHOOSE(CONTROL!$C$22, $C$13, 100%, $E$13)</f>
        <v>28.253799999999998</v>
      </c>
      <c r="J851" s="64">
        <f>16.7087 * CHOOSE(CONTROL!$C$22, $C$13, 100%, $E$13)</f>
        <v>16.7087</v>
      </c>
      <c r="K851" s="64">
        <f>16.7243 * CHOOSE(CONTROL!$C$22, $C$13, 100%, $E$13)</f>
        <v>16.724299999999999</v>
      </c>
    </row>
    <row r="852" spans="1:11" ht="15">
      <c r="A852" s="13">
        <v>67420</v>
      </c>
      <c r="B852" s="63">
        <f>14.5443 * CHOOSE(CONTROL!$C$22, $C$13, 100%, $E$13)</f>
        <v>14.5443</v>
      </c>
      <c r="C852" s="63">
        <f>14.5443 * CHOOSE(CONTROL!$C$22, $C$13, 100%, $E$13)</f>
        <v>14.5443</v>
      </c>
      <c r="D852" s="63">
        <f>14.5573 * CHOOSE(CONTROL!$C$22, $C$13, 100%, $E$13)</f>
        <v>14.5573</v>
      </c>
      <c r="E852" s="64">
        <f>16.4375 * CHOOSE(CONTROL!$C$22, $C$13, 100%, $E$13)</f>
        <v>16.4375</v>
      </c>
      <c r="F852" s="64">
        <f>16.4375 * CHOOSE(CONTROL!$C$22, $C$13, 100%, $E$13)</f>
        <v>16.4375</v>
      </c>
      <c r="G852" s="64">
        <f>16.4532 * CHOOSE(CONTROL!$C$22, $C$13, 100%, $E$13)</f>
        <v>16.453199999999999</v>
      </c>
      <c r="H852" s="64">
        <f>28.2969* CHOOSE(CONTROL!$C$22, $C$13, 100%, $E$13)</f>
        <v>28.296900000000001</v>
      </c>
      <c r="I852" s="64">
        <f>28.3126 * CHOOSE(CONTROL!$C$22, $C$13, 100%, $E$13)</f>
        <v>28.3126</v>
      </c>
      <c r="J852" s="64">
        <f>16.4375 * CHOOSE(CONTROL!$C$22, $C$13, 100%, $E$13)</f>
        <v>16.4375</v>
      </c>
      <c r="K852" s="64">
        <f>16.4532 * CHOOSE(CONTROL!$C$22, $C$13, 100%, $E$13)</f>
        <v>16.453199999999999</v>
      </c>
    </row>
    <row r="853" spans="1:11" ht="15">
      <c r="A853" s="13">
        <v>67451</v>
      </c>
      <c r="B853" s="63">
        <f>14.5412 * CHOOSE(CONTROL!$C$22, $C$13, 100%, $E$13)</f>
        <v>14.5412</v>
      </c>
      <c r="C853" s="63">
        <f>14.5412 * CHOOSE(CONTROL!$C$22, $C$13, 100%, $E$13)</f>
        <v>14.5412</v>
      </c>
      <c r="D853" s="63">
        <f>14.5542 * CHOOSE(CONTROL!$C$22, $C$13, 100%, $E$13)</f>
        <v>14.5542</v>
      </c>
      <c r="E853" s="64">
        <f>16.4048 * CHOOSE(CONTROL!$C$22, $C$13, 100%, $E$13)</f>
        <v>16.404800000000002</v>
      </c>
      <c r="F853" s="64">
        <f>16.4048 * CHOOSE(CONTROL!$C$22, $C$13, 100%, $E$13)</f>
        <v>16.404800000000002</v>
      </c>
      <c r="G853" s="64">
        <f>16.4205 * CHOOSE(CONTROL!$C$22, $C$13, 100%, $E$13)</f>
        <v>16.420500000000001</v>
      </c>
      <c r="H853" s="64">
        <f>28.3559* CHOOSE(CONTROL!$C$22, $C$13, 100%, $E$13)</f>
        <v>28.355899999999998</v>
      </c>
      <c r="I853" s="64">
        <f>28.3716 * CHOOSE(CONTROL!$C$22, $C$13, 100%, $E$13)</f>
        <v>28.371600000000001</v>
      </c>
      <c r="J853" s="64">
        <f>16.4048 * CHOOSE(CONTROL!$C$22, $C$13, 100%, $E$13)</f>
        <v>16.404800000000002</v>
      </c>
      <c r="K853" s="64">
        <f>16.4205 * CHOOSE(CONTROL!$C$22, $C$13, 100%, $E$13)</f>
        <v>16.420500000000001</v>
      </c>
    </row>
    <row r="854" spans="1:11" ht="15">
      <c r="A854" s="13">
        <v>67481</v>
      </c>
      <c r="B854" s="63">
        <f>14.5702 * CHOOSE(CONTROL!$C$22, $C$13, 100%, $E$13)</f>
        <v>14.5702</v>
      </c>
      <c r="C854" s="63">
        <f>14.5702 * CHOOSE(CONTROL!$C$22, $C$13, 100%, $E$13)</f>
        <v>14.5702</v>
      </c>
      <c r="D854" s="63">
        <f>14.5702 * CHOOSE(CONTROL!$C$22, $C$13, 100%, $E$13)</f>
        <v>14.5702</v>
      </c>
      <c r="E854" s="64">
        <f>16.5139 * CHOOSE(CONTROL!$C$22, $C$13, 100%, $E$13)</f>
        <v>16.5139</v>
      </c>
      <c r="F854" s="64">
        <f>16.5139 * CHOOSE(CONTROL!$C$22, $C$13, 100%, $E$13)</f>
        <v>16.5139</v>
      </c>
      <c r="G854" s="64">
        <f>16.514 * CHOOSE(CONTROL!$C$22, $C$13, 100%, $E$13)</f>
        <v>16.513999999999999</v>
      </c>
      <c r="H854" s="64">
        <f>28.415* CHOOSE(CONTROL!$C$22, $C$13, 100%, $E$13)</f>
        <v>28.414999999999999</v>
      </c>
      <c r="I854" s="64">
        <f>28.415 * CHOOSE(CONTROL!$C$22, $C$13, 100%, $E$13)</f>
        <v>28.414999999999999</v>
      </c>
      <c r="J854" s="64">
        <f>16.5139 * CHOOSE(CONTROL!$C$22, $C$13, 100%, $E$13)</f>
        <v>16.5139</v>
      </c>
      <c r="K854" s="64">
        <f>16.514 * CHOOSE(CONTROL!$C$22, $C$13, 100%, $E$13)</f>
        <v>16.513999999999999</v>
      </c>
    </row>
    <row r="855" spans="1:11" ht="15">
      <c r="A855" s="13">
        <v>67512</v>
      </c>
      <c r="B855" s="63">
        <f>14.5733 * CHOOSE(CONTROL!$C$22, $C$13, 100%, $E$13)</f>
        <v>14.5733</v>
      </c>
      <c r="C855" s="63">
        <f>14.5733 * CHOOSE(CONTROL!$C$22, $C$13, 100%, $E$13)</f>
        <v>14.5733</v>
      </c>
      <c r="D855" s="63">
        <f>14.5733 * CHOOSE(CONTROL!$C$22, $C$13, 100%, $E$13)</f>
        <v>14.5733</v>
      </c>
      <c r="E855" s="64">
        <f>16.5773 * CHOOSE(CONTROL!$C$22, $C$13, 100%, $E$13)</f>
        <v>16.577300000000001</v>
      </c>
      <c r="F855" s="64">
        <f>16.5773 * CHOOSE(CONTROL!$C$22, $C$13, 100%, $E$13)</f>
        <v>16.577300000000001</v>
      </c>
      <c r="G855" s="64">
        <f>16.5774 * CHOOSE(CONTROL!$C$22, $C$13, 100%, $E$13)</f>
        <v>16.577400000000001</v>
      </c>
      <c r="H855" s="64">
        <f>28.4742* CHOOSE(CONTROL!$C$22, $C$13, 100%, $E$13)</f>
        <v>28.4742</v>
      </c>
      <c r="I855" s="64">
        <f>28.4742 * CHOOSE(CONTROL!$C$22, $C$13, 100%, $E$13)</f>
        <v>28.4742</v>
      </c>
      <c r="J855" s="64">
        <f>16.5773 * CHOOSE(CONTROL!$C$22, $C$13, 100%, $E$13)</f>
        <v>16.577300000000001</v>
      </c>
      <c r="K855" s="64">
        <f>16.5774 * CHOOSE(CONTROL!$C$22, $C$13, 100%, $E$13)</f>
        <v>16.577400000000001</v>
      </c>
    </row>
    <row r="856" spans="1:11" ht="15">
      <c r="A856" s="13">
        <v>67542</v>
      </c>
      <c r="B856" s="63">
        <f>14.5733 * CHOOSE(CONTROL!$C$22, $C$13, 100%, $E$13)</f>
        <v>14.5733</v>
      </c>
      <c r="C856" s="63">
        <f>14.5733 * CHOOSE(CONTROL!$C$22, $C$13, 100%, $E$13)</f>
        <v>14.5733</v>
      </c>
      <c r="D856" s="63">
        <f>14.5733 * CHOOSE(CONTROL!$C$22, $C$13, 100%, $E$13)</f>
        <v>14.5733</v>
      </c>
      <c r="E856" s="64">
        <f>16.4241 * CHOOSE(CONTROL!$C$22, $C$13, 100%, $E$13)</f>
        <v>16.424099999999999</v>
      </c>
      <c r="F856" s="64">
        <f>16.4241 * CHOOSE(CONTROL!$C$22, $C$13, 100%, $E$13)</f>
        <v>16.424099999999999</v>
      </c>
      <c r="G856" s="64">
        <f>16.4242 * CHOOSE(CONTROL!$C$22, $C$13, 100%, $E$13)</f>
        <v>16.424199999999999</v>
      </c>
      <c r="H856" s="64">
        <f>28.5335* CHOOSE(CONTROL!$C$22, $C$13, 100%, $E$13)</f>
        <v>28.5335</v>
      </c>
      <c r="I856" s="64">
        <f>28.5336 * CHOOSE(CONTROL!$C$22, $C$13, 100%, $E$13)</f>
        <v>28.5336</v>
      </c>
      <c r="J856" s="64">
        <f>16.4241 * CHOOSE(CONTROL!$C$22, $C$13, 100%, $E$13)</f>
        <v>16.424099999999999</v>
      </c>
      <c r="K856" s="64">
        <f>16.4242 * CHOOSE(CONTROL!$C$22, $C$13, 100%, $E$13)</f>
        <v>16.424199999999999</v>
      </c>
    </row>
    <row r="857" spans="1:11" ht="15">
      <c r="A857" s="13">
        <v>67573</v>
      </c>
      <c r="B857" s="63">
        <f>14.5499 * CHOOSE(CONTROL!$C$22, $C$13, 100%, $E$13)</f>
        <v>14.549899999999999</v>
      </c>
      <c r="C857" s="63">
        <f>14.5499 * CHOOSE(CONTROL!$C$22, $C$13, 100%, $E$13)</f>
        <v>14.549899999999999</v>
      </c>
      <c r="D857" s="63">
        <f>14.5499 * CHOOSE(CONTROL!$C$22, $C$13, 100%, $E$13)</f>
        <v>14.549899999999999</v>
      </c>
      <c r="E857" s="64">
        <f>16.5224 * CHOOSE(CONTROL!$C$22, $C$13, 100%, $E$13)</f>
        <v>16.522400000000001</v>
      </c>
      <c r="F857" s="64">
        <f>16.5224 * CHOOSE(CONTROL!$C$22, $C$13, 100%, $E$13)</f>
        <v>16.522400000000001</v>
      </c>
      <c r="G857" s="64">
        <f>16.5225 * CHOOSE(CONTROL!$C$22, $C$13, 100%, $E$13)</f>
        <v>16.522500000000001</v>
      </c>
      <c r="H857" s="64">
        <f>28.3336* CHOOSE(CONTROL!$C$22, $C$13, 100%, $E$13)</f>
        <v>28.333600000000001</v>
      </c>
      <c r="I857" s="64">
        <f>28.3337 * CHOOSE(CONTROL!$C$22, $C$13, 100%, $E$13)</f>
        <v>28.3337</v>
      </c>
      <c r="J857" s="64">
        <f>16.5224 * CHOOSE(CONTROL!$C$22, $C$13, 100%, $E$13)</f>
        <v>16.522400000000001</v>
      </c>
      <c r="K857" s="64">
        <f>16.5225 * CHOOSE(CONTROL!$C$22, $C$13, 100%, $E$13)</f>
        <v>16.522500000000001</v>
      </c>
    </row>
    <row r="858" spans="1:11" ht="15">
      <c r="A858" s="13">
        <v>67604</v>
      </c>
      <c r="B858" s="63">
        <f>14.5468 * CHOOSE(CONTROL!$C$22, $C$13, 100%, $E$13)</f>
        <v>14.546799999999999</v>
      </c>
      <c r="C858" s="63">
        <f>14.5468 * CHOOSE(CONTROL!$C$22, $C$13, 100%, $E$13)</f>
        <v>14.546799999999999</v>
      </c>
      <c r="D858" s="63">
        <f>14.5468 * CHOOSE(CONTROL!$C$22, $C$13, 100%, $E$13)</f>
        <v>14.546799999999999</v>
      </c>
      <c r="E858" s="64">
        <f>16.2258 * CHOOSE(CONTROL!$C$22, $C$13, 100%, $E$13)</f>
        <v>16.2258</v>
      </c>
      <c r="F858" s="64">
        <f>16.2258 * CHOOSE(CONTROL!$C$22, $C$13, 100%, $E$13)</f>
        <v>16.2258</v>
      </c>
      <c r="G858" s="64">
        <f>16.2259 * CHOOSE(CONTROL!$C$22, $C$13, 100%, $E$13)</f>
        <v>16.225899999999999</v>
      </c>
      <c r="H858" s="64">
        <f>28.3926* CHOOSE(CONTROL!$C$22, $C$13, 100%, $E$13)</f>
        <v>28.392600000000002</v>
      </c>
      <c r="I858" s="64">
        <f>28.3927 * CHOOSE(CONTROL!$C$22, $C$13, 100%, $E$13)</f>
        <v>28.392700000000001</v>
      </c>
      <c r="J858" s="64">
        <f>16.2258 * CHOOSE(CONTROL!$C$22, $C$13, 100%, $E$13)</f>
        <v>16.2258</v>
      </c>
      <c r="K858" s="64">
        <f>16.2259 * CHOOSE(CONTROL!$C$22, $C$13, 100%, $E$13)</f>
        <v>16.225899999999999</v>
      </c>
    </row>
    <row r="859" spans="1:11" ht="15">
      <c r="A859" s="13">
        <v>67632</v>
      </c>
      <c r="B859" s="63">
        <f>14.5438 * CHOOSE(CONTROL!$C$22, $C$13, 100%, $E$13)</f>
        <v>14.543799999999999</v>
      </c>
      <c r="C859" s="63">
        <f>14.5438 * CHOOSE(CONTROL!$C$22, $C$13, 100%, $E$13)</f>
        <v>14.543799999999999</v>
      </c>
      <c r="D859" s="63">
        <f>14.5438 * CHOOSE(CONTROL!$C$22, $C$13, 100%, $E$13)</f>
        <v>14.543799999999999</v>
      </c>
      <c r="E859" s="64">
        <f>16.4558 * CHOOSE(CONTROL!$C$22, $C$13, 100%, $E$13)</f>
        <v>16.4558</v>
      </c>
      <c r="F859" s="64">
        <f>16.4558 * CHOOSE(CONTROL!$C$22, $C$13, 100%, $E$13)</f>
        <v>16.4558</v>
      </c>
      <c r="G859" s="64">
        <f>16.4559 * CHOOSE(CONTROL!$C$22, $C$13, 100%, $E$13)</f>
        <v>16.4559</v>
      </c>
      <c r="H859" s="64">
        <f>28.4518* CHOOSE(CONTROL!$C$22, $C$13, 100%, $E$13)</f>
        <v>28.451799999999999</v>
      </c>
      <c r="I859" s="64">
        <f>28.4518 * CHOOSE(CONTROL!$C$22, $C$13, 100%, $E$13)</f>
        <v>28.451799999999999</v>
      </c>
      <c r="J859" s="64">
        <f>16.4558 * CHOOSE(CONTROL!$C$22, $C$13, 100%, $E$13)</f>
        <v>16.4558</v>
      </c>
      <c r="K859" s="64">
        <f>16.4559 * CHOOSE(CONTROL!$C$22, $C$13, 100%, $E$13)</f>
        <v>16.4559</v>
      </c>
    </row>
    <row r="860" spans="1:11" ht="15">
      <c r="A860" s="13">
        <v>67663</v>
      </c>
      <c r="B860" s="63">
        <f>14.5503 * CHOOSE(CONTROL!$C$22, $C$13, 100%, $E$13)</f>
        <v>14.5503</v>
      </c>
      <c r="C860" s="63">
        <f>14.5503 * CHOOSE(CONTROL!$C$22, $C$13, 100%, $E$13)</f>
        <v>14.5503</v>
      </c>
      <c r="D860" s="63">
        <f>14.5503 * CHOOSE(CONTROL!$C$22, $C$13, 100%, $E$13)</f>
        <v>14.5503</v>
      </c>
      <c r="E860" s="64">
        <f>16.7009 * CHOOSE(CONTROL!$C$22, $C$13, 100%, $E$13)</f>
        <v>16.700900000000001</v>
      </c>
      <c r="F860" s="64">
        <f>16.7009 * CHOOSE(CONTROL!$C$22, $C$13, 100%, $E$13)</f>
        <v>16.700900000000001</v>
      </c>
      <c r="G860" s="64">
        <f>16.701 * CHOOSE(CONTROL!$C$22, $C$13, 100%, $E$13)</f>
        <v>16.701000000000001</v>
      </c>
      <c r="H860" s="64">
        <f>28.511* CHOOSE(CONTROL!$C$22, $C$13, 100%, $E$13)</f>
        <v>28.510999999999999</v>
      </c>
      <c r="I860" s="64">
        <f>28.5111 * CHOOSE(CONTROL!$C$22, $C$13, 100%, $E$13)</f>
        <v>28.511099999999999</v>
      </c>
      <c r="J860" s="64">
        <f>16.7009 * CHOOSE(CONTROL!$C$22, $C$13, 100%, $E$13)</f>
        <v>16.700900000000001</v>
      </c>
      <c r="K860" s="64">
        <f>16.701 * CHOOSE(CONTROL!$C$22, $C$13, 100%, $E$13)</f>
        <v>16.701000000000001</v>
      </c>
    </row>
    <row r="861" spans="1:11" ht="15">
      <c r="A861" s="13">
        <v>67693</v>
      </c>
      <c r="B861" s="63">
        <f>14.5503 * CHOOSE(CONTROL!$C$22, $C$13, 100%, $E$13)</f>
        <v>14.5503</v>
      </c>
      <c r="C861" s="63">
        <f>14.5503 * CHOOSE(CONTROL!$C$22, $C$13, 100%, $E$13)</f>
        <v>14.5503</v>
      </c>
      <c r="D861" s="63">
        <f>14.5633 * CHOOSE(CONTROL!$C$22, $C$13, 100%, $E$13)</f>
        <v>14.5633</v>
      </c>
      <c r="E861" s="64">
        <f>16.7944 * CHOOSE(CONTROL!$C$22, $C$13, 100%, $E$13)</f>
        <v>16.7944</v>
      </c>
      <c r="F861" s="64">
        <f>16.7944 * CHOOSE(CONTROL!$C$22, $C$13, 100%, $E$13)</f>
        <v>16.7944</v>
      </c>
      <c r="G861" s="64">
        <f>16.8101 * CHOOSE(CONTROL!$C$22, $C$13, 100%, $E$13)</f>
        <v>16.810099999999998</v>
      </c>
      <c r="H861" s="64">
        <f>28.5704* CHOOSE(CONTROL!$C$22, $C$13, 100%, $E$13)</f>
        <v>28.570399999999999</v>
      </c>
      <c r="I861" s="64">
        <f>28.5861 * CHOOSE(CONTROL!$C$22, $C$13, 100%, $E$13)</f>
        <v>28.586099999999998</v>
      </c>
      <c r="J861" s="64">
        <f>16.7944 * CHOOSE(CONTROL!$C$22, $C$13, 100%, $E$13)</f>
        <v>16.7944</v>
      </c>
      <c r="K861" s="64">
        <f>16.8101 * CHOOSE(CONTROL!$C$22, $C$13, 100%, $E$13)</f>
        <v>16.810099999999998</v>
      </c>
    </row>
    <row r="862" spans="1:11" ht="15">
      <c r="A862" s="13">
        <v>67724</v>
      </c>
      <c r="B862" s="63">
        <f>14.5564 * CHOOSE(CONTROL!$C$22, $C$13, 100%, $E$13)</f>
        <v>14.5564</v>
      </c>
      <c r="C862" s="63">
        <f>14.5564 * CHOOSE(CONTROL!$C$22, $C$13, 100%, $E$13)</f>
        <v>14.5564</v>
      </c>
      <c r="D862" s="63">
        <f>14.5693 * CHOOSE(CONTROL!$C$22, $C$13, 100%, $E$13)</f>
        <v>14.5693</v>
      </c>
      <c r="E862" s="64">
        <f>16.7052 * CHOOSE(CONTROL!$C$22, $C$13, 100%, $E$13)</f>
        <v>16.705200000000001</v>
      </c>
      <c r="F862" s="64">
        <f>16.7052 * CHOOSE(CONTROL!$C$22, $C$13, 100%, $E$13)</f>
        <v>16.705200000000001</v>
      </c>
      <c r="G862" s="64">
        <f>16.7208 * CHOOSE(CONTROL!$C$22, $C$13, 100%, $E$13)</f>
        <v>16.720800000000001</v>
      </c>
      <c r="H862" s="64">
        <f>28.63* CHOOSE(CONTROL!$C$22, $C$13, 100%, $E$13)</f>
        <v>28.63</v>
      </c>
      <c r="I862" s="64">
        <f>28.6456 * CHOOSE(CONTROL!$C$22, $C$13, 100%, $E$13)</f>
        <v>28.645600000000002</v>
      </c>
      <c r="J862" s="64">
        <f>16.7052 * CHOOSE(CONTROL!$C$22, $C$13, 100%, $E$13)</f>
        <v>16.705200000000001</v>
      </c>
      <c r="K862" s="64">
        <f>16.7208 * CHOOSE(CONTROL!$C$22, $C$13, 100%, $E$13)</f>
        <v>16.720800000000001</v>
      </c>
    </row>
    <row r="863" spans="1:11" ht="15">
      <c r="A863" s="13">
        <v>67754</v>
      </c>
      <c r="B863" s="63">
        <f>14.7768 * CHOOSE(CONTROL!$C$22, $C$13, 100%, $E$13)</f>
        <v>14.7768</v>
      </c>
      <c r="C863" s="63">
        <f>14.7768 * CHOOSE(CONTROL!$C$22, $C$13, 100%, $E$13)</f>
        <v>14.7768</v>
      </c>
      <c r="D863" s="63">
        <f>14.7898 * CHOOSE(CONTROL!$C$22, $C$13, 100%, $E$13)</f>
        <v>14.7898</v>
      </c>
      <c r="E863" s="64">
        <f>16.9704 * CHOOSE(CONTROL!$C$22, $C$13, 100%, $E$13)</f>
        <v>16.970400000000001</v>
      </c>
      <c r="F863" s="64">
        <f>16.9704 * CHOOSE(CONTROL!$C$22, $C$13, 100%, $E$13)</f>
        <v>16.970400000000001</v>
      </c>
      <c r="G863" s="64">
        <f>16.9861 * CHOOSE(CONTROL!$C$22, $C$13, 100%, $E$13)</f>
        <v>16.9861</v>
      </c>
      <c r="H863" s="64">
        <f>28.6896* CHOOSE(CONTROL!$C$22, $C$13, 100%, $E$13)</f>
        <v>28.689599999999999</v>
      </c>
      <c r="I863" s="64">
        <f>28.7053 * CHOOSE(CONTROL!$C$22, $C$13, 100%, $E$13)</f>
        <v>28.705300000000001</v>
      </c>
      <c r="J863" s="64">
        <f>16.9704 * CHOOSE(CONTROL!$C$22, $C$13, 100%, $E$13)</f>
        <v>16.970400000000001</v>
      </c>
      <c r="K863" s="64">
        <f>16.9861 * CHOOSE(CONTROL!$C$22, $C$13, 100%, $E$13)</f>
        <v>16.9861</v>
      </c>
    </row>
    <row r="864" spans="1:11" ht="15">
      <c r="A864" s="13">
        <v>67785</v>
      </c>
      <c r="B864" s="63">
        <f>14.7835 * CHOOSE(CONTROL!$C$22, $C$13, 100%, $E$13)</f>
        <v>14.7835</v>
      </c>
      <c r="C864" s="63">
        <f>14.7835 * CHOOSE(CONTROL!$C$22, $C$13, 100%, $E$13)</f>
        <v>14.7835</v>
      </c>
      <c r="D864" s="63">
        <f>14.7964 * CHOOSE(CONTROL!$C$22, $C$13, 100%, $E$13)</f>
        <v>14.7964</v>
      </c>
      <c r="E864" s="64">
        <f>16.6946 * CHOOSE(CONTROL!$C$22, $C$13, 100%, $E$13)</f>
        <v>16.694600000000001</v>
      </c>
      <c r="F864" s="64">
        <f>16.6946 * CHOOSE(CONTROL!$C$22, $C$13, 100%, $E$13)</f>
        <v>16.694600000000001</v>
      </c>
      <c r="G864" s="64">
        <f>16.7103 * CHOOSE(CONTROL!$C$22, $C$13, 100%, $E$13)</f>
        <v>16.7103</v>
      </c>
      <c r="H864" s="64">
        <f>28.7494* CHOOSE(CONTROL!$C$22, $C$13, 100%, $E$13)</f>
        <v>28.749400000000001</v>
      </c>
      <c r="I864" s="64">
        <f>28.7651 * CHOOSE(CONTROL!$C$22, $C$13, 100%, $E$13)</f>
        <v>28.7651</v>
      </c>
      <c r="J864" s="64">
        <f>16.6946 * CHOOSE(CONTROL!$C$22, $C$13, 100%, $E$13)</f>
        <v>16.694600000000001</v>
      </c>
      <c r="K864" s="64">
        <f>16.7103 * CHOOSE(CONTROL!$C$22, $C$13, 100%, $E$13)</f>
        <v>16.7103</v>
      </c>
    </row>
    <row r="865" spans="1:11" ht="15">
      <c r="A865" s="13">
        <v>67816</v>
      </c>
      <c r="B865" s="63">
        <f>14.7804 * CHOOSE(CONTROL!$C$22, $C$13, 100%, $E$13)</f>
        <v>14.7804</v>
      </c>
      <c r="C865" s="63">
        <f>14.7804 * CHOOSE(CONTROL!$C$22, $C$13, 100%, $E$13)</f>
        <v>14.7804</v>
      </c>
      <c r="D865" s="63">
        <f>14.7934 * CHOOSE(CONTROL!$C$22, $C$13, 100%, $E$13)</f>
        <v>14.7934</v>
      </c>
      <c r="E865" s="64">
        <f>16.6613 * CHOOSE(CONTROL!$C$22, $C$13, 100%, $E$13)</f>
        <v>16.661300000000001</v>
      </c>
      <c r="F865" s="64">
        <f>16.6613 * CHOOSE(CONTROL!$C$22, $C$13, 100%, $E$13)</f>
        <v>16.661300000000001</v>
      </c>
      <c r="G865" s="64">
        <f>16.677 * CHOOSE(CONTROL!$C$22, $C$13, 100%, $E$13)</f>
        <v>16.677</v>
      </c>
      <c r="H865" s="64">
        <f>28.8093* CHOOSE(CONTROL!$C$22, $C$13, 100%, $E$13)</f>
        <v>28.8093</v>
      </c>
      <c r="I865" s="64">
        <f>28.825 * CHOOSE(CONTROL!$C$22, $C$13, 100%, $E$13)</f>
        <v>28.824999999999999</v>
      </c>
      <c r="J865" s="64">
        <f>16.6613 * CHOOSE(CONTROL!$C$22, $C$13, 100%, $E$13)</f>
        <v>16.661300000000001</v>
      </c>
      <c r="K865" s="64">
        <f>16.677 * CHOOSE(CONTROL!$C$22, $C$13, 100%, $E$13)</f>
        <v>16.677</v>
      </c>
    </row>
    <row r="866" spans="1:11" ht="15">
      <c r="A866" s="13">
        <v>67846</v>
      </c>
      <c r="B866" s="63">
        <f>14.8102 * CHOOSE(CONTROL!$C$22, $C$13, 100%, $E$13)</f>
        <v>14.8102</v>
      </c>
      <c r="C866" s="63">
        <f>14.8102 * CHOOSE(CONTROL!$C$22, $C$13, 100%, $E$13)</f>
        <v>14.8102</v>
      </c>
      <c r="D866" s="63">
        <f>14.8102 * CHOOSE(CONTROL!$C$22, $C$13, 100%, $E$13)</f>
        <v>14.8102</v>
      </c>
      <c r="E866" s="64">
        <f>16.7726 * CHOOSE(CONTROL!$C$22, $C$13, 100%, $E$13)</f>
        <v>16.772600000000001</v>
      </c>
      <c r="F866" s="64">
        <f>16.7726 * CHOOSE(CONTROL!$C$22, $C$13, 100%, $E$13)</f>
        <v>16.772600000000001</v>
      </c>
      <c r="G866" s="64">
        <f>16.7727 * CHOOSE(CONTROL!$C$22, $C$13, 100%, $E$13)</f>
        <v>16.7727</v>
      </c>
      <c r="H866" s="64">
        <f>28.8693* CHOOSE(CONTROL!$C$22, $C$13, 100%, $E$13)</f>
        <v>28.869299999999999</v>
      </c>
      <c r="I866" s="64">
        <f>28.8694 * CHOOSE(CONTROL!$C$22, $C$13, 100%, $E$13)</f>
        <v>28.869399999999999</v>
      </c>
      <c r="J866" s="64">
        <f>16.7726 * CHOOSE(CONTROL!$C$22, $C$13, 100%, $E$13)</f>
        <v>16.772600000000001</v>
      </c>
      <c r="K866" s="64">
        <f>16.7727 * CHOOSE(CONTROL!$C$22, $C$13, 100%, $E$13)</f>
        <v>16.7727</v>
      </c>
    </row>
    <row r="867" spans="1:11" ht="15">
      <c r="A867" s="13">
        <v>67877</v>
      </c>
      <c r="B867" s="63">
        <f>14.8132 * CHOOSE(CONTROL!$C$22, $C$13, 100%, $E$13)</f>
        <v>14.8132</v>
      </c>
      <c r="C867" s="63">
        <f>14.8132 * CHOOSE(CONTROL!$C$22, $C$13, 100%, $E$13)</f>
        <v>14.8132</v>
      </c>
      <c r="D867" s="63">
        <f>14.8132 * CHOOSE(CONTROL!$C$22, $C$13, 100%, $E$13)</f>
        <v>14.8132</v>
      </c>
      <c r="E867" s="64">
        <f>16.837 * CHOOSE(CONTROL!$C$22, $C$13, 100%, $E$13)</f>
        <v>16.837</v>
      </c>
      <c r="F867" s="64">
        <f>16.837 * CHOOSE(CONTROL!$C$22, $C$13, 100%, $E$13)</f>
        <v>16.837</v>
      </c>
      <c r="G867" s="64">
        <f>16.8371 * CHOOSE(CONTROL!$C$22, $C$13, 100%, $E$13)</f>
        <v>16.8371</v>
      </c>
      <c r="H867" s="64">
        <f>28.9294* CHOOSE(CONTROL!$C$22, $C$13, 100%, $E$13)</f>
        <v>28.929400000000001</v>
      </c>
      <c r="I867" s="64">
        <f>28.9295 * CHOOSE(CONTROL!$C$22, $C$13, 100%, $E$13)</f>
        <v>28.929500000000001</v>
      </c>
      <c r="J867" s="64">
        <f>16.837 * CHOOSE(CONTROL!$C$22, $C$13, 100%, $E$13)</f>
        <v>16.837</v>
      </c>
      <c r="K867" s="64">
        <f>16.8371 * CHOOSE(CONTROL!$C$22, $C$13, 100%, $E$13)</f>
        <v>16.8371</v>
      </c>
    </row>
    <row r="868" spans="1:11" ht="15">
      <c r="A868" s="13">
        <v>67907</v>
      </c>
      <c r="B868" s="63">
        <f>14.8132 * CHOOSE(CONTROL!$C$22, $C$13, 100%, $E$13)</f>
        <v>14.8132</v>
      </c>
      <c r="C868" s="63">
        <f>14.8132 * CHOOSE(CONTROL!$C$22, $C$13, 100%, $E$13)</f>
        <v>14.8132</v>
      </c>
      <c r="D868" s="63">
        <f>14.8132 * CHOOSE(CONTROL!$C$22, $C$13, 100%, $E$13)</f>
        <v>14.8132</v>
      </c>
      <c r="E868" s="64">
        <f>16.6812 * CHOOSE(CONTROL!$C$22, $C$13, 100%, $E$13)</f>
        <v>16.6812</v>
      </c>
      <c r="F868" s="64">
        <f>16.6812 * CHOOSE(CONTROL!$C$22, $C$13, 100%, $E$13)</f>
        <v>16.6812</v>
      </c>
      <c r="G868" s="64">
        <f>16.6813 * CHOOSE(CONTROL!$C$22, $C$13, 100%, $E$13)</f>
        <v>16.6813</v>
      </c>
      <c r="H868" s="64">
        <f>28.9897* CHOOSE(CONTROL!$C$22, $C$13, 100%, $E$13)</f>
        <v>28.989699999999999</v>
      </c>
      <c r="I868" s="64">
        <f>28.9898 * CHOOSE(CONTROL!$C$22, $C$13, 100%, $E$13)</f>
        <v>28.989799999999999</v>
      </c>
      <c r="J868" s="64">
        <f>16.6812 * CHOOSE(CONTROL!$C$22, $C$13, 100%, $E$13)</f>
        <v>16.6812</v>
      </c>
      <c r="K868" s="64">
        <f>16.6813 * CHOOSE(CONTROL!$C$22, $C$13, 100%, $E$13)</f>
        <v>16.6813</v>
      </c>
    </row>
    <row r="869" spans="1:11" ht="15">
      <c r="A869" s="13">
        <v>67938</v>
      </c>
      <c r="B869" s="63">
        <f>14.7854 * CHOOSE(CONTROL!$C$22, $C$13, 100%, $E$13)</f>
        <v>14.785399999999999</v>
      </c>
      <c r="C869" s="63">
        <f>14.7854 * CHOOSE(CONTROL!$C$22, $C$13, 100%, $E$13)</f>
        <v>14.785399999999999</v>
      </c>
      <c r="D869" s="63">
        <f>14.7855 * CHOOSE(CONTROL!$C$22, $C$13, 100%, $E$13)</f>
        <v>14.785500000000001</v>
      </c>
      <c r="E869" s="64">
        <f>16.7771 * CHOOSE(CONTROL!$C$22, $C$13, 100%, $E$13)</f>
        <v>16.777100000000001</v>
      </c>
      <c r="F869" s="64">
        <f>16.7771 * CHOOSE(CONTROL!$C$22, $C$13, 100%, $E$13)</f>
        <v>16.777100000000001</v>
      </c>
      <c r="G869" s="64">
        <f>16.7772 * CHOOSE(CONTROL!$C$22, $C$13, 100%, $E$13)</f>
        <v>16.777200000000001</v>
      </c>
      <c r="H869" s="64">
        <f>28.7795* CHOOSE(CONTROL!$C$22, $C$13, 100%, $E$13)</f>
        <v>28.779499999999999</v>
      </c>
      <c r="I869" s="64">
        <f>28.7796 * CHOOSE(CONTROL!$C$22, $C$13, 100%, $E$13)</f>
        <v>28.779599999999999</v>
      </c>
      <c r="J869" s="64">
        <f>16.7771 * CHOOSE(CONTROL!$C$22, $C$13, 100%, $E$13)</f>
        <v>16.777100000000001</v>
      </c>
      <c r="K869" s="64">
        <f>16.7772 * CHOOSE(CONTROL!$C$22, $C$13, 100%, $E$13)</f>
        <v>16.777200000000001</v>
      </c>
    </row>
    <row r="870" spans="1:11" ht="15">
      <c r="A870" s="13">
        <v>67969</v>
      </c>
      <c r="B870" s="63">
        <f>14.7824 * CHOOSE(CONTROL!$C$22, $C$13, 100%, $E$13)</f>
        <v>14.782400000000001</v>
      </c>
      <c r="C870" s="63">
        <f>14.7824 * CHOOSE(CONTROL!$C$22, $C$13, 100%, $E$13)</f>
        <v>14.782400000000001</v>
      </c>
      <c r="D870" s="63">
        <f>14.7824 * CHOOSE(CONTROL!$C$22, $C$13, 100%, $E$13)</f>
        <v>14.782400000000001</v>
      </c>
      <c r="E870" s="64">
        <f>16.4756 * CHOOSE(CONTROL!$C$22, $C$13, 100%, $E$13)</f>
        <v>16.4756</v>
      </c>
      <c r="F870" s="64">
        <f>16.4756 * CHOOSE(CONTROL!$C$22, $C$13, 100%, $E$13)</f>
        <v>16.4756</v>
      </c>
      <c r="G870" s="64">
        <f>16.4757 * CHOOSE(CONTROL!$C$22, $C$13, 100%, $E$13)</f>
        <v>16.4757</v>
      </c>
      <c r="H870" s="64">
        <f>28.8394* CHOOSE(CONTROL!$C$22, $C$13, 100%, $E$13)</f>
        <v>28.839400000000001</v>
      </c>
      <c r="I870" s="64">
        <f>28.8395 * CHOOSE(CONTROL!$C$22, $C$13, 100%, $E$13)</f>
        <v>28.839500000000001</v>
      </c>
      <c r="J870" s="64">
        <f>16.4756 * CHOOSE(CONTROL!$C$22, $C$13, 100%, $E$13)</f>
        <v>16.4756</v>
      </c>
      <c r="K870" s="64">
        <f>16.4757 * CHOOSE(CONTROL!$C$22, $C$13, 100%, $E$13)</f>
        <v>16.4757</v>
      </c>
    </row>
    <row r="871" spans="1:11" ht="15">
      <c r="A871" s="13">
        <v>67997</v>
      </c>
      <c r="B871" s="63">
        <f>14.7794 * CHOOSE(CONTROL!$C$22, $C$13, 100%, $E$13)</f>
        <v>14.779400000000001</v>
      </c>
      <c r="C871" s="63">
        <f>14.7794 * CHOOSE(CONTROL!$C$22, $C$13, 100%, $E$13)</f>
        <v>14.779400000000001</v>
      </c>
      <c r="D871" s="63">
        <f>14.7794 * CHOOSE(CONTROL!$C$22, $C$13, 100%, $E$13)</f>
        <v>14.779400000000001</v>
      </c>
      <c r="E871" s="64">
        <f>16.7095 * CHOOSE(CONTROL!$C$22, $C$13, 100%, $E$13)</f>
        <v>16.709499999999998</v>
      </c>
      <c r="F871" s="64">
        <f>16.7095 * CHOOSE(CONTROL!$C$22, $C$13, 100%, $E$13)</f>
        <v>16.709499999999998</v>
      </c>
      <c r="G871" s="64">
        <f>16.7096 * CHOOSE(CONTROL!$C$22, $C$13, 100%, $E$13)</f>
        <v>16.709599999999998</v>
      </c>
      <c r="H871" s="64">
        <f>28.8995* CHOOSE(CONTROL!$C$22, $C$13, 100%, $E$13)</f>
        <v>28.8995</v>
      </c>
      <c r="I871" s="64">
        <f>28.8996 * CHOOSE(CONTROL!$C$22, $C$13, 100%, $E$13)</f>
        <v>28.8996</v>
      </c>
      <c r="J871" s="64">
        <f>16.7095 * CHOOSE(CONTROL!$C$22, $C$13, 100%, $E$13)</f>
        <v>16.709499999999998</v>
      </c>
      <c r="K871" s="64">
        <f>16.7096 * CHOOSE(CONTROL!$C$22, $C$13, 100%, $E$13)</f>
        <v>16.709599999999998</v>
      </c>
    </row>
    <row r="872" spans="1:11" ht="15">
      <c r="A872" s="13">
        <v>68028</v>
      </c>
      <c r="B872" s="63">
        <f>14.786 * CHOOSE(CONTROL!$C$22, $C$13, 100%, $E$13)</f>
        <v>14.786</v>
      </c>
      <c r="C872" s="63">
        <f>14.786 * CHOOSE(CONTROL!$C$22, $C$13, 100%, $E$13)</f>
        <v>14.786</v>
      </c>
      <c r="D872" s="63">
        <f>14.7861 * CHOOSE(CONTROL!$C$22, $C$13, 100%, $E$13)</f>
        <v>14.786099999999999</v>
      </c>
      <c r="E872" s="64">
        <f>16.9588 * CHOOSE(CONTROL!$C$22, $C$13, 100%, $E$13)</f>
        <v>16.9588</v>
      </c>
      <c r="F872" s="64">
        <f>16.9588 * CHOOSE(CONTROL!$C$22, $C$13, 100%, $E$13)</f>
        <v>16.9588</v>
      </c>
      <c r="G872" s="64">
        <f>16.9589 * CHOOSE(CONTROL!$C$22, $C$13, 100%, $E$13)</f>
        <v>16.9589</v>
      </c>
      <c r="H872" s="64">
        <f>28.9597* CHOOSE(CONTROL!$C$22, $C$13, 100%, $E$13)</f>
        <v>28.959700000000002</v>
      </c>
      <c r="I872" s="64">
        <f>28.9598 * CHOOSE(CONTROL!$C$22, $C$13, 100%, $E$13)</f>
        <v>28.959800000000001</v>
      </c>
      <c r="J872" s="64">
        <f>16.9588 * CHOOSE(CONTROL!$C$22, $C$13, 100%, $E$13)</f>
        <v>16.9588</v>
      </c>
      <c r="K872" s="64">
        <f>16.9589 * CHOOSE(CONTROL!$C$22, $C$13, 100%, $E$13)</f>
        <v>16.9589</v>
      </c>
    </row>
    <row r="873" spans="1:11" ht="15">
      <c r="A873" s="13">
        <v>68058</v>
      </c>
      <c r="B873" s="63">
        <f>14.786 * CHOOSE(CONTROL!$C$22, $C$13, 100%, $E$13)</f>
        <v>14.786</v>
      </c>
      <c r="C873" s="63">
        <f>14.786 * CHOOSE(CONTROL!$C$22, $C$13, 100%, $E$13)</f>
        <v>14.786</v>
      </c>
      <c r="D873" s="63">
        <f>14.799 * CHOOSE(CONTROL!$C$22, $C$13, 100%, $E$13)</f>
        <v>14.798999999999999</v>
      </c>
      <c r="E873" s="64">
        <f>17.0538 * CHOOSE(CONTROL!$C$22, $C$13, 100%, $E$13)</f>
        <v>17.053799999999999</v>
      </c>
      <c r="F873" s="64">
        <f>17.0538 * CHOOSE(CONTROL!$C$22, $C$13, 100%, $E$13)</f>
        <v>17.053799999999999</v>
      </c>
      <c r="G873" s="64">
        <f>17.0695 * CHOOSE(CONTROL!$C$22, $C$13, 100%, $E$13)</f>
        <v>17.069500000000001</v>
      </c>
      <c r="H873" s="64">
        <f>29.0201* CHOOSE(CONTROL!$C$22, $C$13, 100%, $E$13)</f>
        <v>29.020099999999999</v>
      </c>
      <c r="I873" s="64">
        <f>29.0357 * CHOOSE(CONTROL!$C$22, $C$13, 100%, $E$13)</f>
        <v>29.035699999999999</v>
      </c>
      <c r="J873" s="64">
        <f>17.0538 * CHOOSE(CONTROL!$C$22, $C$13, 100%, $E$13)</f>
        <v>17.053799999999999</v>
      </c>
      <c r="K873" s="64">
        <f>17.0695 * CHOOSE(CONTROL!$C$22, $C$13, 100%, $E$13)</f>
        <v>17.069500000000001</v>
      </c>
    </row>
    <row r="874" spans="1:11" ht="15">
      <c r="A874" s="13">
        <v>68089</v>
      </c>
      <c r="B874" s="63">
        <f>14.7921 * CHOOSE(CONTROL!$C$22, $C$13, 100%, $E$13)</f>
        <v>14.7921</v>
      </c>
      <c r="C874" s="63">
        <f>14.7921 * CHOOSE(CONTROL!$C$22, $C$13, 100%, $E$13)</f>
        <v>14.7921</v>
      </c>
      <c r="D874" s="63">
        <f>14.8051 * CHOOSE(CONTROL!$C$22, $C$13, 100%, $E$13)</f>
        <v>14.805099999999999</v>
      </c>
      <c r="E874" s="64">
        <f>16.963 * CHOOSE(CONTROL!$C$22, $C$13, 100%, $E$13)</f>
        <v>16.963000000000001</v>
      </c>
      <c r="F874" s="64">
        <f>16.963 * CHOOSE(CONTROL!$C$22, $C$13, 100%, $E$13)</f>
        <v>16.963000000000001</v>
      </c>
      <c r="G874" s="64">
        <f>16.9787 * CHOOSE(CONTROL!$C$22, $C$13, 100%, $E$13)</f>
        <v>16.9787</v>
      </c>
      <c r="H874" s="64">
        <f>29.0805* CHOOSE(CONTROL!$C$22, $C$13, 100%, $E$13)</f>
        <v>29.080500000000001</v>
      </c>
      <c r="I874" s="64">
        <f>29.0962 * CHOOSE(CONTROL!$C$22, $C$13, 100%, $E$13)</f>
        <v>29.0962</v>
      </c>
      <c r="J874" s="64">
        <f>16.963 * CHOOSE(CONTROL!$C$22, $C$13, 100%, $E$13)</f>
        <v>16.963000000000001</v>
      </c>
      <c r="K874" s="64">
        <f>16.9787 * CHOOSE(CONTROL!$C$22, $C$13, 100%, $E$13)</f>
        <v>16.9787</v>
      </c>
    </row>
    <row r="875" spans="1:11" ht="15">
      <c r="A875" s="13">
        <v>68119</v>
      </c>
      <c r="B875" s="63">
        <f>15.016 * CHOOSE(CONTROL!$C$22, $C$13, 100%, $E$13)</f>
        <v>15.016</v>
      </c>
      <c r="C875" s="63">
        <f>15.016 * CHOOSE(CONTROL!$C$22, $C$13, 100%, $E$13)</f>
        <v>15.016</v>
      </c>
      <c r="D875" s="63">
        <f>15.0289 * CHOOSE(CONTROL!$C$22, $C$13, 100%, $E$13)</f>
        <v>15.0289</v>
      </c>
      <c r="E875" s="64">
        <f>17.2322 * CHOOSE(CONTROL!$C$22, $C$13, 100%, $E$13)</f>
        <v>17.232199999999999</v>
      </c>
      <c r="F875" s="64">
        <f>17.2322 * CHOOSE(CONTROL!$C$22, $C$13, 100%, $E$13)</f>
        <v>17.232199999999999</v>
      </c>
      <c r="G875" s="64">
        <f>17.2479 * CHOOSE(CONTROL!$C$22, $C$13, 100%, $E$13)</f>
        <v>17.247900000000001</v>
      </c>
      <c r="H875" s="64">
        <f>29.1411* CHOOSE(CONTROL!$C$22, $C$13, 100%, $E$13)</f>
        <v>29.141100000000002</v>
      </c>
      <c r="I875" s="64">
        <f>29.1568 * CHOOSE(CONTROL!$C$22, $C$13, 100%, $E$13)</f>
        <v>29.1568</v>
      </c>
      <c r="J875" s="64">
        <f>17.2322 * CHOOSE(CONTROL!$C$22, $C$13, 100%, $E$13)</f>
        <v>17.232199999999999</v>
      </c>
      <c r="K875" s="64">
        <f>17.2479 * CHOOSE(CONTROL!$C$22, $C$13, 100%, $E$13)</f>
        <v>17.247900000000001</v>
      </c>
    </row>
    <row r="876" spans="1:11" ht="15">
      <c r="A876" s="13">
        <v>68150</v>
      </c>
      <c r="B876" s="63">
        <f>15.0226 * CHOOSE(CONTROL!$C$22, $C$13, 100%, $E$13)</f>
        <v>15.022600000000001</v>
      </c>
      <c r="C876" s="63">
        <f>15.0226 * CHOOSE(CONTROL!$C$22, $C$13, 100%, $E$13)</f>
        <v>15.022600000000001</v>
      </c>
      <c r="D876" s="63">
        <f>15.0356 * CHOOSE(CONTROL!$C$22, $C$13, 100%, $E$13)</f>
        <v>15.035600000000001</v>
      </c>
      <c r="E876" s="64">
        <f>16.9517 * CHOOSE(CONTROL!$C$22, $C$13, 100%, $E$13)</f>
        <v>16.951699999999999</v>
      </c>
      <c r="F876" s="64">
        <f>16.9517 * CHOOSE(CONTROL!$C$22, $C$13, 100%, $E$13)</f>
        <v>16.951699999999999</v>
      </c>
      <c r="G876" s="64">
        <f>16.9674 * CHOOSE(CONTROL!$C$22, $C$13, 100%, $E$13)</f>
        <v>16.967400000000001</v>
      </c>
      <c r="H876" s="64">
        <f>29.2018* CHOOSE(CONTROL!$C$22, $C$13, 100%, $E$13)</f>
        <v>29.201799999999999</v>
      </c>
      <c r="I876" s="64">
        <f>29.2175 * CHOOSE(CONTROL!$C$22, $C$13, 100%, $E$13)</f>
        <v>29.217500000000001</v>
      </c>
      <c r="J876" s="64">
        <f>16.9517 * CHOOSE(CONTROL!$C$22, $C$13, 100%, $E$13)</f>
        <v>16.951699999999999</v>
      </c>
      <c r="K876" s="64">
        <f>16.9674 * CHOOSE(CONTROL!$C$22, $C$13, 100%, $E$13)</f>
        <v>16.967400000000001</v>
      </c>
    </row>
    <row r="877" spans="1:11" ht="15">
      <c r="A877" s="13">
        <v>68181</v>
      </c>
      <c r="B877" s="63">
        <f>15.0196 * CHOOSE(CONTROL!$C$22, $C$13, 100%, $E$13)</f>
        <v>15.019600000000001</v>
      </c>
      <c r="C877" s="63">
        <f>15.0196 * CHOOSE(CONTROL!$C$22, $C$13, 100%, $E$13)</f>
        <v>15.019600000000001</v>
      </c>
      <c r="D877" s="63">
        <f>15.0326 * CHOOSE(CONTROL!$C$22, $C$13, 100%, $E$13)</f>
        <v>15.0326</v>
      </c>
      <c r="E877" s="64">
        <f>16.9179 * CHOOSE(CONTROL!$C$22, $C$13, 100%, $E$13)</f>
        <v>16.917899999999999</v>
      </c>
      <c r="F877" s="64">
        <f>16.9179 * CHOOSE(CONTROL!$C$22, $C$13, 100%, $E$13)</f>
        <v>16.917899999999999</v>
      </c>
      <c r="G877" s="64">
        <f>16.9336 * CHOOSE(CONTROL!$C$22, $C$13, 100%, $E$13)</f>
        <v>16.933599999999998</v>
      </c>
      <c r="H877" s="64">
        <f>29.2626* CHOOSE(CONTROL!$C$22, $C$13, 100%, $E$13)</f>
        <v>29.262599999999999</v>
      </c>
      <c r="I877" s="64">
        <f>29.2783 * CHOOSE(CONTROL!$C$22, $C$13, 100%, $E$13)</f>
        <v>29.278300000000002</v>
      </c>
      <c r="J877" s="64">
        <f>16.9179 * CHOOSE(CONTROL!$C$22, $C$13, 100%, $E$13)</f>
        <v>16.917899999999999</v>
      </c>
      <c r="K877" s="64">
        <f>16.9336 * CHOOSE(CONTROL!$C$22, $C$13, 100%, $E$13)</f>
        <v>16.933599999999998</v>
      </c>
    </row>
    <row r="878" spans="1:11" ht="15">
      <c r="A878" s="13">
        <v>68211</v>
      </c>
      <c r="B878" s="63">
        <f>15.0501 * CHOOSE(CONTROL!$C$22, $C$13, 100%, $E$13)</f>
        <v>15.0501</v>
      </c>
      <c r="C878" s="63">
        <f>15.0501 * CHOOSE(CONTROL!$C$22, $C$13, 100%, $E$13)</f>
        <v>15.0501</v>
      </c>
      <c r="D878" s="63">
        <f>15.0501 * CHOOSE(CONTROL!$C$22, $C$13, 100%, $E$13)</f>
        <v>15.0501</v>
      </c>
      <c r="E878" s="64">
        <f>17.0312 * CHOOSE(CONTROL!$C$22, $C$13, 100%, $E$13)</f>
        <v>17.031199999999998</v>
      </c>
      <c r="F878" s="64">
        <f>17.0312 * CHOOSE(CONTROL!$C$22, $C$13, 100%, $E$13)</f>
        <v>17.031199999999998</v>
      </c>
      <c r="G878" s="64">
        <f>17.0313 * CHOOSE(CONTROL!$C$22, $C$13, 100%, $E$13)</f>
        <v>17.031300000000002</v>
      </c>
      <c r="H878" s="64">
        <f>29.3236* CHOOSE(CONTROL!$C$22, $C$13, 100%, $E$13)</f>
        <v>29.323599999999999</v>
      </c>
      <c r="I878" s="64">
        <f>29.3237 * CHOOSE(CONTROL!$C$22, $C$13, 100%, $E$13)</f>
        <v>29.323699999999999</v>
      </c>
      <c r="J878" s="64">
        <f>17.0312 * CHOOSE(CONTROL!$C$22, $C$13, 100%, $E$13)</f>
        <v>17.031199999999998</v>
      </c>
      <c r="K878" s="64">
        <f>17.0313 * CHOOSE(CONTROL!$C$22, $C$13, 100%, $E$13)</f>
        <v>17.031300000000002</v>
      </c>
    </row>
    <row r="879" spans="1:11" ht="15">
      <c r="A879" s="13">
        <v>68242</v>
      </c>
      <c r="B879" s="63">
        <f>15.0532 * CHOOSE(CONTROL!$C$22, $C$13, 100%, $E$13)</f>
        <v>15.0532</v>
      </c>
      <c r="C879" s="63">
        <f>15.0532 * CHOOSE(CONTROL!$C$22, $C$13, 100%, $E$13)</f>
        <v>15.0532</v>
      </c>
      <c r="D879" s="63">
        <f>15.0532 * CHOOSE(CONTROL!$C$22, $C$13, 100%, $E$13)</f>
        <v>15.0532</v>
      </c>
      <c r="E879" s="64">
        <f>17.0967 * CHOOSE(CONTROL!$C$22, $C$13, 100%, $E$13)</f>
        <v>17.096699999999998</v>
      </c>
      <c r="F879" s="64">
        <f>17.0967 * CHOOSE(CONTROL!$C$22, $C$13, 100%, $E$13)</f>
        <v>17.096699999999998</v>
      </c>
      <c r="G879" s="64">
        <f>17.0968 * CHOOSE(CONTROL!$C$22, $C$13, 100%, $E$13)</f>
        <v>17.096800000000002</v>
      </c>
      <c r="H879" s="64">
        <f>29.3847* CHOOSE(CONTROL!$C$22, $C$13, 100%, $E$13)</f>
        <v>29.384699999999999</v>
      </c>
      <c r="I879" s="64">
        <f>29.3848 * CHOOSE(CONTROL!$C$22, $C$13, 100%, $E$13)</f>
        <v>29.384799999999998</v>
      </c>
      <c r="J879" s="64">
        <f>17.0967 * CHOOSE(CONTROL!$C$22, $C$13, 100%, $E$13)</f>
        <v>17.096699999999998</v>
      </c>
      <c r="K879" s="64">
        <f>17.0968 * CHOOSE(CONTROL!$C$22, $C$13, 100%, $E$13)</f>
        <v>17.096800000000002</v>
      </c>
    </row>
    <row r="880" spans="1:11" ht="15">
      <c r="A880" s="13">
        <v>68272</v>
      </c>
      <c r="B880" s="63">
        <f>15.0532 * CHOOSE(CONTROL!$C$22, $C$13, 100%, $E$13)</f>
        <v>15.0532</v>
      </c>
      <c r="C880" s="63">
        <f>15.0532 * CHOOSE(CONTROL!$C$22, $C$13, 100%, $E$13)</f>
        <v>15.0532</v>
      </c>
      <c r="D880" s="63">
        <f>15.0532 * CHOOSE(CONTROL!$C$22, $C$13, 100%, $E$13)</f>
        <v>15.0532</v>
      </c>
      <c r="E880" s="64">
        <f>16.9383 * CHOOSE(CONTROL!$C$22, $C$13, 100%, $E$13)</f>
        <v>16.938300000000002</v>
      </c>
      <c r="F880" s="64">
        <f>16.9383 * CHOOSE(CONTROL!$C$22, $C$13, 100%, $E$13)</f>
        <v>16.938300000000002</v>
      </c>
      <c r="G880" s="64">
        <f>16.9384 * CHOOSE(CONTROL!$C$22, $C$13, 100%, $E$13)</f>
        <v>16.938400000000001</v>
      </c>
      <c r="H880" s="64">
        <f>29.4459* CHOOSE(CONTROL!$C$22, $C$13, 100%, $E$13)</f>
        <v>29.445900000000002</v>
      </c>
      <c r="I880" s="64">
        <f>29.446 * CHOOSE(CONTROL!$C$22, $C$13, 100%, $E$13)</f>
        <v>29.446000000000002</v>
      </c>
      <c r="J880" s="64">
        <f>16.9383 * CHOOSE(CONTROL!$C$22, $C$13, 100%, $E$13)</f>
        <v>16.938300000000002</v>
      </c>
      <c r="K880" s="64">
        <f>16.9384 * CHOOSE(CONTROL!$C$22, $C$13, 100%, $E$13)</f>
        <v>16.938400000000001</v>
      </c>
    </row>
    <row r="881" spans="1:11" ht="15">
      <c r="A881" s="13">
        <v>68303</v>
      </c>
      <c r="B881" s="63">
        <f>15.021 * CHOOSE(CONTROL!$C$22, $C$13, 100%, $E$13)</f>
        <v>15.021000000000001</v>
      </c>
      <c r="C881" s="63">
        <f>15.021 * CHOOSE(CONTROL!$C$22, $C$13, 100%, $E$13)</f>
        <v>15.021000000000001</v>
      </c>
      <c r="D881" s="63">
        <f>15.021 * CHOOSE(CONTROL!$C$22, $C$13, 100%, $E$13)</f>
        <v>15.021000000000001</v>
      </c>
      <c r="E881" s="64">
        <f>17.0319 * CHOOSE(CONTROL!$C$22, $C$13, 100%, $E$13)</f>
        <v>17.0319</v>
      </c>
      <c r="F881" s="64">
        <f>17.0319 * CHOOSE(CONTROL!$C$22, $C$13, 100%, $E$13)</f>
        <v>17.0319</v>
      </c>
      <c r="G881" s="64">
        <f>17.0319 * CHOOSE(CONTROL!$C$22, $C$13, 100%, $E$13)</f>
        <v>17.0319</v>
      </c>
      <c r="H881" s="64">
        <f>29.2254* CHOOSE(CONTROL!$C$22, $C$13, 100%, $E$13)</f>
        <v>29.2254</v>
      </c>
      <c r="I881" s="64">
        <f>29.2254 * CHOOSE(CONTROL!$C$22, $C$13, 100%, $E$13)</f>
        <v>29.2254</v>
      </c>
      <c r="J881" s="64">
        <f>17.0319 * CHOOSE(CONTROL!$C$22, $C$13, 100%, $E$13)</f>
        <v>17.0319</v>
      </c>
      <c r="K881" s="64">
        <f>17.0319 * CHOOSE(CONTROL!$C$22, $C$13, 100%, $E$13)</f>
        <v>17.0319</v>
      </c>
    </row>
    <row r="882" spans="1:11" ht="15">
      <c r="A882" s="13">
        <v>68334</v>
      </c>
      <c r="B882" s="63">
        <f>15.018 * CHOOSE(CONTROL!$C$22, $C$13, 100%, $E$13)</f>
        <v>15.018000000000001</v>
      </c>
      <c r="C882" s="63">
        <f>15.018 * CHOOSE(CONTROL!$C$22, $C$13, 100%, $E$13)</f>
        <v>15.018000000000001</v>
      </c>
      <c r="D882" s="63">
        <f>15.018 * CHOOSE(CONTROL!$C$22, $C$13, 100%, $E$13)</f>
        <v>15.018000000000001</v>
      </c>
      <c r="E882" s="64">
        <f>16.7254 * CHOOSE(CONTROL!$C$22, $C$13, 100%, $E$13)</f>
        <v>16.7254</v>
      </c>
      <c r="F882" s="64">
        <f>16.7254 * CHOOSE(CONTROL!$C$22, $C$13, 100%, $E$13)</f>
        <v>16.7254</v>
      </c>
      <c r="G882" s="64">
        <f>16.7255 * CHOOSE(CONTROL!$C$22, $C$13, 100%, $E$13)</f>
        <v>16.7255</v>
      </c>
      <c r="H882" s="64">
        <f>29.2863* CHOOSE(CONTROL!$C$22, $C$13, 100%, $E$13)</f>
        <v>29.286300000000001</v>
      </c>
      <c r="I882" s="64">
        <f>29.2863 * CHOOSE(CONTROL!$C$22, $C$13, 100%, $E$13)</f>
        <v>29.286300000000001</v>
      </c>
      <c r="J882" s="64">
        <f>16.7254 * CHOOSE(CONTROL!$C$22, $C$13, 100%, $E$13)</f>
        <v>16.7254</v>
      </c>
      <c r="K882" s="64">
        <f>16.7255 * CHOOSE(CONTROL!$C$22, $C$13, 100%, $E$13)</f>
        <v>16.7255</v>
      </c>
    </row>
    <row r="883" spans="1:11" ht="15">
      <c r="A883" s="13">
        <v>68362</v>
      </c>
      <c r="B883" s="63">
        <f>15.0149 * CHOOSE(CONTROL!$C$22, $C$13, 100%, $E$13)</f>
        <v>15.014900000000001</v>
      </c>
      <c r="C883" s="63">
        <f>15.0149 * CHOOSE(CONTROL!$C$22, $C$13, 100%, $E$13)</f>
        <v>15.014900000000001</v>
      </c>
      <c r="D883" s="63">
        <f>15.0149 * CHOOSE(CONTROL!$C$22, $C$13, 100%, $E$13)</f>
        <v>15.014900000000001</v>
      </c>
      <c r="E883" s="64">
        <f>16.9632 * CHOOSE(CONTROL!$C$22, $C$13, 100%, $E$13)</f>
        <v>16.963200000000001</v>
      </c>
      <c r="F883" s="64">
        <f>16.9632 * CHOOSE(CONTROL!$C$22, $C$13, 100%, $E$13)</f>
        <v>16.963200000000001</v>
      </c>
      <c r="G883" s="64">
        <f>16.9633 * CHOOSE(CONTROL!$C$22, $C$13, 100%, $E$13)</f>
        <v>16.9633</v>
      </c>
      <c r="H883" s="64">
        <f>29.3473* CHOOSE(CONTROL!$C$22, $C$13, 100%, $E$13)</f>
        <v>29.347300000000001</v>
      </c>
      <c r="I883" s="64">
        <f>29.3473 * CHOOSE(CONTROL!$C$22, $C$13, 100%, $E$13)</f>
        <v>29.347300000000001</v>
      </c>
      <c r="J883" s="64">
        <f>16.9632 * CHOOSE(CONTROL!$C$22, $C$13, 100%, $E$13)</f>
        <v>16.963200000000001</v>
      </c>
      <c r="K883" s="64">
        <f>16.9633 * CHOOSE(CONTROL!$C$22, $C$13, 100%, $E$13)</f>
        <v>16.9633</v>
      </c>
    </row>
    <row r="884" spans="1:11" ht="15">
      <c r="A884" s="13">
        <v>68393</v>
      </c>
      <c r="B884" s="63">
        <f>15.0218 * CHOOSE(CONTROL!$C$22, $C$13, 100%, $E$13)</f>
        <v>15.021800000000001</v>
      </c>
      <c r="C884" s="63">
        <f>15.0218 * CHOOSE(CONTROL!$C$22, $C$13, 100%, $E$13)</f>
        <v>15.021800000000001</v>
      </c>
      <c r="D884" s="63">
        <f>15.0218 * CHOOSE(CONTROL!$C$22, $C$13, 100%, $E$13)</f>
        <v>15.021800000000001</v>
      </c>
      <c r="E884" s="64">
        <f>17.2166 * CHOOSE(CONTROL!$C$22, $C$13, 100%, $E$13)</f>
        <v>17.2166</v>
      </c>
      <c r="F884" s="64">
        <f>17.2166 * CHOOSE(CONTROL!$C$22, $C$13, 100%, $E$13)</f>
        <v>17.2166</v>
      </c>
      <c r="G884" s="64">
        <f>17.2167 * CHOOSE(CONTROL!$C$22, $C$13, 100%, $E$13)</f>
        <v>17.216699999999999</v>
      </c>
      <c r="H884" s="64">
        <f>29.4084* CHOOSE(CONTROL!$C$22, $C$13, 100%, $E$13)</f>
        <v>29.4084</v>
      </c>
      <c r="I884" s="64">
        <f>29.4085 * CHOOSE(CONTROL!$C$22, $C$13, 100%, $E$13)</f>
        <v>29.4085</v>
      </c>
      <c r="J884" s="64">
        <f>17.2166 * CHOOSE(CONTROL!$C$22, $C$13, 100%, $E$13)</f>
        <v>17.2166</v>
      </c>
      <c r="K884" s="64">
        <f>17.2167 * CHOOSE(CONTROL!$C$22, $C$13, 100%, $E$13)</f>
        <v>17.216699999999999</v>
      </c>
    </row>
    <row r="885" spans="1:11" ht="15">
      <c r="A885" s="13">
        <v>68423</v>
      </c>
      <c r="B885" s="63">
        <f>15.0218 * CHOOSE(CONTROL!$C$22, $C$13, 100%, $E$13)</f>
        <v>15.021800000000001</v>
      </c>
      <c r="C885" s="63">
        <f>15.0218 * CHOOSE(CONTROL!$C$22, $C$13, 100%, $E$13)</f>
        <v>15.021800000000001</v>
      </c>
      <c r="D885" s="63">
        <f>15.0348 * CHOOSE(CONTROL!$C$22, $C$13, 100%, $E$13)</f>
        <v>15.034800000000001</v>
      </c>
      <c r="E885" s="64">
        <f>17.3133 * CHOOSE(CONTROL!$C$22, $C$13, 100%, $E$13)</f>
        <v>17.313300000000002</v>
      </c>
      <c r="F885" s="64">
        <f>17.3133 * CHOOSE(CONTROL!$C$22, $C$13, 100%, $E$13)</f>
        <v>17.313300000000002</v>
      </c>
      <c r="G885" s="64">
        <f>17.3289 * CHOOSE(CONTROL!$C$22, $C$13, 100%, $E$13)</f>
        <v>17.328900000000001</v>
      </c>
      <c r="H885" s="64">
        <f>29.4697* CHOOSE(CONTROL!$C$22, $C$13, 100%, $E$13)</f>
        <v>29.4697</v>
      </c>
      <c r="I885" s="64">
        <f>29.4854 * CHOOSE(CONTROL!$C$22, $C$13, 100%, $E$13)</f>
        <v>29.485399999999998</v>
      </c>
      <c r="J885" s="64">
        <f>17.3133 * CHOOSE(CONTROL!$C$22, $C$13, 100%, $E$13)</f>
        <v>17.313300000000002</v>
      </c>
      <c r="K885" s="64">
        <f>17.3289 * CHOOSE(CONTROL!$C$22, $C$13, 100%, $E$13)</f>
        <v>17.328900000000001</v>
      </c>
    </row>
    <row r="886" spans="1:11" ht="15">
      <c r="A886" s="13">
        <v>68454</v>
      </c>
      <c r="B886" s="63">
        <f>15.0279 * CHOOSE(CONTROL!$C$22, $C$13, 100%, $E$13)</f>
        <v>15.027900000000001</v>
      </c>
      <c r="C886" s="63">
        <f>15.0279 * CHOOSE(CONTROL!$C$22, $C$13, 100%, $E$13)</f>
        <v>15.027900000000001</v>
      </c>
      <c r="D886" s="63">
        <f>15.0409 * CHOOSE(CONTROL!$C$22, $C$13, 100%, $E$13)</f>
        <v>15.040900000000001</v>
      </c>
      <c r="E886" s="64">
        <f>17.2209 * CHOOSE(CONTROL!$C$22, $C$13, 100%, $E$13)</f>
        <v>17.2209</v>
      </c>
      <c r="F886" s="64">
        <f>17.2209 * CHOOSE(CONTROL!$C$22, $C$13, 100%, $E$13)</f>
        <v>17.2209</v>
      </c>
      <c r="G886" s="64">
        <f>17.2366 * CHOOSE(CONTROL!$C$22, $C$13, 100%, $E$13)</f>
        <v>17.236599999999999</v>
      </c>
      <c r="H886" s="64">
        <f>29.5311* CHOOSE(CONTROL!$C$22, $C$13, 100%, $E$13)</f>
        <v>29.531099999999999</v>
      </c>
      <c r="I886" s="64">
        <f>29.5468 * CHOOSE(CONTROL!$C$22, $C$13, 100%, $E$13)</f>
        <v>29.546800000000001</v>
      </c>
      <c r="J886" s="64">
        <f>17.2209 * CHOOSE(CONTROL!$C$22, $C$13, 100%, $E$13)</f>
        <v>17.2209</v>
      </c>
      <c r="K886" s="64">
        <f>17.2366 * CHOOSE(CONTROL!$C$22, $C$13, 100%, $E$13)</f>
        <v>17.236599999999999</v>
      </c>
    </row>
    <row r="887" spans="1:11" ht="15">
      <c r="A887" s="13">
        <v>68484</v>
      </c>
      <c r="B887" s="63">
        <f>15.2551 * CHOOSE(CONTROL!$C$22, $C$13, 100%, $E$13)</f>
        <v>15.255100000000001</v>
      </c>
      <c r="C887" s="63">
        <f>15.2551 * CHOOSE(CONTROL!$C$22, $C$13, 100%, $E$13)</f>
        <v>15.255100000000001</v>
      </c>
      <c r="D887" s="63">
        <f>15.2681 * CHOOSE(CONTROL!$C$22, $C$13, 100%, $E$13)</f>
        <v>15.2681</v>
      </c>
      <c r="E887" s="64">
        <f>17.494 * CHOOSE(CONTROL!$C$22, $C$13, 100%, $E$13)</f>
        <v>17.494</v>
      </c>
      <c r="F887" s="64">
        <f>17.494 * CHOOSE(CONTROL!$C$22, $C$13, 100%, $E$13)</f>
        <v>17.494</v>
      </c>
      <c r="G887" s="64">
        <f>17.5097 * CHOOSE(CONTROL!$C$22, $C$13, 100%, $E$13)</f>
        <v>17.509699999999999</v>
      </c>
      <c r="H887" s="64">
        <f>29.5926* CHOOSE(CONTROL!$C$22, $C$13, 100%, $E$13)</f>
        <v>29.592600000000001</v>
      </c>
      <c r="I887" s="64">
        <f>29.6083 * CHOOSE(CONTROL!$C$22, $C$13, 100%, $E$13)</f>
        <v>29.6083</v>
      </c>
      <c r="J887" s="64">
        <f>17.494 * CHOOSE(CONTROL!$C$22, $C$13, 100%, $E$13)</f>
        <v>17.494</v>
      </c>
      <c r="K887" s="64">
        <f>17.5097 * CHOOSE(CONTROL!$C$22, $C$13, 100%, $E$13)</f>
        <v>17.509699999999999</v>
      </c>
    </row>
    <row r="888" spans="1:11" ht="15">
      <c r="A888" s="13">
        <v>68515</v>
      </c>
      <c r="B888" s="63">
        <f>15.2618 * CHOOSE(CONTROL!$C$22, $C$13, 100%, $E$13)</f>
        <v>15.261799999999999</v>
      </c>
      <c r="C888" s="63">
        <f>15.2618 * CHOOSE(CONTROL!$C$22, $C$13, 100%, $E$13)</f>
        <v>15.261799999999999</v>
      </c>
      <c r="D888" s="63">
        <f>15.2748 * CHOOSE(CONTROL!$C$22, $C$13, 100%, $E$13)</f>
        <v>15.274800000000001</v>
      </c>
      <c r="E888" s="64">
        <f>17.2088 * CHOOSE(CONTROL!$C$22, $C$13, 100%, $E$13)</f>
        <v>17.2088</v>
      </c>
      <c r="F888" s="64">
        <f>17.2088 * CHOOSE(CONTROL!$C$22, $C$13, 100%, $E$13)</f>
        <v>17.2088</v>
      </c>
      <c r="G888" s="64">
        <f>17.2244 * CHOOSE(CONTROL!$C$22, $C$13, 100%, $E$13)</f>
        <v>17.224399999999999</v>
      </c>
      <c r="H888" s="64">
        <f>29.6542* CHOOSE(CONTROL!$C$22, $C$13, 100%, $E$13)</f>
        <v>29.654199999999999</v>
      </c>
      <c r="I888" s="64">
        <f>29.6699 * CHOOSE(CONTROL!$C$22, $C$13, 100%, $E$13)</f>
        <v>29.669899999999998</v>
      </c>
      <c r="J888" s="64">
        <f>17.2088 * CHOOSE(CONTROL!$C$22, $C$13, 100%, $E$13)</f>
        <v>17.2088</v>
      </c>
      <c r="K888" s="64">
        <f>17.2244 * CHOOSE(CONTROL!$C$22, $C$13, 100%, $E$13)</f>
        <v>17.224399999999999</v>
      </c>
    </row>
    <row r="889" spans="1:11" ht="15">
      <c r="A889" s="13">
        <v>68546</v>
      </c>
      <c r="B889" s="63">
        <f>15.2588 * CHOOSE(CONTROL!$C$22, $C$13, 100%, $E$13)</f>
        <v>15.258800000000001</v>
      </c>
      <c r="C889" s="63">
        <f>15.2588 * CHOOSE(CONTROL!$C$22, $C$13, 100%, $E$13)</f>
        <v>15.258800000000001</v>
      </c>
      <c r="D889" s="63">
        <f>15.2718 * CHOOSE(CONTROL!$C$22, $C$13, 100%, $E$13)</f>
        <v>15.271800000000001</v>
      </c>
      <c r="E889" s="64">
        <f>17.1744 * CHOOSE(CONTROL!$C$22, $C$13, 100%, $E$13)</f>
        <v>17.174399999999999</v>
      </c>
      <c r="F889" s="64">
        <f>17.1744 * CHOOSE(CONTROL!$C$22, $C$13, 100%, $E$13)</f>
        <v>17.174399999999999</v>
      </c>
      <c r="G889" s="64">
        <f>17.1901 * CHOOSE(CONTROL!$C$22, $C$13, 100%, $E$13)</f>
        <v>17.190100000000001</v>
      </c>
      <c r="H889" s="64">
        <f>29.716* CHOOSE(CONTROL!$C$22, $C$13, 100%, $E$13)</f>
        <v>29.716000000000001</v>
      </c>
      <c r="I889" s="64">
        <f>29.7317 * CHOOSE(CONTROL!$C$22, $C$13, 100%, $E$13)</f>
        <v>29.7317</v>
      </c>
      <c r="J889" s="64">
        <f>17.1744 * CHOOSE(CONTROL!$C$22, $C$13, 100%, $E$13)</f>
        <v>17.174399999999999</v>
      </c>
      <c r="K889" s="64">
        <f>17.1901 * CHOOSE(CONTROL!$C$22, $C$13, 100%, $E$13)</f>
        <v>17.190100000000001</v>
      </c>
    </row>
    <row r="890" spans="1:11" ht="15">
      <c r="A890" s="13">
        <v>68576</v>
      </c>
      <c r="B890" s="63">
        <f>15.2901 * CHOOSE(CONTROL!$C$22, $C$13, 100%, $E$13)</f>
        <v>15.290100000000001</v>
      </c>
      <c r="C890" s="63">
        <f>15.2901 * CHOOSE(CONTROL!$C$22, $C$13, 100%, $E$13)</f>
        <v>15.290100000000001</v>
      </c>
      <c r="D890" s="63">
        <f>15.2901 * CHOOSE(CONTROL!$C$22, $C$13, 100%, $E$13)</f>
        <v>15.290100000000001</v>
      </c>
      <c r="E890" s="64">
        <f>17.2899 * CHOOSE(CONTROL!$C$22, $C$13, 100%, $E$13)</f>
        <v>17.289899999999999</v>
      </c>
      <c r="F890" s="64">
        <f>17.2899 * CHOOSE(CONTROL!$C$22, $C$13, 100%, $E$13)</f>
        <v>17.289899999999999</v>
      </c>
      <c r="G890" s="64">
        <f>17.2899 * CHOOSE(CONTROL!$C$22, $C$13, 100%, $E$13)</f>
        <v>17.289899999999999</v>
      </c>
      <c r="H890" s="64">
        <f>29.7779* CHOOSE(CONTROL!$C$22, $C$13, 100%, $E$13)</f>
        <v>29.777899999999999</v>
      </c>
      <c r="I890" s="64">
        <f>29.778 * CHOOSE(CONTROL!$C$22, $C$13, 100%, $E$13)</f>
        <v>29.777999999999999</v>
      </c>
      <c r="J890" s="64">
        <f>17.2899 * CHOOSE(CONTROL!$C$22, $C$13, 100%, $E$13)</f>
        <v>17.289899999999999</v>
      </c>
      <c r="K890" s="64">
        <f>17.2899 * CHOOSE(CONTROL!$C$22, $C$13, 100%, $E$13)</f>
        <v>17.289899999999999</v>
      </c>
    </row>
    <row r="891" spans="1:11" ht="15">
      <c r="A891" s="13">
        <v>68607</v>
      </c>
      <c r="B891" s="63">
        <f>15.2931 * CHOOSE(CONTROL!$C$22, $C$13, 100%, $E$13)</f>
        <v>15.293100000000001</v>
      </c>
      <c r="C891" s="63">
        <f>15.2931 * CHOOSE(CONTROL!$C$22, $C$13, 100%, $E$13)</f>
        <v>15.293100000000001</v>
      </c>
      <c r="D891" s="63">
        <f>15.2931 * CHOOSE(CONTROL!$C$22, $C$13, 100%, $E$13)</f>
        <v>15.293100000000001</v>
      </c>
      <c r="E891" s="64">
        <f>17.3564 * CHOOSE(CONTROL!$C$22, $C$13, 100%, $E$13)</f>
        <v>17.356400000000001</v>
      </c>
      <c r="F891" s="64">
        <f>17.3564 * CHOOSE(CONTROL!$C$22, $C$13, 100%, $E$13)</f>
        <v>17.356400000000001</v>
      </c>
      <c r="G891" s="64">
        <f>17.3565 * CHOOSE(CONTROL!$C$22, $C$13, 100%, $E$13)</f>
        <v>17.3565</v>
      </c>
      <c r="H891" s="64">
        <f>29.84* CHOOSE(CONTROL!$C$22, $C$13, 100%, $E$13)</f>
        <v>29.84</v>
      </c>
      <c r="I891" s="64">
        <f>29.8401 * CHOOSE(CONTROL!$C$22, $C$13, 100%, $E$13)</f>
        <v>29.8401</v>
      </c>
      <c r="J891" s="64">
        <f>17.3564 * CHOOSE(CONTROL!$C$22, $C$13, 100%, $E$13)</f>
        <v>17.356400000000001</v>
      </c>
      <c r="K891" s="64">
        <f>17.3565 * CHOOSE(CONTROL!$C$22, $C$13, 100%, $E$13)</f>
        <v>17.3565</v>
      </c>
    </row>
    <row r="892" spans="1:11" ht="15">
      <c r="A892" s="13">
        <v>68637</v>
      </c>
      <c r="B892" s="63">
        <f>15.2931 * CHOOSE(CONTROL!$C$22, $C$13, 100%, $E$13)</f>
        <v>15.293100000000001</v>
      </c>
      <c r="C892" s="63">
        <f>15.2931 * CHOOSE(CONTROL!$C$22, $C$13, 100%, $E$13)</f>
        <v>15.293100000000001</v>
      </c>
      <c r="D892" s="63">
        <f>15.2931 * CHOOSE(CONTROL!$C$22, $C$13, 100%, $E$13)</f>
        <v>15.293100000000001</v>
      </c>
      <c r="E892" s="64">
        <f>17.1953 * CHOOSE(CONTROL!$C$22, $C$13, 100%, $E$13)</f>
        <v>17.1953</v>
      </c>
      <c r="F892" s="64">
        <f>17.1953 * CHOOSE(CONTROL!$C$22, $C$13, 100%, $E$13)</f>
        <v>17.1953</v>
      </c>
      <c r="G892" s="64">
        <f>17.1954 * CHOOSE(CONTROL!$C$22, $C$13, 100%, $E$13)</f>
        <v>17.195399999999999</v>
      </c>
      <c r="H892" s="64">
        <f>29.9021* CHOOSE(CONTROL!$C$22, $C$13, 100%, $E$13)</f>
        <v>29.902100000000001</v>
      </c>
      <c r="I892" s="64">
        <f>29.9022 * CHOOSE(CONTROL!$C$22, $C$13, 100%, $E$13)</f>
        <v>29.902200000000001</v>
      </c>
      <c r="J892" s="64">
        <f>17.1953 * CHOOSE(CONTROL!$C$22, $C$13, 100%, $E$13)</f>
        <v>17.1953</v>
      </c>
      <c r="K892" s="64">
        <f>17.1954 * CHOOSE(CONTROL!$C$22, $C$13, 100%, $E$13)</f>
        <v>17.195399999999999</v>
      </c>
    </row>
    <row r="893" spans="1:11" ht="15">
      <c r="A893" s="13">
        <v>68668</v>
      </c>
      <c r="B893" s="63">
        <f>15.2566 * CHOOSE(CONTROL!$C$22, $C$13, 100%, $E$13)</f>
        <v>15.256600000000001</v>
      </c>
      <c r="C893" s="63">
        <f>15.2566 * CHOOSE(CONTROL!$C$22, $C$13, 100%, $E$13)</f>
        <v>15.256600000000001</v>
      </c>
      <c r="D893" s="63">
        <f>15.2566 * CHOOSE(CONTROL!$C$22, $C$13, 100%, $E$13)</f>
        <v>15.256600000000001</v>
      </c>
      <c r="E893" s="64">
        <f>17.2866 * CHOOSE(CONTROL!$C$22, $C$13, 100%, $E$13)</f>
        <v>17.2866</v>
      </c>
      <c r="F893" s="64">
        <f>17.2866 * CHOOSE(CONTROL!$C$22, $C$13, 100%, $E$13)</f>
        <v>17.2866</v>
      </c>
      <c r="G893" s="64">
        <f>17.2867 * CHOOSE(CONTROL!$C$22, $C$13, 100%, $E$13)</f>
        <v>17.2867</v>
      </c>
      <c r="H893" s="64">
        <f>29.6713* CHOOSE(CONTROL!$C$22, $C$13, 100%, $E$13)</f>
        <v>29.671299999999999</v>
      </c>
      <c r="I893" s="64">
        <f>29.6713 * CHOOSE(CONTROL!$C$22, $C$13, 100%, $E$13)</f>
        <v>29.671299999999999</v>
      </c>
      <c r="J893" s="64">
        <f>17.2866 * CHOOSE(CONTROL!$C$22, $C$13, 100%, $E$13)</f>
        <v>17.2866</v>
      </c>
      <c r="K893" s="64">
        <f>17.2867 * CHOOSE(CONTROL!$C$22, $C$13, 100%, $E$13)</f>
        <v>17.2867</v>
      </c>
    </row>
    <row r="894" spans="1:11" ht="15">
      <c r="A894" s="13">
        <v>68699</v>
      </c>
      <c r="B894" s="63">
        <f>15.2536 * CHOOSE(CONTROL!$C$22, $C$13, 100%, $E$13)</f>
        <v>15.2536</v>
      </c>
      <c r="C894" s="63">
        <f>15.2536 * CHOOSE(CONTROL!$C$22, $C$13, 100%, $E$13)</f>
        <v>15.2536</v>
      </c>
      <c r="D894" s="63">
        <f>15.2536 * CHOOSE(CONTROL!$C$22, $C$13, 100%, $E$13)</f>
        <v>15.2536</v>
      </c>
      <c r="E894" s="64">
        <f>16.9752 * CHOOSE(CONTROL!$C$22, $C$13, 100%, $E$13)</f>
        <v>16.975200000000001</v>
      </c>
      <c r="F894" s="64">
        <f>16.9752 * CHOOSE(CONTROL!$C$22, $C$13, 100%, $E$13)</f>
        <v>16.975200000000001</v>
      </c>
      <c r="G894" s="64">
        <f>16.9753 * CHOOSE(CONTROL!$C$22, $C$13, 100%, $E$13)</f>
        <v>16.975300000000001</v>
      </c>
      <c r="H894" s="64">
        <f>29.7331* CHOOSE(CONTROL!$C$22, $C$13, 100%, $E$13)</f>
        <v>29.7331</v>
      </c>
      <c r="I894" s="64">
        <f>29.7332 * CHOOSE(CONTROL!$C$22, $C$13, 100%, $E$13)</f>
        <v>29.7332</v>
      </c>
      <c r="J894" s="64">
        <f>16.9752 * CHOOSE(CONTROL!$C$22, $C$13, 100%, $E$13)</f>
        <v>16.975200000000001</v>
      </c>
      <c r="K894" s="64">
        <f>16.9753 * CHOOSE(CONTROL!$C$22, $C$13, 100%, $E$13)</f>
        <v>16.975300000000001</v>
      </c>
    </row>
    <row r="895" spans="1:11" ht="15">
      <c r="A895" s="13">
        <v>68728</v>
      </c>
      <c r="B895" s="63">
        <f>15.2505 * CHOOSE(CONTROL!$C$22, $C$13, 100%, $E$13)</f>
        <v>15.250500000000001</v>
      </c>
      <c r="C895" s="63">
        <f>15.2505 * CHOOSE(CONTROL!$C$22, $C$13, 100%, $E$13)</f>
        <v>15.250500000000001</v>
      </c>
      <c r="D895" s="63">
        <f>15.2505 * CHOOSE(CONTROL!$C$22, $C$13, 100%, $E$13)</f>
        <v>15.250500000000001</v>
      </c>
      <c r="E895" s="64">
        <f>17.2169 * CHOOSE(CONTROL!$C$22, $C$13, 100%, $E$13)</f>
        <v>17.216899999999999</v>
      </c>
      <c r="F895" s="64">
        <f>17.2169 * CHOOSE(CONTROL!$C$22, $C$13, 100%, $E$13)</f>
        <v>17.216899999999999</v>
      </c>
      <c r="G895" s="64">
        <f>17.217 * CHOOSE(CONTROL!$C$22, $C$13, 100%, $E$13)</f>
        <v>17.216999999999999</v>
      </c>
      <c r="H895" s="64">
        <f>29.795* CHOOSE(CONTROL!$C$22, $C$13, 100%, $E$13)</f>
        <v>29.795000000000002</v>
      </c>
      <c r="I895" s="64">
        <f>29.7951 * CHOOSE(CONTROL!$C$22, $C$13, 100%, $E$13)</f>
        <v>29.795100000000001</v>
      </c>
      <c r="J895" s="64">
        <f>17.2169 * CHOOSE(CONTROL!$C$22, $C$13, 100%, $E$13)</f>
        <v>17.216899999999999</v>
      </c>
      <c r="K895" s="64">
        <f>17.217 * CHOOSE(CONTROL!$C$22, $C$13, 100%, $E$13)</f>
        <v>17.216999999999999</v>
      </c>
    </row>
    <row r="896" spans="1:11" ht="15">
      <c r="A896" s="13">
        <v>68759</v>
      </c>
      <c r="B896" s="63">
        <f>15.2576 * CHOOSE(CONTROL!$C$22, $C$13, 100%, $E$13)</f>
        <v>15.2576</v>
      </c>
      <c r="C896" s="63">
        <f>15.2576 * CHOOSE(CONTROL!$C$22, $C$13, 100%, $E$13)</f>
        <v>15.2576</v>
      </c>
      <c r="D896" s="63">
        <f>15.2576 * CHOOSE(CONTROL!$C$22, $C$13, 100%, $E$13)</f>
        <v>15.2576</v>
      </c>
      <c r="E896" s="64">
        <f>17.4745 * CHOOSE(CONTROL!$C$22, $C$13, 100%, $E$13)</f>
        <v>17.474499999999999</v>
      </c>
      <c r="F896" s="64">
        <f>17.4745 * CHOOSE(CONTROL!$C$22, $C$13, 100%, $E$13)</f>
        <v>17.474499999999999</v>
      </c>
      <c r="G896" s="64">
        <f>17.4746 * CHOOSE(CONTROL!$C$22, $C$13, 100%, $E$13)</f>
        <v>17.474599999999999</v>
      </c>
      <c r="H896" s="64">
        <f>29.8571* CHOOSE(CONTROL!$C$22, $C$13, 100%, $E$13)</f>
        <v>29.857099999999999</v>
      </c>
      <c r="I896" s="64">
        <f>29.8572 * CHOOSE(CONTROL!$C$22, $C$13, 100%, $E$13)</f>
        <v>29.857199999999999</v>
      </c>
      <c r="J896" s="64">
        <f>17.4745 * CHOOSE(CONTROL!$C$22, $C$13, 100%, $E$13)</f>
        <v>17.474499999999999</v>
      </c>
      <c r="K896" s="64">
        <f>17.4746 * CHOOSE(CONTROL!$C$22, $C$13, 100%, $E$13)</f>
        <v>17.474599999999999</v>
      </c>
    </row>
    <row r="897" spans="1:11" ht="15">
      <c r="A897" s="13">
        <v>68789</v>
      </c>
      <c r="B897" s="63">
        <f>15.2576 * CHOOSE(CONTROL!$C$22, $C$13, 100%, $E$13)</f>
        <v>15.2576</v>
      </c>
      <c r="C897" s="63">
        <f>15.2576 * CHOOSE(CONTROL!$C$22, $C$13, 100%, $E$13)</f>
        <v>15.2576</v>
      </c>
      <c r="D897" s="63">
        <f>15.2705 * CHOOSE(CONTROL!$C$22, $C$13, 100%, $E$13)</f>
        <v>15.2705</v>
      </c>
      <c r="E897" s="64">
        <f>17.5727 * CHOOSE(CONTROL!$C$22, $C$13, 100%, $E$13)</f>
        <v>17.572700000000001</v>
      </c>
      <c r="F897" s="64">
        <f>17.5727 * CHOOSE(CONTROL!$C$22, $C$13, 100%, $E$13)</f>
        <v>17.572700000000001</v>
      </c>
      <c r="G897" s="64">
        <f>17.5884 * CHOOSE(CONTROL!$C$22, $C$13, 100%, $E$13)</f>
        <v>17.5884</v>
      </c>
      <c r="H897" s="64">
        <f>29.9193* CHOOSE(CONTROL!$C$22, $C$13, 100%, $E$13)</f>
        <v>29.9193</v>
      </c>
      <c r="I897" s="64">
        <f>29.935 * CHOOSE(CONTROL!$C$22, $C$13, 100%, $E$13)</f>
        <v>29.934999999999999</v>
      </c>
      <c r="J897" s="64">
        <f>17.5727 * CHOOSE(CONTROL!$C$22, $C$13, 100%, $E$13)</f>
        <v>17.572700000000001</v>
      </c>
      <c r="K897" s="64">
        <f>17.5884 * CHOOSE(CONTROL!$C$22, $C$13, 100%, $E$13)</f>
        <v>17.5884</v>
      </c>
    </row>
    <row r="898" spans="1:11" ht="15">
      <c r="A898" s="13">
        <v>68820</v>
      </c>
      <c r="B898" s="63">
        <f>15.2637 * CHOOSE(CONTROL!$C$22, $C$13, 100%, $E$13)</f>
        <v>15.2637</v>
      </c>
      <c r="C898" s="63">
        <f>15.2637 * CHOOSE(CONTROL!$C$22, $C$13, 100%, $E$13)</f>
        <v>15.2637</v>
      </c>
      <c r="D898" s="63">
        <f>15.2766 * CHOOSE(CONTROL!$C$22, $C$13, 100%, $E$13)</f>
        <v>15.2766</v>
      </c>
      <c r="E898" s="64">
        <f>17.4787 * CHOOSE(CONTROL!$C$22, $C$13, 100%, $E$13)</f>
        <v>17.4787</v>
      </c>
      <c r="F898" s="64">
        <f>17.4787 * CHOOSE(CONTROL!$C$22, $C$13, 100%, $E$13)</f>
        <v>17.4787</v>
      </c>
      <c r="G898" s="64">
        <f>17.4944 * CHOOSE(CONTROL!$C$22, $C$13, 100%, $E$13)</f>
        <v>17.494399999999999</v>
      </c>
      <c r="H898" s="64">
        <f>29.9816* CHOOSE(CONTROL!$C$22, $C$13, 100%, $E$13)</f>
        <v>29.9816</v>
      </c>
      <c r="I898" s="64">
        <f>29.9973 * CHOOSE(CONTROL!$C$22, $C$13, 100%, $E$13)</f>
        <v>29.997299999999999</v>
      </c>
      <c r="J898" s="64">
        <f>17.4787 * CHOOSE(CONTROL!$C$22, $C$13, 100%, $E$13)</f>
        <v>17.4787</v>
      </c>
      <c r="K898" s="64">
        <f>17.4944 * CHOOSE(CONTROL!$C$22, $C$13, 100%, $E$13)</f>
        <v>17.494399999999999</v>
      </c>
    </row>
    <row r="899" spans="1:11" ht="15">
      <c r="A899" s="13">
        <v>68850</v>
      </c>
      <c r="B899" s="63">
        <f>15.4943 * CHOOSE(CONTROL!$C$22, $C$13, 100%, $E$13)</f>
        <v>15.494300000000001</v>
      </c>
      <c r="C899" s="63">
        <f>15.4943 * CHOOSE(CONTROL!$C$22, $C$13, 100%, $E$13)</f>
        <v>15.494300000000001</v>
      </c>
      <c r="D899" s="63">
        <f>15.5073 * CHOOSE(CONTROL!$C$22, $C$13, 100%, $E$13)</f>
        <v>15.507300000000001</v>
      </c>
      <c r="E899" s="64">
        <f>17.7558 * CHOOSE(CONTROL!$C$22, $C$13, 100%, $E$13)</f>
        <v>17.755800000000001</v>
      </c>
      <c r="F899" s="64">
        <f>17.7558 * CHOOSE(CONTROL!$C$22, $C$13, 100%, $E$13)</f>
        <v>17.755800000000001</v>
      </c>
      <c r="G899" s="64">
        <f>17.7714 * CHOOSE(CONTROL!$C$22, $C$13, 100%, $E$13)</f>
        <v>17.7714</v>
      </c>
      <c r="H899" s="64">
        <f>30.0441* CHOOSE(CONTROL!$C$22, $C$13, 100%, $E$13)</f>
        <v>30.0441</v>
      </c>
      <c r="I899" s="64">
        <f>30.0598 * CHOOSE(CONTROL!$C$22, $C$13, 100%, $E$13)</f>
        <v>30.059799999999999</v>
      </c>
      <c r="J899" s="64">
        <f>17.7558 * CHOOSE(CONTROL!$C$22, $C$13, 100%, $E$13)</f>
        <v>17.755800000000001</v>
      </c>
      <c r="K899" s="64">
        <f>17.7714 * CHOOSE(CONTROL!$C$22, $C$13, 100%, $E$13)</f>
        <v>17.7714</v>
      </c>
    </row>
    <row r="900" spans="1:11" ht="15">
      <c r="A900" s="13">
        <v>68881</v>
      </c>
      <c r="B900" s="63">
        <f>15.501 * CHOOSE(CONTROL!$C$22, $C$13, 100%, $E$13)</f>
        <v>15.500999999999999</v>
      </c>
      <c r="C900" s="63">
        <f>15.501 * CHOOSE(CONTROL!$C$22, $C$13, 100%, $E$13)</f>
        <v>15.500999999999999</v>
      </c>
      <c r="D900" s="63">
        <f>15.514 * CHOOSE(CONTROL!$C$22, $C$13, 100%, $E$13)</f>
        <v>15.513999999999999</v>
      </c>
      <c r="E900" s="64">
        <f>17.4658 * CHOOSE(CONTROL!$C$22, $C$13, 100%, $E$13)</f>
        <v>17.465800000000002</v>
      </c>
      <c r="F900" s="64">
        <f>17.4658 * CHOOSE(CONTROL!$C$22, $C$13, 100%, $E$13)</f>
        <v>17.465800000000002</v>
      </c>
      <c r="G900" s="64">
        <f>17.4815 * CHOOSE(CONTROL!$C$22, $C$13, 100%, $E$13)</f>
        <v>17.4815</v>
      </c>
      <c r="H900" s="64">
        <f>30.1067* CHOOSE(CONTROL!$C$22, $C$13, 100%, $E$13)</f>
        <v>30.1067</v>
      </c>
      <c r="I900" s="64">
        <f>30.1224 * CHOOSE(CONTROL!$C$22, $C$13, 100%, $E$13)</f>
        <v>30.122399999999999</v>
      </c>
      <c r="J900" s="64">
        <f>17.4658 * CHOOSE(CONTROL!$C$22, $C$13, 100%, $E$13)</f>
        <v>17.465800000000002</v>
      </c>
      <c r="K900" s="64">
        <f>17.4815 * CHOOSE(CONTROL!$C$22, $C$13, 100%, $E$13)</f>
        <v>17.4815</v>
      </c>
    </row>
    <row r="901" spans="1:11" ht="15">
      <c r="A901" s="13">
        <v>68912</v>
      </c>
      <c r="B901" s="63">
        <f>15.498 * CHOOSE(CONTROL!$C$22, $C$13, 100%, $E$13)</f>
        <v>15.497999999999999</v>
      </c>
      <c r="C901" s="63">
        <f>15.498 * CHOOSE(CONTROL!$C$22, $C$13, 100%, $E$13)</f>
        <v>15.497999999999999</v>
      </c>
      <c r="D901" s="63">
        <f>15.5109 * CHOOSE(CONTROL!$C$22, $C$13, 100%, $E$13)</f>
        <v>15.510899999999999</v>
      </c>
      <c r="E901" s="64">
        <f>17.431 * CHOOSE(CONTROL!$C$22, $C$13, 100%, $E$13)</f>
        <v>17.431000000000001</v>
      </c>
      <c r="F901" s="64">
        <f>17.431 * CHOOSE(CONTROL!$C$22, $C$13, 100%, $E$13)</f>
        <v>17.431000000000001</v>
      </c>
      <c r="G901" s="64">
        <f>17.4467 * CHOOSE(CONTROL!$C$22, $C$13, 100%, $E$13)</f>
        <v>17.4467</v>
      </c>
      <c r="H901" s="64">
        <f>30.1694* CHOOSE(CONTROL!$C$22, $C$13, 100%, $E$13)</f>
        <v>30.1694</v>
      </c>
      <c r="I901" s="64">
        <f>30.1851 * CHOOSE(CONTROL!$C$22, $C$13, 100%, $E$13)</f>
        <v>30.185099999999998</v>
      </c>
      <c r="J901" s="64">
        <f>17.431 * CHOOSE(CONTROL!$C$22, $C$13, 100%, $E$13)</f>
        <v>17.431000000000001</v>
      </c>
      <c r="K901" s="64">
        <f>17.4467 * CHOOSE(CONTROL!$C$22, $C$13, 100%, $E$13)</f>
        <v>17.4467</v>
      </c>
    </row>
    <row r="902" spans="1:11" ht="15">
      <c r="A902" s="13">
        <v>68942</v>
      </c>
      <c r="B902" s="63">
        <f>15.53 * CHOOSE(CONTROL!$C$22, $C$13, 100%, $E$13)</f>
        <v>15.53</v>
      </c>
      <c r="C902" s="63">
        <f>15.53 * CHOOSE(CONTROL!$C$22, $C$13, 100%, $E$13)</f>
        <v>15.53</v>
      </c>
      <c r="D902" s="63">
        <f>15.53 * CHOOSE(CONTROL!$C$22, $C$13, 100%, $E$13)</f>
        <v>15.53</v>
      </c>
      <c r="E902" s="64">
        <f>17.5485 * CHOOSE(CONTROL!$C$22, $C$13, 100%, $E$13)</f>
        <v>17.548500000000001</v>
      </c>
      <c r="F902" s="64">
        <f>17.5485 * CHOOSE(CONTROL!$C$22, $C$13, 100%, $E$13)</f>
        <v>17.548500000000001</v>
      </c>
      <c r="G902" s="64">
        <f>17.5486 * CHOOSE(CONTROL!$C$22, $C$13, 100%, $E$13)</f>
        <v>17.5486</v>
      </c>
      <c r="H902" s="64">
        <f>30.2323* CHOOSE(CONTROL!$C$22, $C$13, 100%, $E$13)</f>
        <v>30.232299999999999</v>
      </c>
      <c r="I902" s="64">
        <f>30.2323 * CHOOSE(CONTROL!$C$22, $C$13, 100%, $E$13)</f>
        <v>30.232299999999999</v>
      </c>
      <c r="J902" s="64">
        <f>17.5485 * CHOOSE(CONTROL!$C$22, $C$13, 100%, $E$13)</f>
        <v>17.548500000000001</v>
      </c>
      <c r="K902" s="64">
        <f>17.5486 * CHOOSE(CONTROL!$C$22, $C$13, 100%, $E$13)</f>
        <v>17.5486</v>
      </c>
    </row>
    <row r="903" spans="1:11" ht="15">
      <c r="A903" s="13">
        <v>68973</v>
      </c>
      <c r="B903" s="63">
        <f>15.533 * CHOOSE(CONTROL!$C$22, $C$13, 100%, $E$13)</f>
        <v>15.532999999999999</v>
      </c>
      <c r="C903" s="63">
        <f>15.533 * CHOOSE(CONTROL!$C$22, $C$13, 100%, $E$13)</f>
        <v>15.532999999999999</v>
      </c>
      <c r="D903" s="63">
        <f>15.533 * CHOOSE(CONTROL!$C$22, $C$13, 100%, $E$13)</f>
        <v>15.532999999999999</v>
      </c>
      <c r="E903" s="64">
        <f>17.6161 * CHOOSE(CONTROL!$C$22, $C$13, 100%, $E$13)</f>
        <v>17.616099999999999</v>
      </c>
      <c r="F903" s="64">
        <f>17.6161 * CHOOSE(CONTROL!$C$22, $C$13, 100%, $E$13)</f>
        <v>17.616099999999999</v>
      </c>
      <c r="G903" s="64">
        <f>17.6162 * CHOOSE(CONTROL!$C$22, $C$13, 100%, $E$13)</f>
        <v>17.616199999999999</v>
      </c>
      <c r="H903" s="64">
        <f>30.2952* CHOOSE(CONTROL!$C$22, $C$13, 100%, $E$13)</f>
        <v>30.295200000000001</v>
      </c>
      <c r="I903" s="64">
        <f>30.2953 * CHOOSE(CONTROL!$C$22, $C$13, 100%, $E$13)</f>
        <v>30.295300000000001</v>
      </c>
      <c r="J903" s="64">
        <f>17.6161 * CHOOSE(CONTROL!$C$22, $C$13, 100%, $E$13)</f>
        <v>17.616099999999999</v>
      </c>
      <c r="K903" s="64">
        <f>17.6162 * CHOOSE(CONTROL!$C$22, $C$13, 100%, $E$13)</f>
        <v>17.616199999999999</v>
      </c>
    </row>
    <row r="904" spans="1:11" ht="15">
      <c r="A904" s="13">
        <v>69003</v>
      </c>
      <c r="B904" s="63">
        <f>15.533 * CHOOSE(CONTROL!$C$22, $C$13, 100%, $E$13)</f>
        <v>15.532999999999999</v>
      </c>
      <c r="C904" s="63">
        <f>15.533 * CHOOSE(CONTROL!$C$22, $C$13, 100%, $E$13)</f>
        <v>15.532999999999999</v>
      </c>
      <c r="D904" s="63">
        <f>15.533 * CHOOSE(CONTROL!$C$22, $C$13, 100%, $E$13)</f>
        <v>15.532999999999999</v>
      </c>
      <c r="E904" s="64">
        <f>17.4524 * CHOOSE(CONTROL!$C$22, $C$13, 100%, $E$13)</f>
        <v>17.452400000000001</v>
      </c>
      <c r="F904" s="64">
        <f>17.4524 * CHOOSE(CONTROL!$C$22, $C$13, 100%, $E$13)</f>
        <v>17.452400000000001</v>
      </c>
      <c r="G904" s="64">
        <f>17.4525 * CHOOSE(CONTROL!$C$22, $C$13, 100%, $E$13)</f>
        <v>17.452500000000001</v>
      </c>
      <c r="H904" s="64">
        <f>30.3584* CHOOSE(CONTROL!$C$22, $C$13, 100%, $E$13)</f>
        <v>30.3584</v>
      </c>
      <c r="I904" s="64">
        <f>30.3584 * CHOOSE(CONTROL!$C$22, $C$13, 100%, $E$13)</f>
        <v>30.3584</v>
      </c>
      <c r="J904" s="64">
        <f>17.4524 * CHOOSE(CONTROL!$C$22, $C$13, 100%, $E$13)</f>
        <v>17.452400000000001</v>
      </c>
      <c r="K904" s="64">
        <f>17.4525 * CHOOSE(CONTROL!$C$22, $C$13, 100%, $E$13)</f>
        <v>17.452500000000001</v>
      </c>
    </row>
    <row r="905" spans="1:11" ht="15">
      <c r="A905" s="13">
        <v>69034</v>
      </c>
      <c r="B905" s="63">
        <f>15.4922 * CHOOSE(CONTROL!$C$22, $C$13, 100%, $E$13)</f>
        <v>15.4922</v>
      </c>
      <c r="C905" s="63">
        <f>15.4922 * CHOOSE(CONTROL!$C$22, $C$13, 100%, $E$13)</f>
        <v>15.4922</v>
      </c>
      <c r="D905" s="63">
        <f>15.4922 * CHOOSE(CONTROL!$C$22, $C$13, 100%, $E$13)</f>
        <v>15.4922</v>
      </c>
      <c r="E905" s="64">
        <f>17.5413 * CHOOSE(CONTROL!$C$22, $C$13, 100%, $E$13)</f>
        <v>17.5413</v>
      </c>
      <c r="F905" s="64">
        <f>17.5413 * CHOOSE(CONTROL!$C$22, $C$13, 100%, $E$13)</f>
        <v>17.5413</v>
      </c>
      <c r="G905" s="64">
        <f>17.5414 * CHOOSE(CONTROL!$C$22, $C$13, 100%, $E$13)</f>
        <v>17.541399999999999</v>
      </c>
      <c r="H905" s="64">
        <f>30.1172* CHOOSE(CONTROL!$C$22, $C$13, 100%, $E$13)</f>
        <v>30.1172</v>
      </c>
      <c r="I905" s="64">
        <f>30.1172 * CHOOSE(CONTROL!$C$22, $C$13, 100%, $E$13)</f>
        <v>30.1172</v>
      </c>
      <c r="J905" s="64">
        <f>17.5413 * CHOOSE(CONTROL!$C$22, $C$13, 100%, $E$13)</f>
        <v>17.5413</v>
      </c>
      <c r="K905" s="64">
        <f>17.5414 * CHOOSE(CONTROL!$C$22, $C$13, 100%, $E$13)</f>
        <v>17.541399999999999</v>
      </c>
    </row>
    <row r="906" spans="1:11" ht="15">
      <c r="A906" s="13">
        <v>69065</v>
      </c>
      <c r="B906" s="63">
        <f>15.4891 * CHOOSE(CONTROL!$C$22, $C$13, 100%, $E$13)</f>
        <v>15.489100000000001</v>
      </c>
      <c r="C906" s="63">
        <f>15.4891 * CHOOSE(CONTROL!$C$22, $C$13, 100%, $E$13)</f>
        <v>15.489100000000001</v>
      </c>
      <c r="D906" s="63">
        <f>15.4891 * CHOOSE(CONTROL!$C$22, $C$13, 100%, $E$13)</f>
        <v>15.489100000000001</v>
      </c>
      <c r="E906" s="64">
        <f>17.225 * CHOOSE(CONTROL!$C$22, $C$13, 100%, $E$13)</f>
        <v>17.225000000000001</v>
      </c>
      <c r="F906" s="64">
        <f>17.225 * CHOOSE(CONTROL!$C$22, $C$13, 100%, $E$13)</f>
        <v>17.225000000000001</v>
      </c>
      <c r="G906" s="64">
        <f>17.225 * CHOOSE(CONTROL!$C$22, $C$13, 100%, $E$13)</f>
        <v>17.225000000000001</v>
      </c>
      <c r="H906" s="64">
        <f>30.1799* CHOOSE(CONTROL!$C$22, $C$13, 100%, $E$13)</f>
        <v>30.1799</v>
      </c>
      <c r="I906" s="64">
        <f>30.18 * CHOOSE(CONTROL!$C$22, $C$13, 100%, $E$13)</f>
        <v>30.18</v>
      </c>
      <c r="J906" s="64">
        <f>17.225 * CHOOSE(CONTROL!$C$22, $C$13, 100%, $E$13)</f>
        <v>17.225000000000001</v>
      </c>
      <c r="K906" s="64">
        <f>17.225 * CHOOSE(CONTROL!$C$22, $C$13, 100%, $E$13)</f>
        <v>17.225000000000001</v>
      </c>
    </row>
    <row r="907" spans="1:11" ht="15">
      <c r="A907" s="13">
        <v>69093</v>
      </c>
      <c r="B907" s="63">
        <f>15.4861 * CHOOSE(CONTROL!$C$22, $C$13, 100%, $E$13)</f>
        <v>15.4861</v>
      </c>
      <c r="C907" s="63">
        <f>15.4861 * CHOOSE(CONTROL!$C$22, $C$13, 100%, $E$13)</f>
        <v>15.4861</v>
      </c>
      <c r="D907" s="63">
        <f>15.4861 * CHOOSE(CONTROL!$C$22, $C$13, 100%, $E$13)</f>
        <v>15.4861</v>
      </c>
      <c r="E907" s="64">
        <f>17.4706 * CHOOSE(CONTROL!$C$22, $C$13, 100%, $E$13)</f>
        <v>17.470600000000001</v>
      </c>
      <c r="F907" s="64">
        <f>17.4706 * CHOOSE(CONTROL!$C$22, $C$13, 100%, $E$13)</f>
        <v>17.470600000000001</v>
      </c>
      <c r="G907" s="64">
        <f>17.4706 * CHOOSE(CONTROL!$C$22, $C$13, 100%, $E$13)</f>
        <v>17.470600000000001</v>
      </c>
      <c r="H907" s="64">
        <f>30.2428* CHOOSE(CONTROL!$C$22, $C$13, 100%, $E$13)</f>
        <v>30.242799999999999</v>
      </c>
      <c r="I907" s="64">
        <f>30.2428 * CHOOSE(CONTROL!$C$22, $C$13, 100%, $E$13)</f>
        <v>30.242799999999999</v>
      </c>
      <c r="J907" s="64">
        <f>17.4706 * CHOOSE(CONTROL!$C$22, $C$13, 100%, $E$13)</f>
        <v>17.470600000000001</v>
      </c>
      <c r="K907" s="64">
        <f>17.4706 * CHOOSE(CONTROL!$C$22, $C$13, 100%, $E$13)</f>
        <v>17.470600000000001</v>
      </c>
    </row>
    <row r="908" spans="1:11" ht="15">
      <c r="A908" s="13">
        <v>69124</v>
      </c>
      <c r="B908" s="63">
        <f>15.4933 * CHOOSE(CONTROL!$C$22, $C$13, 100%, $E$13)</f>
        <v>15.4933</v>
      </c>
      <c r="C908" s="63">
        <f>15.4933 * CHOOSE(CONTROL!$C$22, $C$13, 100%, $E$13)</f>
        <v>15.4933</v>
      </c>
      <c r="D908" s="63">
        <f>15.4933 * CHOOSE(CONTROL!$C$22, $C$13, 100%, $E$13)</f>
        <v>15.4933</v>
      </c>
      <c r="E908" s="64">
        <f>17.7324 * CHOOSE(CONTROL!$C$22, $C$13, 100%, $E$13)</f>
        <v>17.732399999999998</v>
      </c>
      <c r="F908" s="64">
        <f>17.7324 * CHOOSE(CONTROL!$C$22, $C$13, 100%, $E$13)</f>
        <v>17.732399999999998</v>
      </c>
      <c r="G908" s="64">
        <f>17.7324 * CHOOSE(CONTROL!$C$22, $C$13, 100%, $E$13)</f>
        <v>17.732399999999998</v>
      </c>
      <c r="H908" s="64">
        <f>30.3058* CHOOSE(CONTROL!$C$22, $C$13, 100%, $E$13)</f>
        <v>30.305800000000001</v>
      </c>
      <c r="I908" s="64">
        <f>30.3059 * CHOOSE(CONTROL!$C$22, $C$13, 100%, $E$13)</f>
        <v>30.305900000000001</v>
      </c>
      <c r="J908" s="64">
        <f>17.7324 * CHOOSE(CONTROL!$C$22, $C$13, 100%, $E$13)</f>
        <v>17.732399999999998</v>
      </c>
      <c r="K908" s="64">
        <f>17.7324 * CHOOSE(CONTROL!$C$22, $C$13, 100%, $E$13)</f>
        <v>17.732399999999998</v>
      </c>
    </row>
    <row r="909" spans="1:11" ht="15">
      <c r="A909" s="13">
        <v>69154</v>
      </c>
      <c r="B909" s="63">
        <f>15.4933 * CHOOSE(CONTROL!$C$22, $C$13, 100%, $E$13)</f>
        <v>15.4933</v>
      </c>
      <c r="C909" s="63">
        <f>15.4933 * CHOOSE(CONTROL!$C$22, $C$13, 100%, $E$13)</f>
        <v>15.4933</v>
      </c>
      <c r="D909" s="63">
        <f>15.5063 * CHOOSE(CONTROL!$C$22, $C$13, 100%, $E$13)</f>
        <v>15.5063</v>
      </c>
      <c r="E909" s="64">
        <f>17.8321 * CHOOSE(CONTROL!$C$22, $C$13, 100%, $E$13)</f>
        <v>17.832100000000001</v>
      </c>
      <c r="F909" s="64">
        <f>17.8321 * CHOOSE(CONTROL!$C$22, $C$13, 100%, $E$13)</f>
        <v>17.832100000000001</v>
      </c>
      <c r="G909" s="64">
        <f>17.8478 * CHOOSE(CONTROL!$C$22, $C$13, 100%, $E$13)</f>
        <v>17.847799999999999</v>
      </c>
      <c r="H909" s="64">
        <f>30.3689* CHOOSE(CONTROL!$C$22, $C$13, 100%, $E$13)</f>
        <v>30.3689</v>
      </c>
      <c r="I909" s="64">
        <f>30.3846 * CHOOSE(CONTROL!$C$22, $C$13, 100%, $E$13)</f>
        <v>30.384599999999999</v>
      </c>
      <c r="J909" s="64">
        <f>17.8321 * CHOOSE(CONTROL!$C$22, $C$13, 100%, $E$13)</f>
        <v>17.832100000000001</v>
      </c>
      <c r="K909" s="64">
        <f>17.8478 * CHOOSE(CONTROL!$C$22, $C$13, 100%, $E$13)</f>
        <v>17.847799999999999</v>
      </c>
    </row>
    <row r="910" spans="1:11" ht="15">
      <c r="A910" s="13">
        <v>69185</v>
      </c>
      <c r="B910" s="63">
        <f>15.4994 * CHOOSE(CONTROL!$C$22, $C$13, 100%, $E$13)</f>
        <v>15.4994</v>
      </c>
      <c r="C910" s="63">
        <f>15.4994 * CHOOSE(CONTROL!$C$22, $C$13, 100%, $E$13)</f>
        <v>15.4994</v>
      </c>
      <c r="D910" s="63">
        <f>15.5124 * CHOOSE(CONTROL!$C$22, $C$13, 100%, $E$13)</f>
        <v>15.5124</v>
      </c>
      <c r="E910" s="64">
        <f>17.7366 * CHOOSE(CONTROL!$C$22, $C$13, 100%, $E$13)</f>
        <v>17.736599999999999</v>
      </c>
      <c r="F910" s="64">
        <f>17.7366 * CHOOSE(CONTROL!$C$22, $C$13, 100%, $E$13)</f>
        <v>17.736599999999999</v>
      </c>
      <c r="G910" s="64">
        <f>17.7523 * CHOOSE(CONTROL!$C$22, $C$13, 100%, $E$13)</f>
        <v>17.752300000000002</v>
      </c>
      <c r="H910" s="64">
        <f>30.4322* CHOOSE(CONTROL!$C$22, $C$13, 100%, $E$13)</f>
        <v>30.432200000000002</v>
      </c>
      <c r="I910" s="64">
        <f>30.4479 * CHOOSE(CONTROL!$C$22, $C$13, 100%, $E$13)</f>
        <v>30.447900000000001</v>
      </c>
      <c r="J910" s="64">
        <f>17.7366 * CHOOSE(CONTROL!$C$22, $C$13, 100%, $E$13)</f>
        <v>17.736599999999999</v>
      </c>
      <c r="K910" s="64">
        <f>17.7523 * CHOOSE(CONTROL!$C$22, $C$13, 100%, $E$13)</f>
        <v>17.752300000000002</v>
      </c>
    </row>
    <row r="911" spans="1:11" ht="15">
      <c r="A911" s="13">
        <v>69215</v>
      </c>
      <c r="B911" s="63">
        <f>15.7335 * CHOOSE(CONTROL!$C$22, $C$13, 100%, $E$13)</f>
        <v>15.733499999999999</v>
      </c>
      <c r="C911" s="63">
        <f>15.7335 * CHOOSE(CONTROL!$C$22, $C$13, 100%, $E$13)</f>
        <v>15.733499999999999</v>
      </c>
      <c r="D911" s="63">
        <f>15.7465 * CHOOSE(CONTROL!$C$22, $C$13, 100%, $E$13)</f>
        <v>15.746499999999999</v>
      </c>
      <c r="E911" s="64">
        <f>18.0175 * CHOOSE(CONTROL!$C$22, $C$13, 100%, $E$13)</f>
        <v>18.017499999999998</v>
      </c>
      <c r="F911" s="64">
        <f>18.0175 * CHOOSE(CONTROL!$C$22, $C$13, 100%, $E$13)</f>
        <v>18.017499999999998</v>
      </c>
      <c r="G911" s="64">
        <f>18.0332 * CHOOSE(CONTROL!$C$22, $C$13, 100%, $E$13)</f>
        <v>18.033200000000001</v>
      </c>
      <c r="H911" s="64">
        <f>30.4956* CHOOSE(CONTROL!$C$22, $C$13, 100%, $E$13)</f>
        <v>30.4956</v>
      </c>
      <c r="I911" s="64">
        <f>30.5113 * CHOOSE(CONTROL!$C$22, $C$13, 100%, $E$13)</f>
        <v>30.511299999999999</v>
      </c>
      <c r="J911" s="64">
        <f>18.0175 * CHOOSE(CONTROL!$C$22, $C$13, 100%, $E$13)</f>
        <v>18.017499999999998</v>
      </c>
      <c r="K911" s="64">
        <f>18.0332 * CHOOSE(CONTROL!$C$22, $C$13, 100%, $E$13)</f>
        <v>18.033200000000001</v>
      </c>
    </row>
    <row r="912" spans="1:11" ht="15">
      <c r="A912" s="13">
        <v>69246</v>
      </c>
      <c r="B912" s="63">
        <f>15.7402 * CHOOSE(CONTROL!$C$22, $C$13, 100%, $E$13)</f>
        <v>15.7402</v>
      </c>
      <c r="C912" s="63">
        <f>15.7402 * CHOOSE(CONTROL!$C$22, $C$13, 100%, $E$13)</f>
        <v>15.7402</v>
      </c>
      <c r="D912" s="63">
        <f>15.7532 * CHOOSE(CONTROL!$C$22, $C$13, 100%, $E$13)</f>
        <v>15.7532</v>
      </c>
      <c r="E912" s="64">
        <f>17.7229 * CHOOSE(CONTROL!$C$22, $C$13, 100%, $E$13)</f>
        <v>17.722899999999999</v>
      </c>
      <c r="F912" s="64">
        <f>17.7229 * CHOOSE(CONTROL!$C$22, $C$13, 100%, $E$13)</f>
        <v>17.722899999999999</v>
      </c>
      <c r="G912" s="64">
        <f>17.7386 * CHOOSE(CONTROL!$C$22, $C$13, 100%, $E$13)</f>
        <v>17.738600000000002</v>
      </c>
      <c r="H912" s="64">
        <f>30.5591* CHOOSE(CONTROL!$C$22, $C$13, 100%, $E$13)</f>
        <v>30.559100000000001</v>
      </c>
      <c r="I912" s="64">
        <f>30.5748 * CHOOSE(CONTROL!$C$22, $C$13, 100%, $E$13)</f>
        <v>30.5748</v>
      </c>
      <c r="J912" s="64">
        <f>17.7229 * CHOOSE(CONTROL!$C$22, $C$13, 100%, $E$13)</f>
        <v>17.722899999999999</v>
      </c>
      <c r="K912" s="64">
        <f>17.7386 * CHOOSE(CONTROL!$C$22, $C$13, 100%, $E$13)</f>
        <v>17.738600000000002</v>
      </c>
    </row>
    <row r="913" spans="1:11" ht="15">
      <c r="A913" s="13">
        <v>69277</v>
      </c>
      <c r="B913" s="63">
        <f>15.7371 * CHOOSE(CONTROL!$C$22, $C$13, 100%, $E$13)</f>
        <v>15.7371</v>
      </c>
      <c r="C913" s="63">
        <f>15.7371 * CHOOSE(CONTROL!$C$22, $C$13, 100%, $E$13)</f>
        <v>15.7371</v>
      </c>
      <c r="D913" s="63">
        <f>15.7501 * CHOOSE(CONTROL!$C$22, $C$13, 100%, $E$13)</f>
        <v>15.7501</v>
      </c>
      <c r="E913" s="64">
        <f>17.6875 * CHOOSE(CONTROL!$C$22, $C$13, 100%, $E$13)</f>
        <v>17.6875</v>
      </c>
      <c r="F913" s="64">
        <f>17.6875 * CHOOSE(CONTROL!$C$22, $C$13, 100%, $E$13)</f>
        <v>17.6875</v>
      </c>
      <c r="G913" s="64">
        <f>17.7032 * CHOOSE(CONTROL!$C$22, $C$13, 100%, $E$13)</f>
        <v>17.703199999999999</v>
      </c>
      <c r="H913" s="64">
        <f>30.6228* CHOOSE(CONTROL!$C$22, $C$13, 100%, $E$13)</f>
        <v>30.622800000000002</v>
      </c>
      <c r="I913" s="64">
        <f>30.6385 * CHOOSE(CONTROL!$C$22, $C$13, 100%, $E$13)</f>
        <v>30.638500000000001</v>
      </c>
      <c r="J913" s="64">
        <f>17.6875 * CHOOSE(CONTROL!$C$22, $C$13, 100%, $E$13)</f>
        <v>17.6875</v>
      </c>
      <c r="K913" s="64">
        <f>17.7032 * CHOOSE(CONTROL!$C$22, $C$13, 100%, $E$13)</f>
        <v>17.703199999999999</v>
      </c>
    </row>
    <row r="914" spans="1:11" ht="15">
      <c r="A914" s="13">
        <v>69307</v>
      </c>
      <c r="B914" s="63">
        <f>15.7699 * CHOOSE(CONTROL!$C$22, $C$13, 100%, $E$13)</f>
        <v>15.7699</v>
      </c>
      <c r="C914" s="63">
        <f>15.7699 * CHOOSE(CONTROL!$C$22, $C$13, 100%, $E$13)</f>
        <v>15.7699</v>
      </c>
      <c r="D914" s="63">
        <f>15.7699 * CHOOSE(CONTROL!$C$22, $C$13, 100%, $E$13)</f>
        <v>15.7699</v>
      </c>
      <c r="E914" s="64">
        <f>17.8071 * CHOOSE(CONTROL!$C$22, $C$13, 100%, $E$13)</f>
        <v>17.807099999999998</v>
      </c>
      <c r="F914" s="64">
        <f>17.8071 * CHOOSE(CONTROL!$C$22, $C$13, 100%, $E$13)</f>
        <v>17.807099999999998</v>
      </c>
      <c r="G914" s="64">
        <f>17.8072 * CHOOSE(CONTROL!$C$22, $C$13, 100%, $E$13)</f>
        <v>17.807200000000002</v>
      </c>
      <c r="H914" s="64">
        <f>30.6866* CHOOSE(CONTROL!$C$22, $C$13, 100%, $E$13)</f>
        <v>30.686599999999999</v>
      </c>
      <c r="I914" s="64">
        <f>30.6867 * CHOOSE(CONTROL!$C$22, $C$13, 100%, $E$13)</f>
        <v>30.686699999999998</v>
      </c>
      <c r="J914" s="64">
        <f>17.8071 * CHOOSE(CONTROL!$C$22, $C$13, 100%, $E$13)</f>
        <v>17.807099999999998</v>
      </c>
      <c r="K914" s="64">
        <f>17.8072 * CHOOSE(CONTROL!$C$22, $C$13, 100%, $E$13)</f>
        <v>17.807200000000002</v>
      </c>
    </row>
    <row r="915" spans="1:11" ht="15">
      <c r="A915" s="13">
        <v>69338</v>
      </c>
      <c r="B915" s="63">
        <f>15.773 * CHOOSE(CONTROL!$C$22, $C$13, 100%, $E$13)</f>
        <v>15.773</v>
      </c>
      <c r="C915" s="63">
        <f>15.773 * CHOOSE(CONTROL!$C$22, $C$13, 100%, $E$13)</f>
        <v>15.773</v>
      </c>
      <c r="D915" s="63">
        <f>15.773 * CHOOSE(CONTROL!$C$22, $C$13, 100%, $E$13)</f>
        <v>15.773</v>
      </c>
      <c r="E915" s="64">
        <f>17.8758 * CHOOSE(CONTROL!$C$22, $C$13, 100%, $E$13)</f>
        <v>17.875800000000002</v>
      </c>
      <c r="F915" s="64">
        <f>17.8758 * CHOOSE(CONTROL!$C$22, $C$13, 100%, $E$13)</f>
        <v>17.875800000000002</v>
      </c>
      <c r="G915" s="64">
        <f>17.8758 * CHOOSE(CONTROL!$C$22, $C$13, 100%, $E$13)</f>
        <v>17.875800000000002</v>
      </c>
      <c r="H915" s="64">
        <f>30.7505* CHOOSE(CONTROL!$C$22, $C$13, 100%, $E$13)</f>
        <v>30.750499999999999</v>
      </c>
      <c r="I915" s="64">
        <f>30.7506 * CHOOSE(CONTROL!$C$22, $C$13, 100%, $E$13)</f>
        <v>30.750599999999999</v>
      </c>
      <c r="J915" s="64">
        <f>17.8758 * CHOOSE(CONTROL!$C$22, $C$13, 100%, $E$13)</f>
        <v>17.875800000000002</v>
      </c>
      <c r="K915" s="64">
        <f>17.8758 * CHOOSE(CONTROL!$C$22, $C$13, 100%, $E$13)</f>
        <v>17.875800000000002</v>
      </c>
    </row>
    <row r="916" spans="1:11" ht="15">
      <c r="A916" s="13">
        <v>69368</v>
      </c>
      <c r="B916" s="63">
        <f>15.773 * CHOOSE(CONTROL!$C$22, $C$13, 100%, $E$13)</f>
        <v>15.773</v>
      </c>
      <c r="C916" s="63">
        <f>15.773 * CHOOSE(CONTROL!$C$22, $C$13, 100%, $E$13)</f>
        <v>15.773</v>
      </c>
      <c r="D916" s="63">
        <f>15.773 * CHOOSE(CONTROL!$C$22, $C$13, 100%, $E$13)</f>
        <v>15.773</v>
      </c>
      <c r="E916" s="64">
        <f>17.7095 * CHOOSE(CONTROL!$C$22, $C$13, 100%, $E$13)</f>
        <v>17.709499999999998</v>
      </c>
      <c r="F916" s="64">
        <f>17.7095 * CHOOSE(CONTROL!$C$22, $C$13, 100%, $E$13)</f>
        <v>17.709499999999998</v>
      </c>
      <c r="G916" s="64">
        <f>17.7096 * CHOOSE(CONTROL!$C$22, $C$13, 100%, $E$13)</f>
        <v>17.709599999999998</v>
      </c>
      <c r="H916" s="64">
        <f>30.8146* CHOOSE(CONTROL!$C$22, $C$13, 100%, $E$13)</f>
        <v>30.814599999999999</v>
      </c>
      <c r="I916" s="64">
        <f>30.8147 * CHOOSE(CONTROL!$C$22, $C$13, 100%, $E$13)</f>
        <v>30.814699999999998</v>
      </c>
      <c r="J916" s="64">
        <f>17.7095 * CHOOSE(CONTROL!$C$22, $C$13, 100%, $E$13)</f>
        <v>17.709499999999998</v>
      </c>
      <c r="K916" s="64">
        <f>17.7096 * CHOOSE(CONTROL!$C$22, $C$13, 100%, $E$13)</f>
        <v>17.709599999999998</v>
      </c>
    </row>
    <row r="917" spans="1:11" ht="15">
      <c r="A917" s="13">
        <v>69399</v>
      </c>
      <c r="B917" s="63">
        <f>15.7277 * CHOOSE(CONTROL!$C$22, $C$13, 100%, $E$13)</f>
        <v>15.7277</v>
      </c>
      <c r="C917" s="63">
        <f>15.7277 * CHOOSE(CONTROL!$C$22, $C$13, 100%, $E$13)</f>
        <v>15.7277</v>
      </c>
      <c r="D917" s="63">
        <f>15.7277 * CHOOSE(CONTROL!$C$22, $C$13, 100%, $E$13)</f>
        <v>15.7277</v>
      </c>
      <c r="E917" s="64">
        <f>17.796 * CHOOSE(CONTROL!$C$22, $C$13, 100%, $E$13)</f>
        <v>17.795999999999999</v>
      </c>
      <c r="F917" s="64">
        <f>17.796 * CHOOSE(CONTROL!$C$22, $C$13, 100%, $E$13)</f>
        <v>17.795999999999999</v>
      </c>
      <c r="G917" s="64">
        <f>17.7961 * CHOOSE(CONTROL!$C$22, $C$13, 100%, $E$13)</f>
        <v>17.796099999999999</v>
      </c>
      <c r="H917" s="64">
        <f>30.563* CHOOSE(CONTROL!$C$22, $C$13, 100%, $E$13)</f>
        <v>30.562999999999999</v>
      </c>
      <c r="I917" s="64">
        <f>30.5631 * CHOOSE(CONTROL!$C$22, $C$13, 100%, $E$13)</f>
        <v>30.563099999999999</v>
      </c>
      <c r="J917" s="64">
        <f>17.796 * CHOOSE(CONTROL!$C$22, $C$13, 100%, $E$13)</f>
        <v>17.795999999999999</v>
      </c>
      <c r="K917" s="64">
        <f>17.7961 * CHOOSE(CONTROL!$C$22, $C$13, 100%, $E$13)</f>
        <v>17.796099999999999</v>
      </c>
    </row>
    <row r="918" spans="1:11" ht="15">
      <c r="A918" s="13">
        <v>69430</v>
      </c>
      <c r="B918" s="63">
        <f>15.7247 * CHOOSE(CONTROL!$C$22, $C$13, 100%, $E$13)</f>
        <v>15.7247</v>
      </c>
      <c r="C918" s="63">
        <f>15.7247 * CHOOSE(CONTROL!$C$22, $C$13, 100%, $E$13)</f>
        <v>15.7247</v>
      </c>
      <c r="D918" s="63">
        <f>15.7247 * CHOOSE(CONTROL!$C$22, $C$13, 100%, $E$13)</f>
        <v>15.7247</v>
      </c>
      <c r="E918" s="64">
        <f>17.4747 * CHOOSE(CONTROL!$C$22, $C$13, 100%, $E$13)</f>
        <v>17.474699999999999</v>
      </c>
      <c r="F918" s="64">
        <f>17.4747 * CHOOSE(CONTROL!$C$22, $C$13, 100%, $E$13)</f>
        <v>17.474699999999999</v>
      </c>
      <c r="G918" s="64">
        <f>17.4748 * CHOOSE(CONTROL!$C$22, $C$13, 100%, $E$13)</f>
        <v>17.474799999999998</v>
      </c>
      <c r="H918" s="64">
        <f>30.6267* CHOOSE(CONTROL!$C$22, $C$13, 100%, $E$13)</f>
        <v>30.6267</v>
      </c>
      <c r="I918" s="64">
        <f>30.6268 * CHOOSE(CONTROL!$C$22, $C$13, 100%, $E$13)</f>
        <v>30.626799999999999</v>
      </c>
      <c r="J918" s="64">
        <f>17.4747 * CHOOSE(CONTROL!$C$22, $C$13, 100%, $E$13)</f>
        <v>17.474699999999999</v>
      </c>
      <c r="K918" s="64">
        <f>17.4748 * CHOOSE(CONTROL!$C$22, $C$13, 100%, $E$13)</f>
        <v>17.474799999999998</v>
      </c>
    </row>
    <row r="919" spans="1:11" ht="15">
      <c r="A919" s="13">
        <v>69458</v>
      </c>
      <c r="B919" s="63">
        <f>15.7217 * CHOOSE(CONTROL!$C$22, $C$13, 100%, $E$13)</f>
        <v>15.7217</v>
      </c>
      <c r="C919" s="63">
        <f>15.7217 * CHOOSE(CONTROL!$C$22, $C$13, 100%, $E$13)</f>
        <v>15.7217</v>
      </c>
      <c r="D919" s="63">
        <f>15.7217 * CHOOSE(CONTROL!$C$22, $C$13, 100%, $E$13)</f>
        <v>15.7217</v>
      </c>
      <c r="E919" s="64">
        <f>17.7242 * CHOOSE(CONTROL!$C$22, $C$13, 100%, $E$13)</f>
        <v>17.7242</v>
      </c>
      <c r="F919" s="64">
        <f>17.7242 * CHOOSE(CONTROL!$C$22, $C$13, 100%, $E$13)</f>
        <v>17.7242</v>
      </c>
      <c r="G919" s="64">
        <f>17.7243 * CHOOSE(CONTROL!$C$22, $C$13, 100%, $E$13)</f>
        <v>17.724299999999999</v>
      </c>
      <c r="H919" s="64">
        <f>30.6905* CHOOSE(CONTROL!$C$22, $C$13, 100%, $E$13)</f>
        <v>30.6905</v>
      </c>
      <c r="I919" s="64">
        <f>30.6906 * CHOOSE(CONTROL!$C$22, $C$13, 100%, $E$13)</f>
        <v>30.6906</v>
      </c>
      <c r="J919" s="64">
        <f>17.7242 * CHOOSE(CONTROL!$C$22, $C$13, 100%, $E$13)</f>
        <v>17.7242</v>
      </c>
      <c r="K919" s="64">
        <f>17.7243 * CHOOSE(CONTROL!$C$22, $C$13, 100%, $E$13)</f>
        <v>17.724299999999999</v>
      </c>
    </row>
    <row r="920" spans="1:11" ht="15">
      <c r="A920" s="13">
        <v>69489</v>
      </c>
      <c r="B920" s="63">
        <f>15.7291 * CHOOSE(CONTROL!$C$22, $C$13, 100%, $E$13)</f>
        <v>15.729100000000001</v>
      </c>
      <c r="C920" s="63">
        <f>15.7291 * CHOOSE(CONTROL!$C$22, $C$13, 100%, $E$13)</f>
        <v>15.729100000000001</v>
      </c>
      <c r="D920" s="63">
        <f>15.7291 * CHOOSE(CONTROL!$C$22, $C$13, 100%, $E$13)</f>
        <v>15.729100000000001</v>
      </c>
      <c r="E920" s="64">
        <f>17.9902 * CHOOSE(CONTROL!$C$22, $C$13, 100%, $E$13)</f>
        <v>17.990200000000002</v>
      </c>
      <c r="F920" s="64">
        <f>17.9902 * CHOOSE(CONTROL!$C$22, $C$13, 100%, $E$13)</f>
        <v>17.990200000000002</v>
      </c>
      <c r="G920" s="64">
        <f>17.9903 * CHOOSE(CONTROL!$C$22, $C$13, 100%, $E$13)</f>
        <v>17.990300000000001</v>
      </c>
      <c r="H920" s="64">
        <f>30.7545* CHOOSE(CONTROL!$C$22, $C$13, 100%, $E$13)</f>
        <v>30.7545</v>
      </c>
      <c r="I920" s="64">
        <f>30.7545 * CHOOSE(CONTROL!$C$22, $C$13, 100%, $E$13)</f>
        <v>30.7545</v>
      </c>
      <c r="J920" s="64">
        <f>17.9902 * CHOOSE(CONTROL!$C$22, $C$13, 100%, $E$13)</f>
        <v>17.990200000000002</v>
      </c>
      <c r="K920" s="64">
        <f>17.9903 * CHOOSE(CONTROL!$C$22, $C$13, 100%, $E$13)</f>
        <v>17.990300000000001</v>
      </c>
    </row>
    <row r="921" spans="1:11" ht="15">
      <c r="A921" s="13">
        <v>69519</v>
      </c>
      <c r="B921" s="63">
        <f>15.7291 * CHOOSE(CONTROL!$C$22, $C$13, 100%, $E$13)</f>
        <v>15.729100000000001</v>
      </c>
      <c r="C921" s="63">
        <f>15.7291 * CHOOSE(CONTROL!$C$22, $C$13, 100%, $E$13)</f>
        <v>15.729100000000001</v>
      </c>
      <c r="D921" s="63">
        <f>15.7421 * CHOOSE(CONTROL!$C$22, $C$13, 100%, $E$13)</f>
        <v>15.742100000000001</v>
      </c>
      <c r="E921" s="64">
        <f>18.0916 * CHOOSE(CONTROL!$C$22, $C$13, 100%, $E$13)</f>
        <v>18.0916</v>
      </c>
      <c r="F921" s="64">
        <f>18.0916 * CHOOSE(CONTROL!$C$22, $C$13, 100%, $E$13)</f>
        <v>18.0916</v>
      </c>
      <c r="G921" s="64">
        <f>18.1072 * CHOOSE(CONTROL!$C$22, $C$13, 100%, $E$13)</f>
        <v>18.107199999999999</v>
      </c>
      <c r="H921" s="64">
        <f>30.8185* CHOOSE(CONTROL!$C$22, $C$13, 100%, $E$13)</f>
        <v>30.8185</v>
      </c>
      <c r="I921" s="64">
        <f>30.8342 * CHOOSE(CONTROL!$C$22, $C$13, 100%, $E$13)</f>
        <v>30.834199999999999</v>
      </c>
      <c r="J921" s="64">
        <f>18.0916 * CHOOSE(CONTROL!$C$22, $C$13, 100%, $E$13)</f>
        <v>18.0916</v>
      </c>
      <c r="K921" s="64">
        <f>18.1072 * CHOOSE(CONTROL!$C$22, $C$13, 100%, $E$13)</f>
        <v>18.107199999999999</v>
      </c>
    </row>
    <row r="922" spans="1:11" ht="15">
      <c r="A922" s="13">
        <v>69550</v>
      </c>
      <c r="B922" s="63">
        <f>15.7352 * CHOOSE(CONTROL!$C$22, $C$13, 100%, $E$13)</f>
        <v>15.735200000000001</v>
      </c>
      <c r="C922" s="63">
        <f>15.7352 * CHOOSE(CONTROL!$C$22, $C$13, 100%, $E$13)</f>
        <v>15.735200000000001</v>
      </c>
      <c r="D922" s="63">
        <f>15.7482 * CHOOSE(CONTROL!$C$22, $C$13, 100%, $E$13)</f>
        <v>15.748200000000001</v>
      </c>
      <c r="E922" s="64">
        <f>17.9945 * CHOOSE(CONTROL!$C$22, $C$13, 100%, $E$13)</f>
        <v>17.994499999999999</v>
      </c>
      <c r="F922" s="64">
        <f>17.9945 * CHOOSE(CONTROL!$C$22, $C$13, 100%, $E$13)</f>
        <v>17.994499999999999</v>
      </c>
      <c r="G922" s="64">
        <f>18.0101 * CHOOSE(CONTROL!$C$22, $C$13, 100%, $E$13)</f>
        <v>18.010100000000001</v>
      </c>
      <c r="H922" s="64">
        <f>30.8827* CHOOSE(CONTROL!$C$22, $C$13, 100%, $E$13)</f>
        <v>30.8827</v>
      </c>
      <c r="I922" s="64">
        <f>30.8984 * CHOOSE(CONTROL!$C$22, $C$13, 100%, $E$13)</f>
        <v>30.898399999999999</v>
      </c>
      <c r="J922" s="64">
        <f>17.9945 * CHOOSE(CONTROL!$C$22, $C$13, 100%, $E$13)</f>
        <v>17.994499999999999</v>
      </c>
      <c r="K922" s="64">
        <f>18.0101 * CHOOSE(CONTROL!$C$22, $C$13, 100%, $E$13)</f>
        <v>18.010100000000001</v>
      </c>
    </row>
    <row r="923" spans="1:11" ht="15">
      <c r="A923" s="13">
        <v>69580</v>
      </c>
      <c r="B923" s="63">
        <f>15.9727 * CHOOSE(CONTROL!$C$22, $C$13, 100%, $E$13)</f>
        <v>15.9727</v>
      </c>
      <c r="C923" s="63">
        <f>15.9727 * CHOOSE(CONTROL!$C$22, $C$13, 100%, $E$13)</f>
        <v>15.9727</v>
      </c>
      <c r="D923" s="63">
        <f>15.9857 * CHOOSE(CONTROL!$C$22, $C$13, 100%, $E$13)</f>
        <v>15.9857</v>
      </c>
      <c r="E923" s="64">
        <f>18.2793 * CHOOSE(CONTROL!$C$22, $C$13, 100%, $E$13)</f>
        <v>18.279299999999999</v>
      </c>
      <c r="F923" s="64">
        <f>18.2793 * CHOOSE(CONTROL!$C$22, $C$13, 100%, $E$13)</f>
        <v>18.279299999999999</v>
      </c>
      <c r="G923" s="64">
        <f>18.295 * CHOOSE(CONTROL!$C$22, $C$13, 100%, $E$13)</f>
        <v>18.295000000000002</v>
      </c>
      <c r="H923" s="64">
        <f>30.9471* CHOOSE(CONTROL!$C$22, $C$13, 100%, $E$13)</f>
        <v>30.947099999999999</v>
      </c>
      <c r="I923" s="64">
        <f>30.9628 * CHOOSE(CONTROL!$C$22, $C$13, 100%, $E$13)</f>
        <v>30.962800000000001</v>
      </c>
      <c r="J923" s="64">
        <f>18.2793 * CHOOSE(CONTROL!$C$22, $C$13, 100%, $E$13)</f>
        <v>18.279299999999999</v>
      </c>
      <c r="K923" s="64">
        <f>18.295 * CHOOSE(CONTROL!$C$22, $C$13, 100%, $E$13)</f>
        <v>18.295000000000002</v>
      </c>
    </row>
    <row r="924" spans="1:11" ht="15">
      <c r="A924" s="13">
        <v>69611</v>
      </c>
      <c r="B924" s="63">
        <f>15.9794 * CHOOSE(CONTROL!$C$22, $C$13, 100%, $E$13)</f>
        <v>15.9794</v>
      </c>
      <c r="C924" s="63">
        <f>15.9794 * CHOOSE(CONTROL!$C$22, $C$13, 100%, $E$13)</f>
        <v>15.9794</v>
      </c>
      <c r="D924" s="63">
        <f>15.9923 * CHOOSE(CONTROL!$C$22, $C$13, 100%, $E$13)</f>
        <v>15.9923</v>
      </c>
      <c r="E924" s="64">
        <f>17.98 * CHOOSE(CONTROL!$C$22, $C$13, 100%, $E$13)</f>
        <v>17.98</v>
      </c>
      <c r="F924" s="64">
        <f>17.98 * CHOOSE(CONTROL!$C$22, $C$13, 100%, $E$13)</f>
        <v>17.98</v>
      </c>
      <c r="G924" s="64">
        <f>17.9956 * CHOOSE(CONTROL!$C$22, $C$13, 100%, $E$13)</f>
        <v>17.9956</v>
      </c>
      <c r="H924" s="64">
        <f>31.0115* CHOOSE(CONTROL!$C$22, $C$13, 100%, $E$13)</f>
        <v>31.011500000000002</v>
      </c>
      <c r="I924" s="64">
        <f>31.0272 * CHOOSE(CONTROL!$C$22, $C$13, 100%, $E$13)</f>
        <v>31.027200000000001</v>
      </c>
      <c r="J924" s="64">
        <f>17.98 * CHOOSE(CONTROL!$C$22, $C$13, 100%, $E$13)</f>
        <v>17.98</v>
      </c>
      <c r="K924" s="64">
        <f>17.9956 * CHOOSE(CONTROL!$C$22, $C$13, 100%, $E$13)</f>
        <v>17.9956</v>
      </c>
    </row>
    <row r="925" spans="1:11" ht="15">
      <c r="A925" s="13">
        <v>69642</v>
      </c>
      <c r="B925" s="63">
        <f>15.9763 * CHOOSE(CONTROL!$C$22, $C$13, 100%, $E$13)</f>
        <v>15.9763</v>
      </c>
      <c r="C925" s="63">
        <f>15.9763 * CHOOSE(CONTROL!$C$22, $C$13, 100%, $E$13)</f>
        <v>15.9763</v>
      </c>
      <c r="D925" s="63">
        <f>15.9893 * CHOOSE(CONTROL!$C$22, $C$13, 100%, $E$13)</f>
        <v>15.9893</v>
      </c>
      <c r="E925" s="64">
        <f>17.9441 * CHOOSE(CONTROL!$C$22, $C$13, 100%, $E$13)</f>
        <v>17.944099999999999</v>
      </c>
      <c r="F925" s="64">
        <f>17.9441 * CHOOSE(CONTROL!$C$22, $C$13, 100%, $E$13)</f>
        <v>17.944099999999999</v>
      </c>
      <c r="G925" s="64">
        <f>17.9598 * CHOOSE(CONTROL!$C$22, $C$13, 100%, $E$13)</f>
        <v>17.959800000000001</v>
      </c>
      <c r="H925" s="64">
        <f>31.0762* CHOOSE(CONTROL!$C$22, $C$13, 100%, $E$13)</f>
        <v>31.0762</v>
      </c>
      <c r="I925" s="64">
        <f>31.0918 * CHOOSE(CONTROL!$C$22, $C$13, 100%, $E$13)</f>
        <v>31.091799999999999</v>
      </c>
      <c r="J925" s="64">
        <f>17.9441 * CHOOSE(CONTROL!$C$22, $C$13, 100%, $E$13)</f>
        <v>17.944099999999999</v>
      </c>
      <c r="K925" s="64">
        <f>17.9598 * CHOOSE(CONTROL!$C$22, $C$13, 100%, $E$13)</f>
        <v>17.959800000000001</v>
      </c>
    </row>
    <row r="926" spans="1:11" ht="15">
      <c r="A926" s="13">
        <v>69672</v>
      </c>
      <c r="B926" s="63">
        <f>16.0099 * CHOOSE(CONTROL!$C$22, $C$13, 100%, $E$13)</f>
        <v>16.009899999999998</v>
      </c>
      <c r="C926" s="63">
        <f>16.0099 * CHOOSE(CONTROL!$C$22, $C$13, 100%, $E$13)</f>
        <v>16.009899999999998</v>
      </c>
      <c r="D926" s="63">
        <f>16.0099 * CHOOSE(CONTROL!$C$22, $C$13, 100%, $E$13)</f>
        <v>16.009899999999998</v>
      </c>
      <c r="E926" s="64">
        <f>18.0658 * CHOOSE(CONTROL!$C$22, $C$13, 100%, $E$13)</f>
        <v>18.065799999999999</v>
      </c>
      <c r="F926" s="64">
        <f>18.0658 * CHOOSE(CONTROL!$C$22, $C$13, 100%, $E$13)</f>
        <v>18.065799999999999</v>
      </c>
      <c r="G926" s="64">
        <f>18.0658 * CHOOSE(CONTROL!$C$22, $C$13, 100%, $E$13)</f>
        <v>18.065799999999999</v>
      </c>
      <c r="H926" s="64">
        <f>31.1409* CHOOSE(CONTROL!$C$22, $C$13, 100%, $E$13)</f>
        <v>31.140899999999998</v>
      </c>
      <c r="I926" s="64">
        <f>31.141 * CHOOSE(CONTROL!$C$22, $C$13, 100%, $E$13)</f>
        <v>31.140999999999998</v>
      </c>
      <c r="J926" s="64">
        <f>18.0658 * CHOOSE(CONTROL!$C$22, $C$13, 100%, $E$13)</f>
        <v>18.065799999999999</v>
      </c>
      <c r="K926" s="64">
        <f>18.0658 * CHOOSE(CONTROL!$C$22, $C$13, 100%, $E$13)</f>
        <v>18.065799999999999</v>
      </c>
    </row>
    <row r="927" spans="1:11" ht="15">
      <c r="A927" s="13">
        <v>69703</v>
      </c>
      <c r="B927" s="63">
        <f>16.0129 * CHOOSE(CONTROL!$C$22, $C$13, 100%, $E$13)</f>
        <v>16.012899999999998</v>
      </c>
      <c r="C927" s="63">
        <f>16.0129 * CHOOSE(CONTROL!$C$22, $C$13, 100%, $E$13)</f>
        <v>16.012899999999998</v>
      </c>
      <c r="D927" s="63">
        <f>16.0129 * CHOOSE(CONTROL!$C$22, $C$13, 100%, $E$13)</f>
        <v>16.012899999999998</v>
      </c>
      <c r="E927" s="64">
        <f>18.1354 * CHOOSE(CONTROL!$C$22, $C$13, 100%, $E$13)</f>
        <v>18.135400000000001</v>
      </c>
      <c r="F927" s="64">
        <f>18.1354 * CHOOSE(CONTROL!$C$22, $C$13, 100%, $E$13)</f>
        <v>18.135400000000001</v>
      </c>
      <c r="G927" s="64">
        <f>18.1355 * CHOOSE(CONTROL!$C$22, $C$13, 100%, $E$13)</f>
        <v>18.1355</v>
      </c>
      <c r="H927" s="64">
        <f>31.2058* CHOOSE(CONTROL!$C$22, $C$13, 100%, $E$13)</f>
        <v>31.2058</v>
      </c>
      <c r="I927" s="64">
        <f>31.2059 * CHOOSE(CONTROL!$C$22, $C$13, 100%, $E$13)</f>
        <v>31.2059</v>
      </c>
      <c r="J927" s="64">
        <f>18.1354 * CHOOSE(CONTROL!$C$22, $C$13, 100%, $E$13)</f>
        <v>18.135400000000001</v>
      </c>
      <c r="K927" s="64">
        <f>18.1355 * CHOOSE(CONTROL!$C$22, $C$13, 100%, $E$13)</f>
        <v>18.1355</v>
      </c>
    </row>
    <row r="928" spans="1:11" ht="15">
      <c r="A928" s="13">
        <v>69733</v>
      </c>
      <c r="B928" s="63">
        <f>16.0129 * CHOOSE(CONTROL!$C$22, $C$13, 100%, $E$13)</f>
        <v>16.012899999999998</v>
      </c>
      <c r="C928" s="63">
        <f>16.0129 * CHOOSE(CONTROL!$C$22, $C$13, 100%, $E$13)</f>
        <v>16.012899999999998</v>
      </c>
      <c r="D928" s="63">
        <f>16.0129 * CHOOSE(CONTROL!$C$22, $C$13, 100%, $E$13)</f>
        <v>16.012899999999998</v>
      </c>
      <c r="E928" s="64">
        <f>17.9666 * CHOOSE(CONTROL!$C$22, $C$13, 100%, $E$13)</f>
        <v>17.9666</v>
      </c>
      <c r="F928" s="64">
        <f>17.9666 * CHOOSE(CONTROL!$C$22, $C$13, 100%, $E$13)</f>
        <v>17.9666</v>
      </c>
      <c r="G928" s="64">
        <f>17.9666 * CHOOSE(CONTROL!$C$22, $C$13, 100%, $E$13)</f>
        <v>17.9666</v>
      </c>
      <c r="H928" s="64">
        <f>31.2708* CHOOSE(CONTROL!$C$22, $C$13, 100%, $E$13)</f>
        <v>31.270800000000001</v>
      </c>
      <c r="I928" s="64">
        <f>31.2709 * CHOOSE(CONTROL!$C$22, $C$13, 100%, $E$13)</f>
        <v>31.270900000000001</v>
      </c>
      <c r="J928" s="64">
        <f>17.9666 * CHOOSE(CONTROL!$C$22, $C$13, 100%, $E$13)</f>
        <v>17.9666</v>
      </c>
      <c r="K928" s="64">
        <f>17.9666 * CHOOSE(CONTROL!$C$22, $C$13, 100%, $E$13)</f>
        <v>17.9666</v>
      </c>
    </row>
    <row r="929" spans="1:11" ht="15">
      <c r="A929" s="13">
        <v>69764</v>
      </c>
      <c r="B929" s="63">
        <f>15.9633 * CHOOSE(CONTROL!$C$22, $C$13, 100%, $E$13)</f>
        <v>15.9633</v>
      </c>
      <c r="C929" s="63">
        <f>15.9633 * CHOOSE(CONTROL!$C$22, $C$13, 100%, $E$13)</f>
        <v>15.9633</v>
      </c>
      <c r="D929" s="63">
        <f>15.9633 * CHOOSE(CONTROL!$C$22, $C$13, 100%, $E$13)</f>
        <v>15.9633</v>
      </c>
      <c r="E929" s="64">
        <f>18.0508 * CHOOSE(CONTROL!$C$22, $C$13, 100%, $E$13)</f>
        <v>18.050799999999999</v>
      </c>
      <c r="F929" s="64">
        <f>18.0508 * CHOOSE(CONTROL!$C$22, $C$13, 100%, $E$13)</f>
        <v>18.050799999999999</v>
      </c>
      <c r="G929" s="64">
        <f>18.0508 * CHOOSE(CONTROL!$C$22, $C$13, 100%, $E$13)</f>
        <v>18.050799999999999</v>
      </c>
      <c r="H929" s="64">
        <f>31.0089* CHOOSE(CONTROL!$C$22, $C$13, 100%, $E$13)</f>
        <v>31.008900000000001</v>
      </c>
      <c r="I929" s="64">
        <f>31.009 * CHOOSE(CONTROL!$C$22, $C$13, 100%, $E$13)</f>
        <v>31.009</v>
      </c>
      <c r="J929" s="64">
        <f>18.0508 * CHOOSE(CONTROL!$C$22, $C$13, 100%, $E$13)</f>
        <v>18.050799999999999</v>
      </c>
      <c r="K929" s="64">
        <f>18.0508 * CHOOSE(CONTROL!$C$22, $C$13, 100%, $E$13)</f>
        <v>18.050799999999999</v>
      </c>
    </row>
    <row r="930" spans="1:11" ht="15">
      <c r="A930" s="13">
        <v>69795</v>
      </c>
      <c r="B930" s="63">
        <f>15.9603 * CHOOSE(CONTROL!$C$22, $C$13, 100%, $E$13)</f>
        <v>15.9603</v>
      </c>
      <c r="C930" s="63">
        <f>15.9603 * CHOOSE(CONTROL!$C$22, $C$13, 100%, $E$13)</f>
        <v>15.9603</v>
      </c>
      <c r="D930" s="63">
        <f>15.9603 * CHOOSE(CONTROL!$C$22, $C$13, 100%, $E$13)</f>
        <v>15.9603</v>
      </c>
      <c r="E930" s="64">
        <f>17.7245 * CHOOSE(CONTROL!$C$22, $C$13, 100%, $E$13)</f>
        <v>17.724499999999999</v>
      </c>
      <c r="F930" s="64">
        <f>17.7245 * CHOOSE(CONTROL!$C$22, $C$13, 100%, $E$13)</f>
        <v>17.724499999999999</v>
      </c>
      <c r="G930" s="64">
        <f>17.7246 * CHOOSE(CONTROL!$C$22, $C$13, 100%, $E$13)</f>
        <v>17.724599999999999</v>
      </c>
      <c r="H930" s="64">
        <f>31.0735* CHOOSE(CONTROL!$C$22, $C$13, 100%, $E$13)</f>
        <v>31.073499999999999</v>
      </c>
      <c r="I930" s="64">
        <f>31.0736 * CHOOSE(CONTROL!$C$22, $C$13, 100%, $E$13)</f>
        <v>31.073599999999999</v>
      </c>
      <c r="J930" s="64">
        <f>17.7245 * CHOOSE(CONTROL!$C$22, $C$13, 100%, $E$13)</f>
        <v>17.724499999999999</v>
      </c>
      <c r="K930" s="64">
        <f>17.7246 * CHOOSE(CONTROL!$C$22, $C$13, 100%, $E$13)</f>
        <v>17.724599999999999</v>
      </c>
    </row>
    <row r="931" spans="1:11" ht="15">
      <c r="A931" s="13">
        <v>69823</v>
      </c>
      <c r="B931" s="63">
        <f>15.9572 * CHOOSE(CONTROL!$C$22, $C$13, 100%, $E$13)</f>
        <v>15.9572</v>
      </c>
      <c r="C931" s="63">
        <f>15.9572 * CHOOSE(CONTROL!$C$22, $C$13, 100%, $E$13)</f>
        <v>15.9572</v>
      </c>
      <c r="D931" s="63">
        <f>15.9572 * CHOOSE(CONTROL!$C$22, $C$13, 100%, $E$13)</f>
        <v>15.9572</v>
      </c>
      <c r="E931" s="64">
        <f>17.9779 * CHOOSE(CONTROL!$C$22, $C$13, 100%, $E$13)</f>
        <v>17.977900000000002</v>
      </c>
      <c r="F931" s="64">
        <f>17.9779 * CHOOSE(CONTROL!$C$22, $C$13, 100%, $E$13)</f>
        <v>17.977900000000002</v>
      </c>
      <c r="G931" s="64">
        <f>17.978 * CHOOSE(CONTROL!$C$22, $C$13, 100%, $E$13)</f>
        <v>17.978000000000002</v>
      </c>
      <c r="H931" s="64">
        <f>31.1383* CHOOSE(CONTROL!$C$22, $C$13, 100%, $E$13)</f>
        <v>31.138300000000001</v>
      </c>
      <c r="I931" s="64">
        <f>31.1384 * CHOOSE(CONTROL!$C$22, $C$13, 100%, $E$13)</f>
        <v>31.138400000000001</v>
      </c>
      <c r="J931" s="64">
        <f>17.9779 * CHOOSE(CONTROL!$C$22, $C$13, 100%, $E$13)</f>
        <v>17.977900000000002</v>
      </c>
      <c r="K931" s="64">
        <f>17.978 * CHOOSE(CONTROL!$C$22, $C$13, 100%, $E$13)</f>
        <v>17.978000000000002</v>
      </c>
    </row>
    <row r="932" spans="1:11" ht="15">
      <c r="A932" s="13">
        <v>69854</v>
      </c>
      <c r="B932" s="63">
        <f>15.9649 * CHOOSE(CONTROL!$C$22, $C$13, 100%, $E$13)</f>
        <v>15.9649</v>
      </c>
      <c r="C932" s="63">
        <f>15.9649 * CHOOSE(CONTROL!$C$22, $C$13, 100%, $E$13)</f>
        <v>15.9649</v>
      </c>
      <c r="D932" s="63">
        <f>15.9649 * CHOOSE(CONTROL!$C$22, $C$13, 100%, $E$13)</f>
        <v>15.9649</v>
      </c>
      <c r="E932" s="64">
        <f>18.2481 * CHOOSE(CONTROL!$C$22, $C$13, 100%, $E$13)</f>
        <v>18.248100000000001</v>
      </c>
      <c r="F932" s="64">
        <f>18.2481 * CHOOSE(CONTROL!$C$22, $C$13, 100%, $E$13)</f>
        <v>18.248100000000001</v>
      </c>
      <c r="G932" s="64">
        <f>18.2482 * CHOOSE(CONTROL!$C$22, $C$13, 100%, $E$13)</f>
        <v>18.248200000000001</v>
      </c>
      <c r="H932" s="64">
        <f>31.2031* CHOOSE(CONTROL!$C$22, $C$13, 100%, $E$13)</f>
        <v>31.203099999999999</v>
      </c>
      <c r="I932" s="64">
        <f>31.2032 * CHOOSE(CONTROL!$C$22, $C$13, 100%, $E$13)</f>
        <v>31.203199999999999</v>
      </c>
      <c r="J932" s="64">
        <f>18.2481 * CHOOSE(CONTROL!$C$22, $C$13, 100%, $E$13)</f>
        <v>18.248100000000001</v>
      </c>
      <c r="K932" s="64">
        <f>18.2482 * CHOOSE(CONTROL!$C$22, $C$13, 100%, $E$13)</f>
        <v>18.248200000000001</v>
      </c>
    </row>
    <row r="933" spans="1:11" ht="15">
      <c r="A933" s="13">
        <v>69884</v>
      </c>
      <c r="B933" s="63">
        <f>15.9649 * CHOOSE(CONTROL!$C$22, $C$13, 100%, $E$13)</f>
        <v>15.9649</v>
      </c>
      <c r="C933" s="63">
        <f>15.9649 * CHOOSE(CONTROL!$C$22, $C$13, 100%, $E$13)</f>
        <v>15.9649</v>
      </c>
      <c r="D933" s="63">
        <f>15.9778 * CHOOSE(CONTROL!$C$22, $C$13, 100%, $E$13)</f>
        <v>15.9778</v>
      </c>
      <c r="E933" s="64">
        <f>18.351 * CHOOSE(CONTROL!$C$22, $C$13, 100%, $E$13)</f>
        <v>18.350999999999999</v>
      </c>
      <c r="F933" s="64">
        <f>18.351 * CHOOSE(CONTROL!$C$22, $C$13, 100%, $E$13)</f>
        <v>18.350999999999999</v>
      </c>
      <c r="G933" s="64">
        <f>18.3667 * CHOOSE(CONTROL!$C$22, $C$13, 100%, $E$13)</f>
        <v>18.366700000000002</v>
      </c>
      <c r="H933" s="64">
        <f>31.2681* CHOOSE(CONTROL!$C$22, $C$13, 100%, $E$13)</f>
        <v>31.2681</v>
      </c>
      <c r="I933" s="64">
        <f>31.2838 * CHOOSE(CONTROL!$C$22, $C$13, 100%, $E$13)</f>
        <v>31.283799999999999</v>
      </c>
      <c r="J933" s="64">
        <f>18.351 * CHOOSE(CONTROL!$C$22, $C$13, 100%, $E$13)</f>
        <v>18.350999999999999</v>
      </c>
      <c r="K933" s="64">
        <f>18.3667 * CHOOSE(CONTROL!$C$22, $C$13, 100%, $E$13)</f>
        <v>18.366700000000002</v>
      </c>
    </row>
    <row r="934" spans="1:11" ht="15">
      <c r="A934" s="13">
        <v>69915</v>
      </c>
      <c r="B934" s="63">
        <f>15.971 * CHOOSE(CONTROL!$C$22, $C$13, 100%, $E$13)</f>
        <v>15.971</v>
      </c>
      <c r="C934" s="63">
        <f>15.971 * CHOOSE(CONTROL!$C$22, $C$13, 100%, $E$13)</f>
        <v>15.971</v>
      </c>
      <c r="D934" s="63">
        <f>15.9839 * CHOOSE(CONTROL!$C$22, $C$13, 100%, $E$13)</f>
        <v>15.9839</v>
      </c>
      <c r="E934" s="64">
        <f>18.2523 * CHOOSE(CONTROL!$C$22, $C$13, 100%, $E$13)</f>
        <v>18.252300000000002</v>
      </c>
      <c r="F934" s="64">
        <f>18.2523 * CHOOSE(CONTROL!$C$22, $C$13, 100%, $E$13)</f>
        <v>18.252300000000002</v>
      </c>
      <c r="G934" s="64">
        <f>18.268 * CHOOSE(CONTROL!$C$22, $C$13, 100%, $E$13)</f>
        <v>18.268000000000001</v>
      </c>
      <c r="H934" s="64">
        <f>31.3333* CHOOSE(CONTROL!$C$22, $C$13, 100%, $E$13)</f>
        <v>31.333300000000001</v>
      </c>
      <c r="I934" s="64">
        <f>31.349 * CHOOSE(CONTROL!$C$22, $C$13, 100%, $E$13)</f>
        <v>31.349</v>
      </c>
      <c r="J934" s="64">
        <f>18.2523 * CHOOSE(CONTROL!$C$22, $C$13, 100%, $E$13)</f>
        <v>18.252300000000002</v>
      </c>
      <c r="K934" s="64">
        <f>18.268 * CHOOSE(CONTROL!$C$22, $C$13, 100%, $E$13)</f>
        <v>18.268000000000001</v>
      </c>
    </row>
    <row r="935" spans="1:11" ht="15">
      <c r="A935" s="13">
        <v>69945</v>
      </c>
      <c r="B935" s="63">
        <f>16.2119 * CHOOSE(CONTROL!$C$22, $C$13, 100%, $E$13)</f>
        <v>16.2119</v>
      </c>
      <c r="C935" s="63">
        <f>16.2119 * CHOOSE(CONTROL!$C$22, $C$13, 100%, $E$13)</f>
        <v>16.2119</v>
      </c>
      <c r="D935" s="63">
        <f>16.2248 * CHOOSE(CONTROL!$C$22, $C$13, 100%, $E$13)</f>
        <v>16.224799999999998</v>
      </c>
      <c r="E935" s="64">
        <f>18.5411 * CHOOSE(CONTROL!$C$22, $C$13, 100%, $E$13)</f>
        <v>18.5411</v>
      </c>
      <c r="F935" s="64">
        <f>18.5411 * CHOOSE(CONTROL!$C$22, $C$13, 100%, $E$13)</f>
        <v>18.5411</v>
      </c>
      <c r="G935" s="64">
        <f>18.5568 * CHOOSE(CONTROL!$C$22, $C$13, 100%, $E$13)</f>
        <v>18.556799999999999</v>
      </c>
      <c r="H935" s="64">
        <f>31.3986* CHOOSE(CONTROL!$C$22, $C$13, 100%, $E$13)</f>
        <v>31.398599999999998</v>
      </c>
      <c r="I935" s="64">
        <f>31.4142 * CHOOSE(CONTROL!$C$22, $C$13, 100%, $E$13)</f>
        <v>31.414200000000001</v>
      </c>
      <c r="J935" s="64">
        <f>18.5411 * CHOOSE(CONTROL!$C$22, $C$13, 100%, $E$13)</f>
        <v>18.5411</v>
      </c>
      <c r="K935" s="64">
        <f>18.5568 * CHOOSE(CONTROL!$C$22, $C$13, 100%, $E$13)</f>
        <v>18.556799999999999</v>
      </c>
    </row>
    <row r="936" spans="1:11" ht="15">
      <c r="A936" s="13">
        <v>69976</v>
      </c>
      <c r="B936" s="63">
        <f>16.2185 * CHOOSE(CONTROL!$C$22, $C$13, 100%, $E$13)</f>
        <v>16.218499999999999</v>
      </c>
      <c r="C936" s="63">
        <f>16.2185 * CHOOSE(CONTROL!$C$22, $C$13, 100%, $E$13)</f>
        <v>16.218499999999999</v>
      </c>
      <c r="D936" s="63">
        <f>16.2315 * CHOOSE(CONTROL!$C$22, $C$13, 100%, $E$13)</f>
        <v>16.2315</v>
      </c>
      <c r="E936" s="64">
        <f>18.237 * CHOOSE(CONTROL!$C$22, $C$13, 100%, $E$13)</f>
        <v>18.236999999999998</v>
      </c>
      <c r="F936" s="64">
        <f>18.237 * CHOOSE(CONTROL!$C$22, $C$13, 100%, $E$13)</f>
        <v>18.236999999999998</v>
      </c>
      <c r="G936" s="64">
        <f>18.2527 * CHOOSE(CONTROL!$C$22, $C$13, 100%, $E$13)</f>
        <v>18.252700000000001</v>
      </c>
      <c r="H936" s="64">
        <f>31.464* CHOOSE(CONTROL!$C$22, $C$13, 100%, $E$13)</f>
        <v>31.463999999999999</v>
      </c>
      <c r="I936" s="64">
        <f>31.4797 * CHOOSE(CONTROL!$C$22, $C$13, 100%, $E$13)</f>
        <v>31.479700000000001</v>
      </c>
      <c r="J936" s="64">
        <f>18.237 * CHOOSE(CONTROL!$C$22, $C$13, 100%, $E$13)</f>
        <v>18.236999999999998</v>
      </c>
      <c r="K936" s="64">
        <f>18.2527 * CHOOSE(CONTROL!$C$22, $C$13, 100%, $E$13)</f>
        <v>18.252700000000001</v>
      </c>
    </row>
    <row r="937" spans="1:11" ht="15">
      <c r="A937" s="13">
        <v>70007</v>
      </c>
      <c r="B937" s="63">
        <f>16.2155 * CHOOSE(CONTROL!$C$22, $C$13, 100%, $E$13)</f>
        <v>16.215499999999999</v>
      </c>
      <c r="C937" s="63">
        <f>16.2155 * CHOOSE(CONTROL!$C$22, $C$13, 100%, $E$13)</f>
        <v>16.215499999999999</v>
      </c>
      <c r="D937" s="63">
        <f>16.2285 * CHOOSE(CONTROL!$C$22, $C$13, 100%, $E$13)</f>
        <v>16.2285</v>
      </c>
      <c r="E937" s="64">
        <f>18.2006 * CHOOSE(CONTROL!$C$22, $C$13, 100%, $E$13)</f>
        <v>18.200600000000001</v>
      </c>
      <c r="F937" s="64">
        <f>18.2006 * CHOOSE(CONTROL!$C$22, $C$13, 100%, $E$13)</f>
        <v>18.200600000000001</v>
      </c>
      <c r="G937" s="64">
        <f>18.2163 * CHOOSE(CONTROL!$C$22, $C$13, 100%, $E$13)</f>
        <v>18.2163</v>
      </c>
      <c r="H937" s="64">
        <f>31.5295* CHOOSE(CONTROL!$C$22, $C$13, 100%, $E$13)</f>
        <v>31.529499999999999</v>
      </c>
      <c r="I937" s="64">
        <f>31.5452 * CHOOSE(CONTROL!$C$22, $C$13, 100%, $E$13)</f>
        <v>31.545200000000001</v>
      </c>
      <c r="J937" s="64">
        <f>18.2006 * CHOOSE(CONTROL!$C$22, $C$13, 100%, $E$13)</f>
        <v>18.200600000000001</v>
      </c>
      <c r="K937" s="64">
        <f>18.2163 * CHOOSE(CONTROL!$C$22, $C$13, 100%, $E$13)</f>
        <v>18.2163</v>
      </c>
    </row>
    <row r="938" spans="1:11" ht="15">
      <c r="A938" s="13">
        <v>70037</v>
      </c>
      <c r="B938" s="63">
        <f>16.2498 * CHOOSE(CONTROL!$C$22, $C$13, 100%, $E$13)</f>
        <v>16.2498</v>
      </c>
      <c r="C938" s="63">
        <f>16.2498 * CHOOSE(CONTROL!$C$22, $C$13, 100%, $E$13)</f>
        <v>16.2498</v>
      </c>
      <c r="D938" s="63">
        <f>16.2498 * CHOOSE(CONTROL!$C$22, $C$13, 100%, $E$13)</f>
        <v>16.2498</v>
      </c>
      <c r="E938" s="64">
        <f>18.3244 * CHOOSE(CONTROL!$C$22, $C$13, 100%, $E$13)</f>
        <v>18.324400000000001</v>
      </c>
      <c r="F938" s="64">
        <f>18.3244 * CHOOSE(CONTROL!$C$22, $C$13, 100%, $E$13)</f>
        <v>18.324400000000001</v>
      </c>
      <c r="G938" s="64">
        <f>18.3245 * CHOOSE(CONTROL!$C$22, $C$13, 100%, $E$13)</f>
        <v>18.3245</v>
      </c>
      <c r="H938" s="64">
        <f>31.5952* CHOOSE(CONTROL!$C$22, $C$13, 100%, $E$13)</f>
        <v>31.595199999999998</v>
      </c>
      <c r="I938" s="64">
        <f>31.5953 * CHOOSE(CONTROL!$C$22, $C$13, 100%, $E$13)</f>
        <v>31.595300000000002</v>
      </c>
      <c r="J938" s="64">
        <f>18.3244 * CHOOSE(CONTROL!$C$22, $C$13, 100%, $E$13)</f>
        <v>18.324400000000001</v>
      </c>
      <c r="K938" s="64">
        <f>18.3245 * CHOOSE(CONTROL!$C$22, $C$13, 100%, $E$13)</f>
        <v>18.3245</v>
      </c>
    </row>
    <row r="939" spans="1:11" ht="15">
      <c r="A939" s="13">
        <v>70068</v>
      </c>
      <c r="B939" s="63">
        <f>16.2529 * CHOOSE(CONTROL!$C$22, $C$13, 100%, $E$13)</f>
        <v>16.2529</v>
      </c>
      <c r="C939" s="63">
        <f>16.2529 * CHOOSE(CONTROL!$C$22, $C$13, 100%, $E$13)</f>
        <v>16.2529</v>
      </c>
      <c r="D939" s="63">
        <f>16.2529 * CHOOSE(CONTROL!$C$22, $C$13, 100%, $E$13)</f>
        <v>16.2529</v>
      </c>
      <c r="E939" s="64">
        <f>18.3951 * CHOOSE(CONTROL!$C$22, $C$13, 100%, $E$13)</f>
        <v>18.395099999999999</v>
      </c>
      <c r="F939" s="64">
        <f>18.3951 * CHOOSE(CONTROL!$C$22, $C$13, 100%, $E$13)</f>
        <v>18.395099999999999</v>
      </c>
      <c r="G939" s="64">
        <f>18.3952 * CHOOSE(CONTROL!$C$22, $C$13, 100%, $E$13)</f>
        <v>18.395199999999999</v>
      </c>
      <c r="H939" s="64">
        <f>31.661* CHOOSE(CONTROL!$C$22, $C$13, 100%, $E$13)</f>
        <v>31.661000000000001</v>
      </c>
      <c r="I939" s="64">
        <f>31.6611 * CHOOSE(CONTROL!$C$22, $C$13, 100%, $E$13)</f>
        <v>31.661100000000001</v>
      </c>
      <c r="J939" s="64">
        <f>18.3951 * CHOOSE(CONTROL!$C$22, $C$13, 100%, $E$13)</f>
        <v>18.395099999999999</v>
      </c>
      <c r="K939" s="64">
        <f>18.3952 * CHOOSE(CONTROL!$C$22, $C$13, 100%, $E$13)</f>
        <v>18.395199999999999</v>
      </c>
    </row>
    <row r="940" spans="1:11" ht="15">
      <c r="A940" s="13">
        <v>70098</v>
      </c>
      <c r="B940" s="63">
        <f>16.2529 * CHOOSE(CONTROL!$C$22, $C$13, 100%, $E$13)</f>
        <v>16.2529</v>
      </c>
      <c r="C940" s="63">
        <f>16.2529 * CHOOSE(CONTROL!$C$22, $C$13, 100%, $E$13)</f>
        <v>16.2529</v>
      </c>
      <c r="D940" s="63">
        <f>16.2529 * CHOOSE(CONTROL!$C$22, $C$13, 100%, $E$13)</f>
        <v>16.2529</v>
      </c>
      <c r="E940" s="64">
        <f>18.2236 * CHOOSE(CONTROL!$C$22, $C$13, 100%, $E$13)</f>
        <v>18.223600000000001</v>
      </c>
      <c r="F940" s="64">
        <f>18.2236 * CHOOSE(CONTROL!$C$22, $C$13, 100%, $E$13)</f>
        <v>18.223600000000001</v>
      </c>
      <c r="G940" s="64">
        <f>18.2237 * CHOOSE(CONTROL!$C$22, $C$13, 100%, $E$13)</f>
        <v>18.223700000000001</v>
      </c>
      <c r="H940" s="64">
        <f>31.727* CHOOSE(CONTROL!$C$22, $C$13, 100%, $E$13)</f>
        <v>31.727</v>
      </c>
      <c r="I940" s="64">
        <f>31.7271 * CHOOSE(CONTROL!$C$22, $C$13, 100%, $E$13)</f>
        <v>31.7271</v>
      </c>
      <c r="J940" s="64">
        <f>18.2236 * CHOOSE(CONTROL!$C$22, $C$13, 100%, $E$13)</f>
        <v>18.223600000000001</v>
      </c>
      <c r="K940" s="64">
        <f>18.2237 * CHOOSE(CONTROL!$C$22, $C$13, 100%, $E$13)</f>
        <v>18.223700000000001</v>
      </c>
    </row>
    <row r="941" spans="1:11" ht="15">
      <c r="A941" s="13">
        <v>70129</v>
      </c>
      <c r="B941" s="63">
        <f>16.1989 * CHOOSE(CONTROL!$C$22, $C$13, 100%, $E$13)</f>
        <v>16.198899999999998</v>
      </c>
      <c r="C941" s="63">
        <f>16.1989 * CHOOSE(CONTROL!$C$22, $C$13, 100%, $E$13)</f>
        <v>16.198899999999998</v>
      </c>
      <c r="D941" s="63">
        <f>16.1989 * CHOOSE(CONTROL!$C$22, $C$13, 100%, $E$13)</f>
        <v>16.198899999999998</v>
      </c>
      <c r="E941" s="64">
        <f>18.3055 * CHOOSE(CONTROL!$C$22, $C$13, 100%, $E$13)</f>
        <v>18.305499999999999</v>
      </c>
      <c r="F941" s="64">
        <f>18.3055 * CHOOSE(CONTROL!$C$22, $C$13, 100%, $E$13)</f>
        <v>18.305499999999999</v>
      </c>
      <c r="G941" s="64">
        <f>18.3056 * CHOOSE(CONTROL!$C$22, $C$13, 100%, $E$13)</f>
        <v>18.305599999999998</v>
      </c>
      <c r="H941" s="64">
        <f>31.4548* CHOOSE(CONTROL!$C$22, $C$13, 100%, $E$13)</f>
        <v>31.454799999999999</v>
      </c>
      <c r="I941" s="64">
        <f>31.4549 * CHOOSE(CONTROL!$C$22, $C$13, 100%, $E$13)</f>
        <v>31.454899999999999</v>
      </c>
      <c r="J941" s="64">
        <f>18.3055 * CHOOSE(CONTROL!$C$22, $C$13, 100%, $E$13)</f>
        <v>18.305499999999999</v>
      </c>
      <c r="K941" s="64">
        <f>18.3056 * CHOOSE(CONTROL!$C$22, $C$13, 100%, $E$13)</f>
        <v>18.305599999999998</v>
      </c>
    </row>
    <row r="942" spans="1:11" ht="15">
      <c r="A942" s="13">
        <v>70160</v>
      </c>
      <c r="B942" s="63">
        <f>16.1958 * CHOOSE(CONTROL!$C$22, $C$13, 100%, $E$13)</f>
        <v>16.195799999999998</v>
      </c>
      <c r="C942" s="63">
        <f>16.1958 * CHOOSE(CONTROL!$C$22, $C$13, 100%, $E$13)</f>
        <v>16.195799999999998</v>
      </c>
      <c r="D942" s="63">
        <f>16.1958 * CHOOSE(CONTROL!$C$22, $C$13, 100%, $E$13)</f>
        <v>16.195799999999998</v>
      </c>
      <c r="E942" s="64">
        <f>17.9743 * CHOOSE(CONTROL!$C$22, $C$13, 100%, $E$13)</f>
        <v>17.974299999999999</v>
      </c>
      <c r="F942" s="64">
        <f>17.9743 * CHOOSE(CONTROL!$C$22, $C$13, 100%, $E$13)</f>
        <v>17.974299999999999</v>
      </c>
      <c r="G942" s="64">
        <f>17.9744 * CHOOSE(CONTROL!$C$22, $C$13, 100%, $E$13)</f>
        <v>17.974399999999999</v>
      </c>
      <c r="H942" s="64">
        <f>31.5204* CHOOSE(CONTROL!$C$22, $C$13, 100%, $E$13)</f>
        <v>31.520399999999999</v>
      </c>
      <c r="I942" s="64">
        <f>31.5204 * CHOOSE(CONTROL!$C$22, $C$13, 100%, $E$13)</f>
        <v>31.520399999999999</v>
      </c>
      <c r="J942" s="64">
        <f>17.9743 * CHOOSE(CONTROL!$C$22, $C$13, 100%, $E$13)</f>
        <v>17.974299999999999</v>
      </c>
      <c r="K942" s="64">
        <f>17.9744 * CHOOSE(CONTROL!$C$22, $C$13, 100%, $E$13)</f>
        <v>17.974399999999999</v>
      </c>
    </row>
    <row r="943" spans="1:11" ht="15">
      <c r="A943" s="13">
        <v>70189</v>
      </c>
      <c r="B943" s="63">
        <f>16.1928 * CHOOSE(CONTROL!$C$22, $C$13, 100%, $E$13)</f>
        <v>16.192799999999998</v>
      </c>
      <c r="C943" s="63">
        <f>16.1928 * CHOOSE(CONTROL!$C$22, $C$13, 100%, $E$13)</f>
        <v>16.192799999999998</v>
      </c>
      <c r="D943" s="63">
        <f>16.1928 * CHOOSE(CONTROL!$C$22, $C$13, 100%, $E$13)</f>
        <v>16.192799999999998</v>
      </c>
      <c r="E943" s="64">
        <f>18.2316 * CHOOSE(CONTROL!$C$22, $C$13, 100%, $E$13)</f>
        <v>18.2316</v>
      </c>
      <c r="F943" s="64">
        <f>18.2316 * CHOOSE(CONTROL!$C$22, $C$13, 100%, $E$13)</f>
        <v>18.2316</v>
      </c>
      <c r="G943" s="64">
        <f>18.2317 * CHOOSE(CONTROL!$C$22, $C$13, 100%, $E$13)</f>
        <v>18.2317</v>
      </c>
      <c r="H943" s="64">
        <f>31.586* CHOOSE(CONTROL!$C$22, $C$13, 100%, $E$13)</f>
        <v>31.585999999999999</v>
      </c>
      <c r="I943" s="64">
        <f>31.5861 * CHOOSE(CONTROL!$C$22, $C$13, 100%, $E$13)</f>
        <v>31.586099999999998</v>
      </c>
      <c r="J943" s="64">
        <f>18.2316 * CHOOSE(CONTROL!$C$22, $C$13, 100%, $E$13)</f>
        <v>18.2316</v>
      </c>
      <c r="K943" s="64">
        <f>18.2317 * CHOOSE(CONTROL!$C$22, $C$13, 100%, $E$13)</f>
        <v>18.2317</v>
      </c>
    </row>
    <row r="944" spans="1:11" ht="15">
      <c r="A944" s="13">
        <v>70220</v>
      </c>
      <c r="B944" s="63">
        <f>16.2006 * CHOOSE(CONTROL!$C$22, $C$13, 100%, $E$13)</f>
        <v>16.200600000000001</v>
      </c>
      <c r="C944" s="63">
        <f>16.2006 * CHOOSE(CONTROL!$C$22, $C$13, 100%, $E$13)</f>
        <v>16.200600000000001</v>
      </c>
      <c r="D944" s="63">
        <f>16.2006 * CHOOSE(CONTROL!$C$22, $C$13, 100%, $E$13)</f>
        <v>16.200600000000001</v>
      </c>
      <c r="E944" s="64">
        <f>18.5059 * CHOOSE(CONTROL!$C$22, $C$13, 100%, $E$13)</f>
        <v>18.5059</v>
      </c>
      <c r="F944" s="64">
        <f>18.5059 * CHOOSE(CONTROL!$C$22, $C$13, 100%, $E$13)</f>
        <v>18.5059</v>
      </c>
      <c r="G944" s="64">
        <f>18.506 * CHOOSE(CONTROL!$C$22, $C$13, 100%, $E$13)</f>
        <v>18.506</v>
      </c>
      <c r="H944" s="64">
        <f>31.6518* CHOOSE(CONTROL!$C$22, $C$13, 100%, $E$13)</f>
        <v>31.651800000000001</v>
      </c>
      <c r="I944" s="64">
        <f>31.6519 * CHOOSE(CONTROL!$C$22, $C$13, 100%, $E$13)</f>
        <v>31.651900000000001</v>
      </c>
      <c r="J944" s="64">
        <f>18.5059 * CHOOSE(CONTROL!$C$22, $C$13, 100%, $E$13)</f>
        <v>18.5059</v>
      </c>
      <c r="K944" s="64">
        <f>18.506 * CHOOSE(CONTROL!$C$22, $C$13, 100%, $E$13)</f>
        <v>18.506</v>
      </c>
    </row>
    <row r="945" spans="1:11" ht="15">
      <c r="A945" s="13">
        <v>70250</v>
      </c>
      <c r="B945" s="63">
        <f>16.2006 * CHOOSE(CONTROL!$C$22, $C$13, 100%, $E$13)</f>
        <v>16.200600000000001</v>
      </c>
      <c r="C945" s="63">
        <f>16.2006 * CHOOSE(CONTROL!$C$22, $C$13, 100%, $E$13)</f>
        <v>16.200600000000001</v>
      </c>
      <c r="D945" s="63">
        <f>16.2136 * CHOOSE(CONTROL!$C$22, $C$13, 100%, $E$13)</f>
        <v>16.2136</v>
      </c>
      <c r="E945" s="64">
        <f>18.6104 * CHOOSE(CONTROL!$C$22, $C$13, 100%, $E$13)</f>
        <v>18.610399999999998</v>
      </c>
      <c r="F945" s="64">
        <f>18.6104 * CHOOSE(CONTROL!$C$22, $C$13, 100%, $E$13)</f>
        <v>18.610399999999998</v>
      </c>
      <c r="G945" s="64">
        <f>18.6261 * CHOOSE(CONTROL!$C$22, $C$13, 100%, $E$13)</f>
        <v>18.626100000000001</v>
      </c>
      <c r="H945" s="64">
        <f>31.7178* CHOOSE(CONTROL!$C$22, $C$13, 100%, $E$13)</f>
        <v>31.7178</v>
      </c>
      <c r="I945" s="64">
        <f>31.7334 * CHOOSE(CONTROL!$C$22, $C$13, 100%, $E$13)</f>
        <v>31.7334</v>
      </c>
      <c r="J945" s="64">
        <f>18.6104 * CHOOSE(CONTROL!$C$22, $C$13, 100%, $E$13)</f>
        <v>18.610399999999998</v>
      </c>
      <c r="K945" s="64">
        <f>18.6261 * CHOOSE(CONTROL!$C$22, $C$13, 100%, $E$13)</f>
        <v>18.626100000000001</v>
      </c>
    </row>
    <row r="946" spans="1:11" ht="15">
      <c r="A946" s="13">
        <v>70281</v>
      </c>
      <c r="B946" s="63">
        <f>16.2067 * CHOOSE(CONTROL!$C$22, $C$13, 100%, $E$13)</f>
        <v>16.206700000000001</v>
      </c>
      <c r="C946" s="63">
        <f>16.2067 * CHOOSE(CONTROL!$C$22, $C$13, 100%, $E$13)</f>
        <v>16.206700000000001</v>
      </c>
      <c r="D946" s="63">
        <f>16.2197 * CHOOSE(CONTROL!$C$22, $C$13, 100%, $E$13)</f>
        <v>16.2197</v>
      </c>
      <c r="E946" s="64">
        <f>18.5102 * CHOOSE(CONTROL!$C$22, $C$13, 100%, $E$13)</f>
        <v>18.510200000000001</v>
      </c>
      <c r="F946" s="64">
        <f>18.5102 * CHOOSE(CONTROL!$C$22, $C$13, 100%, $E$13)</f>
        <v>18.510200000000001</v>
      </c>
      <c r="G946" s="64">
        <f>18.5259 * CHOOSE(CONTROL!$C$22, $C$13, 100%, $E$13)</f>
        <v>18.5259</v>
      </c>
      <c r="H946" s="64">
        <f>31.7838* CHOOSE(CONTROL!$C$22, $C$13, 100%, $E$13)</f>
        <v>31.783799999999999</v>
      </c>
      <c r="I946" s="64">
        <f>31.7995 * CHOOSE(CONTROL!$C$22, $C$13, 100%, $E$13)</f>
        <v>31.799499999999998</v>
      </c>
      <c r="J946" s="64">
        <f>18.5102 * CHOOSE(CONTROL!$C$22, $C$13, 100%, $E$13)</f>
        <v>18.510200000000001</v>
      </c>
      <c r="K946" s="64">
        <f>18.5259 * CHOOSE(CONTROL!$C$22, $C$13, 100%, $E$13)</f>
        <v>18.5259</v>
      </c>
    </row>
    <row r="947" spans="1:11" ht="15">
      <c r="A947" s="13">
        <v>70311</v>
      </c>
      <c r="B947" s="63">
        <f>16.451 * CHOOSE(CONTROL!$C$22, $C$13, 100%, $E$13)</f>
        <v>16.451000000000001</v>
      </c>
      <c r="C947" s="63">
        <f>16.451 * CHOOSE(CONTROL!$C$22, $C$13, 100%, $E$13)</f>
        <v>16.451000000000001</v>
      </c>
      <c r="D947" s="63">
        <f>16.464 * CHOOSE(CONTROL!$C$22, $C$13, 100%, $E$13)</f>
        <v>16.463999999999999</v>
      </c>
      <c r="E947" s="64">
        <f>18.8029 * CHOOSE(CONTROL!$C$22, $C$13, 100%, $E$13)</f>
        <v>18.802900000000001</v>
      </c>
      <c r="F947" s="64">
        <f>18.8029 * CHOOSE(CONTROL!$C$22, $C$13, 100%, $E$13)</f>
        <v>18.802900000000001</v>
      </c>
      <c r="G947" s="64">
        <f>18.8185 * CHOOSE(CONTROL!$C$22, $C$13, 100%, $E$13)</f>
        <v>18.8185</v>
      </c>
      <c r="H947" s="64">
        <f>31.8501* CHOOSE(CONTROL!$C$22, $C$13, 100%, $E$13)</f>
        <v>31.850100000000001</v>
      </c>
      <c r="I947" s="64">
        <f>31.8657 * CHOOSE(CONTROL!$C$22, $C$13, 100%, $E$13)</f>
        <v>31.8657</v>
      </c>
      <c r="J947" s="64">
        <f>18.8029 * CHOOSE(CONTROL!$C$22, $C$13, 100%, $E$13)</f>
        <v>18.802900000000001</v>
      </c>
      <c r="K947" s="64">
        <f>18.8185 * CHOOSE(CONTROL!$C$22, $C$13, 100%, $E$13)</f>
        <v>18.8185</v>
      </c>
    </row>
    <row r="948" spans="1:11" ht="15">
      <c r="A948" s="13">
        <v>70342</v>
      </c>
      <c r="B948" s="63">
        <f>16.4577 * CHOOSE(CONTROL!$C$22, $C$13, 100%, $E$13)</f>
        <v>16.457699999999999</v>
      </c>
      <c r="C948" s="63">
        <f>16.4577 * CHOOSE(CONTROL!$C$22, $C$13, 100%, $E$13)</f>
        <v>16.457699999999999</v>
      </c>
      <c r="D948" s="63">
        <f>16.4707 * CHOOSE(CONTROL!$C$22, $C$13, 100%, $E$13)</f>
        <v>16.470700000000001</v>
      </c>
      <c r="E948" s="64">
        <f>18.4941 * CHOOSE(CONTROL!$C$22, $C$13, 100%, $E$13)</f>
        <v>18.4941</v>
      </c>
      <c r="F948" s="64">
        <f>18.4941 * CHOOSE(CONTROL!$C$22, $C$13, 100%, $E$13)</f>
        <v>18.4941</v>
      </c>
      <c r="G948" s="64">
        <f>18.5098 * CHOOSE(CONTROL!$C$22, $C$13, 100%, $E$13)</f>
        <v>18.509799999999998</v>
      </c>
      <c r="H948" s="64">
        <f>31.9164* CHOOSE(CONTROL!$C$22, $C$13, 100%, $E$13)</f>
        <v>31.916399999999999</v>
      </c>
      <c r="I948" s="64">
        <f>31.9321 * CHOOSE(CONTROL!$C$22, $C$13, 100%, $E$13)</f>
        <v>31.932099999999998</v>
      </c>
      <c r="J948" s="64">
        <f>18.4941 * CHOOSE(CONTROL!$C$22, $C$13, 100%, $E$13)</f>
        <v>18.4941</v>
      </c>
      <c r="K948" s="64">
        <f>18.5098 * CHOOSE(CONTROL!$C$22, $C$13, 100%, $E$13)</f>
        <v>18.509799999999998</v>
      </c>
    </row>
    <row r="949" spans="1:11" ht="15">
      <c r="A949" s="13">
        <v>70373</v>
      </c>
      <c r="B949" s="63">
        <f>16.4547 * CHOOSE(CONTROL!$C$22, $C$13, 100%, $E$13)</f>
        <v>16.454699999999999</v>
      </c>
      <c r="C949" s="63">
        <f>16.4547 * CHOOSE(CONTROL!$C$22, $C$13, 100%, $E$13)</f>
        <v>16.454699999999999</v>
      </c>
      <c r="D949" s="63">
        <f>16.4677 * CHOOSE(CONTROL!$C$22, $C$13, 100%, $E$13)</f>
        <v>16.467700000000001</v>
      </c>
      <c r="E949" s="64">
        <f>18.4572 * CHOOSE(CONTROL!$C$22, $C$13, 100%, $E$13)</f>
        <v>18.4572</v>
      </c>
      <c r="F949" s="64">
        <f>18.4572 * CHOOSE(CONTROL!$C$22, $C$13, 100%, $E$13)</f>
        <v>18.4572</v>
      </c>
      <c r="G949" s="64">
        <f>18.4728 * CHOOSE(CONTROL!$C$22, $C$13, 100%, $E$13)</f>
        <v>18.472799999999999</v>
      </c>
      <c r="H949" s="64">
        <f>31.9829* CHOOSE(CONTROL!$C$22, $C$13, 100%, $E$13)</f>
        <v>31.982900000000001</v>
      </c>
      <c r="I949" s="64">
        <f>31.9986 * CHOOSE(CONTROL!$C$22, $C$13, 100%, $E$13)</f>
        <v>31.9986</v>
      </c>
      <c r="J949" s="64">
        <f>18.4572 * CHOOSE(CONTROL!$C$22, $C$13, 100%, $E$13)</f>
        <v>18.4572</v>
      </c>
      <c r="K949" s="64">
        <f>18.4728 * CHOOSE(CONTROL!$C$22, $C$13, 100%, $E$13)</f>
        <v>18.472799999999999</v>
      </c>
    </row>
    <row r="950" spans="1:11" ht="15">
      <c r="A950" s="13">
        <v>70403</v>
      </c>
      <c r="B950" s="63">
        <f>16.4898 * CHOOSE(CONTROL!$C$22, $C$13, 100%, $E$13)</f>
        <v>16.489799999999999</v>
      </c>
      <c r="C950" s="63">
        <f>16.4898 * CHOOSE(CONTROL!$C$22, $C$13, 100%, $E$13)</f>
        <v>16.489799999999999</v>
      </c>
      <c r="D950" s="63">
        <f>16.4898 * CHOOSE(CONTROL!$C$22, $C$13, 100%, $E$13)</f>
        <v>16.489799999999999</v>
      </c>
      <c r="E950" s="64">
        <f>18.583 * CHOOSE(CONTROL!$C$22, $C$13, 100%, $E$13)</f>
        <v>18.582999999999998</v>
      </c>
      <c r="F950" s="64">
        <f>18.583 * CHOOSE(CONTROL!$C$22, $C$13, 100%, $E$13)</f>
        <v>18.582999999999998</v>
      </c>
      <c r="G950" s="64">
        <f>18.5831 * CHOOSE(CONTROL!$C$22, $C$13, 100%, $E$13)</f>
        <v>18.583100000000002</v>
      </c>
      <c r="H950" s="64">
        <f>32.0495* CHOOSE(CONTROL!$C$22, $C$13, 100%, $E$13)</f>
        <v>32.049500000000002</v>
      </c>
      <c r="I950" s="64">
        <f>32.0496 * CHOOSE(CONTROL!$C$22, $C$13, 100%, $E$13)</f>
        <v>32.049599999999998</v>
      </c>
      <c r="J950" s="64">
        <f>18.583 * CHOOSE(CONTROL!$C$22, $C$13, 100%, $E$13)</f>
        <v>18.582999999999998</v>
      </c>
      <c r="K950" s="64">
        <f>18.5831 * CHOOSE(CONTROL!$C$22, $C$13, 100%, $E$13)</f>
        <v>18.583100000000002</v>
      </c>
    </row>
    <row r="951" spans="1:11" ht="15">
      <c r="A951" s="13">
        <v>70434</v>
      </c>
      <c r="B951" s="63">
        <f>16.4928 * CHOOSE(CONTROL!$C$22, $C$13, 100%, $E$13)</f>
        <v>16.492799999999999</v>
      </c>
      <c r="C951" s="63">
        <f>16.4928 * CHOOSE(CONTROL!$C$22, $C$13, 100%, $E$13)</f>
        <v>16.492799999999999</v>
      </c>
      <c r="D951" s="63">
        <f>16.4928 * CHOOSE(CONTROL!$C$22, $C$13, 100%, $E$13)</f>
        <v>16.492799999999999</v>
      </c>
      <c r="E951" s="64">
        <f>18.6548 * CHOOSE(CONTROL!$C$22, $C$13, 100%, $E$13)</f>
        <v>18.654800000000002</v>
      </c>
      <c r="F951" s="64">
        <f>18.6548 * CHOOSE(CONTROL!$C$22, $C$13, 100%, $E$13)</f>
        <v>18.654800000000002</v>
      </c>
      <c r="G951" s="64">
        <f>18.6549 * CHOOSE(CONTROL!$C$22, $C$13, 100%, $E$13)</f>
        <v>18.654900000000001</v>
      </c>
      <c r="H951" s="64">
        <f>32.1163* CHOOSE(CONTROL!$C$22, $C$13, 100%, $E$13)</f>
        <v>32.116300000000003</v>
      </c>
      <c r="I951" s="64">
        <f>32.1164 * CHOOSE(CONTROL!$C$22, $C$13, 100%, $E$13)</f>
        <v>32.116399999999999</v>
      </c>
      <c r="J951" s="64">
        <f>18.6548 * CHOOSE(CONTROL!$C$22, $C$13, 100%, $E$13)</f>
        <v>18.654800000000002</v>
      </c>
      <c r="K951" s="64">
        <f>18.6549 * CHOOSE(CONTROL!$C$22, $C$13, 100%, $E$13)</f>
        <v>18.654900000000001</v>
      </c>
    </row>
    <row r="952" spans="1:11" ht="15">
      <c r="A952" s="13">
        <v>70464</v>
      </c>
      <c r="B952" s="63">
        <f>16.4928 * CHOOSE(CONTROL!$C$22, $C$13, 100%, $E$13)</f>
        <v>16.492799999999999</v>
      </c>
      <c r="C952" s="63">
        <f>16.4928 * CHOOSE(CONTROL!$C$22, $C$13, 100%, $E$13)</f>
        <v>16.492799999999999</v>
      </c>
      <c r="D952" s="63">
        <f>16.4928 * CHOOSE(CONTROL!$C$22, $C$13, 100%, $E$13)</f>
        <v>16.492799999999999</v>
      </c>
      <c r="E952" s="64">
        <f>18.4807 * CHOOSE(CONTROL!$C$22, $C$13, 100%, $E$13)</f>
        <v>18.480699999999999</v>
      </c>
      <c r="F952" s="64">
        <f>18.4807 * CHOOSE(CONTROL!$C$22, $C$13, 100%, $E$13)</f>
        <v>18.480699999999999</v>
      </c>
      <c r="G952" s="64">
        <f>18.4808 * CHOOSE(CONTROL!$C$22, $C$13, 100%, $E$13)</f>
        <v>18.480799999999999</v>
      </c>
      <c r="H952" s="64">
        <f>32.1832* CHOOSE(CONTROL!$C$22, $C$13, 100%, $E$13)</f>
        <v>32.183199999999999</v>
      </c>
      <c r="I952" s="64">
        <f>32.1833 * CHOOSE(CONTROL!$C$22, $C$13, 100%, $E$13)</f>
        <v>32.183300000000003</v>
      </c>
      <c r="J952" s="64">
        <f>18.4807 * CHOOSE(CONTROL!$C$22, $C$13, 100%, $E$13)</f>
        <v>18.480699999999999</v>
      </c>
      <c r="K952" s="64">
        <f>18.4808 * CHOOSE(CONTROL!$C$22, $C$13, 100%, $E$13)</f>
        <v>18.480799999999999</v>
      </c>
    </row>
    <row r="953" spans="1:11" ht="15">
      <c r="A953" s="13">
        <v>70495</v>
      </c>
      <c r="B953" s="63">
        <f>16.4344 * CHOOSE(CONTROL!$C$22, $C$13, 100%, $E$13)</f>
        <v>16.4344</v>
      </c>
      <c r="C953" s="63">
        <f>16.4344 * CHOOSE(CONTROL!$C$22, $C$13, 100%, $E$13)</f>
        <v>16.4344</v>
      </c>
      <c r="D953" s="63">
        <f>16.4344 * CHOOSE(CONTROL!$C$22, $C$13, 100%, $E$13)</f>
        <v>16.4344</v>
      </c>
      <c r="E953" s="64">
        <f>18.5602 * CHOOSE(CONTROL!$C$22, $C$13, 100%, $E$13)</f>
        <v>18.560199999999998</v>
      </c>
      <c r="F953" s="64">
        <f>18.5602 * CHOOSE(CONTROL!$C$22, $C$13, 100%, $E$13)</f>
        <v>18.560199999999998</v>
      </c>
      <c r="G953" s="64">
        <f>18.5603 * CHOOSE(CONTROL!$C$22, $C$13, 100%, $E$13)</f>
        <v>18.560300000000002</v>
      </c>
      <c r="H953" s="64">
        <f>31.9007* CHOOSE(CONTROL!$C$22, $C$13, 100%, $E$13)</f>
        <v>31.900700000000001</v>
      </c>
      <c r="I953" s="64">
        <f>31.9008 * CHOOSE(CONTROL!$C$22, $C$13, 100%, $E$13)</f>
        <v>31.9008</v>
      </c>
      <c r="J953" s="64">
        <f>18.5602 * CHOOSE(CONTROL!$C$22, $C$13, 100%, $E$13)</f>
        <v>18.560199999999998</v>
      </c>
      <c r="K953" s="64">
        <f>18.5603 * CHOOSE(CONTROL!$C$22, $C$13, 100%, $E$13)</f>
        <v>18.560300000000002</v>
      </c>
    </row>
    <row r="954" spans="1:11" ht="15">
      <c r="A954" s="13">
        <v>70526</v>
      </c>
      <c r="B954" s="63">
        <f>16.4314 * CHOOSE(CONTROL!$C$22, $C$13, 100%, $E$13)</f>
        <v>16.4314</v>
      </c>
      <c r="C954" s="63">
        <f>16.4314 * CHOOSE(CONTROL!$C$22, $C$13, 100%, $E$13)</f>
        <v>16.4314</v>
      </c>
      <c r="D954" s="63">
        <f>16.4314 * CHOOSE(CONTROL!$C$22, $C$13, 100%, $E$13)</f>
        <v>16.4314</v>
      </c>
      <c r="E954" s="64">
        <f>18.2241 * CHOOSE(CONTROL!$C$22, $C$13, 100%, $E$13)</f>
        <v>18.2241</v>
      </c>
      <c r="F954" s="64">
        <f>18.2241 * CHOOSE(CONTROL!$C$22, $C$13, 100%, $E$13)</f>
        <v>18.2241</v>
      </c>
      <c r="G954" s="64">
        <f>18.2242 * CHOOSE(CONTROL!$C$22, $C$13, 100%, $E$13)</f>
        <v>18.2242</v>
      </c>
      <c r="H954" s="64">
        <f>31.9672* CHOOSE(CONTROL!$C$22, $C$13, 100%, $E$13)</f>
        <v>31.967199999999998</v>
      </c>
      <c r="I954" s="64">
        <f>31.9673 * CHOOSE(CONTROL!$C$22, $C$13, 100%, $E$13)</f>
        <v>31.967300000000002</v>
      </c>
      <c r="J954" s="64">
        <f>18.2241 * CHOOSE(CONTROL!$C$22, $C$13, 100%, $E$13)</f>
        <v>18.2241</v>
      </c>
      <c r="K954" s="64">
        <f>18.2242 * CHOOSE(CONTROL!$C$22, $C$13, 100%, $E$13)</f>
        <v>18.2242</v>
      </c>
    </row>
    <row r="955" spans="1:11" ht="15">
      <c r="A955" s="13">
        <v>70554</v>
      </c>
      <c r="B955" s="63">
        <f>16.4284 * CHOOSE(CONTROL!$C$22, $C$13, 100%, $E$13)</f>
        <v>16.4284</v>
      </c>
      <c r="C955" s="63">
        <f>16.4284 * CHOOSE(CONTROL!$C$22, $C$13, 100%, $E$13)</f>
        <v>16.4284</v>
      </c>
      <c r="D955" s="63">
        <f>16.4284 * CHOOSE(CONTROL!$C$22, $C$13, 100%, $E$13)</f>
        <v>16.4284</v>
      </c>
      <c r="E955" s="64">
        <f>18.4853 * CHOOSE(CONTROL!$C$22, $C$13, 100%, $E$13)</f>
        <v>18.485299999999999</v>
      </c>
      <c r="F955" s="64">
        <f>18.4853 * CHOOSE(CONTROL!$C$22, $C$13, 100%, $E$13)</f>
        <v>18.485299999999999</v>
      </c>
      <c r="G955" s="64">
        <f>18.4854 * CHOOSE(CONTROL!$C$22, $C$13, 100%, $E$13)</f>
        <v>18.485399999999998</v>
      </c>
      <c r="H955" s="64">
        <f>32.0338* CHOOSE(CONTROL!$C$22, $C$13, 100%, $E$13)</f>
        <v>32.033799999999999</v>
      </c>
      <c r="I955" s="64">
        <f>32.0339 * CHOOSE(CONTROL!$C$22, $C$13, 100%, $E$13)</f>
        <v>32.033900000000003</v>
      </c>
      <c r="J955" s="64">
        <f>18.4853 * CHOOSE(CONTROL!$C$22, $C$13, 100%, $E$13)</f>
        <v>18.485299999999999</v>
      </c>
      <c r="K955" s="64">
        <f>18.4854 * CHOOSE(CONTROL!$C$22, $C$13, 100%, $E$13)</f>
        <v>18.485399999999998</v>
      </c>
    </row>
    <row r="956" spans="1:11" ht="15">
      <c r="A956" s="13">
        <v>70585</v>
      </c>
      <c r="B956" s="63">
        <f>16.4364 * CHOOSE(CONTROL!$C$22, $C$13, 100%, $E$13)</f>
        <v>16.436399999999999</v>
      </c>
      <c r="C956" s="63">
        <f>16.4364 * CHOOSE(CONTROL!$C$22, $C$13, 100%, $E$13)</f>
        <v>16.436399999999999</v>
      </c>
      <c r="D956" s="63">
        <f>16.4364 * CHOOSE(CONTROL!$C$22, $C$13, 100%, $E$13)</f>
        <v>16.436399999999999</v>
      </c>
      <c r="E956" s="64">
        <f>18.7638 * CHOOSE(CONTROL!$C$22, $C$13, 100%, $E$13)</f>
        <v>18.7638</v>
      </c>
      <c r="F956" s="64">
        <f>18.7638 * CHOOSE(CONTROL!$C$22, $C$13, 100%, $E$13)</f>
        <v>18.7638</v>
      </c>
      <c r="G956" s="64">
        <f>18.7639 * CHOOSE(CONTROL!$C$22, $C$13, 100%, $E$13)</f>
        <v>18.7639</v>
      </c>
      <c r="H956" s="64">
        <f>32.1005* CHOOSE(CONTROL!$C$22, $C$13, 100%, $E$13)</f>
        <v>32.100499999999997</v>
      </c>
      <c r="I956" s="64">
        <f>32.1006 * CHOOSE(CONTROL!$C$22, $C$13, 100%, $E$13)</f>
        <v>32.1006</v>
      </c>
      <c r="J956" s="64">
        <f>18.7638 * CHOOSE(CONTROL!$C$22, $C$13, 100%, $E$13)</f>
        <v>18.7638</v>
      </c>
      <c r="K956" s="64">
        <f>18.7639 * CHOOSE(CONTROL!$C$22, $C$13, 100%, $E$13)</f>
        <v>18.7639</v>
      </c>
    </row>
    <row r="957" spans="1:11" ht="15">
      <c r="A957" s="13">
        <v>70615</v>
      </c>
      <c r="B957" s="63">
        <f>16.4364 * CHOOSE(CONTROL!$C$22, $C$13, 100%, $E$13)</f>
        <v>16.436399999999999</v>
      </c>
      <c r="C957" s="63">
        <f>16.4364 * CHOOSE(CONTROL!$C$22, $C$13, 100%, $E$13)</f>
        <v>16.436399999999999</v>
      </c>
      <c r="D957" s="63">
        <f>16.4494 * CHOOSE(CONTROL!$C$22, $C$13, 100%, $E$13)</f>
        <v>16.449400000000001</v>
      </c>
      <c r="E957" s="64">
        <f>18.8698 * CHOOSE(CONTROL!$C$22, $C$13, 100%, $E$13)</f>
        <v>18.869800000000001</v>
      </c>
      <c r="F957" s="64">
        <f>18.8698 * CHOOSE(CONTROL!$C$22, $C$13, 100%, $E$13)</f>
        <v>18.869800000000001</v>
      </c>
      <c r="G957" s="64">
        <f>18.8855 * CHOOSE(CONTROL!$C$22, $C$13, 100%, $E$13)</f>
        <v>18.8855</v>
      </c>
      <c r="H957" s="64">
        <f>32.1674* CHOOSE(CONTROL!$C$22, $C$13, 100%, $E$13)</f>
        <v>32.167400000000001</v>
      </c>
      <c r="I957" s="64">
        <f>32.1831 * CHOOSE(CONTROL!$C$22, $C$13, 100%, $E$13)</f>
        <v>32.183100000000003</v>
      </c>
      <c r="J957" s="64">
        <f>18.8698 * CHOOSE(CONTROL!$C$22, $C$13, 100%, $E$13)</f>
        <v>18.869800000000001</v>
      </c>
      <c r="K957" s="64">
        <f>18.8855 * CHOOSE(CONTROL!$C$22, $C$13, 100%, $E$13)</f>
        <v>18.8855</v>
      </c>
    </row>
    <row r="958" spans="1:11" ht="15">
      <c r="A958" s="13">
        <v>70646</v>
      </c>
      <c r="B958" s="63">
        <f>16.4425 * CHOOSE(CONTROL!$C$22, $C$13, 100%, $E$13)</f>
        <v>16.442499999999999</v>
      </c>
      <c r="C958" s="63">
        <f>16.4425 * CHOOSE(CONTROL!$C$22, $C$13, 100%, $E$13)</f>
        <v>16.442499999999999</v>
      </c>
      <c r="D958" s="63">
        <f>16.4555 * CHOOSE(CONTROL!$C$22, $C$13, 100%, $E$13)</f>
        <v>16.455500000000001</v>
      </c>
      <c r="E958" s="64">
        <f>18.768 * CHOOSE(CONTROL!$C$22, $C$13, 100%, $E$13)</f>
        <v>18.768000000000001</v>
      </c>
      <c r="F958" s="64">
        <f>18.768 * CHOOSE(CONTROL!$C$22, $C$13, 100%, $E$13)</f>
        <v>18.768000000000001</v>
      </c>
      <c r="G958" s="64">
        <f>18.7837 * CHOOSE(CONTROL!$C$22, $C$13, 100%, $E$13)</f>
        <v>18.7837</v>
      </c>
      <c r="H958" s="64">
        <f>32.2344* CHOOSE(CONTROL!$C$22, $C$13, 100%, $E$13)</f>
        <v>32.234400000000001</v>
      </c>
      <c r="I958" s="64">
        <f>32.2501 * CHOOSE(CONTROL!$C$22, $C$13, 100%, $E$13)</f>
        <v>32.250100000000003</v>
      </c>
      <c r="J958" s="64">
        <f>18.768 * CHOOSE(CONTROL!$C$22, $C$13, 100%, $E$13)</f>
        <v>18.768000000000001</v>
      </c>
      <c r="K958" s="64">
        <f>18.7837 * CHOOSE(CONTROL!$C$22, $C$13, 100%, $E$13)</f>
        <v>18.7837</v>
      </c>
    </row>
    <row r="959" spans="1:11" ht="15">
      <c r="A959" s="13">
        <v>70676</v>
      </c>
      <c r="B959" s="63">
        <f>16.6902 * CHOOSE(CONTROL!$C$22, $C$13, 100%, $E$13)</f>
        <v>16.690200000000001</v>
      </c>
      <c r="C959" s="63">
        <f>16.6902 * CHOOSE(CONTROL!$C$22, $C$13, 100%, $E$13)</f>
        <v>16.690200000000001</v>
      </c>
      <c r="D959" s="63">
        <f>16.7032 * CHOOSE(CONTROL!$C$22, $C$13, 100%, $E$13)</f>
        <v>16.703199999999999</v>
      </c>
      <c r="E959" s="64">
        <f>19.0646 * CHOOSE(CONTROL!$C$22, $C$13, 100%, $E$13)</f>
        <v>19.064599999999999</v>
      </c>
      <c r="F959" s="64">
        <f>19.0646 * CHOOSE(CONTROL!$C$22, $C$13, 100%, $E$13)</f>
        <v>19.064599999999999</v>
      </c>
      <c r="G959" s="64">
        <f>19.0803 * CHOOSE(CONTROL!$C$22, $C$13, 100%, $E$13)</f>
        <v>19.080300000000001</v>
      </c>
      <c r="H959" s="64">
        <f>32.3016* CHOOSE(CONTROL!$C$22, $C$13, 100%, $E$13)</f>
        <v>32.301600000000001</v>
      </c>
      <c r="I959" s="64">
        <f>32.3172 * CHOOSE(CONTROL!$C$22, $C$13, 100%, $E$13)</f>
        <v>32.3172</v>
      </c>
      <c r="J959" s="64">
        <f>19.0646 * CHOOSE(CONTROL!$C$22, $C$13, 100%, $E$13)</f>
        <v>19.064599999999999</v>
      </c>
      <c r="K959" s="64">
        <f>19.0803 * CHOOSE(CONTROL!$C$22, $C$13, 100%, $E$13)</f>
        <v>19.080300000000001</v>
      </c>
    </row>
    <row r="960" spans="1:11" ht="15">
      <c r="A960" s="13">
        <v>70707</v>
      </c>
      <c r="B960" s="63">
        <f>16.6969 * CHOOSE(CONTROL!$C$22, $C$13, 100%, $E$13)</f>
        <v>16.696899999999999</v>
      </c>
      <c r="C960" s="63">
        <f>16.6969 * CHOOSE(CONTROL!$C$22, $C$13, 100%, $E$13)</f>
        <v>16.696899999999999</v>
      </c>
      <c r="D960" s="63">
        <f>16.7099 * CHOOSE(CONTROL!$C$22, $C$13, 100%, $E$13)</f>
        <v>16.709900000000001</v>
      </c>
      <c r="E960" s="64">
        <f>18.7512 * CHOOSE(CONTROL!$C$22, $C$13, 100%, $E$13)</f>
        <v>18.751200000000001</v>
      </c>
      <c r="F960" s="64">
        <f>18.7512 * CHOOSE(CONTROL!$C$22, $C$13, 100%, $E$13)</f>
        <v>18.751200000000001</v>
      </c>
      <c r="G960" s="64">
        <f>18.7669 * CHOOSE(CONTROL!$C$22, $C$13, 100%, $E$13)</f>
        <v>18.7669</v>
      </c>
      <c r="H960" s="64">
        <f>32.3689* CHOOSE(CONTROL!$C$22, $C$13, 100%, $E$13)</f>
        <v>32.368899999999996</v>
      </c>
      <c r="I960" s="64">
        <f>32.3845 * CHOOSE(CONTROL!$C$22, $C$13, 100%, $E$13)</f>
        <v>32.384500000000003</v>
      </c>
      <c r="J960" s="64">
        <f>18.7512 * CHOOSE(CONTROL!$C$22, $C$13, 100%, $E$13)</f>
        <v>18.751200000000001</v>
      </c>
      <c r="K960" s="64">
        <f>18.7669 * CHOOSE(CONTROL!$C$22, $C$13, 100%, $E$13)</f>
        <v>18.7669</v>
      </c>
    </row>
    <row r="961" spans="1:11" ht="15">
      <c r="A961" s="13">
        <v>70738</v>
      </c>
      <c r="B961" s="63">
        <f>16.6939 * CHOOSE(CONTROL!$C$22, $C$13, 100%, $E$13)</f>
        <v>16.693899999999999</v>
      </c>
      <c r="C961" s="63">
        <f>16.6939 * CHOOSE(CONTROL!$C$22, $C$13, 100%, $E$13)</f>
        <v>16.693899999999999</v>
      </c>
      <c r="D961" s="63">
        <f>16.7068 * CHOOSE(CONTROL!$C$22, $C$13, 100%, $E$13)</f>
        <v>16.706800000000001</v>
      </c>
      <c r="E961" s="64">
        <f>18.7137 * CHOOSE(CONTROL!$C$22, $C$13, 100%, $E$13)</f>
        <v>18.713699999999999</v>
      </c>
      <c r="F961" s="64">
        <f>18.7137 * CHOOSE(CONTROL!$C$22, $C$13, 100%, $E$13)</f>
        <v>18.713699999999999</v>
      </c>
      <c r="G961" s="64">
        <f>18.7294 * CHOOSE(CONTROL!$C$22, $C$13, 100%, $E$13)</f>
        <v>18.729399999999998</v>
      </c>
      <c r="H961" s="64">
        <f>32.4363* CHOOSE(CONTROL!$C$22, $C$13, 100%, $E$13)</f>
        <v>32.436300000000003</v>
      </c>
      <c r="I961" s="64">
        <f>32.452 * CHOOSE(CONTROL!$C$22, $C$13, 100%, $E$13)</f>
        <v>32.451999999999998</v>
      </c>
      <c r="J961" s="64">
        <f>18.7137 * CHOOSE(CONTROL!$C$22, $C$13, 100%, $E$13)</f>
        <v>18.713699999999999</v>
      </c>
      <c r="K961" s="64">
        <f>18.7294 * CHOOSE(CONTROL!$C$22, $C$13, 100%, $E$13)</f>
        <v>18.729399999999998</v>
      </c>
    </row>
    <row r="962" spans="1:11" ht="15">
      <c r="A962" s="13">
        <v>70768</v>
      </c>
      <c r="B962" s="63">
        <f>16.7297 * CHOOSE(CONTROL!$C$22, $C$13, 100%, $E$13)</f>
        <v>16.729700000000001</v>
      </c>
      <c r="C962" s="63">
        <f>16.7297 * CHOOSE(CONTROL!$C$22, $C$13, 100%, $E$13)</f>
        <v>16.729700000000001</v>
      </c>
      <c r="D962" s="63">
        <f>16.7297 * CHOOSE(CONTROL!$C$22, $C$13, 100%, $E$13)</f>
        <v>16.729700000000001</v>
      </c>
      <c r="E962" s="64">
        <f>18.8417 * CHOOSE(CONTROL!$C$22, $C$13, 100%, $E$13)</f>
        <v>18.841699999999999</v>
      </c>
      <c r="F962" s="64">
        <f>18.8417 * CHOOSE(CONTROL!$C$22, $C$13, 100%, $E$13)</f>
        <v>18.841699999999999</v>
      </c>
      <c r="G962" s="64">
        <f>18.8418 * CHOOSE(CONTROL!$C$22, $C$13, 100%, $E$13)</f>
        <v>18.841799999999999</v>
      </c>
      <c r="H962" s="64">
        <f>32.5039* CHOOSE(CONTROL!$C$22, $C$13, 100%, $E$13)</f>
        <v>32.503900000000002</v>
      </c>
      <c r="I962" s="64">
        <f>32.5039 * CHOOSE(CONTROL!$C$22, $C$13, 100%, $E$13)</f>
        <v>32.503900000000002</v>
      </c>
      <c r="J962" s="64">
        <f>18.8417 * CHOOSE(CONTROL!$C$22, $C$13, 100%, $E$13)</f>
        <v>18.841699999999999</v>
      </c>
      <c r="K962" s="64">
        <f>18.8418 * CHOOSE(CONTROL!$C$22, $C$13, 100%, $E$13)</f>
        <v>18.841799999999999</v>
      </c>
    </row>
    <row r="963" spans="1:11" ht="15">
      <c r="A963" s="13">
        <v>70799</v>
      </c>
      <c r="B963" s="63">
        <f>16.7327 * CHOOSE(CONTROL!$C$22, $C$13, 100%, $E$13)</f>
        <v>16.732700000000001</v>
      </c>
      <c r="C963" s="63">
        <f>16.7327 * CHOOSE(CONTROL!$C$22, $C$13, 100%, $E$13)</f>
        <v>16.732700000000001</v>
      </c>
      <c r="D963" s="63">
        <f>16.7327 * CHOOSE(CONTROL!$C$22, $C$13, 100%, $E$13)</f>
        <v>16.732700000000001</v>
      </c>
      <c r="E963" s="64">
        <f>18.9145 * CHOOSE(CONTROL!$C$22, $C$13, 100%, $E$13)</f>
        <v>18.9145</v>
      </c>
      <c r="F963" s="64">
        <f>18.9145 * CHOOSE(CONTROL!$C$22, $C$13, 100%, $E$13)</f>
        <v>18.9145</v>
      </c>
      <c r="G963" s="64">
        <f>18.9146 * CHOOSE(CONTROL!$C$22, $C$13, 100%, $E$13)</f>
        <v>18.9146</v>
      </c>
      <c r="H963" s="64">
        <f>32.5716* CHOOSE(CONTROL!$C$22, $C$13, 100%, $E$13)</f>
        <v>32.571599999999997</v>
      </c>
      <c r="I963" s="64">
        <f>32.5717 * CHOOSE(CONTROL!$C$22, $C$13, 100%, $E$13)</f>
        <v>32.5717</v>
      </c>
      <c r="J963" s="64">
        <f>18.9145 * CHOOSE(CONTROL!$C$22, $C$13, 100%, $E$13)</f>
        <v>18.9145</v>
      </c>
      <c r="K963" s="64">
        <f>18.9146 * CHOOSE(CONTROL!$C$22, $C$13, 100%, $E$13)</f>
        <v>18.9146</v>
      </c>
    </row>
    <row r="964" spans="1:11" ht="15">
      <c r="A964" s="13">
        <v>70829</v>
      </c>
      <c r="B964" s="63">
        <f>16.7327 * CHOOSE(CONTROL!$C$22, $C$13, 100%, $E$13)</f>
        <v>16.732700000000001</v>
      </c>
      <c r="C964" s="63">
        <f>16.7327 * CHOOSE(CONTROL!$C$22, $C$13, 100%, $E$13)</f>
        <v>16.732700000000001</v>
      </c>
      <c r="D964" s="63">
        <f>16.7327 * CHOOSE(CONTROL!$C$22, $C$13, 100%, $E$13)</f>
        <v>16.732700000000001</v>
      </c>
      <c r="E964" s="64">
        <f>18.7378 * CHOOSE(CONTROL!$C$22, $C$13, 100%, $E$13)</f>
        <v>18.7378</v>
      </c>
      <c r="F964" s="64">
        <f>18.7378 * CHOOSE(CONTROL!$C$22, $C$13, 100%, $E$13)</f>
        <v>18.7378</v>
      </c>
      <c r="G964" s="64">
        <f>18.7378 * CHOOSE(CONTROL!$C$22, $C$13, 100%, $E$13)</f>
        <v>18.7378</v>
      </c>
      <c r="H964" s="64">
        <f>32.6394* CHOOSE(CONTROL!$C$22, $C$13, 100%, $E$13)</f>
        <v>32.639400000000002</v>
      </c>
      <c r="I964" s="64">
        <f>32.6395 * CHOOSE(CONTROL!$C$22, $C$13, 100%, $E$13)</f>
        <v>32.639499999999998</v>
      </c>
      <c r="J964" s="64">
        <f>18.7378 * CHOOSE(CONTROL!$C$22, $C$13, 100%, $E$13)</f>
        <v>18.7378</v>
      </c>
      <c r="K964" s="64">
        <f>18.7378 * CHOOSE(CONTROL!$C$22, $C$13, 100%, $E$13)</f>
        <v>18.7378</v>
      </c>
    </row>
    <row r="965" spans="1:11" ht="15">
      <c r="A965" s="13">
        <v>70860</v>
      </c>
      <c r="B965" s="63">
        <f>16.67 * CHOOSE(CONTROL!$C$22, $C$13, 100%, $E$13)</f>
        <v>16.670000000000002</v>
      </c>
      <c r="C965" s="63">
        <f>16.67 * CHOOSE(CONTROL!$C$22, $C$13, 100%, $E$13)</f>
        <v>16.670000000000002</v>
      </c>
      <c r="D965" s="63">
        <f>16.67 * CHOOSE(CONTROL!$C$22, $C$13, 100%, $E$13)</f>
        <v>16.670000000000002</v>
      </c>
      <c r="E965" s="64">
        <f>18.8149 * CHOOSE(CONTROL!$C$22, $C$13, 100%, $E$13)</f>
        <v>18.814900000000002</v>
      </c>
      <c r="F965" s="64">
        <f>18.8149 * CHOOSE(CONTROL!$C$22, $C$13, 100%, $E$13)</f>
        <v>18.814900000000002</v>
      </c>
      <c r="G965" s="64">
        <f>18.815 * CHOOSE(CONTROL!$C$22, $C$13, 100%, $E$13)</f>
        <v>18.815000000000001</v>
      </c>
      <c r="H965" s="64">
        <f>32.3466* CHOOSE(CONTROL!$C$22, $C$13, 100%, $E$13)</f>
        <v>32.346600000000002</v>
      </c>
      <c r="I965" s="64">
        <f>32.3467 * CHOOSE(CONTROL!$C$22, $C$13, 100%, $E$13)</f>
        <v>32.346699999999998</v>
      </c>
      <c r="J965" s="64">
        <f>18.8149 * CHOOSE(CONTROL!$C$22, $C$13, 100%, $E$13)</f>
        <v>18.814900000000002</v>
      </c>
      <c r="K965" s="64">
        <f>18.815 * CHOOSE(CONTROL!$C$22, $C$13, 100%, $E$13)</f>
        <v>18.815000000000001</v>
      </c>
    </row>
    <row r="966" spans="1:11" ht="15">
      <c r="A966" s="13">
        <v>70891</v>
      </c>
      <c r="B966" s="63">
        <f>16.667 * CHOOSE(CONTROL!$C$22, $C$13, 100%, $E$13)</f>
        <v>16.667000000000002</v>
      </c>
      <c r="C966" s="63">
        <f>16.667 * CHOOSE(CONTROL!$C$22, $C$13, 100%, $E$13)</f>
        <v>16.667000000000002</v>
      </c>
      <c r="D966" s="63">
        <f>16.667 * CHOOSE(CONTROL!$C$22, $C$13, 100%, $E$13)</f>
        <v>16.667000000000002</v>
      </c>
      <c r="E966" s="64">
        <f>18.4739 * CHOOSE(CONTROL!$C$22, $C$13, 100%, $E$13)</f>
        <v>18.4739</v>
      </c>
      <c r="F966" s="64">
        <f>18.4739 * CHOOSE(CONTROL!$C$22, $C$13, 100%, $E$13)</f>
        <v>18.4739</v>
      </c>
      <c r="G966" s="64">
        <f>18.474 * CHOOSE(CONTROL!$C$22, $C$13, 100%, $E$13)</f>
        <v>18.474</v>
      </c>
      <c r="H966" s="64">
        <f>32.414* CHOOSE(CONTROL!$C$22, $C$13, 100%, $E$13)</f>
        <v>32.414000000000001</v>
      </c>
      <c r="I966" s="64">
        <f>32.4141 * CHOOSE(CONTROL!$C$22, $C$13, 100%, $E$13)</f>
        <v>32.414099999999998</v>
      </c>
      <c r="J966" s="64">
        <f>18.4739 * CHOOSE(CONTROL!$C$22, $C$13, 100%, $E$13)</f>
        <v>18.4739</v>
      </c>
      <c r="K966" s="64">
        <f>18.474 * CHOOSE(CONTROL!$C$22, $C$13, 100%, $E$13)</f>
        <v>18.474</v>
      </c>
    </row>
    <row r="967" spans="1:11" ht="15">
      <c r="A967" s="13">
        <v>70919</v>
      </c>
      <c r="B967" s="63">
        <f>16.6639 * CHOOSE(CONTROL!$C$22, $C$13, 100%, $E$13)</f>
        <v>16.663900000000002</v>
      </c>
      <c r="C967" s="63">
        <f>16.6639 * CHOOSE(CONTROL!$C$22, $C$13, 100%, $E$13)</f>
        <v>16.663900000000002</v>
      </c>
      <c r="D967" s="63">
        <f>16.6639 * CHOOSE(CONTROL!$C$22, $C$13, 100%, $E$13)</f>
        <v>16.663900000000002</v>
      </c>
      <c r="E967" s="64">
        <f>18.739 * CHOOSE(CONTROL!$C$22, $C$13, 100%, $E$13)</f>
        <v>18.739000000000001</v>
      </c>
      <c r="F967" s="64">
        <f>18.739 * CHOOSE(CONTROL!$C$22, $C$13, 100%, $E$13)</f>
        <v>18.739000000000001</v>
      </c>
      <c r="G967" s="64">
        <f>18.739 * CHOOSE(CONTROL!$C$22, $C$13, 100%, $E$13)</f>
        <v>18.739000000000001</v>
      </c>
      <c r="H967" s="64">
        <f>32.4815* CHOOSE(CONTROL!$C$22, $C$13, 100%, $E$13)</f>
        <v>32.481499999999997</v>
      </c>
      <c r="I967" s="64">
        <f>32.4816 * CHOOSE(CONTROL!$C$22, $C$13, 100%, $E$13)</f>
        <v>32.4816</v>
      </c>
      <c r="J967" s="64">
        <f>18.739 * CHOOSE(CONTROL!$C$22, $C$13, 100%, $E$13)</f>
        <v>18.739000000000001</v>
      </c>
      <c r="K967" s="64">
        <f>18.739 * CHOOSE(CONTROL!$C$22, $C$13, 100%, $E$13)</f>
        <v>18.739000000000001</v>
      </c>
    </row>
    <row r="968" spans="1:11" ht="15">
      <c r="A968" s="13">
        <v>70950</v>
      </c>
      <c r="B968" s="63">
        <f>16.6722 * CHOOSE(CONTROL!$C$22, $C$13, 100%, $E$13)</f>
        <v>16.6722</v>
      </c>
      <c r="C968" s="63">
        <f>16.6722 * CHOOSE(CONTROL!$C$22, $C$13, 100%, $E$13)</f>
        <v>16.6722</v>
      </c>
      <c r="D968" s="63">
        <f>16.6722 * CHOOSE(CONTROL!$C$22, $C$13, 100%, $E$13)</f>
        <v>16.6722</v>
      </c>
      <c r="E968" s="64">
        <f>19.0217 * CHOOSE(CONTROL!$C$22, $C$13, 100%, $E$13)</f>
        <v>19.021699999999999</v>
      </c>
      <c r="F968" s="64">
        <f>19.0217 * CHOOSE(CONTROL!$C$22, $C$13, 100%, $E$13)</f>
        <v>19.021699999999999</v>
      </c>
      <c r="G968" s="64">
        <f>19.0217 * CHOOSE(CONTROL!$C$22, $C$13, 100%, $E$13)</f>
        <v>19.021699999999999</v>
      </c>
      <c r="H968" s="64">
        <f>32.5492* CHOOSE(CONTROL!$C$22, $C$13, 100%, $E$13)</f>
        <v>32.549199999999999</v>
      </c>
      <c r="I968" s="64">
        <f>32.5493 * CHOOSE(CONTROL!$C$22, $C$13, 100%, $E$13)</f>
        <v>32.549300000000002</v>
      </c>
      <c r="J968" s="64">
        <f>19.0217 * CHOOSE(CONTROL!$C$22, $C$13, 100%, $E$13)</f>
        <v>19.021699999999999</v>
      </c>
      <c r="K968" s="64">
        <f>19.0217 * CHOOSE(CONTROL!$C$22, $C$13, 100%, $E$13)</f>
        <v>19.021699999999999</v>
      </c>
    </row>
    <row r="969" spans="1:11" ht="15">
      <c r="A969" s="13">
        <v>70980</v>
      </c>
      <c r="B969" s="63">
        <f>16.6722 * CHOOSE(CONTROL!$C$22, $C$13, 100%, $E$13)</f>
        <v>16.6722</v>
      </c>
      <c r="C969" s="63">
        <f>16.6722 * CHOOSE(CONTROL!$C$22, $C$13, 100%, $E$13)</f>
        <v>16.6722</v>
      </c>
      <c r="D969" s="63">
        <f>16.6851 * CHOOSE(CONTROL!$C$22, $C$13, 100%, $E$13)</f>
        <v>16.685099999999998</v>
      </c>
      <c r="E969" s="64">
        <f>19.1293 * CHOOSE(CONTROL!$C$22, $C$13, 100%, $E$13)</f>
        <v>19.129300000000001</v>
      </c>
      <c r="F969" s="64">
        <f>19.1293 * CHOOSE(CONTROL!$C$22, $C$13, 100%, $E$13)</f>
        <v>19.129300000000001</v>
      </c>
      <c r="G969" s="64">
        <f>19.1449 * CHOOSE(CONTROL!$C$22, $C$13, 100%, $E$13)</f>
        <v>19.1449</v>
      </c>
      <c r="H969" s="64">
        <f>32.617* CHOOSE(CONTROL!$C$22, $C$13, 100%, $E$13)</f>
        <v>32.616999999999997</v>
      </c>
      <c r="I969" s="64">
        <f>32.6327 * CHOOSE(CONTROL!$C$22, $C$13, 100%, $E$13)</f>
        <v>32.6327</v>
      </c>
      <c r="J969" s="64">
        <f>19.1293 * CHOOSE(CONTROL!$C$22, $C$13, 100%, $E$13)</f>
        <v>19.129300000000001</v>
      </c>
      <c r="K969" s="64">
        <f>19.1449 * CHOOSE(CONTROL!$C$22, $C$13, 100%, $E$13)</f>
        <v>19.1449</v>
      </c>
    </row>
    <row r="970" spans="1:11" ht="15">
      <c r="A970" s="13">
        <v>71011</v>
      </c>
      <c r="B970" s="63">
        <f>16.6782 * CHOOSE(CONTROL!$C$22, $C$13, 100%, $E$13)</f>
        <v>16.6782</v>
      </c>
      <c r="C970" s="63">
        <f>16.6782 * CHOOSE(CONTROL!$C$22, $C$13, 100%, $E$13)</f>
        <v>16.6782</v>
      </c>
      <c r="D970" s="63">
        <f>16.6912 * CHOOSE(CONTROL!$C$22, $C$13, 100%, $E$13)</f>
        <v>16.691199999999998</v>
      </c>
      <c r="E970" s="64">
        <f>19.0259 * CHOOSE(CONTROL!$C$22, $C$13, 100%, $E$13)</f>
        <v>19.0259</v>
      </c>
      <c r="F970" s="64">
        <f>19.0259 * CHOOSE(CONTROL!$C$22, $C$13, 100%, $E$13)</f>
        <v>19.0259</v>
      </c>
      <c r="G970" s="64">
        <f>19.0416 * CHOOSE(CONTROL!$C$22, $C$13, 100%, $E$13)</f>
        <v>19.041599999999999</v>
      </c>
      <c r="H970" s="64">
        <f>32.685* CHOOSE(CONTROL!$C$22, $C$13, 100%, $E$13)</f>
        <v>32.685000000000002</v>
      </c>
      <c r="I970" s="64">
        <f>32.7006 * CHOOSE(CONTROL!$C$22, $C$13, 100%, $E$13)</f>
        <v>32.700600000000001</v>
      </c>
      <c r="J970" s="64">
        <f>19.0259 * CHOOSE(CONTROL!$C$22, $C$13, 100%, $E$13)</f>
        <v>19.0259</v>
      </c>
      <c r="K970" s="64">
        <f>19.0416 * CHOOSE(CONTROL!$C$22, $C$13, 100%, $E$13)</f>
        <v>19.041599999999999</v>
      </c>
    </row>
    <row r="971" spans="1:11" ht="15">
      <c r="A971" s="13">
        <v>71041</v>
      </c>
      <c r="B971" s="63">
        <f>16.9294 * CHOOSE(CONTROL!$C$22, $C$13, 100%, $E$13)</f>
        <v>16.929400000000001</v>
      </c>
      <c r="C971" s="63">
        <f>16.9294 * CHOOSE(CONTROL!$C$22, $C$13, 100%, $E$13)</f>
        <v>16.929400000000001</v>
      </c>
      <c r="D971" s="63">
        <f>16.9424 * CHOOSE(CONTROL!$C$22, $C$13, 100%, $E$13)</f>
        <v>16.942399999999999</v>
      </c>
      <c r="E971" s="64">
        <f>19.3264 * CHOOSE(CONTROL!$C$22, $C$13, 100%, $E$13)</f>
        <v>19.3264</v>
      </c>
      <c r="F971" s="64">
        <f>19.3264 * CHOOSE(CONTROL!$C$22, $C$13, 100%, $E$13)</f>
        <v>19.3264</v>
      </c>
      <c r="G971" s="64">
        <f>19.3421 * CHOOSE(CONTROL!$C$22, $C$13, 100%, $E$13)</f>
        <v>19.342099999999999</v>
      </c>
      <c r="H971" s="64">
        <f>32.7531* CHOOSE(CONTROL!$C$22, $C$13, 100%, $E$13)</f>
        <v>32.753100000000003</v>
      </c>
      <c r="I971" s="64">
        <f>32.7687 * CHOOSE(CONTROL!$C$22, $C$13, 100%, $E$13)</f>
        <v>32.768700000000003</v>
      </c>
      <c r="J971" s="64">
        <f>19.3264 * CHOOSE(CONTROL!$C$22, $C$13, 100%, $E$13)</f>
        <v>19.3264</v>
      </c>
      <c r="K971" s="64">
        <f>19.3421 * CHOOSE(CONTROL!$C$22, $C$13, 100%, $E$13)</f>
        <v>19.342099999999999</v>
      </c>
    </row>
    <row r="972" spans="1:11" ht="15">
      <c r="A972" s="13">
        <v>71072</v>
      </c>
      <c r="B972" s="63">
        <f>16.9361 * CHOOSE(CONTROL!$C$22, $C$13, 100%, $E$13)</f>
        <v>16.9361</v>
      </c>
      <c r="C972" s="63">
        <f>16.9361 * CHOOSE(CONTROL!$C$22, $C$13, 100%, $E$13)</f>
        <v>16.9361</v>
      </c>
      <c r="D972" s="63">
        <f>16.9491 * CHOOSE(CONTROL!$C$22, $C$13, 100%, $E$13)</f>
        <v>16.949100000000001</v>
      </c>
      <c r="E972" s="64">
        <f>19.0083 * CHOOSE(CONTROL!$C$22, $C$13, 100%, $E$13)</f>
        <v>19.008299999999998</v>
      </c>
      <c r="F972" s="64">
        <f>19.0083 * CHOOSE(CONTROL!$C$22, $C$13, 100%, $E$13)</f>
        <v>19.008299999999998</v>
      </c>
      <c r="G972" s="64">
        <f>19.0239 * CHOOSE(CONTROL!$C$22, $C$13, 100%, $E$13)</f>
        <v>19.023900000000001</v>
      </c>
      <c r="H972" s="64">
        <f>32.8213* CHOOSE(CONTROL!$C$22, $C$13, 100%, $E$13)</f>
        <v>32.821300000000001</v>
      </c>
      <c r="I972" s="64">
        <f>32.837 * CHOOSE(CONTROL!$C$22, $C$13, 100%, $E$13)</f>
        <v>32.837000000000003</v>
      </c>
      <c r="J972" s="64">
        <f>19.0083 * CHOOSE(CONTROL!$C$22, $C$13, 100%, $E$13)</f>
        <v>19.008299999999998</v>
      </c>
      <c r="K972" s="64">
        <f>19.0239 * CHOOSE(CONTROL!$C$22, $C$13, 100%, $E$13)</f>
        <v>19.023900000000001</v>
      </c>
    </row>
    <row r="973" spans="1:11" ht="15">
      <c r="A973" s="13">
        <v>71103</v>
      </c>
      <c r="B973" s="63">
        <f>16.933 * CHOOSE(CONTROL!$C$22, $C$13, 100%, $E$13)</f>
        <v>16.933</v>
      </c>
      <c r="C973" s="63">
        <f>16.933 * CHOOSE(CONTROL!$C$22, $C$13, 100%, $E$13)</f>
        <v>16.933</v>
      </c>
      <c r="D973" s="63">
        <f>16.946 * CHOOSE(CONTROL!$C$22, $C$13, 100%, $E$13)</f>
        <v>16.946000000000002</v>
      </c>
      <c r="E973" s="64">
        <f>18.9703 * CHOOSE(CONTROL!$C$22, $C$13, 100%, $E$13)</f>
        <v>18.970300000000002</v>
      </c>
      <c r="F973" s="64">
        <f>18.9703 * CHOOSE(CONTROL!$C$22, $C$13, 100%, $E$13)</f>
        <v>18.970300000000002</v>
      </c>
      <c r="G973" s="64">
        <f>18.9859 * CHOOSE(CONTROL!$C$22, $C$13, 100%, $E$13)</f>
        <v>18.985900000000001</v>
      </c>
      <c r="H973" s="64">
        <f>32.8897* CHOOSE(CONTROL!$C$22, $C$13, 100%, $E$13)</f>
        <v>32.889699999999998</v>
      </c>
      <c r="I973" s="64">
        <f>32.9053 * CHOOSE(CONTROL!$C$22, $C$13, 100%, $E$13)</f>
        <v>32.905299999999997</v>
      </c>
      <c r="J973" s="64">
        <f>18.9703 * CHOOSE(CONTROL!$C$22, $C$13, 100%, $E$13)</f>
        <v>18.970300000000002</v>
      </c>
      <c r="K973" s="64">
        <f>18.9859 * CHOOSE(CONTROL!$C$22, $C$13, 100%, $E$13)</f>
        <v>18.985900000000001</v>
      </c>
    </row>
    <row r="974" spans="1:11" ht="15">
      <c r="A974" s="13">
        <v>71133</v>
      </c>
      <c r="B974" s="63">
        <f>16.9696 * CHOOSE(CONTROL!$C$22, $C$13, 100%, $E$13)</f>
        <v>16.9696</v>
      </c>
      <c r="C974" s="63">
        <f>16.9696 * CHOOSE(CONTROL!$C$22, $C$13, 100%, $E$13)</f>
        <v>16.9696</v>
      </c>
      <c r="D974" s="63">
        <f>16.9696 * CHOOSE(CONTROL!$C$22, $C$13, 100%, $E$13)</f>
        <v>16.9696</v>
      </c>
      <c r="E974" s="64">
        <f>19.1003 * CHOOSE(CONTROL!$C$22, $C$13, 100%, $E$13)</f>
        <v>19.100300000000001</v>
      </c>
      <c r="F974" s="64">
        <f>19.1003 * CHOOSE(CONTROL!$C$22, $C$13, 100%, $E$13)</f>
        <v>19.100300000000001</v>
      </c>
      <c r="G974" s="64">
        <f>19.1004 * CHOOSE(CONTROL!$C$22, $C$13, 100%, $E$13)</f>
        <v>19.1004</v>
      </c>
      <c r="H974" s="64">
        <f>32.9582* CHOOSE(CONTROL!$C$22, $C$13, 100%, $E$13)</f>
        <v>32.958199999999998</v>
      </c>
      <c r="I974" s="64">
        <f>32.9583 * CHOOSE(CONTROL!$C$22, $C$13, 100%, $E$13)</f>
        <v>32.958300000000001</v>
      </c>
      <c r="J974" s="64">
        <f>19.1003 * CHOOSE(CONTROL!$C$22, $C$13, 100%, $E$13)</f>
        <v>19.100300000000001</v>
      </c>
      <c r="K974" s="64">
        <f>19.1004 * CHOOSE(CONTROL!$C$22, $C$13, 100%, $E$13)</f>
        <v>19.1004</v>
      </c>
    </row>
    <row r="975" spans="1:11" ht="15">
      <c r="A975" s="13">
        <v>71164</v>
      </c>
      <c r="B975" s="63">
        <f>16.9727 * CHOOSE(CONTROL!$C$22, $C$13, 100%, $E$13)</f>
        <v>16.9727</v>
      </c>
      <c r="C975" s="63">
        <f>16.9727 * CHOOSE(CONTROL!$C$22, $C$13, 100%, $E$13)</f>
        <v>16.9727</v>
      </c>
      <c r="D975" s="63">
        <f>16.9727 * CHOOSE(CONTROL!$C$22, $C$13, 100%, $E$13)</f>
        <v>16.9727</v>
      </c>
      <c r="E975" s="64">
        <f>19.1742 * CHOOSE(CONTROL!$C$22, $C$13, 100%, $E$13)</f>
        <v>19.174199999999999</v>
      </c>
      <c r="F975" s="64">
        <f>19.1742 * CHOOSE(CONTROL!$C$22, $C$13, 100%, $E$13)</f>
        <v>19.174199999999999</v>
      </c>
      <c r="G975" s="64">
        <f>19.1743 * CHOOSE(CONTROL!$C$22, $C$13, 100%, $E$13)</f>
        <v>19.174299999999999</v>
      </c>
      <c r="H975" s="64">
        <f>33.0268* CHOOSE(CONTROL!$C$22, $C$13, 100%, $E$13)</f>
        <v>33.026800000000001</v>
      </c>
      <c r="I975" s="64">
        <f>33.0269 * CHOOSE(CONTROL!$C$22, $C$13, 100%, $E$13)</f>
        <v>33.026899999999998</v>
      </c>
      <c r="J975" s="64">
        <f>19.1742 * CHOOSE(CONTROL!$C$22, $C$13, 100%, $E$13)</f>
        <v>19.174199999999999</v>
      </c>
      <c r="K975" s="64">
        <f>19.1743 * CHOOSE(CONTROL!$C$22, $C$13, 100%, $E$13)</f>
        <v>19.174299999999999</v>
      </c>
    </row>
    <row r="976" spans="1:11" ht="15">
      <c r="A976" s="13">
        <v>71194</v>
      </c>
      <c r="B976" s="63">
        <f>16.9727 * CHOOSE(CONTROL!$C$22, $C$13, 100%, $E$13)</f>
        <v>16.9727</v>
      </c>
      <c r="C976" s="63">
        <f>16.9727 * CHOOSE(CONTROL!$C$22, $C$13, 100%, $E$13)</f>
        <v>16.9727</v>
      </c>
      <c r="D976" s="63">
        <f>16.9727 * CHOOSE(CONTROL!$C$22, $C$13, 100%, $E$13)</f>
        <v>16.9727</v>
      </c>
      <c r="E976" s="64">
        <f>18.9948 * CHOOSE(CONTROL!$C$22, $C$13, 100%, $E$13)</f>
        <v>18.994800000000001</v>
      </c>
      <c r="F976" s="64">
        <f>18.9948 * CHOOSE(CONTROL!$C$22, $C$13, 100%, $E$13)</f>
        <v>18.994800000000001</v>
      </c>
      <c r="G976" s="64">
        <f>18.9949 * CHOOSE(CONTROL!$C$22, $C$13, 100%, $E$13)</f>
        <v>18.994900000000001</v>
      </c>
      <c r="H976" s="64">
        <f>33.0957* CHOOSE(CONTROL!$C$22, $C$13, 100%, $E$13)</f>
        <v>33.095700000000001</v>
      </c>
      <c r="I976" s="64">
        <f>33.0957 * CHOOSE(CONTROL!$C$22, $C$13, 100%, $E$13)</f>
        <v>33.095700000000001</v>
      </c>
      <c r="J976" s="64">
        <f>18.9948 * CHOOSE(CONTROL!$C$22, $C$13, 100%, $E$13)</f>
        <v>18.994800000000001</v>
      </c>
      <c r="K976" s="64">
        <f>18.9949 * CHOOSE(CONTROL!$C$22, $C$13, 100%, $E$13)</f>
        <v>18.994900000000001</v>
      </c>
    </row>
    <row r="977" spans="1:11" ht="15">
      <c r="A977" s="13">
        <v>71225</v>
      </c>
      <c r="B977" s="63">
        <f>16.9056 * CHOOSE(CONTROL!$C$22, $C$13, 100%, $E$13)</f>
        <v>16.9056</v>
      </c>
      <c r="C977" s="63">
        <f>16.9056 * CHOOSE(CONTROL!$C$22, $C$13, 100%, $E$13)</f>
        <v>16.9056</v>
      </c>
      <c r="D977" s="63">
        <f>16.9056 * CHOOSE(CONTROL!$C$22, $C$13, 100%, $E$13)</f>
        <v>16.9056</v>
      </c>
      <c r="E977" s="64">
        <f>19.0697 * CHOOSE(CONTROL!$C$22, $C$13, 100%, $E$13)</f>
        <v>19.069700000000001</v>
      </c>
      <c r="F977" s="64">
        <f>19.0697 * CHOOSE(CONTROL!$C$22, $C$13, 100%, $E$13)</f>
        <v>19.069700000000001</v>
      </c>
      <c r="G977" s="64">
        <f>19.0697 * CHOOSE(CONTROL!$C$22, $C$13, 100%, $E$13)</f>
        <v>19.069700000000001</v>
      </c>
      <c r="H977" s="64">
        <f>32.7925* CHOOSE(CONTROL!$C$22, $C$13, 100%, $E$13)</f>
        <v>32.792499999999997</v>
      </c>
      <c r="I977" s="64">
        <f>32.7926 * CHOOSE(CONTROL!$C$22, $C$13, 100%, $E$13)</f>
        <v>32.7926</v>
      </c>
      <c r="J977" s="64">
        <f>19.0697 * CHOOSE(CONTROL!$C$22, $C$13, 100%, $E$13)</f>
        <v>19.069700000000001</v>
      </c>
      <c r="K977" s="64">
        <f>19.0697 * CHOOSE(CONTROL!$C$22, $C$13, 100%, $E$13)</f>
        <v>19.069700000000001</v>
      </c>
    </row>
    <row r="978" spans="1:11" ht="15">
      <c r="A978" s="13">
        <v>71256</v>
      </c>
      <c r="B978" s="63">
        <f>16.9025 * CHOOSE(CONTROL!$C$22, $C$13, 100%, $E$13)</f>
        <v>16.9025</v>
      </c>
      <c r="C978" s="63">
        <f>16.9025 * CHOOSE(CONTROL!$C$22, $C$13, 100%, $E$13)</f>
        <v>16.9025</v>
      </c>
      <c r="D978" s="63">
        <f>16.9026 * CHOOSE(CONTROL!$C$22, $C$13, 100%, $E$13)</f>
        <v>16.9026</v>
      </c>
      <c r="E978" s="64">
        <f>18.7237 * CHOOSE(CONTROL!$C$22, $C$13, 100%, $E$13)</f>
        <v>18.723700000000001</v>
      </c>
      <c r="F978" s="64">
        <f>18.7237 * CHOOSE(CONTROL!$C$22, $C$13, 100%, $E$13)</f>
        <v>18.723700000000001</v>
      </c>
      <c r="G978" s="64">
        <f>18.7238 * CHOOSE(CONTROL!$C$22, $C$13, 100%, $E$13)</f>
        <v>18.723800000000001</v>
      </c>
      <c r="H978" s="64">
        <f>32.8608* CHOOSE(CONTROL!$C$22, $C$13, 100%, $E$13)</f>
        <v>32.860799999999998</v>
      </c>
      <c r="I978" s="64">
        <f>32.8609 * CHOOSE(CONTROL!$C$22, $C$13, 100%, $E$13)</f>
        <v>32.860900000000001</v>
      </c>
      <c r="J978" s="64">
        <f>18.7237 * CHOOSE(CONTROL!$C$22, $C$13, 100%, $E$13)</f>
        <v>18.723700000000001</v>
      </c>
      <c r="K978" s="64">
        <f>18.7238 * CHOOSE(CONTROL!$C$22, $C$13, 100%, $E$13)</f>
        <v>18.723800000000001</v>
      </c>
    </row>
    <row r="979" spans="1:11" ht="15">
      <c r="A979" s="13">
        <v>71284</v>
      </c>
      <c r="B979" s="63">
        <f>16.8995 * CHOOSE(CONTROL!$C$22, $C$13, 100%, $E$13)</f>
        <v>16.8995</v>
      </c>
      <c r="C979" s="63">
        <f>16.8995 * CHOOSE(CONTROL!$C$22, $C$13, 100%, $E$13)</f>
        <v>16.8995</v>
      </c>
      <c r="D979" s="63">
        <f>16.8995 * CHOOSE(CONTROL!$C$22, $C$13, 100%, $E$13)</f>
        <v>16.8995</v>
      </c>
      <c r="E979" s="64">
        <f>18.9926 * CHOOSE(CONTROL!$C$22, $C$13, 100%, $E$13)</f>
        <v>18.992599999999999</v>
      </c>
      <c r="F979" s="64">
        <f>18.9926 * CHOOSE(CONTROL!$C$22, $C$13, 100%, $E$13)</f>
        <v>18.992599999999999</v>
      </c>
      <c r="G979" s="64">
        <f>18.9927 * CHOOSE(CONTROL!$C$22, $C$13, 100%, $E$13)</f>
        <v>18.992699999999999</v>
      </c>
      <c r="H979" s="64">
        <f>32.9293* CHOOSE(CONTROL!$C$22, $C$13, 100%, $E$13)</f>
        <v>32.929299999999998</v>
      </c>
      <c r="I979" s="64">
        <f>32.9294 * CHOOSE(CONTROL!$C$22, $C$13, 100%, $E$13)</f>
        <v>32.929400000000001</v>
      </c>
      <c r="J979" s="64">
        <f>18.9926 * CHOOSE(CONTROL!$C$22, $C$13, 100%, $E$13)</f>
        <v>18.992599999999999</v>
      </c>
      <c r="K979" s="64">
        <f>18.9927 * CHOOSE(CONTROL!$C$22, $C$13, 100%, $E$13)</f>
        <v>18.992699999999999</v>
      </c>
    </row>
    <row r="980" spans="1:11" ht="15">
      <c r="A980" s="13">
        <v>71315</v>
      </c>
      <c r="B980" s="63">
        <f>16.9079 * CHOOSE(CONTROL!$C$22, $C$13, 100%, $E$13)</f>
        <v>16.907900000000001</v>
      </c>
      <c r="C980" s="63">
        <f>16.9079 * CHOOSE(CONTROL!$C$22, $C$13, 100%, $E$13)</f>
        <v>16.907900000000001</v>
      </c>
      <c r="D980" s="63">
        <f>16.9079 * CHOOSE(CONTROL!$C$22, $C$13, 100%, $E$13)</f>
        <v>16.907900000000001</v>
      </c>
      <c r="E980" s="64">
        <f>19.2795 * CHOOSE(CONTROL!$C$22, $C$13, 100%, $E$13)</f>
        <v>19.279499999999999</v>
      </c>
      <c r="F980" s="64">
        <f>19.2795 * CHOOSE(CONTROL!$C$22, $C$13, 100%, $E$13)</f>
        <v>19.279499999999999</v>
      </c>
      <c r="G980" s="64">
        <f>19.2796 * CHOOSE(CONTROL!$C$22, $C$13, 100%, $E$13)</f>
        <v>19.279599999999999</v>
      </c>
      <c r="H980" s="64">
        <f>32.9979* CHOOSE(CONTROL!$C$22, $C$13, 100%, $E$13)</f>
        <v>32.997900000000001</v>
      </c>
      <c r="I980" s="64">
        <f>32.998 * CHOOSE(CONTROL!$C$22, $C$13, 100%, $E$13)</f>
        <v>32.997999999999998</v>
      </c>
      <c r="J980" s="64">
        <f>19.2795 * CHOOSE(CONTROL!$C$22, $C$13, 100%, $E$13)</f>
        <v>19.279499999999999</v>
      </c>
      <c r="K980" s="64">
        <f>19.2796 * CHOOSE(CONTROL!$C$22, $C$13, 100%, $E$13)</f>
        <v>19.279599999999999</v>
      </c>
    </row>
    <row r="981" spans="1:11" ht="15">
      <c r="A981" s="13">
        <v>71345</v>
      </c>
      <c r="B981" s="63">
        <f>16.9079 * CHOOSE(CONTROL!$C$22, $C$13, 100%, $E$13)</f>
        <v>16.907900000000001</v>
      </c>
      <c r="C981" s="63">
        <f>16.9079 * CHOOSE(CONTROL!$C$22, $C$13, 100%, $E$13)</f>
        <v>16.907900000000001</v>
      </c>
      <c r="D981" s="63">
        <f>16.9209 * CHOOSE(CONTROL!$C$22, $C$13, 100%, $E$13)</f>
        <v>16.9209</v>
      </c>
      <c r="E981" s="64">
        <f>19.3887 * CHOOSE(CONTROL!$C$22, $C$13, 100%, $E$13)</f>
        <v>19.3887</v>
      </c>
      <c r="F981" s="64">
        <f>19.3887 * CHOOSE(CONTROL!$C$22, $C$13, 100%, $E$13)</f>
        <v>19.3887</v>
      </c>
      <c r="G981" s="64">
        <f>19.4044 * CHOOSE(CONTROL!$C$22, $C$13, 100%, $E$13)</f>
        <v>19.404399999999999</v>
      </c>
      <c r="H981" s="64">
        <f>33.0666* CHOOSE(CONTROL!$C$22, $C$13, 100%, $E$13)</f>
        <v>33.066600000000001</v>
      </c>
      <c r="I981" s="64">
        <f>33.0823 * CHOOSE(CONTROL!$C$22, $C$13, 100%, $E$13)</f>
        <v>33.082299999999996</v>
      </c>
      <c r="J981" s="64">
        <f>19.3887 * CHOOSE(CONTROL!$C$22, $C$13, 100%, $E$13)</f>
        <v>19.3887</v>
      </c>
      <c r="K981" s="64">
        <f>19.4044 * CHOOSE(CONTROL!$C$22, $C$13, 100%, $E$13)</f>
        <v>19.404399999999999</v>
      </c>
    </row>
    <row r="982" spans="1:11" ht="15">
      <c r="A982" s="13">
        <v>71376</v>
      </c>
      <c r="B982" s="63">
        <f>16.914 * CHOOSE(CONTROL!$C$22, $C$13, 100%, $E$13)</f>
        <v>16.914000000000001</v>
      </c>
      <c r="C982" s="63">
        <f>16.914 * CHOOSE(CONTROL!$C$22, $C$13, 100%, $E$13)</f>
        <v>16.914000000000001</v>
      </c>
      <c r="D982" s="63">
        <f>16.927 * CHOOSE(CONTROL!$C$22, $C$13, 100%, $E$13)</f>
        <v>16.927</v>
      </c>
      <c r="E982" s="64">
        <f>19.2838 * CHOOSE(CONTROL!$C$22, $C$13, 100%, $E$13)</f>
        <v>19.283799999999999</v>
      </c>
      <c r="F982" s="64">
        <f>19.2838 * CHOOSE(CONTROL!$C$22, $C$13, 100%, $E$13)</f>
        <v>19.283799999999999</v>
      </c>
      <c r="G982" s="64">
        <f>19.2994 * CHOOSE(CONTROL!$C$22, $C$13, 100%, $E$13)</f>
        <v>19.299399999999999</v>
      </c>
      <c r="H982" s="64">
        <f>33.1355* CHOOSE(CONTROL!$C$22, $C$13, 100%, $E$13)</f>
        <v>33.1355</v>
      </c>
      <c r="I982" s="64">
        <f>33.1512 * CHOOSE(CONTROL!$C$22, $C$13, 100%, $E$13)</f>
        <v>33.151200000000003</v>
      </c>
      <c r="J982" s="64">
        <f>19.2838 * CHOOSE(CONTROL!$C$22, $C$13, 100%, $E$13)</f>
        <v>19.283799999999999</v>
      </c>
      <c r="K982" s="64">
        <f>19.2994 * CHOOSE(CONTROL!$C$22, $C$13, 100%, $E$13)</f>
        <v>19.299399999999999</v>
      </c>
    </row>
    <row r="983" spans="1:11" ht="15">
      <c r="A983" s="13">
        <v>71406</v>
      </c>
      <c r="B983" s="63">
        <f>17.1686 * CHOOSE(CONTROL!$C$22, $C$13, 100%, $E$13)</f>
        <v>17.168600000000001</v>
      </c>
      <c r="C983" s="63">
        <f>17.1686 * CHOOSE(CONTROL!$C$22, $C$13, 100%, $E$13)</f>
        <v>17.168600000000001</v>
      </c>
      <c r="D983" s="63">
        <f>17.1815 * CHOOSE(CONTROL!$C$22, $C$13, 100%, $E$13)</f>
        <v>17.1815</v>
      </c>
      <c r="E983" s="64">
        <f>19.5882 * CHOOSE(CONTROL!$C$22, $C$13, 100%, $E$13)</f>
        <v>19.588200000000001</v>
      </c>
      <c r="F983" s="64">
        <f>19.5882 * CHOOSE(CONTROL!$C$22, $C$13, 100%, $E$13)</f>
        <v>19.588200000000001</v>
      </c>
      <c r="G983" s="64">
        <f>19.6039 * CHOOSE(CONTROL!$C$22, $C$13, 100%, $E$13)</f>
        <v>19.603899999999999</v>
      </c>
      <c r="H983" s="64">
        <f>33.2045* CHOOSE(CONTROL!$C$22, $C$13, 100%, $E$13)</f>
        <v>33.204500000000003</v>
      </c>
      <c r="I983" s="64">
        <f>33.2202 * CHOOSE(CONTROL!$C$22, $C$13, 100%, $E$13)</f>
        <v>33.220199999999998</v>
      </c>
      <c r="J983" s="64">
        <f>19.5882 * CHOOSE(CONTROL!$C$22, $C$13, 100%, $E$13)</f>
        <v>19.588200000000001</v>
      </c>
      <c r="K983" s="64">
        <f>19.6039 * CHOOSE(CONTROL!$C$22, $C$13, 100%, $E$13)</f>
        <v>19.603899999999999</v>
      </c>
    </row>
    <row r="984" spans="1:11" ht="15">
      <c r="A984" s="13">
        <v>71437</v>
      </c>
      <c r="B984" s="63">
        <f>17.1753 * CHOOSE(CONTROL!$C$22, $C$13, 100%, $E$13)</f>
        <v>17.1753</v>
      </c>
      <c r="C984" s="63">
        <f>17.1753 * CHOOSE(CONTROL!$C$22, $C$13, 100%, $E$13)</f>
        <v>17.1753</v>
      </c>
      <c r="D984" s="63">
        <f>17.1882 * CHOOSE(CONTROL!$C$22, $C$13, 100%, $E$13)</f>
        <v>17.188199999999998</v>
      </c>
      <c r="E984" s="64">
        <f>19.2653 * CHOOSE(CONTROL!$C$22, $C$13, 100%, $E$13)</f>
        <v>19.2653</v>
      </c>
      <c r="F984" s="64">
        <f>19.2653 * CHOOSE(CONTROL!$C$22, $C$13, 100%, $E$13)</f>
        <v>19.2653</v>
      </c>
      <c r="G984" s="64">
        <f>19.281 * CHOOSE(CONTROL!$C$22, $C$13, 100%, $E$13)</f>
        <v>19.280999999999999</v>
      </c>
      <c r="H984" s="64">
        <f>33.2737* CHOOSE(CONTROL!$C$22, $C$13, 100%, $E$13)</f>
        <v>33.273699999999998</v>
      </c>
      <c r="I984" s="64">
        <f>33.2894 * CHOOSE(CONTROL!$C$22, $C$13, 100%, $E$13)</f>
        <v>33.289400000000001</v>
      </c>
      <c r="J984" s="64">
        <f>19.2653 * CHOOSE(CONTROL!$C$22, $C$13, 100%, $E$13)</f>
        <v>19.2653</v>
      </c>
      <c r="K984" s="64">
        <f>19.281 * CHOOSE(CONTROL!$C$22, $C$13, 100%, $E$13)</f>
        <v>19.280999999999999</v>
      </c>
    </row>
    <row r="985" spans="1:11" ht="15">
      <c r="A985" s="13">
        <v>71468</v>
      </c>
      <c r="B985" s="63">
        <f>17.1722 * CHOOSE(CONTROL!$C$22, $C$13, 100%, $E$13)</f>
        <v>17.1722</v>
      </c>
      <c r="C985" s="63">
        <f>17.1722 * CHOOSE(CONTROL!$C$22, $C$13, 100%, $E$13)</f>
        <v>17.1722</v>
      </c>
      <c r="D985" s="63">
        <f>17.1852 * CHOOSE(CONTROL!$C$22, $C$13, 100%, $E$13)</f>
        <v>17.185199999999998</v>
      </c>
      <c r="E985" s="64">
        <f>19.2268 * CHOOSE(CONTROL!$C$22, $C$13, 100%, $E$13)</f>
        <v>19.226800000000001</v>
      </c>
      <c r="F985" s="64">
        <f>19.2268 * CHOOSE(CONTROL!$C$22, $C$13, 100%, $E$13)</f>
        <v>19.226800000000001</v>
      </c>
      <c r="G985" s="64">
        <f>19.2425 * CHOOSE(CONTROL!$C$22, $C$13, 100%, $E$13)</f>
        <v>19.2425</v>
      </c>
      <c r="H985" s="64">
        <f>33.343* CHOOSE(CONTROL!$C$22, $C$13, 100%, $E$13)</f>
        <v>33.343000000000004</v>
      </c>
      <c r="I985" s="64">
        <f>33.3587 * CHOOSE(CONTROL!$C$22, $C$13, 100%, $E$13)</f>
        <v>33.358699999999999</v>
      </c>
      <c r="J985" s="64">
        <f>19.2268 * CHOOSE(CONTROL!$C$22, $C$13, 100%, $E$13)</f>
        <v>19.226800000000001</v>
      </c>
      <c r="K985" s="64">
        <f>19.2425 * CHOOSE(CONTROL!$C$22, $C$13, 100%, $E$13)</f>
        <v>19.2425</v>
      </c>
    </row>
    <row r="986" spans="1:11" ht="15">
      <c r="A986" s="13">
        <v>71498</v>
      </c>
      <c r="B986" s="63">
        <f>17.2096 * CHOOSE(CONTROL!$C$22, $C$13, 100%, $E$13)</f>
        <v>17.209599999999998</v>
      </c>
      <c r="C986" s="63">
        <f>17.2096 * CHOOSE(CONTROL!$C$22, $C$13, 100%, $E$13)</f>
        <v>17.209599999999998</v>
      </c>
      <c r="D986" s="63">
        <f>17.2096 * CHOOSE(CONTROL!$C$22, $C$13, 100%, $E$13)</f>
        <v>17.209599999999998</v>
      </c>
      <c r="E986" s="64">
        <f>19.359 * CHOOSE(CONTROL!$C$22, $C$13, 100%, $E$13)</f>
        <v>19.359000000000002</v>
      </c>
      <c r="F986" s="64">
        <f>19.359 * CHOOSE(CONTROL!$C$22, $C$13, 100%, $E$13)</f>
        <v>19.359000000000002</v>
      </c>
      <c r="G986" s="64">
        <f>19.359 * CHOOSE(CONTROL!$C$22, $C$13, 100%, $E$13)</f>
        <v>19.359000000000002</v>
      </c>
      <c r="H986" s="64">
        <f>33.4125* CHOOSE(CONTROL!$C$22, $C$13, 100%, $E$13)</f>
        <v>33.412500000000001</v>
      </c>
      <c r="I986" s="64">
        <f>33.4126 * CHOOSE(CONTROL!$C$22, $C$13, 100%, $E$13)</f>
        <v>33.412599999999998</v>
      </c>
      <c r="J986" s="64">
        <f>19.359 * CHOOSE(CONTROL!$C$22, $C$13, 100%, $E$13)</f>
        <v>19.359000000000002</v>
      </c>
      <c r="K986" s="64">
        <f>19.359 * CHOOSE(CONTROL!$C$22, $C$13, 100%, $E$13)</f>
        <v>19.359000000000002</v>
      </c>
    </row>
    <row r="987" spans="1:11" ht="15">
      <c r="A987" s="13">
        <v>71529</v>
      </c>
      <c r="B987" s="63">
        <f>17.2126 * CHOOSE(CONTROL!$C$22, $C$13, 100%, $E$13)</f>
        <v>17.212599999999998</v>
      </c>
      <c r="C987" s="63">
        <f>17.2126 * CHOOSE(CONTROL!$C$22, $C$13, 100%, $E$13)</f>
        <v>17.212599999999998</v>
      </c>
      <c r="D987" s="63">
        <f>17.2126 * CHOOSE(CONTROL!$C$22, $C$13, 100%, $E$13)</f>
        <v>17.212599999999998</v>
      </c>
      <c r="E987" s="64">
        <f>19.4339 * CHOOSE(CONTROL!$C$22, $C$13, 100%, $E$13)</f>
        <v>19.433900000000001</v>
      </c>
      <c r="F987" s="64">
        <f>19.4339 * CHOOSE(CONTROL!$C$22, $C$13, 100%, $E$13)</f>
        <v>19.433900000000001</v>
      </c>
      <c r="G987" s="64">
        <f>19.4339 * CHOOSE(CONTROL!$C$22, $C$13, 100%, $E$13)</f>
        <v>19.433900000000001</v>
      </c>
      <c r="H987" s="64">
        <f>33.4821* CHOOSE(CONTROL!$C$22, $C$13, 100%, $E$13)</f>
        <v>33.482100000000003</v>
      </c>
      <c r="I987" s="64">
        <f>33.4822 * CHOOSE(CONTROL!$C$22, $C$13, 100%, $E$13)</f>
        <v>33.482199999999999</v>
      </c>
      <c r="J987" s="64">
        <f>19.4339 * CHOOSE(CONTROL!$C$22, $C$13, 100%, $E$13)</f>
        <v>19.433900000000001</v>
      </c>
      <c r="K987" s="64">
        <f>19.4339 * CHOOSE(CONTROL!$C$22, $C$13, 100%, $E$13)</f>
        <v>19.433900000000001</v>
      </c>
    </row>
    <row r="988" spans="1:11" ht="15">
      <c r="A988" s="13">
        <v>71559</v>
      </c>
      <c r="B988" s="63">
        <f>17.2126 * CHOOSE(CONTROL!$C$22, $C$13, 100%, $E$13)</f>
        <v>17.212599999999998</v>
      </c>
      <c r="C988" s="63">
        <f>17.2126 * CHOOSE(CONTROL!$C$22, $C$13, 100%, $E$13)</f>
        <v>17.212599999999998</v>
      </c>
      <c r="D988" s="63">
        <f>17.2126 * CHOOSE(CONTROL!$C$22, $C$13, 100%, $E$13)</f>
        <v>17.212599999999998</v>
      </c>
      <c r="E988" s="64">
        <f>19.2519 * CHOOSE(CONTROL!$C$22, $C$13, 100%, $E$13)</f>
        <v>19.251899999999999</v>
      </c>
      <c r="F988" s="64">
        <f>19.2519 * CHOOSE(CONTROL!$C$22, $C$13, 100%, $E$13)</f>
        <v>19.251899999999999</v>
      </c>
      <c r="G988" s="64">
        <f>19.252 * CHOOSE(CONTROL!$C$22, $C$13, 100%, $E$13)</f>
        <v>19.251999999999999</v>
      </c>
      <c r="H988" s="64">
        <f>33.5519* CHOOSE(CONTROL!$C$22, $C$13, 100%, $E$13)</f>
        <v>33.551900000000003</v>
      </c>
      <c r="I988" s="64">
        <f>33.5519 * CHOOSE(CONTROL!$C$22, $C$13, 100%, $E$13)</f>
        <v>33.551900000000003</v>
      </c>
      <c r="J988" s="64">
        <f>19.2519 * CHOOSE(CONTROL!$C$22, $C$13, 100%, $E$13)</f>
        <v>19.251899999999999</v>
      </c>
      <c r="K988" s="64">
        <f>19.252 * CHOOSE(CONTROL!$C$22, $C$13, 100%, $E$13)</f>
        <v>19.251999999999999</v>
      </c>
    </row>
    <row r="989" spans="1:11" ht="15">
      <c r="A989" s="13">
        <v>71590</v>
      </c>
      <c r="B989" s="63">
        <f>17.1412 * CHOOSE(CONTROL!$C$22, $C$13, 100%, $E$13)</f>
        <v>17.141200000000001</v>
      </c>
      <c r="C989" s="63">
        <f>17.1412 * CHOOSE(CONTROL!$C$22, $C$13, 100%, $E$13)</f>
        <v>17.141200000000001</v>
      </c>
      <c r="D989" s="63">
        <f>17.1412 * CHOOSE(CONTROL!$C$22, $C$13, 100%, $E$13)</f>
        <v>17.141200000000001</v>
      </c>
      <c r="E989" s="64">
        <f>19.3244 * CHOOSE(CONTROL!$C$22, $C$13, 100%, $E$13)</f>
        <v>19.324400000000001</v>
      </c>
      <c r="F989" s="64">
        <f>19.3244 * CHOOSE(CONTROL!$C$22, $C$13, 100%, $E$13)</f>
        <v>19.324400000000001</v>
      </c>
      <c r="G989" s="64">
        <f>19.3245 * CHOOSE(CONTROL!$C$22, $C$13, 100%, $E$13)</f>
        <v>19.3245</v>
      </c>
      <c r="H989" s="64">
        <f>33.2384* CHOOSE(CONTROL!$C$22, $C$13, 100%, $E$13)</f>
        <v>33.238399999999999</v>
      </c>
      <c r="I989" s="64">
        <f>33.2385 * CHOOSE(CONTROL!$C$22, $C$13, 100%, $E$13)</f>
        <v>33.238500000000002</v>
      </c>
      <c r="J989" s="64">
        <f>19.3244 * CHOOSE(CONTROL!$C$22, $C$13, 100%, $E$13)</f>
        <v>19.324400000000001</v>
      </c>
      <c r="K989" s="64">
        <f>19.3245 * CHOOSE(CONTROL!$C$22, $C$13, 100%, $E$13)</f>
        <v>19.3245</v>
      </c>
    </row>
    <row r="990" spans="1:11" ht="15">
      <c r="A990" s="13">
        <v>71621</v>
      </c>
      <c r="B990" s="63">
        <f>17.1381 * CHOOSE(CONTROL!$C$22, $C$13, 100%, $E$13)</f>
        <v>17.138100000000001</v>
      </c>
      <c r="C990" s="63">
        <f>17.1381 * CHOOSE(CONTROL!$C$22, $C$13, 100%, $E$13)</f>
        <v>17.138100000000001</v>
      </c>
      <c r="D990" s="63">
        <f>17.1381 * CHOOSE(CONTROL!$C$22, $C$13, 100%, $E$13)</f>
        <v>17.138100000000001</v>
      </c>
      <c r="E990" s="64">
        <f>18.9735 * CHOOSE(CONTROL!$C$22, $C$13, 100%, $E$13)</f>
        <v>18.973500000000001</v>
      </c>
      <c r="F990" s="64">
        <f>18.9735 * CHOOSE(CONTROL!$C$22, $C$13, 100%, $E$13)</f>
        <v>18.973500000000001</v>
      </c>
      <c r="G990" s="64">
        <f>18.9735 * CHOOSE(CONTROL!$C$22, $C$13, 100%, $E$13)</f>
        <v>18.973500000000001</v>
      </c>
      <c r="H990" s="64">
        <f>33.3076* CHOOSE(CONTROL!$C$22, $C$13, 100%, $E$13)</f>
        <v>33.307600000000001</v>
      </c>
      <c r="I990" s="64">
        <f>33.3077 * CHOOSE(CONTROL!$C$22, $C$13, 100%, $E$13)</f>
        <v>33.307699999999997</v>
      </c>
      <c r="J990" s="64">
        <f>18.9735 * CHOOSE(CONTROL!$C$22, $C$13, 100%, $E$13)</f>
        <v>18.973500000000001</v>
      </c>
      <c r="K990" s="64">
        <f>18.9735 * CHOOSE(CONTROL!$C$22, $C$13, 100%, $E$13)</f>
        <v>18.973500000000001</v>
      </c>
    </row>
    <row r="991" spans="1:11" ht="15">
      <c r="A991" s="13">
        <v>71650</v>
      </c>
      <c r="B991" s="63">
        <f>17.1351 * CHOOSE(CONTROL!$C$22, $C$13, 100%, $E$13)</f>
        <v>17.135100000000001</v>
      </c>
      <c r="C991" s="63">
        <f>17.1351 * CHOOSE(CONTROL!$C$22, $C$13, 100%, $E$13)</f>
        <v>17.135100000000001</v>
      </c>
      <c r="D991" s="63">
        <f>17.1351 * CHOOSE(CONTROL!$C$22, $C$13, 100%, $E$13)</f>
        <v>17.135100000000001</v>
      </c>
      <c r="E991" s="64">
        <f>19.2463 * CHOOSE(CONTROL!$C$22, $C$13, 100%, $E$13)</f>
        <v>19.246300000000002</v>
      </c>
      <c r="F991" s="64">
        <f>19.2463 * CHOOSE(CONTROL!$C$22, $C$13, 100%, $E$13)</f>
        <v>19.246300000000002</v>
      </c>
      <c r="G991" s="64">
        <f>19.2464 * CHOOSE(CONTROL!$C$22, $C$13, 100%, $E$13)</f>
        <v>19.246400000000001</v>
      </c>
      <c r="H991" s="64">
        <f>33.377* CHOOSE(CONTROL!$C$22, $C$13, 100%, $E$13)</f>
        <v>33.377000000000002</v>
      </c>
      <c r="I991" s="64">
        <f>33.3771 * CHOOSE(CONTROL!$C$22, $C$13, 100%, $E$13)</f>
        <v>33.377099999999999</v>
      </c>
      <c r="J991" s="64">
        <f>19.2463 * CHOOSE(CONTROL!$C$22, $C$13, 100%, $E$13)</f>
        <v>19.246300000000002</v>
      </c>
      <c r="K991" s="64">
        <f>19.2464 * CHOOSE(CONTROL!$C$22, $C$13, 100%, $E$13)</f>
        <v>19.246400000000001</v>
      </c>
    </row>
    <row r="992" spans="1:11" ht="15">
      <c r="A992" s="13">
        <v>71681</v>
      </c>
      <c r="B992" s="63">
        <f>17.1437 * CHOOSE(CONTROL!$C$22, $C$13, 100%, $E$13)</f>
        <v>17.143699999999999</v>
      </c>
      <c r="C992" s="63">
        <f>17.1437 * CHOOSE(CONTROL!$C$22, $C$13, 100%, $E$13)</f>
        <v>17.143699999999999</v>
      </c>
      <c r="D992" s="63">
        <f>17.1437 * CHOOSE(CONTROL!$C$22, $C$13, 100%, $E$13)</f>
        <v>17.143699999999999</v>
      </c>
      <c r="E992" s="64">
        <f>19.5374 * CHOOSE(CONTROL!$C$22, $C$13, 100%, $E$13)</f>
        <v>19.537400000000002</v>
      </c>
      <c r="F992" s="64">
        <f>19.5374 * CHOOSE(CONTROL!$C$22, $C$13, 100%, $E$13)</f>
        <v>19.537400000000002</v>
      </c>
      <c r="G992" s="64">
        <f>19.5375 * CHOOSE(CONTROL!$C$22, $C$13, 100%, $E$13)</f>
        <v>19.537500000000001</v>
      </c>
      <c r="H992" s="64">
        <f>33.4466* CHOOSE(CONTROL!$C$22, $C$13, 100%, $E$13)</f>
        <v>33.446599999999997</v>
      </c>
      <c r="I992" s="64">
        <f>33.4466 * CHOOSE(CONTROL!$C$22, $C$13, 100%, $E$13)</f>
        <v>33.446599999999997</v>
      </c>
      <c r="J992" s="64">
        <f>19.5374 * CHOOSE(CONTROL!$C$22, $C$13, 100%, $E$13)</f>
        <v>19.537400000000002</v>
      </c>
      <c r="K992" s="64">
        <f>19.5375 * CHOOSE(CONTROL!$C$22, $C$13, 100%, $E$13)</f>
        <v>19.537500000000001</v>
      </c>
    </row>
    <row r="993" spans="1:11" ht="15">
      <c r="A993" s="13">
        <v>71711</v>
      </c>
      <c r="B993" s="63">
        <f>17.1437 * CHOOSE(CONTROL!$C$22, $C$13, 100%, $E$13)</f>
        <v>17.143699999999999</v>
      </c>
      <c r="C993" s="63">
        <f>17.1437 * CHOOSE(CONTROL!$C$22, $C$13, 100%, $E$13)</f>
        <v>17.143699999999999</v>
      </c>
      <c r="D993" s="63">
        <f>17.1567 * CHOOSE(CONTROL!$C$22, $C$13, 100%, $E$13)</f>
        <v>17.156700000000001</v>
      </c>
      <c r="E993" s="64">
        <f>19.6481 * CHOOSE(CONTROL!$C$22, $C$13, 100%, $E$13)</f>
        <v>19.648099999999999</v>
      </c>
      <c r="F993" s="64">
        <f>19.6481 * CHOOSE(CONTROL!$C$22, $C$13, 100%, $E$13)</f>
        <v>19.648099999999999</v>
      </c>
      <c r="G993" s="64">
        <f>19.6638 * CHOOSE(CONTROL!$C$22, $C$13, 100%, $E$13)</f>
        <v>19.663799999999998</v>
      </c>
      <c r="H993" s="64">
        <f>33.5162* CHOOSE(CONTROL!$C$22, $C$13, 100%, $E$13)</f>
        <v>33.516199999999998</v>
      </c>
      <c r="I993" s="64">
        <f>33.5319 * CHOOSE(CONTROL!$C$22, $C$13, 100%, $E$13)</f>
        <v>33.5319</v>
      </c>
      <c r="J993" s="64">
        <f>19.6481 * CHOOSE(CONTROL!$C$22, $C$13, 100%, $E$13)</f>
        <v>19.648099999999999</v>
      </c>
      <c r="K993" s="64">
        <f>19.6638 * CHOOSE(CONTROL!$C$22, $C$13, 100%, $E$13)</f>
        <v>19.663799999999998</v>
      </c>
    </row>
    <row r="994" spans="1:11" ht="15">
      <c r="A994" s="13">
        <v>71742</v>
      </c>
      <c r="B994" s="63">
        <f>17.1498 * CHOOSE(CONTROL!$C$22, $C$13, 100%, $E$13)</f>
        <v>17.149799999999999</v>
      </c>
      <c r="C994" s="63">
        <f>17.1498 * CHOOSE(CONTROL!$C$22, $C$13, 100%, $E$13)</f>
        <v>17.149799999999999</v>
      </c>
      <c r="D994" s="63">
        <f>17.1628 * CHOOSE(CONTROL!$C$22, $C$13, 100%, $E$13)</f>
        <v>17.162800000000001</v>
      </c>
      <c r="E994" s="64">
        <f>19.5416 * CHOOSE(CONTROL!$C$22, $C$13, 100%, $E$13)</f>
        <v>19.541599999999999</v>
      </c>
      <c r="F994" s="64">
        <f>19.5416 * CHOOSE(CONTROL!$C$22, $C$13, 100%, $E$13)</f>
        <v>19.541599999999999</v>
      </c>
      <c r="G994" s="64">
        <f>19.5573 * CHOOSE(CONTROL!$C$22, $C$13, 100%, $E$13)</f>
        <v>19.557300000000001</v>
      </c>
      <c r="H994" s="64">
        <f>33.5861* CHOOSE(CONTROL!$C$22, $C$13, 100%, $E$13)</f>
        <v>33.586100000000002</v>
      </c>
      <c r="I994" s="64">
        <f>33.6017 * CHOOSE(CONTROL!$C$22, $C$13, 100%, $E$13)</f>
        <v>33.601700000000001</v>
      </c>
      <c r="J994" s="64">
        <f>19.5416 * CHOOSE(CONTROL!$C$22, $C$13, 100%, $E$13)</f>
        <v>19.541599999999999</v>
      </c>
      <c r="K994" s="64">
        <f>19.5573 * CHOOSE(CONTROL!$C$22, $C$13, 100%, $E$13)</f>
        <v>19.557300000000001</v>
      </c>
    </row>
    <row r="995" spans="1:11" ht="15">
      <c r="A995" s="13">
        <v>71772</v>
      </c>
      <c r="B995" s="63">
        <f>17.4078 * CHOOSE(CONTROL!$C$22, $C$13, 100%, $E$13)</f>
        <v>17.407800000000002</v>
      </c>
      <c r="C995" s="63">
        <f>17.4078 * CHOOSE(CONTROL!$C$22, $C$13, 100%, $E$13)</f>
        <v>17.407800000000002</v>
      </c>
      <c r="D995" s="63">
        <f>17.4207 * CHOOSE(CONTROL!$C$22, $C$13, 100%, $E$13)</f>
        <v>17.4207</v>
      </c>
      <c r="E995" s="64">
        <f>19.8499 * CHOOSE(CONTROL!$C$22, $C$13, 100%, $E$13)</f>
        <v>19.849900000000002</v>
      </c>
      <c r="F995" s="64">
        <f>19.8499 * CHOOSE(CONTROL!$C$22, $C$13, 100%, $E$13)</f>
        <v>19.849900000000002</v>
      </c>
      <c r="G995" s="64">
        <f>19.8656 * CHOOSE(CONTROL!$C$22, $C$13, 100%, $E$13)</f>
        <v>19.865600000000001</v>
      </c>
      <c r="H995" s="64">
        <f>33.656* CHOOSE(CONTROL!$C$22, $C$13, 100%, $E$13)</f>
        <v>33.655999999999999</v>
      </c>
      <c r="I995" s="64">
        <f>33.6717 * CHOOSE(CONTROL!$C$22, $C$13, 100%, $E$13)</f>
        <v>33.671700000000001</v>
      </c>
      <c r="J995" s="64">
        <f>19.8499 * CHOOSE(CONTROL!$C$22, $C$13, 100%, $E$13)</f>
        <v>19.849900000000002</v>
      </c>
      <c r="K995" s="64">
        <f>19.8656 * CHOOSE(CONTROL!$C$22, $C$13, 100%, $E$13)</f>
        <v>19.865600000000001</v>
      </c>
    </row>
    <row r="996" spans="1:11" ht="15">
      <c r="A996" s="13">
        <v>71803</v>
      </c>
      <c r="B996" s="63">
        <f>17.4144 * CHOOSE(CONTROL!$C$22, $C$13, 100%, $E$13)</f>
        <v>17.414400000000001</v>
      </c>
      <c r="C996" s="63">
        <f>17.4144 * CHOOSE(CONTROL!$C$22, $C$13, 100%, $E$13)</f>
        <v>17.414400000000001</v>
      </c>
      <c r="D996" s="63">
        <f>17.4274 * CHOOSE(CONTROL!$C$22, $C$13, 100%, $E$13)</f>
        <v>17.427399999999999</v>
      </c>
      <c r="E996" s="64">
        <f>19.5224 * CHOOSE(CONTROL!$C$22, $C$13, 100%, $E$13)</f>
        <v>19.522400000000001</v>
      </c>
      <c r="F996" s="64">
        <f>19.5224 * CHOOSE(CONTROL!$C$22, $C$13, 100%, $E$13)</f>
        <v>19.522400000000001</v>
      </c>
      <c r="G996" s="64">
        <f>19.5381 * CHOOSE(CONTROL!$C$22, $C$13, 100%, $E$13)</f>
        <v>19.5381</v>
      </c>
      <c r="H996" s="64">
        <f>33.7262* CHOOSE(CONTROL!$C$22, $C$13, 100%, $E$13)</f>
        <v>33.726199999999999</v>
      </c>
      <c r="I996" s="64">
        <f>33.7418 * CHOOSE(CONTROL!$C$22, $C$13, 100%, $E$13)</f>
        <v>33.741799999999998</v>
      </c>
      <c r="J996" s="64">
        <f>19.5224 * CHOOSE(CONTROL!$C$22, $C$13, 100%, $E$13)</f>
        <v>19.522400000000001</v>
      </c>
      <c r="K996" s="64">
        <f>19.5381 * CHOOSE(CONTROL!$C$22, $C$13, 100%, $E$13)</f>
        <v>19.5381</v>
      </c>
    </row>
    <row r="997" spans="1:11" ht="15">
      <c r="A997" s="13">
        <v>71834</v>
      </c>
      <c r="B997" s="63">
        <f>17.4114 * CHOOSE(CONTROL!$C$22, $C$13, 100%, $E$13)</f>
        <v>17.4114</v>
      </c>
      <c r="C997" s="63">
        <f>17.4114 * CHOOSE(CONTROL!$C$22, $C$13, 100%, $E$13)</f>
        <v>17.4114</v>
      </c>
      <c r="D997" s="63">
        <f>17.4244 * CHOOSE(CONTROL!$C$22, $C$13, 100%, $E$13)</f>
        <v>17.424399999999999</v>
      </c>
      <c r="E997" s="64">
        <f>19.4834 * CHOOSE(CONTROL!$C$22, $C$13, 100%, $E$13)</f>
        <v>19.4834</v>
      </c>
      <c r="F997" s="64">
        <f>19.4834 * CHOOSE(CONTROL!$C$22, $C$13, 100%, $E$13)</f>
        <v>19.4834</v>
      </c>
      <c r="G997" s="64">
        <f>19.499 * CHOOSE(CONTROL!$C$22, $C$13, 100%, $E$13)</f>
        <v>19.498999999999999</v>
      </c>
      <c r="H997" s="64">
        <f>33.7964* CHOOSE(CONTROL!$C$22, $C$13, 100%, $E$13)</f>
        <v>33.796399999999998</v>
      </c>
      <c r="I997" s="64">
        <f>33.8121 * CHOOSE(CONTROL!$C$22, $C$13, 100%, $E$13)</f>
        <v>33.812100000000001</v>
      </c>
      <c r="J997" s="64">
        <f>19.4834 * CHOOSE(CONTROL!$C$22, $C$13, 100%, $E$13)</f>
        <v>19.4834</v>
      </c>
      <c r="K997" s="64">
        <f>19.499 * CHOOSE(CONTROL!$C$22, $C$13, 100%, $E$13)</f>
        <v>19.498999999999999</v>
      </c>
    </row>
    <row r="998" spans="1:11" ht="15">
      <c r="A998" s="13">
        <v>71864</v>
      </c>
      <c r="B998" s="63">
        <f>17.4495 * CHOOSE(CONTROL!$C$22, $C$13, 100%, $E$13)</f>
        <v>17.4495</v>
      </c>
      <c r="C998" s="63">
        <f>17.4495 * CHOOSE(CONTROL!$C$22, $C$13, 100%, $E$13)</f>
        <v>17.4495</v>
      </c>
      <c r="D998" s="63">
        <f>17.4495 * CHOOSE(CONTROL!$C$22, $C$13, 100%, $E$13)</f>
        <v>17.4495</v>
      </c>
      <c r="E998" s="64">
        <f>19.6176 * CHOOSE(CONTROL!$C$22, $C$13, 100%, $E$13)</f>
        <v>19.617599999999999</v>
      </c>
      <c r="F998" s="64">
        <f>19.6176 * CHOOSE(CONTROL!$C$22, $C$13, 100%, $E$13)</f>
        <v>19.617599999999999</v>
      </c>
      <c r="G998" s="64">
        <f>19.6177 * CHOOSE(CONTROL!$C$22, $C$13, 100%, $E$13)</f>
        <v>19.617699999999999</v>
      </c>
      <c r="H998" s="64">
        <f>33.8668* CHOOSE(CONTROL!$C$22, $C$13, 100%, $E$13)</f>
        <v>33.866799999999998</v>
      </c>
      <c r="I998" s="64">
        <f>33.8669 * CHOOSE(CONTROL!$C$22, $C$13, 100%, $E$13)</f>
        <v>33.866900000000001</v>
      </c>
      <c r="J998" s="64">
        <f>19.6176 * CHOOSE(CONTROL!$C$22, $C$13, 100%, $E$13)</f>
        <v>19.617599999999999</v>
      </c>
      <c r="K998" s="64">
        <f>19.6177 * CHOOSE(CONTROL!$C$22, $C$13, 100%, $E$13)</f>
        <v>19.617699999999999</v>
      </c>
    </row>
    <row r="999" spans="1:11" ht="15">
      <c r="A999" s="13">
        <v>71895</v>
      </c>
      <c r="B999" s="63">
        <f>17.4526 * CHOOSE(CONTROL!$C$22, $C$13, 100%, $E$13)</f>
        <v>17.4526</v>
      </c>
      <c r="C999" s="63">
        <f>17.4526 * CHOOSE(CONTROL!$C$22, $C$13, 100%, $E$13)</f>
        <v>17.4526</v>
      </c>
      <c r="D999" s="63">
        <f>17.4526 * CHOOSE(CONTROL!$C$22, $C$13, 100%, $E$13)</f>
        <v>17.4526</v>
      </c>
      <c r="E999" s="64">
        <f>19.6935 * CHOOSE(CONTROL!$C$22, $C$13, 100%, $E$13)</f>
        <v>19.6935</v>
      </c>
      <c r="F999" s="64">
        <f>19.6935 * CHOOSE(CONTROL!$C$22, $C$13, 100%, $E$13)</f>
        <v>19.6935</v>
      </c>
      <c r="G999" s="64">
        <f>19.6936 * CHOOSE(CONTROL!$C$22, $C$13, 100%, $E$13)</f>
        <v>19.6936</v>
      </c>
      <c r="H999" s="64">
        <f>33.9374* CHOOSE(CONTROL!$C$22, $C$13, 100%, $E$13)</f>
        <v>33.937399999999997</v>
      </c>
      <c r="I999" s="64">
        <f>33.9375 * CHOOSE(CONTROL!$C$22, $C$13, 100%, $E$13)</f>
        <v>33.9375</v>
      </c>
      <c r="J999" s="64">
        <f>19.6935 * CHOOSE(CONTROL!$C$22, $C$13, 100%, $E$13)</f>
        <v>19.6935</v>
      </c>
      <c r="K999" s="64">
        <f>19.6936 * CHOOSE(CONTROL!$C$22, $C$13, 100%, $E$13)</f>
        <v>19.6936</v>
      </c>
    </row>
    <row r="1000" spans="1:11" ht="15">
      <c r="A1000" s="13">
        <v>71925</v>
      </c>
      <c r="B1000" s="63">
        <f>17.4526 * CHOOSE(CONTROL!$C$22, $C$13, 100%, $E$13)</f>
        <v>17.4526</v>
      </c>
      <c r="C1000" s="63">
        <f>17.4526 * CHOOSE(CONTROL!$C$22, $C$13, 100%, $E$13)</f>
        <v>17.4526</v>
      </c>
      <c r="D1000" s="63">
        <f>17.4526 * CHOOSE(CONTROL!$C$22, $C$13, 100%, $E$13)</f>
        <v>17.4526</v>
      </c>
      <c r="E1000" s="64">
        <f>19.509 * CHOOSE(CONTROL!$C$22, $C$13, 100%, $E$13)</f>
        <v>19.509</v>
      </c>
      <c r="F1000" s="64">
        <f>19.509 * CHOOSE(CONTROL!$C$22, $C$13, 100%, $E$13)</f>
        <v>19.509</v>
      </c>
      <c r="G1000" s="64">
        <f>19.5091 * CHOOSE(CONTROL!$C$22, $C$13, 100%, $E$13)</f>
        <v>19.5091</v>
      </c>
      <c r="H1000" s="64">
        <f>34.0081* CHOOSE(CONTROL!$C$22, $C$13, 100%, $E$13)</f>
        <v>34.008099999999999</v>
      </c>
      <c r="I1000" s="64">
        <f>34.0082 * CHOOSE(CONTROL!$C$22, $C$13, 100%, $E$13)</f>
        <v>34.008200000000002</v>
      </c>
      <c r="J1000" s="64">
        <f>19.509 * CHOOSE(CONTROL!$C$22, $C$13, 100%, $E$13)</f>
        <v>19.509</v>
      </c>
      <c r="K1000" s="64">
        <f>19.5091 * CHOOSE(CONTROL!$C$22, $C$13, 100%, $E$13)</f>
        <v>19.5091</v>
      </c>
    </row>
    <row r="1001" spans="1:11" ht="15">
      <c r="A1001" s="13">
        <v>71956</v>
      </c>
      <c r="B1001" s="63">
        <f>17.3767 * CHOOSE(CONTROL!$C$22, $C$13, 100%, $E$13)</f>
        <v>17.3767</v>
      </c>
      <c r="C1001" s="63">
        <f>17.3767 * CHOOSE(CONTROL!$C$22, $C$13, 100%, $E$13)</f>
        <v>17.3767</v>
      </c>
      <c r="D1001" s="63">
        <f>17.3767 * CHOOSE(CONTROL!$C$22, $C$13, 100%, $E$13)</f>
        <v>17.3767</v>
      </c>
      <c r="E1001" s="64">
        <f>19.5791 * CHOOSE(CONTROL!$C$22, $C$13, 100%, $E$13)</f>
        <v>19.5791</v>
      </c>
      <c r="F1001" s="64">
        <f>19.5791 * CHOOSE(CONTROL!$C$22, $C$13, 100%, $E$13)</f>
        <v>19.5791</v>
      </c>
      <c r="G1001" s="64">
        <f>19.5792 * CHOOSE(CONTROL!$C$22, $C$13, 100%, $E$13)</f>
        <v>19.5792</v>
      </c>
      <c r="H1001" s="64">
        <f>33.6843* CHOOSE(CONTROL!$C$22, $C$13, 100%, $E$13)</f>
        <v>33.6843</v>
      </c>
      <c r="I1001" s="64">
        <f>33.6844 * CHOOSE(CONTROL!$C$22, $C$13, 100%, $E$13)</f>
        <v>33.684399999999997</v>
      </c>
      <c r="J1001" s="64">
        <f>19.5791 * CHOOSE(CONTROL!$C$22, $C$13, 100%, $E$13)</f>
        <v>19.5791</v>
      </c>
      <c r="K1001" s="64">
        <f>19.5792 * CHOOSE(CONTROL!$C$22, $C$13, 100%, $E$13)</f>
        <v>19.5792</v>
      </c>
    </row>
    <row r="1002" spans="1:11" ht="15">
      <c r="A1002" s="13">
        <v>71987</v>
      </c>
      <c r="B1002" s="63">
        <f>17.3737 * CHOOSE(CONTROL!$C$22, $C$13, 100%, $E$13)</f>
        <v>17.373699999999999</v>
      </c>
      <c r="C1002" s="63">
        <f>17.3737 * CHOOSE(CONTROL!$C$22, $C$13, 100%, $E$13)</f>
        <v>17.373699999999999</v>
      </c>
      <c r="D1002" s="63">
        <f>17.3737 * CHOOSE(CONTROL!$C$22, $C$13, 100%, $E$13)</f>
        <v>17.373699999999999</v>
      </c>
      <c r="E1002" s="64">
        <f>19.2233 * CHOOSE(CONTROL!$C$22, $C$13, 100%, $E$13)</f>
        <v>19.223299999999998</v>
      </c>
      <c r="F1002" s="64">
        <f>19.2233 * CHOOSE(CONTROL!$C$22, $C$13, 100%, $E$13)</f>
        <v>19.223299999999998</v>
      </c>
      <c r="G1002" s="64">
        <f>19.2233 * CHOOSE(CONTROL!$C$22, $C$13, 100%, $E$13)</f>
        <v>19.223299999999998</v>
      </c>
      <c r="H1002" s="64">
        <f>33.7545* CHOOSE(CONTROL!$C$22, $C$13, 100%, $E$13)</f>
        <v>33.7545</v>
      </c>
      <c r="I1002" s="64">
        <f>33.7545 * CHOOSE(CONTROL!$C$22, $C$13, 100%, $E$13)</f>
        <v>33.7545</v>
      </c>
      <c r="J1002" s="64">
        <f>19.2233 * CHOOSE(CONTROL!$C$22, $C$13, 100%, $E$13)</f>
        <v>19.223299999999998</v>
      </c>
      <c r="K1002" s="64">
        <f>19.2233 * CHOOSE(CONTROL!$C$22, $C$13, 100%, $E$13)</f>
        <v>19.223299999999998</v>
      </c>
    </row>
    <row r="1003" spans="1:11" ht="15">
      <c r="A1003" s="13">
        <v>72015</v>
      </c>
      <c r="B1003" s="63">
        <f>17.3706 * CHOOSE(CONTROL!$C$22, $C$13, 100%, $E$13)</f>
        <v>17.3706</v>
      </c>
      <c r="C1003" s="63">
        <f>17.3706 * CHOOSE(CONTROL!$C$22, $C$13, 100%, $E$13)</f>
        <v>17.3706</v>
      </c>
      <c r="D1003" s="63">
        <f>17.3707 * CHOOSE(CONTROL!$C$22, $C$13, 100%, $E$13)</f>
        <v>17.370699999999999</v>
      </c>
      <c r="E1003" s="64">
        <f>19.5 * CHOOSE(CONTROL!$C$22, $C$13, 100%, $E$13)</f>
        <v>19.5</v>
      </c>
      <c r="F1003" s="64">
        <f>19.5 * CHOOSE(CONTROL!$C$22, $C$13, 100%, $E$13)</f>
        <v>19.5</v>
      </c>
      <c r="G1003" s="64">
        <f>19.5001 * CHOOSE(CONTROL!$C$22, $C$13, 100%, $E$13)</f>
        <v>19.5001</v>
      </c>
      <c r="H1003" s="64">
        <f>33.8248* CHOOSE(CONTROL!$C$22, $C$13, 100%, $E$13)</f>
        <v>33.824800000000003</v>
      </c>
      <c r="I1003" s="64">
        <f>33.8249 * CHOOSE(CONTROL!$C$22, $C$13, 100%, $E$13)</f>
        <v>33.8249</v>
      </c>
      <c r="J1003" s="64">
        <f>19.5 * CHOOSE(CONTROL!$C$22, $C$13, 100%, $E$13)</f>
        <v>19.5</v>
      </c>
      <c r="K1003" s="64">
        <f>19.5001 * CHOOSE(CONTROL!$C$22, $C$13, 100%, $E$13)</f>
        <v>19.5001</v>
      </c>
    </row>
    <row r="1004" spans="1:11" ht="15">
      <c r="A1004" s="13">
        <v>72046</v>
      </c>
      <c r="B1004" s="63">
        <f>17.3795 * CHOOSE(CONTROL!$C$22, $C$13, 100%, $E$13)</f>
        <v>17.3795</v>
      </c>
      <c r="C1004" s="63">
        <f>17.3795 * CHOOSE(CONTROL!$C$22, $C$13, 100%, $E$13)</f>
        <v>17.3795</v>
      </c>
      <c r="D1004" s="63">
        <f>17.3795 * CHOOSE(CONTROL!$C$22, $C$13, 100%, $E$13)</f>
        <v>17.3795</v>
      </c>
      <c r="E1004" s="64">
        <f>19.7952 * CHOOSE(CONTROL!$C$22, $C$13, 100%, $E$13)</f>
        <v>19.795200000000001</v>
      </c>
      <c r="F1004" s="64">
        <f>19.7952 * CHOOSE(CONTROL!$C$22, $C$13, 100%, $E$13)</f>
        <v>19.795200000000001</v>
      </c>
      <c r="G1004" s="64">
        <f>19.7953 * CHOOSE(CONTROL!$C$22, $C$13, 100%, $E$13)</f>
        <v>19.795300000000001</v>
      </c>
      <c r="H1004" s="64">
        <f>33.8952* CHOOSE(CONTROL!$C$22, $C$13, 100%, $E$13)</f>
        <v>33.895200000000003</v>
      </c>
      <c r="I1004" s="64">
        <f>33.8953 * CHOOSE(CONTROL!$C$22, $C$13, 100%, $E$13)</f>
        <v>33.895299999999999</v>
      </c>
      <c r="J1004" s="64">
        <f>19.7952 * CHOOSE(CONTROL!$C$22, $C$13, 100%, $E$13)</f>
        <v>19.795200000000001</v>
      </c>
      <c r="K1004" s="64">
        <f>19.7953 * CHOOSE(CONTROL!$C$22, $C$13, 100%, $E$13)</f>
        <v>19.795300000000001</v>
      </c>
    </row>
    <row r="1005" spans="1:11" ht="15">
      <c r="A1005" s="13">
        <v>72076</v>
      </c>
      <c r="B1005" s="63">
        <f>17.3795 * CHOOSE(CONTROL!$C$22, $C$13, 100%, $E$13)</f>
        <v>17.3795</v>
      </c>
      <c r="C1005" s="63">
        <f>17.3795 * CHOOSE(CONTROL!$C$22, $C$13, 100%, $E$13)</f>
        <v>17.3795</v>
      </c>
      <c r="D1005" s="63">
        <f>17.3924 * CHOOSE(CONTROL!$C$22, $C$13, 100%, $E$13)</f>
        <v>17.392399999999999</v>
      </c>
      <c r="E1005" s="64">
        <f>19.9075 * CHOOSE(CONTROL!$C$22, $C$13, 100%, $E$13)</f>
        <v>19.907499999999999</v>
      </c>
      <c r="F1005" s="64">
        <f>19.9075 * CHOOSE(CONTROL!$C$22, $C$13, 100%, $E$13)</f>
        <v>19.907499999999999</v>
      </c>
      <c r="G1005" s="64">
        <f>19.9232 * CHOOSE(CONTROL!$C$22, $C$13, 100%, $E$13)</f>
        <v>19.923200000000001</v>
      </c>
      <c r="H1005" s="64">
        <f>33.9659* CHOOSE(CONTROL!$C$22, $C$13, 100%, $E$13)</f>
        <v>33.965899999999998</v>
      </c>
      <c r="I1005" s="64">
        <f>33.9815 * CHOOSE(CONTROL!$C$22, $C$13, 100%, $E$13)</f>
        <v>33.981499999999997</v>
      </c>
      <c r="J1005" s="64">
        <f>19.9075 * CHOOSE(CONTROL!$C$22, $C$13, 100%, $E$13)</f>
        <v>19.907499999999999</v>
      </c>
      <c r="K1005" s="64">
        <f>19.9232 * CHOOSE(CONTROL!$C$22, $C$13, 100%, $E$13)</f>
        <v>19.923200000000001</v>
      </c>
    </row>
    <row r="1006" spans="1:11" ht="15">
      <c r="A1006" s="13">
        <v>72107</v>
      </c>
      <c r="B1006" s="63">
        <f>17.3855 * CHOOSE(CONTROL!$C$22, $C$13, 100%, $E$13)</f>
        <v>17.3855</v>
      </c>
      <c r="C1006" s="63">
        <f>17.3855 * CHOOSE(CONTROL!$C$22, $C$13, 100%, $E$13)</f>
        <v>17.3855</v>
      </c>
      <c r="D1006" s="63">
        <f>17.3985 * CHOOSE(CONTROL!$C$22, $C$13, 100%, $E$13)</f>
        <v>17.398499999999999</v>
      </c>
      <c r="E1006" s="64">
        <f>19.7995 * CHOOSE(CONTROL!$C$22, $C$13, 100%, $E$13)</f>
        <v>19.799499999999998</v>
      </c>
      <c r="F1006" s="64">
        <f>19.7995 * CHOOSE(CONTROL!$C$22, $C$13, 100%, $E$13)</f>
        <v>19.799499999999998</v>
      </c>
      <c r="G1006" s="64">
        <f>19.8152 * CHOOSE(CONTROL!$C$22, $C$13, 100%, $E$13)</f>
        <v>19.815200000000001</v>
      </c>
      <c r="H1006" s="64">
        <f>34.0366* CHOOSE(CONTROL!$C$22, $C$13, 100%, $E$13)</f>
        <v>34.0366</v>
      </c>
      <c r="I1006" s="64">
        <f>34.0523 * CHOOSE(CONTROL!$C$22, $C$13, 100%, $E$13)</f>
        <v>34.052300000000002</v>
      </c>
      <c r="J1006" s="64">
        <f>19.7995 * CHOOSE(CONTROL!$C$22, $C$13, 100%, $E$13)</f>
        <v>19.799499999999998</v>
      </c>
      <c r="K1006" s="64">
        <f>19.8152 * CHOOSE(CONTROL!$C$22, $C$13, 100%, $E$13)</f>
        <v>19.815200000000001</v>
      </c>
    </row>
    <row r="1007" spans="1:11" ht="15">
      <c r="A1007" s="13">
        <v>72137</v>
      </c>
      <c r="B1007" s="63">
        <f>17.6469 * CHOOSE(CONTROL!$C$22, $C$13, 100%, $E$13)</f>
        <v>17.646899999999999</v>
      </c>
      <c r="C1007" s="63">
        <f>17.6469 * CHOOSE(CONTROL!$C$22, $C$13, 100%, $E$13)</f>
        <v>17.646899999999999</v>
      </c>
      <c r="D1007" s="63">
        <f>17.6599 * CHOOSE(CONTROL!$C$22, $C$13, 100%, $E$13)</f>
        <v>17.6599</v>
      </c>
      <c r="E1007" s="64">
        <f>20.1117 * CHOOSE(CONTROL!$C$22, $C$13, 100%, $E$13)</f>
        <v>20.111699999999999</v>
      </c>
      <c r="F1007" s="64">
        <f>20.1117 * CHOOSE(CONTROL!$C$22, $C$13, 100%, $E$13)</f>
        <v>20.111699999999999</v>
      </c>
      <c r="G1007" s="64">
        <f>20.1274 * CHOOSE(CONTROL!$C$22, $C$13, 100%, $E$13)</f>
        <v>20.127400000000002</v>
      </c>
      <c r="H1007" s="64">
        <f>34.1075* CHOOSE(CONTROL!$C$22, $C$13, 100%, $E$13)</f>
        <v>34.107500000000002</v>
      </c>
      <c r="I1007" s="64">
        <f>34.1232 * CHOOSE(CONTROL!$C$22, $C$13, 100%, $E$13)</f>
        <v>34.123199999999997</v>
      </c>
      <c r="J1007" s="64">
        <f>20.1117 * CHOOSE(CONTROL!$C$22, $C$13, 100%, $E$13)</f>
        <v>20.111699999999999</v>
      </c>
      <c r="K1007" s="64">
        <f>20.1274 * CHOOSE(CONTROL!$C$22, $C$13, 100%, $E$13)</f>
        <v>20.127400000000002</v>
      </c>
    </row>
    <row r="1008" spans="1:11" ht="15">
      <c r="A1008" s="13">
        <v>72168</v>
      </c>
      <c r="B1008" s="63">
        <f>17.6536 * CHOOSE(CONTROL!$C$22, $C$13, 100%, $E$13)</f>
        <v>17.653600000000001</v>
      </c>
      <c r="C1008" s="63">
        <f>17.6536 * CHOOSE(CONTROL!$C$22, $C$13, 100%, $E$13)</f>
        <v>17.653600000000001</v>
      </c>
      <c r="D1008" s="63">
        <f>17.6666 * CHOOSE(CONTROL!$C$22, $C$13, 100%, $E$13)</f>
        <v>17.666599999999999</v>
      </c>
      <c r="E1008" s="64">
        <f>19.7795 * CHOOSE(CONTROL!$C$22, $C$13, 100%, $E$13)</f>
        <v>19.779499999999999</v>
      </c>
      <c r="F1008" s="64">
        <f>19.7795 * CHOOSE(CONTROL!$C$22, $C$13, 100%, $E$13)</f>
        <v>19.779499999999999</v>
      </c>
      <c r="G1008" s="64">
        <f>19.7951 * CHOOSE(CONTROL!$C$22, $C$13, 100%, $E$13)</f>
        <v>19.795100000000001</v>
      </c>
      <c r="H1008" s="64">
        <f>34.1786* CHOOSE(CONTROL!$C$22, $C$13, 100%, $E$13)</f>
        <v>34.178600000000003</v>
      </c>
      <c r="I1008" s="64">
        <f>34.1943 * CHOOSE(CONTROL!$C$22, $C$13, 100%, $E$13)</f>
        <v>34.194299999999998</v>
      </c>
      <c r="J1008" s="64">
        <f>19.7795 * CHOOSE(CONTROL!$C$22, $C$13, 100%, $E$13)</f>
        <v>19.779499999999999</v>
      </c>
      <c r="K1008" s="64">
        <f>19.7951 * CHOOSE(CONTROL!$C$22, $C$13, 100%, $E$13)</f>
        <v>19.795100000000001</v>
      </c>
    </row>
    <row r="1009" spans="1:11" ht="15">
      <c r="A1009" s="13">
        <v>72199</v>
      </c>
      <c r="B1009" s="63">
        <f>17.6506 * CHOOSE(CONTROL!$C$22, $C$13, 100%, $E$13)</f>
        <v>17.650600000000001</v>
      </c>
      <c r="C1009" s="63">
        <f>17.6506 * CHOOSE(CONTROL!$C$22, $C$13, 100%, $E$13)</f>
        <v>17.650600000000001</v>
      </c>
      <c r="D1009" s="63">
        <f>17.6636 * CHOOSE(CONTROL!$C$22, $C$13, 100%, $E$13)</f>
        <v>17.663599999999999</v>
      </c>
      <c r="E1009" s="64">
        <f>19.7399 * CHOOSE(CONTROL!$C$22, $C$13, 100%, $E$13)</f>
        <v>19.739899999999999</v>
      </c>
      <c r="F1009" s="64">
        <f>19.7399 * CHOOSE(CONTROL!$C$22, $C$13, 100%, $E$13)</f>
        <v>19.739899999999999</v>
      </c>
      <c r="G1009" s="64">
        <f>19.7556 * CHOOSE(CONTROL!$C$22, $C$13, 100%, $E$13)</f>
        <v>19.755600000000001</v>
      </c>
      <c r="H1009" s="64">
        <f>34.2498* CHOOSE(CONTROL!$C$22, $C$13, 100%, $E$13)</f>
        <v>34.2498</v>
      </c>
      <c r="I1009" s="64">
        <f>34.2655 * CHOOSE(CONTROL!$C$22, $C$13, 100%, $E$13)</f>
        <v>34.265500000000003</v>
      </c>
      <c r="J1009" s="64">
        <f>19.7399 * CHOOSE(CONTROL!$C$22, $C$13, 100%, $E$13)</f>
        <v>19.739899999999999</v>
      </c>
      <c r="K1009" s="64">
        <f>19.7556 * CHOOSE(CONTROL!$C$22, $C$13, 100%, $E$13)</f>
        <v>19.755600000000001</v>
      </c>
    </row>
    <row r="1010" spans="1:11" ht="15">
      <c r="A1010" s="13">
        <v>72229</v>
      </c>
      <c r="B1010" s="63">
        <f>17.6895 * CHOOSE(CONTROL!$C$22, $C$13, 100%, $E$13)</f>
        <v>17.689499999999999</v>
      </c>
      <c r="C1010" s="63">
        <f>17.6895 * CHOOSE(CONTROL!$C$22, $C$13, 100%, $E$13)</f>
        <v>17.689499999999999</v>
      </c>
      <c r="D1010" s="63">
        <f>17.6895 * CHOOSE(CONTROL!$C$22, $C$13, 100%, $E$13)</f>
        <v>17.689499999999999</v>
      </c>
      <c r="E1010" s="64">
        <f>19.8762 * CHOOSE(CONTROL!$C$22, $C$13, 100%, $E$13)</f>
        <v>19.876200000000001</v>
      </c>
      <c r="F1010" s="64">
        <f>19.8762 * CHOOSE(CONTROL!$C$22, $C$13, 100%, $E$13)</f>
        <v>19.876200000000001</v>
      </c>
      <c r="G1010" s="64">
        <f>19.8763 * CHOOSE(CONTROL!$C$22, $C$13, 100%, $E$13)</f>
        <v>19.876300000000001</v>
      </c>
      <c r="H1010" s="64">
        <f>34.3211* CHOOSE(CONTROL!$C$22, $C$13, 100%, $E$13)</f>
        <v>34.321100000000001</v>
      </c>
      <c r="I1010" s="64">
        <f>34.3212 * CHOOSE(CONTROL!$C$22, $C$13, 100%, $E$13)</f>
        <v>34.321199999999997</v>
      </c>
      <c r="J1010" s="64">
        <f>19.8762 * CHOOSE(CONTROL!$C$22, $C$13, 100%, $E$13)</f>
        <v>19.876200000000001</v>
      </c>
      <c r="K1010" s="64">
        <f>19.8763 * CHOOSE(CONTROL!$C$22, $C$13, 100%, $E$13)</f>
        <v>19.876300000000001</v>
      </c>
    </row>
    <row r="1011" spans="1:11" ht="15">
      <c r="A1011" s="13">
        <v>72260</v>
      </c>
      <c r="B1011" s="63">
        <f>17.6925 * CHOOSE(CONTROL!$C$22, $C$13, 100%, $E$13)</f>
        <v>17.692499999999999</v>
      </c>
      <c r="C1011" s="63">
        <f>17.6925 * CHOOSE(CONTROL!$C$22, $C$13, 100%, $E$13)</f>
        <v>17.692499999999999</v>
      </c>
      <c r="D1011" s="63">
        <f>17.6925 * CHOOSE(CONTROL!$C$22, $C$13, 100%, $E$13)</f>
        <v>17.692499999999999</v>
      </c>
      <c r="E1011" s="64">
        <f>19.9532 * CHOOSE(CONTROL!$C$22, $C$13, 100%, $E$13)</f>
        <v>19.953199999999999</v>
      </c>
      <c r="F1011" s="64">
        <f>19.9532 * CHOOSE(CONTROL!$C$22, $C$13, 100%, $E$13)</f>
        <v>19.953199999999999</v>
      </c>
      <c r="G1011" s="64">
        <f>19.9533 * CHOOSE(CONTROL!$C$22, $C$13, 100%, $E$13)</f>
        <v>19.953299999999999</v>
      </c>
      <c r="H1011" s="64">
        <f>34.3927* CHOOSE(CONTROL!$C$22, $C$13, 100%, $E$13)</f>
        <v>34.392699999999998</v>
      </c>
      <c r="I1011" s="64">
        <f>34.3927 * CHOOSE(CONTROL!$C$22, $C$13, 100%, $E$13)</f>
        <v>34.392699999999998</v>
      </c>
      <c r="J1011" s="64">
        <f>19.9532 * CHOOSE(CONTROL!$C$22, $C$13, 100%, $E$13)</f>
        <v>19.953199999999999</v>
      </c>
      <c r="K1011" s="64">
        <f>19.9533 * CHOOSE(CONTROL!$C$22, $C$13, 100%, $E$13)</f>
        <v>19.953299999999999</v>
      </c>
    </row>
    <row r="1012" spans="1:11" ht="15">
      <c r="A1012" s="13">
        <v>72290</v>
      </c>
      <c r="B1012" s="63">
        <f>17.6925 * CHOOSE(CONTROL!$C$22, $C$13, 100%, $E$13)</f>
        <v>17.692499999999999</v>
      </c>
      <c r="C1012" s="63">
        <f>17.6925 * CHOOSE(CONTROL!$C$22, $C$13, 100%, $E$13)</f>
        <v>17.692499999999999</v>
      </c>
      <c r="D1012" s="63">
        <f>17.6925 * CHOOSE(CONTROL!$C$22, $C$13, 100%, $E$13)</f>
        <v>17.692499999999999</v>
      </c>
      <c r="E1012" s="64">
        <f>19.766 * CHOOSE(CONTROL!$C$22, $C$13, 100%, $E$13)</f>
        <v>19.765999999999998</v>
      </c>
      <c r="F1012" s="64">
        <f>19.766 * CHOOSE(CONTROL!$C$22, $C$13, 100%, $E$13)</f>
        <v>19.765999999999998</v>
      </c>
      <c r="G1012" s="64">
        <f>19.7661 * CHOOSE(CONTROL!$C$22, $C$13, 100%, $E$13)</f>
        <v>19.766100000000002</v>
      </c>
      <c r="H1012" s="64">
        <f>34.4643* CHOOSE(CONTROL!$C$22, $C$13, 100%, $E$13)</f>
        <v>34.464300000000001</v>
      </c>
      <c r="I1012" s="64">
        <f>34.4644 * CHOOSE(CONTROL!$C$22, $C$13, 100%, $E$13)</f>
        <v>34.464399999999998</v>
      </c>
      <c r="J1012" s="64">
        <f>19.766 * CHOOSE(CONTROL!$C$22, $C$13, 100%, $E$13)</f>
        <v>19.765999999999998</v>
      </c>
      <c r="K1012" s="64">
        <f>19.7661 * CHOOSE(CONTROL!$C$22, $C$13, 100%, $E$13)</f>
        <v>19.766100000000002</v>
      </c>
    </row>
    <row r="1013" spans="1:11" ht="15">
      <c r="A1013" s="13">
        <v>72321</v>
      </c>
      <c r="B1013" s="63">
        <f>17.6123 * CHOOSE(CONTROL!$C$22, $C$13, 100%, $E$13)</f>
        <v>17.612300000000001</v>
      </c>
      <c r="C1013" s="63">
        <f>17.6123 * CHOOSE(CONTROL!$C$22, $C$13, 100%, $E$13)</f>
        <v>17.612300000000001</v>
      </c>
      <c r="D1013" s="63">
        <f>17.6123 * CHOOSE(CONTROL!$C$22, $C$13, 100%, $E$13)</f>
        <v>17.612300000000001</v>
      </c>
      <c r="E1013" s="64">
        <f>19.8338 * CHOOSE(CONTROL!$C$22, $C$13, 100%, $E$13)</f>
        <v>19.8338</v>
      </c>
      <c r="F1013" s="64">
        <f>19.8338 * CHOOSE(CONTROL!$C$22, $C$13, 100%, $E$13)</f>
        <v>19.8338</v>
      </c>
      <c r="G1013" s="64">
        <f>19.8339 * CHOOSE(CONTROL!$C$22, $C$13, 100%, $E$13)</f>
        <v>19.8339</v>
      </c>
      <c r="H1013" s="64">
        <f>34.1302* CHOOSE(CONTROL!$C$22, $C$13, 100%, $E$13)</f>
        <v>34.130200000000002</v>
      </c>
      <c r="I1013" s="64">
        <f>34.1303 * CHOOSE(CONTROL!$C$22, $C$13, 100%, $E$13)</f>
        <v>34.130299999999998</v>
      </c>
      <c r="J1013" s="64">
        <f>19.8338 * CHOOSE(CONTROL!$C$22, $C$13, 100%, $E$13)</f>
        <v>19.8338</v>
      </c>
      <c r="K1013" s="64">
        <f>19.8339 * CHOOSE(CONTROL!$C$22, $C$13, 100%, $E$13)</f>
        <v>19.8339</v>
      </c>
    </row>
    <row r="1014" spans="1:11" ht="15">
      <c r="A1014" s="13">
        <v>72352</v>
      </c>
      <c r="B1014" s="63">
        <f>17.6093 * CHOOSE(CONTROL!$C$22, $C$13, 100%, $E$13)</f>
        <v>17.609300000000001</v>
      </c>
      <c r="C1014" s="63">
        <f>17.6093 * CHOOSE(CONTROL!$C$22, $C$13, 100%, $E$13)</f>
        <v>17.609300000000001</v>
      </c>
      <c r="D1014" s="63">
        <f>17.6093 * CHOOSE(CONTROL!$C$22, $C$13, 100%, $E$13)</f>
        <v>17.609300000000001</v>
      </c>
      <c r="E1014" s="64">
        <f>19.473 * CHOOSE(CONTROL!$C$22, $C$13, 100%, $E$13)</f>
        <v>19.472999999999999</v>
      </c>
      <c r="F1014" s="64">
        <f>19.473 * CHOOSE(CONTROL!$C$22, $C$13, 100%, $E$13)</f>
        <v>19.472999999999999</v>
      </c>
      <c r="G1014" s="64">
        <f>19.4731 * CHOOSE(CONTROL!$C$22, $C$13, 100%, $E$13)</f>
        <v>19.473099999999999</v>
      </c>
      <c r="H1014" s="64">
        <f>34.2013* CHOOSE(CONTROL!$C$22, $C$13, 100%, $E$13)</f>
        <v>34.201300000000003</v>
      </c>
      <c r="I1014" s="64">
        <f>34.2014 * CHOOSE(CONTROL!$C$22, $C$13, 100%, $E$13)</f>
        <v>34.2014</v>
      </c>
      <c r="J1014" s="64">
        <f>19.473 * CHOOSE(CONTROL!$C$22, $C$13, 100%, $E$13)</f>
        <v>19.472999999999999</v>
      </c>
      <c r="K1014" s="64">
        <f>19.4731 * CHOOSE(CONTROL!$C$22, $C$13, 100%, $E$13)</f>
        <v>19.473099999999999</v>
      </c>
    </row>
    <row r="1015" spans="1:11" ht="15">
      <c r="A1015" s="13">
        <v>72380</v>
      </c>
      <c r="B1015" s="63">
        <f>17.6062 * CHOOSE(CONTROL!$C$22, $C$13, 100%, $E$13)</f>
        <v>17.606200000000001</v>
      </c>
      <c r="C1015" s="63">
        <f>17.6062 * CHOOSE(CONTROL!$C$22, $C$13, 100%, $E$13)</f>
        <v>17.606200000000001</v>
      </c>
      <c r="D1015" s="63">
        <f>17.6062 * CHOOSE(CONTROL!$C$22, $C$13, 100%, $E$13)</f>
        <v>17.606200000000001</v>
      </c>
      <c r="E1015" s="64">
        <f>19.7537 * CHOOSE(CONTROL!$C$22, $C$13, 100%, $E$13)</f>
        <v>19.753699999999998</v>
      </c>
      <c r="F1015" s="64">
        <f>19.7537 * CHOOSE(CONTROL!$C$22, $C$13, 100%, $E$13)</f>
        <v>19.753699999999998</v>
      </c>
      <c r="G1015" s="64">
        <f>19.7538 * CHOOSE(CONTROL!$C$22, $C$13, 100%, $E$13)</f>
        <v>19.753799999999998</v>
      </c>
      <c r="H1015" s="64">
        <f>34.2725* CHOOSE(CONTROL!$C$22, $C$13, 100%, $E$13)</f>
        <v>34.272500000000001</v>
      </c>
      <c r="I1015" s="64">
        <f>34.2726 * CHOOSE(CONTROL!$C$22, $C$13, 100%, $E$13)</f>
        <v>34.272599999999997</v>
      </c>
      <c r="J1015" s="64">
        <f>19.7537 * CHOOSE(CONTROL!$C$22, $C$13, 100%, $E$13)</f>
        <v>19.753699999999998</v>
      </c>
      <c r="K1015" s="64">
        <f>19.7538 * CHOOSE(CONTROL!$C$22, $C$13, 100%, $E$13)</f>
        <v>19.753799999999998</v>
      </c>
    </row>
    <row r="1016" spans="1:11" ht="15">
      <c r="A1016" s="13">
        <v>72411</v>
      </c>
      <c r="B1016" s="63">
        <f>17.6152 * CHOOSE(CONTROL!$C$22, $C$13, 100%, $E$13)</f>
        <v>17.615200000000002</v>
      </c>
      <c r="C1016" s="63">
        <f>17.6152 * CHOOSE(CONTROL!$C$22, $C$13, 100%, $E$13)</f>
        <v>17.615200000000002</v>
      </c>
      <c r="D1016" s="63">
        <f>17.6152 * CHOOSE(CONTROL!$C$22, $C$13, 100%, $E$13)</f>
        <v>17.615200000000002</v>
      </c>
      <c r="E1016" s="64">
        <f>20.0531 * CHOOSE(CONTROL!$C$22, $C$13, 100%, $E$13)</f>
        <v>20.053100000000001</v>
      </c>
      <c r="F1016" s="64">
        <f>20.0531 * CHOOSE(CONTROL!$C$22, $C$13, 100%, $E$13)</f>
        <v>20.053100000000001</v>
      </c>
      <c r="G1016" s="64">
        <f>20.0532 * CHOOSE(CONTROL!$C$22, $C$13, 100%, $E$13)</f>
        <v>20.0532</v>
      </c>
      <c r="H1016" s="64">
        <f>34.3439* CHOOSE(CONTROL!$C$22, $C$13, 100%, $E$13)</f>
        <v>34.343899999999998</v>
      </c>
      <c r="I1016" s="64">
        <f>34.344 * CHOOSE(CONTROL!$C$22, $C$13, 100%, $E$13)</f>
        <v>34.344000000000001</v>
      </c>
      <c r="J1016" s="64">
        <f>20.0531 * CHOOSE(CONTROL!$C$22, $C$13, 100%, $E$13)</f>
        <v>20.053100000000001</v>
      </c>
      <c r="K1016" s="64">
        <f>20.0532 * CHOOSE(CONTROL!$C$22, $C$13, 100%, $E$13)</f>
        <v>20.0532</v>
      </c>
    </row>
    <row r="1017" spans="1:11" ht="15">
      <c r="A1017" s="13">
        <v>72441</v>
      </c>
      <c r="B1017" s="63">
        <f>17.6152 * CHOOSE(CONTROL!$C$22, $C$13, 100%, $E$13)</f>
        <v>17.615200000000002</v>
      </c>
      <c r="C1017" s="63">
        <f>17.6152 * CHOOSE(CONTROL!$C$22, $C$13, 100%, $E$13)</f>
        <v>17.615200000000002</v>
      </c>
      <c r="D1017" s="63">
        <f>17.6282 * CHOOSE(CONTROL!$C$22, $C$13, 100%, $E$13)</f>
        <v>17.6282</v>
      </c>
      <c r="E1017" s="64">
        <f>20.167 * CHOOSE(CONTROL!$C$22, $C$13, 100%, $E$13)</f>
        <v>20.167000000000002</v>
      </c>
      <c r="F1017" s="64">
        <f>20.167 * CHOOSE(CONTROL!$C$22, $C$13, 100%, $E$13)</f>
        <v>20.167000000000002</v>
      </c>
      <c r="G1017" s="64">
        <f>20.1827 * CHOOSE(CONTROL!$C$22, $C$13, 100%, $E$13)</f>
        <v>20.182700000000001</v>
      </c>
      <c r="H1017" s="64">
        <f>34.4155* CHOOSE(CONTROL!$C$22, $C$13, 100%, $E$13)</f>
        <v>34.415500000000002</v>
      </c>
      <c r="I1017" s="64">
        <f>34.4312 * CHOOSE(CONTROL!$C$22, $C$13, 100%, $E$13)</f>
        <v>34.431199999999997</v>
      </c>
      <c r="J1017" s="64">
        <f>20.167 * CHOOSE(CONTROL!$C$22, $C$13, 100%, $E$13)</f>
        <v>20.167000000000002</v>
      </c>
      <c r="K1017" s="64">
        <f>20.1827 * CHOOSE(CONTROL!$C$22, $C$13, 100%, $E$13)</f>
        <v>20.182700000000001</v>
      </c>
    </row>
    <row r="1018" spans="1:11" ht="15">
      <c r="A1018" s="13">
        <v>72472</v>
      </c>
      <c r="B1018" s="63">
        <f>17.6213 * CHOOSE(CONTROL!$C$22, $C$13, 100%, $E$13)</f>
        <v>17.621300000000002</v>
      </c>
      <c r="C1018" s="63">
        <f>17.6213 * CHOOSE(CONTROL!$C$22, $C$13, 100%, $E$13)</f>
        <v>17.621300000000002</v>
      </c>
      <c r="D1018" s="63">
        <f>17.6343 * CHOOSE(CONTROL!$C$22, $C$13, 100%, $E$13)</f>
        <v>17.6343</v>
      </c>
      <c r="E1018" s="64">
        <f>20.0573 * CHOOSE(CONTROL!$C$22, $C$13, 100%, $E$13)</f>
        <v>20.057300000000001</v>
      </c>
      <c r="F1018" s="64">
        <f>20.0573 * CHOOSE(CONTROL!$C$22, $C$13, 100%, $E$13)</f>
        <v>20.057300000000001</v>
      </c>
      <c r="G1018" s="64">
        <f>20.073 * CHOOSE(CONTROL!$C$22, $C$13, 100%, $E$13)</f>
        <v>20.073</v>
      </c>
      <c r="H1018" s="64">
        <f>34.4872* CHOOSE(CONTROL!$C$22, $C$13, 100%, $E$13)</f>
        <v>34.487200000000001</v>
      </c>
      <c r="I1018" s="64">
        <f>34.5029 * CHOOSE(CONTROL!$C$22, $C$13, 100%, $E$13)</f>
        <v>34.502899999999997</v>
      </c>
      <c r="J1018" s="64">
        <f>20.0573 * CHOOSE(CONTROL!$C$22, $C$13, 100%, $E$13)</f>
        <v>20.057300000000001</v>
      </c>
      <c r="K1018" s="64">
        <f>20.073 * CHOOSE(CONTROL!$C$22, $C$13, 100%, $E$13)</f>
        <v>20.073</v>
      </c>
    </row>
    <row r="1019" spans="1:11" ht="15">
      <c r="A1019" s="13">
        <v>72502</v>
      </c>
      <c r="B1019" s="63">
        <f>17.8861 * CHOOSE(CONTROL!$C$22, $C$13, 100%, $E$13)</f>
        <v>17.886099999999999</v>
      </c>
      <c r="C1019" s="63">
        <f>17.8861 * CHOOSE(CONTROL!$C$22, $C$13, 100%, $E$13)</f>
        <v>17.886099999999999</v>
      </c>
      <c r="D1019" s="63">
        <f>17.8991 * CHOOSE(CONTROL!$C$22, $C$13, 100%, $E$13)</f>
        <v>17.899100000000001</v>
      </c>
      <c r="E1019" s="64">
        <f>20.3735 * CHOOSE(CONTROL!$C$22, $C$13, 100%, $E$13)</f>
        <v>20.3735</v>
      </c>
      <c r="F1019" s="64">
        <f>20.3735 * CHOOSE(CONTROL!$C$22, $C$13, 100%, $E$13)</f>
        <v>20.3735</v>
      </c>
      <c r="G1019" s="64">
        <f>20.3892 * CHOOSE(CONTROL!$C$22, $C$13, 100%, $E$13)</f>
        <v>20.389199999999999</v>
      </c>
      <c r="H1019" s="64">
        <f>34.559* CHOOSE(CONTROL!$C$22, $C$13, 100%, $E$13)</f>
        <v>34.558999999999997</v>
      </c>
      <c r="I1019" s="64">
        <f>34.5747 * CHOOSE(CONTROL!$C$22, $C$13, 100%, $E$13)</f>
        <v>34.5747</v>
      </c>
      <c r="J1019" s="64">
        <f>20.3735 * CHOOSE(CONTROL!$C$22, $C$13, 100%, $E$13)</f>
        <v>20.3735</v>
      </c>
      <c r="K1019" s="64">
        <f>20.3892 * CHOOSE(CONTROL!$C$22, $C$13, 100%, $E$13)</f>
        <v>20.389199999999999</v>
      </c>
    </row>
    <row r="1020" spans="1:11" ht="15">
      <c r="A1020" s="13">
        <v>72533</v>
      </c>
      <c r="B1020" s="63">
        <f>17.8928 * CHOOSE(CONTROL!$C$22, $C$13, 100%, $E$13)</f>
        <v>17.892800000000001</v>
      </c>
      <c r="C1020" s="63">
        <f>17.8928 * CHOOSE(CONTROL!$C$22, $C$13, 100%, $E$13)</f>
        <v>17.892800000000001</v>
      </c>
      <c r="D1020" s="63">
        <f>17.9058 * CHOOSE(CONTROL!$C$22, $C$13, 100%, $E$13)</f>
        <v>17.905799999999999</v>
      </c>
      <c r="E1020" s="64">
        <f>20.0365 * CHOOSE(CONTROL!$C$22, $C$13, 100%, $E$13)</f>
        <v>20.0365</v>
      </c>
      <c r="F1020" s="64">
        <f>20.0365 * CHOOSE(CONTROL!$C$22, $C$13, 100%, $E$13)</f>
        <v>20.0365</v>
      </c>
      <c r="G1020" s="64">
        <f>20.0522 * CHOOSE(CONTROL!$C$22, $C$13, 100%, $E$13)</f>
        <v>20.052199999999999</v>
      </c>
      <c r="H1020" s="64">
        <f>34.631* CHOOSE(CONTROL!$C$22, $C$13, 100%, $E$13)</f>
        <v>34.631</v>
      </c>
      <c r="I1020" s="64">
        <f>34.6467 * CHOOSE(CONTROL!$C$22, $C$13, 100%, $E$13)</f>
        <v>34.646700000000003</v>
      </c>
      <c r="J1020" s="64">
        <f>20.0365 * CHOOSE(CONTROL!$C$22, $C$13, 100%, $E$13)</f>
        <v>20.0365</v>
      </c>
      <c r="K1020" s="64">
        <f>20.0522 * CHOOSE(CONTROL!$C$22, $C$13, 100%, $E$13)</f>
        <v>20.052199999999999</v>
      </c>
    </row>
    <row r="1021" spans="1:11" ht="15">
      <c r="A1021" s="13">
        <v>72564</v>
      </c>
      <c r="B1021" s="63">
        <f>17.8898 * CHOOSE(CONTROL!$C$22, $C$13, 100%, $E$13)</f>
        <v>17.889800000000001</v>
      </c>
      <c r="C1021" s="63">
        <f>17.8898 * CHOOSE(CONTROL!$C$22, $C$13, 100%, $E$13)</f>
        <v>17.889800000000001</v>
      </c>
      <c r="D1021" s="63">
        <f>17.9027 * CHOOSE(CONTROL!$C$22, $C$13, 100%, $E$13)</f>
        <v>17.902699999999999</v>
      </c>
      <c r="E1021" s="64">
        <f>19.9965 * CHOOSE(CONTROL!$C$22, $C$13, 100%, $E$13)</f>
        <v>19.996500000000001</v>
      </c>
      <c r="F1021" s="64">
        <f>19.9965 * CHOOSE(CONTROL!$C$22, $C$13, 100%, $E$13)</f>
        <v>19.996500000000001</v>
      </c>
      <c r="G1021" s="64">
        <f>20.0121 * CHOOSE(CONTROL!$C$22, $C$13, 100%, $E$13)</f>
        <v>20.0121</v>
      </c>
      <c r="H1021" s="64">
        <f>34.7032* CHOOSE(CONTROL!$C$22, $C$13, 100%, $E$13)</f>
        <v>34.703200000000002</v>
      </c>
      <c r="I1021" s="64">
        <f>34.7189 * CHOOSE(CONTROL!$C$22, $C$13, 100%, $E$13)</f>
        <v>34.718899999999998</v>
      </c>
      <c r="J1021" s="64">
        <f>19.9965 * CHOOSE(CONTROL!$C$22, $C$13, 100%, $E$13)</f>
        <v>19.996500000000001</v>
      </c>
      <c r="K1021" s="64">
        <f>20.0121 * CHOOSE(CONTROL!$C$22, $C$13, 100%, $E$13)</f>
        <v>20.0121</v>
      </c>
    </row>
    <row r="1022" spans="1:11" ht="15">
      <c r="A1022" s="13">
        <v>72594</v>
      </c>
      <c r="B1022" s="63">
        <f>17.9294 * CHOOSE(CONTROL!$C$22, $C$13, 100%, $E$13)</f>
        <v>17.929400000000001</v>
      </c>
      <c r="C1022" s="63">
        <f>17.9294 * CHOOSE(CONTROL!$C$22, $C$13, 100%, $E$13)</f>
        <v>17.929400000000001</v>
      </c>
      <c r="D1022" s="63">
        <f>17.9294 * CHOOSE(CONTROL!$C$22, $C$13, 100%, $E$13)</f>
        <v>17.929400000000001</v>
      </c>
      <c r="E1022" s="64">
        <f>20.1349 * CHOOSE(CONTROL!$C$22, $C$13, 100%, $E$13)</f>
        <v>20.134899999999998</v>
      </c>
      <c r="F1022" s="64">
        <f>20.1349 * CHOOSE(CONTROL!$C$22, $C$13, 100%, $E$13)</f>
        <v>20.134899999999998</v>
      </c>
      <c r="G1022" s="64">
        <f>20.1349 * CHOOSE(CONTROL!$C$22, $C$13, 100%, $E$13)</f>
        <v>20.134899999999998</v>
      </c>
      <c r="H1022" s="64">
        <f>34.7755* CHOOSE(CONTROL!$C$22, $C$13, 100%, $E$13)</f>
        <v>34.775500000000001</v>
      </c>
      <c r="I1022" s="64">
        <f>34.7756 * CHOOSE(CONTROL!$C$22, $C$13, 100%, $E$13)</f>
        <v>34.775599999999997</v>
      </c>
      <c r="J1022" s="64">
        <f>20.1349 * CHOOSE(CONTROL!$C$22, $C$13, 100%, $E$13)</f>
        <v>20.134899999999998</v>
      </c>
      <c r="K1022" s="64">
        <f>20.1349 * CHOOSE(CONTROL!$C$22, $C$13, 100%, $E$13)</f>
        <v>20.134899999999998</v>
      </c>
    </row>
    <row r="1023" spans="1:11" ht="15">
      <c r="A1023" s="13">
        <v>72625</v>
      </c>
      <c r="B1023" s="63">
        <f>17.9324 * CHOOSE(CONTROL!$C$22, $C$13, 100%, $E$13)</f>
        <v>17.932400000000001</v>
      </c>
      <c r="C1023" s="63">
        <f>17.9324 * CHOOSE(CONTROL!$C$22, $C$13, 100%, $E$13)</f>
        <v>17.932400000000001</v>
      </c>
      <c r="D1023" s="63">
        <f>17.9324 * CHOOSE(CONTROL!$C$22, $C$13, 100%, $E$13)</f>
        <v>17.932400000000001</v>
      </c>
      <c r="E1023" s="64">
        <f>20.2129 * CHOOSE(CONTROL!$C$22, $C$13, 100%, $E$13)</f>
        <v>20.212900000000001</v>
      </c>
      <c r="F1023" s="64">
        <f>20.2129 * CHOOSE(CONTROL!$C$22, $C$13, 100%, $E$13)</f>
        <v>20.212900000000001</v>
      </c>
      <c r="G1023" s="64">
        <f>20.213 * CHOOSE(CONTROL!$C$22, $C$13, 100%, $E$13)</f>
        <v>20.213000000000001</v>
      </c>
      <c r="H1023" s="64">
        <f>34.8479* CHOOSE(CONTROL!$C$22, $C$13, 100%, $E$13)</f>
        <v>34.847900000000003</v>
      </c>
      <c r="I1023" s="64">
        <f>34.848 * CHOOSE(CONTROL!$C$22, $C$13, 100%, $E$13)</f>
        <v>34.847999999999999</v>
      </c>
      <c r="J1023" s="64">
        <f>20.2129 * CHOOSE(CONTROL!$C$22, $C$13, 100%, $E$13)</f>
        <v>20.212900000000001</v>
      </c>
      <c r="K1023" s="64">
        <f>20.213 * CHOOSE(CONTROL!$C$22, $C$13, 100%, $E$13)</f>
        <v>20.213000000000001</v>
      </c>
    </row>
    <row r="1024" spans="1:11" ht="15">
      <c r="A1024" s="13">
        <v>72655</v>
      </c>
      <c r="B1024" s="63">
        <f>17.9324 * CHOOSE(CONTROL!$C$22, $C$13, 100%, $E$13)</f>
        <v>17.932400000000001</v>
      </c>
      <c r="C1024" s="63">
        <f>17.9324 * CHOOSE(CONTROL!$C$22, $C$13, 100%, $E$13)</f>
        <v>17.932400000000001</v>
      </c>
      <c r="D1024" s="63">
        <f>17.9324 * CHOOSE(CONTROL!$C$22, $C$13, 100%, $E$13)</f>
        <v>17.932400000000001</v>
      </c>
      <c r="E1024" s="64">
        <f>20.0231 * CHOOSE(CONTROL!$C$22, $C$13, 100%, $E$13)</f>
        <v>20.023099999999999</v>
      </c>
      <c r="F1024" s="64">
        <f>20.0231 * CHOOSE(CONTROL!$C$22, $C$13, 100%, $E$13)</f>
        <v>20.023099999999999</v>
      </c>
      <c r="G1024" s="64">
        <f>20.0232 * CHOOSE(CONTROL!$C$22, $C$13, 100%, $E$13)</f>
        <v>20.023199999999999</v>
      </c>
      <c r="H1024" s="64">
        <f>34.9205* CHOOSE(CONTROL!$C$22, $C$13, 100%, $E$13)</f>
        <v>34.920499999999997</v>
      </c>
      <c r="I1024" s="64">
        <f>34.9206 * CHOOSE(CONTROL!$C$22, $C$13, 100%, $E$13)</f>
        <v>34.9206</v>
      </c>
      <c r="J1024" s="64">
        <f>20.0231 * CHOOSE(CONTROL!$C$22, $C$13, 100%, $E$13)</f>
        <v>20.023099999999999</v>
      </c>
      <c r="K1024" s="64">
        <f>20.0232 * CHOOSE(CONTROL!$C$22, $C$13, 100%, $E$13)</f>
        <v>20.023199999999999</v>
      </c>
    </row>
    <row r="1025" spans="1:11" ht="15">
      <c r="A1025" s="13">
        <v>72686</v>
      </c>
      <c r="B1025" s="63">
        <f>17.8479 * CHOOSE(CONTROL!$C$22, $C$13, 100%, $E$13)</f>
        <v>17.847899999999999</v>
      </c>
      <c r="C1025" s="63">
        <f>17.8479 * CHOOSE(CONTROL!$C$22, $C$13, 100%, $E$13)</f>
        <v>17.847899999999999</v>
      </c>
      <c r="D1025" s="63">
        <f>17.8479 * CHOOSE(CONTROL!$C$22, $C$13, 100%, $E$13)</f>
        <v>17.847899999999999</v>
      </c>
      <c r="E1025" s="64">
        <f>20.0886 * CHOOSE(CONTROL!$C$22, $C$13, 100%, $E$13)</f>
        <v>20.0886</v>
      </c>
      <c r="F1025" s="64">
        <f>20.0886 * CHOOSE(CONTROL!$C$22, $C$13, 100%, $E$13)</f>
        <v>20.0886</v>
      </c>
      <c r="G1025" s="64">
        <f>20.0886 * CHOOSE(CONTROL!$C$22, $C$13, 100%, $E$13)</f>
        <v>20.0886</v>
      </c>
      <c r="H1025" s="64">
        <f>34.5761* CHOOSE(CONTROL!$C$22, $C$13, 100%, $E$13)</f>
        <v>34.576099999999997</v>
      </c>
      <c r="I1025" s="64">
        <f>34.5761 * CHOOSE(CONTROL!$C$22, $C$13, 100%, $E$13)</f>
        <v>34.576099999999997</v>
      </c>
      <c r="J1025" s="64">
        <f>20.0886 * CHOOSE(CONTROL!$C$22, $C$13, 100%, $E$13)</f>
        <v>20.0886</v>
      </c>
      <c r="K1025" s="64">
        <f>20.0886 * CHOOSE(CONTROL!$C$22, $C$13, 100%, $E$13)</f>
        <v>20.0886</v>
      </c>
    </row>
    <row r="1026" spans="1:11" ht="15">
      <c r="A1026" s="13">
        <v>72717</v>
      </c>
      <c r="B1026" s="63">
        <f>17.8448 * CHOOSE(CONTROL!$C$22, $C$13, 100%, $E$13)</f>
        <v>17.844799999999999</v>
      </c>
      <c r="C1026" s="63">
        <f>17.8448 * CHOOSE(CONTROL!$C$22, $C$13, 100%, $E$13)</f>
        <v>17.844799999999999</v>
      </c>
      <c r="D1026" s="63">
        <f>17.8448 * CHOOSE(CONTROL!$C$22, $C$13, 100%, $E$13)</f>
        <v>17.844799999999999</v>
      </c>
      <c r="E1026" s="64">
        <f>19.7228 * CHOOSE(CONTROL!$C$22, $C$13, 100%, $E$13)</f>
        <v>19.722799999999999</v>
      </c>
      <c r="F1026" s="64">
        <f>19.7228 * CHOOSE(CONTROL!$C$22, $C$13, 100%, $E$13)</f>
        <v>19.722799999999999</v>
      </c>
      <c r="G1026" s="64">
        <f>19.7229 * CHOOSE(CONTROL!$C$22, $C$13, 100%, $E$13)</f>
        <v>19.722899999999999</v>
      </c>
      <c r="H1026" s="64">
        <f>34.6481* CHOOSE(CONTROL!$C$22, $C$13, 100%, $E$13)</f>
        <v>34.648099999999999</v>
      </c>
      <c r="I1026" s="64">
        <f>34.6482 * CHOOSE(CONTROL!$C$22, $C$13, 100%, $E$13)</f>
        <v>34.648200000000003</v>
      </c>
      <c r="J1026" s="64">
        <f>19.7228 * CHOOSE(CONTROL!$C$22, $C$13, 100%, $E$13)</f>
        <v>19.722799999999999</v>
      </c>
      <c r="K1026" s="64">
        <f>19.7229 * CHOOSE(CONTROL!$C$22, $C$13, 100%, $E$13)</f>
        <v>19.722899999999999</v>
      </c>
    </row>
    <row r="1027" spans="1:11" ht="15">
      <c r="A1027" s="13">
        <v>72745</v>
      </c>
      <c r="B1027" s="63">
        <f>17.8418 * CHOOSE(CONTROL!$C$22, $C$13, 100%, $E$13)</f>
        <v>17.841799999999999</v>
      </c>
      <c r="C1027" s="63">
        <f>17.8418 * CHOOSE(CONTROL!$C$22, $C$13, 100%, $E$13)</f>
        <v>17.841799999999999</v>
      </c>
      <c r="D1027" s="63">
        <f>17.8418 * CHOOSE(CONTROL!$C$22, $C$13, 100%, $E$13)</f>
        <v>17.841799999999999</v>
      </c>
      <c r="E1027" s="64">
        <f>20.0074 * CHOOSE(CONTROL!$C$22, $C$13, 100%, $E$13)</f>
        <v>20.007400000000001</v>
      </c>
      <c r="F1027" s="64">
        <f>20.0074 * CHOOSE(CONTROL!$C$22, $C$13, 100%, $E$13)</f>
        <v>20.007400000000001</v>
      </c>
      <c r="G1027" s="64">
        <f>20.0074 * CHOOSE(CONTROL!$C$22, $C$13, 100%, $E$13)</f>
        <v>20.007400000000001</v>
      </c>
      <c r="H1027" s="64">
        <f>34.7203* CHOOSE(CONTROL!$C$22, $C$13, 100%, $E$13)</f>
        <v>34.720300000000002</v>
      </c>
      <c r="I1027" s="64">
        <f>34.7204 * CHOOSE(CONTROL!$C$22, $C$13, 100%, $E$13)</f>
        <v>34.720399999999998</v>
      </c>
      <c r="J1027" s="64">
        <f>20.0074 * CHOOSE(CONTROL!$C$22, $C$13, 100%, $E$13)</f>
        <v>20.007400000000001</v>
      </c>
      <c r="K1027" s="64">
        <f>20.0074 * CHOOSE(CONTROL!$C$22, $C$13, 100%, $E$13)</f>
        <v>20.007400000000001</v>
      </c>
    </row>
    <row r="1028" spans="1:11" ht="15">
      <c r="A1028" s="13">
        <v>72776</v>
      </c>
      <c r="B1028" s="63">
        <f>17.851 * CHOOSE(CONTROL!$C$22, $C$13, 100%, $E$13)</f>
        <v>17.850999999999999</v>
      </c>
      <c r="C1028" s="63">
        <f>17.851 * CHOOSE(CONTROL!$C$22, $C$13, 100%, $E$13)</f>
        <v>17.850999999999999</v>
      </c>
      <c r="D1028" s="63">
        <f>17.851 * CHOOSE(CONTROL!$C$22, $C$13, 100%, $E$13)</f>
        <v>17.850999999999999</v>
      </c>
      <c r="E1028" s="64">
        <f>20.311 * CHOOSE(CONTROL!$C$22, $C$13, 100%, $E$13)</f>
        <v>20.311</v>
      </c>
      <c r="F1028" s="64">
        <f>20.311 * CHOOSE(CONTROL!$C$22, $C$13, 100%, $E$13)</f>
        <v>20.311</v>
      </c>
      <c r="G1028" s="64">
        <f>20.311 * CHOOSE(CONTROL!$C$22, $C$13, 100%, $E$13)</f>
        <v>20.311</v>
      </c>
      <c r="H1028" s="64">
        <f>34.7926* CHOOSE(CONTROL!$C$22, $C$13, 100%, $E$13)</f>
        <v>34.7926</v>
      </c>
      <c r="I1028" s="64">
        <f>34.7927 * CHOOSE(CONTROL!$C$22, $C$13, 100%, $E$13)</f>
        <v>34.792700000000004</v>
      </c>
      <c r="J1028" s="64">
        <f>20.311 * CHOOSE(CONTROL!$C$22, $C$13, 100%, $E$13)</f>
        <v>20.311</v>
      </c>
      <c r="K1028" s="64">
        <f>20.311 * CHOOSE(CONTROL!$C$22, $C$13, 100%, $E$13)</f>
        <v>20.311</v>
      </c>
    </row>
    <row r="1029" spans="1:11" ht="15">
      <c r="A1029" s="13">
        <v>72806</v>
      </c>
      <c r="B1029" s="63">
        <f>17.851 * CHOOSE(CONTROL!$C$22, $C$13, 100%, $E$13)</f>
        <v>17.850999999999999</v>
      </c>
      <c r="C1029" s="63">
        <f>17.851 * CHOOSE(CONTROL!$C$22, $C$13, 100%, $E$13)</f>
        <v>17.850999999999999</v>
      </c>
      <c r="D1029" s="63">
        <f>17.864 * CHOOSE(CONTROL!$C$22, $C$13, 100%, $E$13)</f>
        <v>17.864000000000001</v>
      </c>
      <c r="E1029" s="64">
        <f>20.4264 * CHOOSE(CONTROL!$C$22, $C$13, 100%, $E$13)</f>
        <v>20.426400000000001</v>
      </c>
      <c r="F1029" s="64">
        <f>20.4264 * CHOOSE(CONTROL!$C$22, $C$13, 100%, $E$13)</f>
        <v>20.426400000000001</v>
      </c>
      <c r="G1029" s="64">
        <f>20.4421 * CHOOSE(CONTROL!$C$22, $C$13, 100%, $E$13)</f>
        <v>20.4421</v>
      </c>
      <c r="H1029" s="64">
        <f>34.8651* CHOOSE(CONTROL!$C$22, $C$13, 100%, $E$13)</f>
        <v>34.865099999999998</v>
      </c>
      <c r="I1029" s="64">
        <f>34.8808 * CHOOSE(CONTROL!$C$22, $C$13, 100%, $E$13)</f>
        <v>34.880800000000001</v>
      </c>
      <c r="J1029" s="64">
        <f>20.4264 * CHOOSE(CONTROL!$C$22, $C$13, 100%, $E$13)</f>
        <v>20.426400000000001</v>
      </c>
      <c r="K1029" s="64">
        <f>20.4421 * CHOOSE(CONTROL!$C$22, $C$13, 100%, $E$13)</f>
        <v>20.4421</v>
      </c>
    </row>
    <row r="1030" spans="1:11" ht="15">
      <c r="A1030" s="13">
        <v>72837</v>
      </c>
      <c r="B1030" s="63">
        <f>17.8571 * CHOOSE(CONTROL!$C$22, $C$13, 100%, $E$13)</f>
        <v>17.857099999999999</v>
      </c>
      <c r="C1030" s="63">
        <f>17.8571 * CHOOSE(CONTROL!$C$22, $C$13, 100%, $E$13)</f>
        <v>17.857099999999999</v>
      </c>
      <c r="D1030" s="63">
        <f>17.8701 * CHOOSE(CONTROL!$C$22, $C$13, 100%, $E$13)</f>
        <v>17.870100000000001</v>
      </c>
      <c r="E1030" s="64">
        <f>20.3152 * CHOOSE(CONTROL!$C$22, $C$13, 100%, $E$13)</f>
        <v>20.315200000000001</v>
      </c>
      <c r="F1030" s="64">
        <f>20.3152 * CHOOSE(CONTROL!$C$22, $C$13, 100%, $E$13)</f>
        <v>20.315200000000001</v>
      </c>
      <c r="G1030" s="64">
        <f>20.3309 * CHOOSE(CONTROL!$C$22, $C$13, 100%, $E$13)</f>
        <v>20.3309</v>
      </c>
      <c r="H1030" s="64">
        <f>34.9377* CHOOSE(CONTROL!$C$22, $C$13, 100%, $E$13)</f>
        <v>34.9377</v>
      </c>
      <c r="I1030" s="64">
        <f>34.9534 * CHOOSE(CONTROL!$C$22, $C$13, 100%, $E$13)</f>
        <v>34.953400000000002</v>
      </c>
      <c r="J1030" s="64">
        <f>20.3152 * CHOOSE(CONTROL!$C$22, $C$13, 100%, $E$13)</f>
        <v>20.315200000000001</v>
      </c>
      <c r="K1030" s="64">
        <f>20.3309 * CHOOSE(CONTROL!$C$22, $C$13, 100%, $E$13)</f>
        <v>20.3309</v>
      </c>
    </row>
    <row r="1031" spans="1:11" ht="15">
      <c r="A1031" s="13">
        <v>72867</v>
      </c>
      <c r="B1031" s="63">
        <f>18.1253 * CHOOSE(CONTROL!$C$22, $C$13, 100%, $E$13)</f>
        <v>18.125299999999999</v>
      </c>
      <c r="C1031" s="63">
        <f>18.1253 * CHOOSE(CONTROL!$C$22, $C$13, 100%, $E$13)</f>
        <v>18.125299999999999</v>
      </c>
      <c r="D1031" s="63">
        <f>18.1383 * CHOOSE(CONTROL!$C$22, $C$13, 100%, $E$13)</f>
        <v>18.138300000000001</v>
      </c>
      <c r="E1031" s="64">
        <f>20.6353 * CHOOSE(CONTROL!$C$22, $C$13, 100%, $E$13)</f>
        <v>20.635300000000001</v>
      </c>
      <c r="F1031" s="64">
        <f>20.6353 * CHOOSE(CONTROL!$C$22, $C$13, 100%, $E$13)</f>
        <v>20.635300000000001</v>
      </c>
      <c r="G1031" s="64">
        <f>20.6509 * CHOOSE(CONTROL!$C$22, $C$13, 100%, $E$13)</f>
        <v>20.6509</v>
      </c>
      <c r="H1031" s="64">
        <f>35.0105* CHOOSE(CONTROL!$C$22, $C$13, 100%, $E$13)</f>
        <v>35.0105</v>
      </c>
      <c r="I1031" s="64">
        <f>35.0262 * CHOOSE(CONTROL!$C$22, $C$13, 100%, $E$13)</f>
        <v>35.026200000000003</v>
      </c>
      <c r="J1031" s="64">
        <f>20.6353 * CHOOSE(CONTROL!$C$22, $C$13, 100%, $E$13)</f>
        <v>20.635300000000001</v>
      </c>
      <c r="K1031" s="64">
        <f>20.6509 * CHOOSE(CONTROL!$C$22, $C$13, 100%, $E$13)</f>
        <v>20.6509</v>
      </c>
    </row>
    <row r="1032" spans="1:11" ht="15">
      <c r="A1032" s="13">
        <v>72898</v>
      </c>
      <c r="B1032" s="63">
        <f>18.132 * CHOOSE(CONTROL!$C$22, $C$13, 100%, $E$13)</f>
        <v>18.132000000000001</v>
      </c>
      <c r="C1032" s="63">
        <f>18.132 * CHOOSE(CONTROL!$C$22, $C$13, 100%, $E$13)</f>
        <v>18.132000000000001</v>
      </c>
      <c r="D1032" s="63">
        <f>18.145 * CHOOSE(CONTROL!$C$22, $C$13, 100%, $E$13)</f>
        <v>18.145</v>
      </c>
      <c r="E1032" s="64">
        <f>20.2936 * CHOOSE(CONTROL!$C$22, $C$13, 100%, $E$13)</f>
        <v>20.293600000000001</v>
      </c>
      <c r="F1032" s="64">
        <f>20.2936 * CHOOSE(CONTROL!$C$22, $C$13, 100%, $E$13)</f>
        <v>20.293600000000001</v>
      </c>
      <c r="G1032" s="64">
        <f>20.3093 * CHOOSE(CONTROL!$C$22, $C$13, 100%, $E$13)</f>
        <v>20.3093</v>
      </c>
      <c r="H1032" s="64">
        <f>35.0835* CHOOSE(CONTROL!$C$22, $C$13, 100%, $E$13)</f>
        <v>35.083500000000001</v>
      </c>
      <c r="I1032" s="64">
        <f>35.0991 * CHOOSE(CONTROL!$C$22, $C$13, 100%, $E$13)</f>
        <v>35.0991</v>
      </c>
      <c r="J1032" s="64">
        <f>20.2936 * CHOOSE(CONTROL!$C$22, $C$13, 100%, $E$13)</f>
        <v>20.293600000000001</v>
      </c>
      <c r="K1032" s="64">
        <f>20.3093 * CHOOSE(CONTROL!$C$22, $C$13, 100%, $E$13)</f>
        <v>20.3093</v>
      </c>
    </row>
    <row r="1033" spans="1:11" ht="15">
      <c r="A1033" s="13">
        <v>72929</v>
      </c>
      <c r="B1033" s="63">
        <f>18.1289 * CHOOSE(CONTROL!$C$22, $C$13, 100%, $E$13)</f>
        <v>18.128900000000002</v>
      </c>
      <c r="C1033" s="63">
        <f>18.1289 * CHOOSE(CONTROL!$C$22, $C$13, 100%, $E$13)</f>
        <v>18.128900000000002</v>
      </c>
      <c r="D1033" s="63">
        <f>18.1419 * CHOOSE(CONTROL!$C$22, $C$13, 100%, $E$13)</f>
        <v>18.1419</v>
      </c>
      <c r="E1033" s="64">
        <f>20.253 * CHOOSE(CONTROL!$C$22, $C$13, 100%, $E$13)</f>
        <v>20.253</v>
      </c>
      <c r="F1033" s="64">
        <f>20.253 * CHOOSE(CONTROL!$C$22, $C$13, 100%, $E$13)</f>
        <v>20.253</v>
      </c>
      <c r="G1033" s="64">
        <f>20.2687 * CHOOSE(CONTROL!$C$22, $C$13, 100%, $E$13)</f>
        <v>20.268699999999999</v>
      </c>
      <c r="H1033" s="64">
        <f>35.1565* CHOOSE(CONTROL!$C$22, $C$13, 100%, $E$13)</f>
        <v>35.156500000000001</v>
      </c>
      <c r="I1033" s="64">
        <f>35.1722 * CHOOSE(CONTROL!$C$22, $C$13, 100%, $E$13)</f>
        <v>35.172199999999997</v>
      </c>
      <c r="J1033" s="64">
        <f>20.253 * CHOOSE(CONTROL!$C$22, $C$13, 100%, $E$13)</f>
        <v>20.253</v>
      </c>
      <c r="K1033" s="64">
        <f>20.2687 * CHOOSE(CONTROL!$C$22, $C$13, 100%, $E$13)</f>
        <v>20.268699999999999</v>
      </c>
    </row>
    <row r="1034" spans="1:11" ht="15">
      <c r="A1034" s="13">
        <v>72959</v>
      </c>
      <c r="B1034" s="63">
        <f>18.1693 * CHOOSE(CONTROL!$C$22, $C$13, 100%, $E$13)</f>
        <v>18.1693</v>
      </c>
      <c r="C1034" s="63">
        <f>18.1693 * CHOOSE(CONTROL!$C$22, $C$13, 100%, $E$13)</f>
        <v>18.1693</v>
      </c>
      <c r="D1034" s="63">
        <f>18.1693 * CHOOSE(CONTROL!$C$22, $C$13, 100%, $E$13)</f>
        <v>18.1693</v>
      </c>
      <c r="E1034" s="64">
        <f>20.3935 * CHOOSE(CONTROL!$C$22, $C$13, 100%, $E$13)</f>
        <v>20.3935</v>
      </c>
      <c r="F1034" s="64">
        <f>20.3935 * CHOOSE(CONTROL!$C$22, $C$13, 100%, $E$13)</f>
        <v>20.3935</v>
      </c>
      <c r="G1034" s="64">
        <f>20.3936 * CHOOSE(CONTROL!$C$22, $C$13, 100%, $E$13)</f>
        <v>20.393599999999999</v>
      </c>
      <c r="H1034" s="64">
        <f>35.2298* CHOOSE(CONTROL!$C$22, $C$13, 100%, $E$13)</f>
        <v>35.229799999999997</v>
      </c>
      <c r="I1034" s="64">
        <f>35.2299 * CHOOSE(CONTROL!$C$22, $C$13, 100%, $E$13)</f>
        <v>35.229900000000001</v>
      </c>
      <c r="J1034" s="64">
        <f>20.3935 * CHOOSE(CONTROL!$C$22, $C$13, 100%, $E$13)</f>
        <v>20.3935</v>
      </c>
      <c r="K1034" s="64">
        <f>20.3936 * CHOOSE(CONTROL!$C$22, $C$13, 100%, $E$13)</f>
        <v>20.393599999999999</v>
      </c>
    </row>
    <row r="1035" spans="1:11" ht="15">
      <c r="A1035" s="13">
        <v>72990</v>
      </c>
      <c r="B1035" s="63">
        <f>18.1724 * CHOOSE(CONTROL!$C$22, $C$13, 100%, $E$13)</f>
        <v>18.1724</v>
      </c>
      <c r="C1035" s="63">
        <f>18.1724 * CHOOSE(CONTROL!$C$22, $C$13, 100%, $E$13)</f>
        <v>18.1724</v>
      </c>
      <c r="D1035" s="63">
        <f>18.1724 * CHOOSE(CONTROL!$C$22, $C$13, 100%, $E$13)</f>
        <v>18.1724</v>
      </c>
      <c r="E1035" s="64">
        <f>20.4726 * CHOOSE(CONTROL!$C$22, $C$13, 100%, $E$13)</f>
        <v>20.4726</v>
      </c>
      <c r="F1035" s="64">
        <f>20.4726 * CHOOSE(CONTROL!$C$22, $C$13, 100%, $E$13)</f>
        <v>20.4726</v>
      </c>
      <c r="G1035" s="64">
        <f>20.4727 * CHOOSE(CONTROL!$C$22, $C$13, 100%, $E$13)</f>
        <v>20.4727</v>
      </c>
      <c r="H1035" s="64">
        <f>35.3032* CHOOSE(CONTROL!$C$22, $C$13, 100%, $E$13)</f>
        <v>35.303199999999997</v>
      </c>
      <c r="I1035" s="64">
        <f>35.3033 * CHOOSE(CONTROL!$C$22, $C$13, 100%, $E$13)</f>
        <v>35.3033</v>
      </c>
      <c r="J1035" s="64">
        <f>20.4726 * CHOOSE(CONTROL!$C$22, $C$13, 100%, $E$13)</f>
        <v>20.4726</v>
      </c>
      <c r="K1035" s="64">
        <f>20.4727 * CHOOSE(CONTROL!$C$22, $C$13, 100%, $E$13)</f>
        <v>20.4727</v>
      </c>
    </row>
    <row r="1036" spans="1:11" ht="15">
      <c r="A1036" s="13">
        <v>73020</v>
      </c>
      <c r="B1036" s="63">
        <f>18.1724 * CHOOSE(CONTROL!$C$22, $C$13, 100%, $E$13)</f>
        <v>18.1724</v>
      </c>
      <c r="C1036" s="63">
        <f>18.1724 * CHOOSE(CONTROL!$C$22, $C$13, 100%, $E$13)</f>
        <v>18.1724</v>
      </c>
      <c r="D1036" s="63">
        <f>18.1724 * CHOOSE(CONTROL!$C$22, $C$13, 100%, $E$13)</f>
        <v>18.1724</v>
      </c>
      <c r="E1036" s="64">
        <f>20.2802 * CHOOSE(CONTROL!$C$22, $C$13, 100%, $E$13)</f>
        <v>20.280200000000001</v>
      </c>
      <c r="F1036" s="64">
        <f>20.2802 * CHOOSE(CONTROL!$C$22, $C$13, 100%, $E$13)</f>
        <v>20.280200000000001</v>
      </c>
      <c r="G1036" s="64">
        <f>20.2803 * CHOOSE(CONTROL!$C$22, $C$13, 100%, $E$13)</f>
        <v>20.2803</v>
      </c>
      <c r="H1036" s="64">
        <f>35.3767* CHOOSE(CONTROL!$C$22, $C$13, 100%, $E$13)</f>
        <v>35.3767</v>
      </c>
      <c r="I1036" s="64">
        <f>35.3768 * CHOOSE(CONTROL!$C$22, $C$13, 100%, $E$13)</f>
        <v>35.376800000000003</v>
      </c>
      <c r="J1036" s="64">
        <f>20.2802 * CHOOSE(CONTROL!$C$22, $C$13, 100%, $E$13)</f>
        <v>20.280200000000001</v>
      </c>
      <c r="K1036" s="64">
        <f>20.2803 * CHOOSE(CONTROL!$C$22, $C$13, 100%, $E$13)</f>
        <v>20.2803</v>
      </c>
    </row>
    <row r="1037" spans="1:11" ht="15">
      <c r="A1037" s="13">
        <v>73051</v>
      </c>
      <c r="B1037" s="63">
        <f>18.0834 * CHOOSE(CONTROL!$C$22, $C$13, 100%, $E$13)</f>
        <v>18.083400000000001</v>
      </c>
      <c r="C1037" s="63">
        <f>18.0834 * CHOOSE(CONTROL!$C$22, $C$13, 100%, $E$13)</f>
        <v>18.083400000000001</v>
      </c>
      <c r="D1037" s="63">
        <f>18.0834 * CHOOSE(CONTROL!$C$22, $C$13, 100%, $E$13)</f>
        <v>18.083400000000001</v>
      </c>
      <c r="E1037" s="64">
        <f>20.3433 * CHOOSE(CONTROL!$C$22, $C$13, 100%, $E$13)</f>
        <v>20.343299999999999</v>
      </c>
      <c r="F1037" s="64">
        <f>20.3433 * CHOOSE(CONTROL!$C$22, $C$13, 100%, $E$13)</f>
        <v>20.343299999999999</v>
      </c>
      <c r="G1037" s="64">
        <f>20.3434 * CHOOSE(CONTROL!$C$22, $C$13, 100%, $E$13)</f>
        <v>20.343399999999999</v>
      </c>
      <c r="H1037" s="64">
        <f>35.022* CHOOSE(CONTROL!$C$22, $C$13, 100%, $E$13)</f>
        <v>35.021999999999998</v>
      </c>
      <c r="I1037" s="64">
        <f>35.022 * CHOOSE(CONTROL!$C$22, $C$13, 100%, $E$13)</f>
        <v>35.021999999999998</v>
      </c>
      <c r="J1037" s="64">
        <f>20.3433 * CHOOSE(CONTROL!$C$22, $C$13, 100%, $E$13)</f>
        <v>20.343299999999999</v>
      </c>
      <c r="K1037" s="64">
        <f>20.3434 * CHOOSE(CONTROL!$C$22, $C$13, 100%, $E$13)</f>
        <v>20.343399999999999</v>
      </c>
    </row>
    <row r="1038" spans="1:11" ht="15">
      <c r="A1038" s="13">
        <v>73082</v>
      </c>
      <c r="B1038" s="63">
        <f>18.0804 * CHOOSE(CONTROL!$C$22, $C$13, 100%, $E$13)</f>
        <v>18.080400000000001</v>
      </c>
      <c r="C1038" s="63">
        <f>18.0804 * CHOOSE(CONTROL!$C$22, $C$13, 100%, $E$13)</f>
        <v>18.080400000000001</v>
      </c>
      <c r="D1038" s="63">
        <f>18.0804 * CHOOSE(CONTROL!$C$22, $C$13, 100%, $E$13)</f>
        <v>18.080400000000001</v>
      </c>
      <c r="E1038" s="64">
        <f>19.9726 * CHOOSE(CONTROL!$C$22, $C$13, 100%, $E$13)</f>
        <v>19.9726</v>
      </c>
      <c r="F1038" s="64">
        <f>19.9726 * CHOOSE(CONTROL!$C$22, $C$13, 100%, $E$13)</f>
        <v>19.9726</v>
      </c>
      <c r="G1038" s="64">
        <f>19.9727 * CHOOSE(CONTROL!$C$22, $C$13, 100%, $E$13)</f>
        <v>19.9727</v>
      </c>
      <c r="H1038" s="64">
        <f>35.0949* CHOOSE(CONTROL!$C$22, $C$13, 100%, $E$13)</f>
        <v>35.094900000000003</v>
      </c>
      <c r="I1038" s="64">
        <f>35.095 * CHOOSE(CONTROL!$C$22, $C$13, 100%, $E$13)</f>
        <v>35.094999999999999</v>
      </c>
      <c r="J1038" s="64">
        <f>19.9726 * CHOOSE(CONTROL!$C$22, $C$13, 100%, $E$13)</f>
        <v>19.9726</v>
      </c>
      <c r="K1038" s="64">
        <f>19.9727 * CHOOSE(CONTROL!$C$22, $C$13, 100%, $E$13)</f>
        <v>19.9727</v>
      </c>
    </row>
    <row r="1039" spans="1:11" ht="15">
      <c r="A1039" s="13">
        <v>73110</v>
      </c>
      <c r="B1039" s="63">
        <f>18.0774 * CHOOSE(CONTROL!$C$22, $C$13, 100%, $E$13)</f>
        <v>18.077400000000001</v>
      </c>
      <c r="C1039" s="63">
        <f>18.0774 * CHOOSE(CONTROL!$C$22, $C$13, 100%, $E$13)</f>
        <v>18.077400000000001</v>
      </c>
      <c r="D1039" s="63">
        <f>18.0774 * CHOOSE(CONTROL!$C$22, $C$13, 100%, $E$13)</f>
        <v>18.077400000000001</v>
      </c>
      <c r="E1039" s="64">
        <f>20.261 * CHOOSE(CONTROL!$C$22, $C$13, 100%, $E$13)</f>
        <v>20.260999999999999</v>
      </c>
      <c r="F1039" s="64">
        <f>20.261 * CHOOSE(CONTROL!$C$22, $C$13, 100%, $E$13)</f>
        <v>20.260999999999999</v>
      </c>
      <c r="G1039" s="64">
        <f>20.2611 * CHOOSE(CONTROL!$C$22, $C$13, 100%, $E$13)</f>
        <v>20.261099999999999</v>
      </c>
      <c r="H1039" s="64">
        <f>35.168* CHOOSE(CONTROL!$C$22, $C$13, 100%, $E$13)</f>
        <v>35.167999999999999</v>
      </c>
      <c r="I1039" s="64">
        <f>35.1681 * CHOOSE(CONTROL!$C$22, $C$13, 100%, $E$13)</f>
        <v>35.168100000000003</v>
      </c>
      <c r="J1039" s="64">
        <f>20.261 * CHOOSE(CONTROL!$C$22, $C$13, 100%, $E$13)</f>
        <v>20.260999999999999</v>
      </c>
      <c r="K1039" s="64">
        <f>20.2611 * CHOOSE(CONTROL!$C$22, $C$13, 100%, $E$13)</f>
        <v>20.261099999999999</v>
      </c>
    </row>
    <row r="1040" spans="1:11" ht="15">
      <c r="A1040" s="13">
        <v>73141</v>
      </c>
      <c r="B1040" s="63">
        <f>18.0868 * CHOOSE(CONTROL!$C$22, $C$13, 100%, $E$13)</f>
        <v>18.0868</v>
      </c>
      <c r="C1040" s="63">
        <f>18.0868 * CHOOSE(CONTROL!$C$22, $C$13, 100%, $E$13)</f>
        <v>18.0868</v>
      </c>
      <c r="D1040" s="63">
        <f>18.0868 * CHOOSE(CONTROL!$C$22, $C$13, 100%, $E$13)</f>
        <v>18.0868</v>
      </c>
      <c r="E1040" s="64">
        <f>20.5688 * CHOOSE(CONTROL!$C$22, $C$13, 100%, $E$13)</f>
        <v>20.5688</v>
      </c>
      <c r="F1040" s="64">
        <f>20.5688 * CHOOSE(CONTROL!$C$22, $C$13, 100%, $E$13)</f>
        <v>20.5688</v>
      </c>
      <c r="G1040" s="64">
        <f>20.5689 * CHOOSE(CONTROL!$C$22, $C$13, 100%, $E$13)</f>
        <v>20.568899999999999</v>
      </c>
      <c r="H1040" s="64">
        <f>35.2413* CHOOSE(CONTROL!$C$22, $C$13, 100%, $E$13)</f>
        <v>35.241300000000003</v>
      </c>
      <c r="I1040" s="64">
        <f>35.2414 * CHOOSE(CONTROL!$C$22, $C$13, 100%, $E$13)</f>
        <v>35.241399999999999</v>
      </c>
      <c r="J1040" s="64">
        <f>20.5688 * CHOOSE(CONTROL!$C$22, $C$13, 100%, $E$13)</f>
        <v>20.5688</v>
      </c>
      <c r="K1040" s="64">
        <f>20.5689 * CHOOSE(CONTROL!$C$22, $C$13, 100%, $E$13)</f>
        <v>20.568899999999999</v>
      </c>
    </row>
    <row r="1041" spans="1:11" ht="15">
      <c r="A1041" s="13">
        <v>73171</v>
      </c>
      <c r="B1041" s="63">
        <f>18.0868 * CHOOSE(CONTROL!$C$22, $C$13, 100%, $E$13)</f>
        <v>18.0868</v>
      </c>
      <c r="C1041" s="63">
        <f>18.0868 * CHOOSE(CONTROL!$C$22, $C$13, 100%, $E$13)</f>
        <v>18.0868</v>
      </c>
      <c r="D1041" s="63">
        <f>18.0997 * CHOOSE(CONTROL!$C$22, $C$13, 100%, $E$13)</f>
        <v>18.099699999999999</v>
      </c>
      <c r="E1041" s="64">
        <f>20.6858 * CHOOSE(CONTROL!$C$22, $C$13, 100%, $E$13)</f>
        <v>20.6858</v>
      </c>
      <c r="F1041" s="64">
        <f>20.6858 * CHOOSE(CONTROL!$C$22, $C$13, 100%, $E$13)</f>
        <v>20.6858</v>
      </c>
      <c r="G1041" s="64">
        <f>20.7015 * CHOOSE(CONTROL!$C$22, $C$13, 100%, $E$13)</f>
        <v>20.701499999999999</v>
      </c>
      <c r="H1041" s="64">
        <f>35.3147* CHOOSE(CONTROL!$C$22, $C$13, 100%, $E$13)</f>
        <v>35.314700000000002</v>
      </c>
      <c r="I1041" s="64">
        <f>35.3304 * CHOOSE(CONTROL!$C$22, $C$13, 100%, $E$13)</f>
        <v>35.330399999999997</v>
      </c>
      <c r="J1041" s="64">
        <f>20.6858 * CHOOSE(CONTROL!$C$22, $C$13, 100%, $E$13)</f>
        <v>20.6858</v>
      </c>
      <c r="K1041" s="64">
        <f>20.7015 * CHOOSE(CONTROL!$C$22, $C$13, 100%, $E$13)</f>
        <v>20.701499999999999</v>
      </c>
    </row>
    <row r="1042" spans="1:11" ht="15">
      <c r="A1042" s="13">
        <v>73202</v>
      </c>
      <c r="B1042" s="63">
        <f>18.0928 * CHOOSE(CONTROL!$C$22, $C$13, 100%, $E$13)</f>
        <v>18.0928</v>
      </c>
      <c r="C1042" s="63">
        <f>18.0928 * CHOOSE(CONTROL!$C$22, $C$13, 100%, $E$13)</f>
        <v>18.0928</v>
      </c>
      <c r="D1042" s="63">
        <f>18.1058 * CHOOSE(CONTROL!$C$22, $C$13, 100%, $E$13)</f>
        <v>18.105799999999999</v>
      </c>
      <c r="E1042" s="64">
        <f>20.5731 * CHOOSE(CONTROL!$C$22, $C$13, 100%, $E$13)</f>
        <v>20.5731</v>
      </c>
      <c r="F1042" s="64">
        <f>20.5731 * CHOOSE(CONTROL!$C$22, $C$13, 100%, $E$13)</f>
        <v>20.5731</v>
      </c>
      <c r="G1042" s="64">
        <f>20.5887 * CHOOSE(CONTROL!$C$22, $C$13, 100%, $E$13)</f>
        <v>20.588699999999999</v>
      </c>
      <c r="H1042" s="64">
        <f>35.3883* CHOOSE(CONTROL!$C$22, $C$13, 100%, $E$13)</f>
        <v>35.388300000000001</v>
      </c>
      <c r="I1042" s="64">
        <f>35.404 * CHOOSE(CONTROL!$C$22, $C$13, 100%, $E$13)</f>
        <v>35.404000000000003</v>
      </c>
      <c r="J1042" s="64">
        <f>20.5731 * CHOOSE(CONTROL!$C$22, $C$13, 100%, $E$13)</f>
        <v>20.5731</v>
      </c>
      <c r="K1042" s="64">
        <f>20.5887 * CHOOSE(CONTROL!$C$22, $C$13, 100%, $E$13)</f>
        <v>20.588699999999999</v>
      </c>
    </row>
    <row r="1043" spans="1:11" ht="15">
      <c r="A1043" s="13">
        <v>73232</v>
      </c>
      <c r="B1043" s="63">
        <f>18.3645 * CHOOSE(CONTROL!$C$22, $C$13, 100%, $E$13)</f>
        <v>18.3645</v>
      </c>
      <c r="C1043" s="63">
        <f>18.3645 * CHOOSE(CONTROL!$C$22, $C$13, 100%, $E$13)</f>
        <v>18.3645</v>
      </c>
      <c r="D1043" s="63">
        <f>18.3774 * CHOOSE(CONTROL!$C$22, $C$13, 100%, $E$13)</f>
        <v>18.377400000000002</v>
      </c>
      <c r="E1043" s="64">
        <f>20.897 * CHOOSE(CONTROL!$C$22, $C$13, 100%, $E$13)</f>
        <v>20.896999999999998</v>
      </c>
      <c r="F1043" s="64">
        <f>20.897 * CHOOSE(CONTROL!$C$22, $C$13, 100%, $E$13)</f>
        <v>20.896999999999998</v>
      </c>
      <c r="G1043" s="64">
        <f>20.9127 * CHOOSE(CONTROL!$C$22, $C$13, 100%, $E$13)</f>
        <v>20.912700000000001</v>
      </c>
      <c r="H1043" s="64">
        <f>35.462* CHOOSE(CONTROL!$C$22, $C$13, 100%, $E$13)</f>
        <v>35.462000000000003</v>
      </c>
      <c r="I1043" s="64">
        <f>35.4777 * CHOOSE(CONTROL!$C$22, $C$13, 100%, $E$13)</f>
        <v>35.477699999999999</v>
      </c>
      <c r="J1043" s="64">
        <f>20.897 * CHOOSE(CONTROL!$C$22, $C$13, 100%, $E$13)</f>
        <v>20.896999999999998</v>
      </c>
      <c r="K1043" s="64">
        <f>20.9127 * CHOOSE(CONTROL!$C$22, $C$13, 100%, $E$13)</f>
        <v>20.912700000000001</v>
      </c>
    </row>
    <row r="1044" spans="1:11" ht="15">
      <c r="A1044" s="13">
        <v>73263</v>
      </c>
      <c r="B1044" s="63">
        <f>18.3712 * CHOOSE(CONTROL!$C$22, $C$13, 100%, $E$13)</f>
        <v>18.371200000000002</v>
      </c>
      <c r="C1044" s="63">
        <f>18.3712 * CHOOSE(CONTROL!$C$22, $C$13, 100%, $E$13)</f>
        <v>18.371200000000002</v>
      </c>
      <c r="D1044" s="63">
        <f>18.3841 * CHOOSE(CONTROL!$C$22, $C$13, 100%, $E$13)</f>
        <v>18.3841</v>
      </c>
      <c r="E1044" s="64">
        <f>20.5507 * CHOOSE(CONTROL!$C$22, $C$13, 100%, $E$13)</f>
        <v>20.550699999999999</v>
      </c>
      <c r="F1044" s="64">
        <f>20.5507 * CHOOSE(CONTROL!$C$22, $C$13, 100%, $E$13)</f>
        <v>20.550699999999999</v>
      </c>
      <c r="G1044" s="64">
        <f>20.5664 * CHOOSE(CONTROL!$C$22, $C$13, 100%, $E$13)</f>
        <v>20.566400000000002</v>
      </c>
      <c r="H1044" s="64">
        <f>35.5359* CHOOSE(CONTROL!$C$22, $C$13, 100%, $E$13)</f>
        <v>35.535899999999998</v>
      </c>
      <c r="I1044" s="64">
        <f>35.5516 * CHOOSE(CONTROL!$C$22, $C$13, 100%, $E$13)</f>
        <v>35.551600000000001</v>
      </c>
      <c r="J1044" s="64">
        <f>20.5507 * CHOOSE(CONTROL!$C$22, $C$13, 100%, $E$13)</f>
        <v>20.550699999999999</v>
      </c>
      <c r="K1044" s="64">
        <f>20.5664 * CHOOSE(CONTROL!$C$22, $C$13, 100%, $E$13)</f>
        <v>20.566400000000002</v>
      </c>
    </row>
    <row r="1045" spans="1:11" ht="15">
      <c r="A1045" s="13">
        <v>73294</v>
      </c>
      <c r="B1045" s="63">
        <f>18.3681 * CHOOSE(CONTROL!$C$22, $C$13, 100%, $E$13)</f>
        <v>18.368099999999998</v>
      </c>
      <c r="C1045" s="63">
        <f>18.3681 * CHOOSE(CONTROL!$C$22, $C$13, 100%, $E$13)</f>
        <v>18.368099999999998</v>
      </c>
      <c r="D1045" s="63">
        <f>18.3811 * CHOOSE(CONTROL!$C$22, $C$13, 100%, $E$13)</f>
        <v>18.3811</v>
      </c>
      <c r="E1045" s="64">
        <f>20.5095 * CHOOSE(CONTROL!$C$22, $C$13, 100%, $E$13)</f>
        <v>20.509499999999999</v>
      </c>
      <c r="F1045" s="64">
        <f>20.5095 * CHOOSE(CONTROL!$C$22, $C$13, 100%, $E$13)</f>
        <v>20.509499999999999</v>
      </c>
      <c r="G1045" s="64">
        <f>20.5252 * CHOOSE(CONTROL!$C$22, $C$13, 100%, $E$13)</f>
        <v>20.525200000000002</v>
      </c>
      <c r="H1045" s="64">
        <f>35.6099* CHOOSE(CONTROL!$C$22, $C$13, 100%, $E$13)</f>
        <v>35.609900000000003</v>
      </c>
      <c r="I1045" s="64">
        <f>35.6256 * CHOOSE(CONTROL!$C$22, $C$13, 100%, $E$13)</f>
        <v>35.625599999999999</v>
      </c>
      <c r="J1045" s="64">
        <f>20.5095 * CHOOSE(CONTROL!$C$22, $C$13, 100%, $E$13)</f>
        <v>20.509499999999999</v>
      </c>
      <c r="K1045" s="64">
        <f>20.5252 * CHOOSE(CONTROL!$C$22, $C$13, 100%, $E$13)</f>
        <v>20.525200000000002</v>
      </c>
    </row>
    <row r="1046" spans="1:11" ht="15">
      <c r="A1046" s="13">
        <v>73324</v>
      </c>
      <c r="B1046" s="63">
        <f>18.4093 * CHOOSE(CONTROL!$C$22, $C$13, 100%, $E$13)</f>
        <v>18.409300000000002</v>
      </c>
      <c r="C1046" s="63">
        <f>18.4093 * CHOOSE(CONTROL!$C$22, $C$13, 100%, $E$13)</f>
        <v>18.409300000000002</v>
      </c>
      <c r="D1046" s="63">
        <f>18.4093 * CHOOSE(CONTROL!$C$22, $C$13, 100%, $E$13)</f>
        <v>18.409300000000002</v>
      </c>
      <c r="E1046" s="64">
        <f>20.6521 * CHOOSE(CONTROL!$C$22, $C$13, 100%, $E$13)</f>
        <v>20.652100000000001</v>
      </c>
      <c r="F1046" s="64">
        <f>20.6521 * CHOOSE(CONTROL!$C$22, $C$13, 100%, $E$13)</f>
        <v>20.652100000000001</v>
      </c>
      <c r="G1046" s="64">
        <f>20.6522 * CHOOSE(CONTROL!$C$22, $C$13, 100%, $E$13)</f>
        <v>20.652200000000001</v>
      </c>
      <c r="H1046" s="64">
        <f>35.6841* CHOOSE(CONTROL!$C$22, $C$13, 100%, $E$13)</f>
        <v>35.684100000000001</v>
      </c>
      <c r="I1046" s="64">
        <f>35.6842 * CHOOSE(CONTROL!$C$22, $C$13, 100%, $E$13)</f>
        <v>35.684199999999997</v>
      </c>
      <c r="J1046" s="64">
        <f>20.6521 * CHOOSE(CONTROL!$C$22, $C$13, 100%, $E$13)</f>
        <v>20.652100000000001</v>
      </c>
      <c r="K1046" s="64">
        <f>20.6522 * CHOOSE(CONTROL!$C$22, $C$13, 100%, $E$13)</f>
        <v>20.652200000000001</v>
      </c>
    </row>
    <row r="1047" spans="1:11" ht="15">
      <c r="A1047" s="13">
        <v>73355</v>
      </c>
      <c r="B1047" s="63">
        <f>18.4123 * CHOOSE(CONTROL!$C$22, $C$13, 100%, $E$13)</f>
        <v>18.412299999999998</v>
      </c>
      <c r="C1047" s="63">
        <f>18.4123 * CHOOSE(CONTROL!$C$22, $C$13, 100%, $E$13)</f>
        <v>18.412299999999998</v>
      </c>
      <c r="D1047" s="63">
        <f>18.4123 * CHOOSE(CONTROL!$C$22, $C$13, 100%, $E$13)</f>
        <v>18.412299999999998</v>
      </c>
      <c r="E1047" s="64">
        <f>20.7323 * CHOOSE(CONTROL!$C$22, $C$13, 100%, $E$13)</f>
        <v>20.732299999999999</v>
      </c>
      <c r="F1047" s="64">
        <f>20.7323 * CHOOSE(CONTROL!$C$22, $C$13, 100%, $E$13)</f>
        <v>20.732299999999999</v>
      </c>
      <c r="G1047" s="64">
        <f>20.7323 * CHOOSE(CONTROL!$C$22, $C$13, 100%, $E$13)</f>
        <v>20.732299999999999</v>
      </c>
      <c r="H1047" s="64">
        <f>35.7585* CHOOSE(CONTROL!$C$22, $C$13, 100%, $E$13)</f>
        <v>35.758499999999998</v>
      </c>
      <c r="I1047" s="64">
        <f>35.7585 * CHOOSE(CONTROL!$C$22, $C$13, 100%, $E$13)</f>
        <v>35.758499999999998</v>
      </c>
      <c r="J1047" s="64">
        <f>20.7323 * CHOOSE(CONTROL!$C$22, $C$13, 100%, $E$13)</f>
        <v>20.732299999999999</v>
      </c>
      <c r="K1047" s="64">
        <f>20.7323 * CHOOSE(CONTROL!$C$22, $C$13, 100%, $E$13)</f>
        <v>20.732299999999999</v>
      </c>
    </row>
    <row r="1048" spans="1:11" ht="15">
      <c r="A1048" s="13">
        <v>73385</v>
      </c>
      <c r="B1048" s="63">
        <f>18.4123 * CHOOSE(CONTROL!$C$22, $C$13, 100%, $E$13)</f>
        <v>18.412299999999998</v>
      </c>
      <c r="C1048" s="63">
        <f>18.4123 * CHOOSE(CONTROL!$C$22, $C$13, 100%, $E$13)</f>
        <v>18.412299999999998</v>
      </c>
      <c r="D1048" s="63">
        <f>18.4123 * CHOOSE(CONTROL!$C$22, $C$13, 100%, $E$13)</f>
        <v>18.412299999999998</v>
      </c>
      <c r="E1048" s="64">
        <f>20.5373 * CHOOSE(CONTROL!$C$22, $C$13, 100%, $E$13)</f>
        <v>20.537299999999998</v>
      </c>
      <c r="F1048" s="64">
        <f>20.5373 * CHOOSE(CONTROL!$C$22, $C$13, 100%, $E$13)</f>
        <v>20.537299999999998</v>
      </c>
      <c r="G1048" s="64">
        <f>20.5373 * CHOOSE(CONTROL!$C$22, $C$13, 100%, $E$13)</f>
        <v>20.537299999999998</v>
      </c>
      <c r="H1048" s="64">
        <f>35.833* CHOOSE(CONTROL!$C$22, $C$13, 100%, $E$13)</f>
        <v>35.832999999999998</v>
      </c>
      <c r="I1048" s="64">
        <f>35.833 * CHOOSE(CONTROL!$C$22, $C$13, 100%, $E$13)</f>
        <v>35.832999999999998</v>
      </c>
      <c r="J1048" s="64">
        <f>20.5373 * CHOOSE(CONTROL!$C$22, $C$13, 100%, $E$13)</f>
        <v>20.537299999999998</v>
      </c>
      <c r="K1048" s="64">
        <f>20.5373 * CHOOSE(CONTROL!$C$22, $C$13, 100%, $E$13)</f>
        <v>20.537299999999998</v>
      </c>
    </row>
    <row r="1049" spans="1:11" ht="15">
      <c r="A1049" s="10"/>
      <c r="B1049" s="63"/>
      <c r="C1049" s="63"/>
      <c r="D1049" s="63"/>
      <c r="E1049" s="64"/>
      <c r="F1049" s="64"/>
      <c r="G1049" s="64"/>
      <c r="H1049" s="64"/>
      <c r="I1049" s="64"/>
      <c r="J1049" s="64"/>
      <c r="K1049" s="64"/>
    </row>
    <row r="1050" spans="1:11" ht="15">
      <c r="A1050" s="3">
        <v>2015</v>
      </c>
      <c r="B1050" s="63">
        <f t="shared" ref="B1050:K1050" si="0">AVERAGE(B17:B28)</f>
        <v>2.5009166666666673</v>
      </c>
      <c r="C1050" s="63">
        <f t="shared" si="0"/>
        <v>2.5282416666666667</v>
      </c>
      <c r="D1050" s="63">
        <f t="shared" si="0"/>
        <v>2.5336583333333329</v>
      </c>
      <c r="E1050" s="63">
        <f t="shared" si="0"/>
        <v>3.2090166666666664</v>
      </c>
      <c r="F1050" s="63">
        <f t="shared" si="0"/>
        <v>3.254</v>
      </c>
      <c r="G1050" s="63">
        <f t="shared" si="0"/>
        <v>3.2606000000000002</v>
      </c>
      <c r="H1050" s="63">
        <f t="shared" si="0"/>
        <v>5.6570916666666671</v>
      </c>
      <c r="I1050" s="63">
        <f t="shared" si="0"/>
        <v>5.6636750000000005</v>
      </c>
      <c r="J1050" s="63">
        <f t="shared" si="0"/>
        <v>3.2090166666666664</v>
      </c>
      <c r="K1050" s="63">
        <f t="shared" si="0"/>
        <v>3.2156000000000002</v>
      </c>
    </row>
    <row r="1051" spans="1:11" ht="15">
      <c r="A1051" s="3">
        <v>2016</v>
      </c>
      <c r="B1051" s="63">
        <f t="shared" ref="B1051:K1051" si="1">AVERAGE(B29:B40)</f>
        <v>2.8711249999999997</v>
      </c>
      <c r="C1051" s="63">
        <f t="shared" si="1"/>
        <v>2.8711249999999997</v>
      </c>
      <c r="D1051" s="63">
        <f t="shared" si="1"/>
        <v>2.8765333333333332</v>
      </c>
      <c r="E1051" s="63">
        <f t="shared" si="1"/>
        <v>3.3873333333333338</v>
      </c>
      <c r="F1051" s="63">
        <f t="shared" si="1"/>
        <v>3.4460000000000002</v>
      </c>
      <c r="G1051" s="63">
        <f t="shared" si="1"/>
        <v>3.4526000000000003</v>
      </c>
      <c r="H1051" s="63">
        <f t="shared" si="1"/>
        <v>5.7971666666666666</v>
      </c>
      <c r="I1051" s="63">
        <f t="shared" si="1"/>
        <v>5.8037333333333336</v>
      </c>
      <c r="J1051" s="63">
        <f t="shared" si="1"/>
        <v>3.3873333333333338</v>
      </c>
      <c r="K1051" s="63">
        <f t="shared" si="1"/>
        <v>3.393933333333333</v>
      </c>
    </row>
    <row r="1052" spans="1:11" ht="15">
      <c r="A1052" s="3">
        <v>2017</v>
      </c>
      <c r="B1052" s="63">
        <f t="shared" ref="B1052:K1052" si="2">AVERAGE(B41:B52)</f>
        <v>3.0028000000000001</v>
      </c>
      <c r="C1052" s="63">
        <f t="shared" si="2"/>
        <v>3.0028000000000001</v>
      </c>
      <c r="D1052" s="63">
        <f t="shared" si="2"/>
        <v>3.0082166666666663</v>
      </c>
      <c r="E1052" s="63">
        <f t="shared" si="2"/>
        <v>3.5879916666666669</v>
      </c>
      <c r="F1052" s="63">
        <f t="shared" si="2"/>
        <v>3.5879916666666669</v>
      </c>
      <c r="G1052" s="63">
        <f t="shared" si="2"/>
        <v>3.5945666666666671</v>
      </c>
      <c r="H1052" s="63">
        <f t="shared" si="2"/>
        <v>5.943766666666666</v>
      </c>
      <c r="I1052" s="63">
        <f t="shared" si="2"/>
        <v>5.9503499999999994</v>
      </c>
      <c r="J1052" s="63">
        <f t="shared" si="2"/>
        <v>3.5879916666666669</v>
      </c>
      <c r="K1052" s="63">
        <f t="shared" si="2"/>
        <v>3.5945666666666671</v>
      </c>
    </row>
    <row r="1053" spans="1:11" ht="15">
      <c r="A1053" s="3">
        <v>2018</v>
      </c>
      <c r="B1053" s="63">
        <f t="shared" ref="B1053:K1053" si="3">AVERAGE(B53:B64)</f>
        <v>3.1109000000000004</v>
      </c>
      <c r="C1053" s="63">
        <f t="shared" si="3"/>
        <v>3.1109000000000004</v>
      </c>
      <c r="D1053" s="63">
        <f t="shared" si="3"/>
        <v>3.116308333333333</v>
      </c>
      <c r="E1053" s="63">
        <f t="shared" si="3"/>
        <v>3.7429000000000006</v>
      </c>
      <c r="F1053" s="63">
        <f t="shared" si="3"/>
        <v>3.7429000000000006</v>
      </c>
      <c r="G1053" s="63">
        <f t="shared" si="3"/>
        <v>3.7494666666666672</v>
      </c>
      <c r="H1053" s="63">
        <f t="shared" si="3"/>
        <v>6.0940916666666674</v>
      </c>
      <c r="I1053" s="63">
        <f t="shared" si="3"/>
        <v>6.1006583333333326</v>
      </c>
      <c r="J1053" s="63">
        <f t="shared" si="3"/>
        <v>3.7429000000000006</v>
      </c>
      <c r="K1053" s="63">
        <f t="shared" si="3"/>
        <v>3.7494666666666672</v>
      </c>
    </row>
    <row r="1054" spans="1:11" ht="15">
      <c r="A1054" s="3">
        <v>2019</v>
      </c>
      <c r="B1054" s="63">
        <f t="shared" ref="B1054:K1054" si="4">AVERAGE(B65:B76)</f>
        <v>3.1375166666666665</v>
      </c>
      <c r="C1054" s="63">
        <f t="shared" si="4"/>
        <v>3.1375166666666665</v>
      </c>
      <c r="D1054" s="63">
        <f t="shared" si="4"/>
        <v>3.1429083333333332</v>
      </c>
      <c r="E1054" s="63">
        <f t="shared" si="4"/>
        <v>3.8573833333333334</v>
      </c>
      <c r="F1054" s="63">
        <f t="shared" si="4"/>
        <v>3.8573833333333334</v>
      </c>
      <c r="G1054" s="63">
        <f t="shared" si="4"/>
        <v>3.8639749999999999</v>
      </c>
      <c r="H1054" s="63">
        <f t="shared" si="4"/>
        <v>6.2481916666666679</v>
      </c>
      <c r="I1054" s="63">
        <f t="shared" si="4"/>
        <v>6.2547666666666659</v>
      </c>
      <c r="J1054" s="63">
        <f t="shared" si="4"/>
        <v>3.8573833333333334</v>
      </c>
      <c r="K1054" s="63">
        <f t="shared" si="4"/>
        <v>3.8639749999999999</v>
      </c>
    </row>
    <row r="1055" spans="1:11" ht="15">
      <c r="A1055" s="3">
        <v>2020</v>
      </c>
      <c r="B1055" s="63">
        <f t="shared" ref="B1055:K1055" si="5">AVERAGE(B77:B88)</f>
        <v>3.1985999999999994</v>
      </c>
      <c r="C1055" s="63">
        <f t="shared" si="5"/>
        <v>3.1985999999999994</v>
      </c>
      <c r="D1055" s="63">
        <f t="shared" si="5"/>
        <v>3.2040166666666665</v>
      </c>
      <c r="E1055" s="63">
        <f t="shared" si="5"/>
        <v>3.7282833333333336</v>
      </c>
      <c r="F1055" s="63">
        <f t="shared" si="5"/>
        <v>3.7282833333333336</v>
      </c>
      <c r="G1055" s="63">
        <f t="shared" si="5"/>
        <v>3.7348583333333334</v>
      </c>
      <c r="H1055" s="63">
        <f t="shared" si="5"/>
        <v>6.4061999999999992</v>
      </c>
      <c r="I1055" s="63">
        <f t="shared" si="5"/>
        <v>6.4127666666666663</v>
      </c>
      <c r="J1055" s="63">
        <f t="shared" si="5"/>
        <v>3.7282833333333336</v>
      </c>
      <c r="K1055" s="63">
        <f t="shared" si="5"/>
        <v>3.7348583333333334</v>
      </c>
    </row>
    <row r="1056" spans="1:11" ht="15">
      <c r="A1056" s="3">
        <v>2021</v>
      </c>
      <c r="B1056" s="63">
        <f t="shared" ref="B1056:K1056" si="6">AVERAGE(B89:B100)</f>
        <v>3.2682833333333332</v>
      </c>
      <c r="C1056" s="63">
        <f t="shared" si="6"/>
        <v>3.2682833333333332</v>
      </c>
      <c r="D1056" s="63">
        <f t="shared" si="6"/>
        <v>3.2736833333333339</v>
      </c>
      <c r="E1056" s="63">
        <f t="shared" si="6"/>
        <v>3.7707666666666668</v>
      </c>
      <c r="F1056" s="63">
        <f t="shared" si="6"/>
        <v>3.7707666666666668</v>
      </c>
      <c r="G1056" s="63">
        <f t="shared" si="6"/>
        <v>3.7773500000000002</v>
      </c>
      <c r="H1056" s="63">
        <f t="shared" si="6"/>
        <v>6.5682</v>
      </c>
      <c r="I1056" s="63">
        <f t="shared" si="6"/>
        <v>6.5747666666666662</v>
      </c>
      <c r="J1056" s="63">
        <f t="shared" si="6"/>
        <v>3.7707666666666668</v>
      </c>
      <c r="K1056" s="63">
        <f t="shared" si="6"/>
        <v>3.7773500000000002</v>
      </c>
    </row>
    <row r="1057" spans="1:11" ht="15">
      <c r="A1057" s="3">
        <v>2022</v>
      </c>
      <c r="B1057" s="63">
        <f t="shared" ref="B1057:K1057" si="7">AVERAGE(B101:B112)</f>
        <v>3.3391416666666669</v>
      </c>
      <c r="C1057" s="63">
        <f t="shared" si="7"/>
        <v>3.3391416666666669</v>
      </c>
      <c r="D1057" s="63">
        <f t="shared" si="7"/>
        <v>3.3445500000000004</v>
      </c>
      <c r="E1057" s="63">
        <f t="shared" si="7"/>
        <v>3.944116666666666</v>
      </c>
      <c r="F1057" s="63">
        <f t="shared" si="7"/>
        <v>3.944116666666666</v>
      </c>
      <c r="G1057" s="63">
        <f t="shared" si="7"/>
        <v>3.9507166666666671</v>
      </c>
      <c r="H1057" s="63">
        <f t="shared" si="7"/>
        <v>6.7342833333333338</v>
      </c>
      <c r="I1057" s="63">
        <f t="shared" si="7"/>
        <v>6.740875</v>
      </c>
      <c r="J1057" s="63">
        <f t="shared" si="7"/>
        <v>3.944116666666666</v>
      </c>
      <c r="K1057" s="63">
        <f t="shared" si="7"/>
        <v>3.9507166666666671</v>
      </c>
    </row>
    <row r="1058" spans="1:11" ht="15">
      <c r="A1058" s="3">
        <v>2023</v>
      </c>
      <c r="B1058" s="63">
        <f t="shared" ref="B1058:K1058" si="8">AVERAGE(B113:B124)</f>
        <v>3.4119833333333336</v>
      </c>
      <c r="C1058" s="63">
        <f t="shared" si="8"/>
        <v>3.4119833333333336</v>
      </c>
      <c r="D1058" s="63">
        <f t="shared" si="8"/>
        <v>3.4174000000000007</v>
      </c>
      <c r="E1058" s="63">
        <f t="shared" si="8"/>
        <v>4.0709833333333334</v>
      </c>
      <c r="F1058" s="63">
        <f t="shared" si="8"/>
        <v>4.0709833333333334</v>
      </c>
      <c r="G1058" s="63">
        <f t="shared" si="8"/>
        <v>4.0775750000000004</v>
      </c>
      <c r="H1058" s="63">
        <f t="shared" si="8"/>
        <v>6.9045916666666658</v>
      </c>
      <c r="I1058" s="63">
        <f t="shared" si="8"/>
        <v>6.9111833333333328</v>
      </c>
      <c r="J1058" s="63">
        <f t="shared" si="8"/>
        <v>4.0709833333333334</v>
      </c>
      <c r="K1058" s="63">
        <f t="shared" si="8"/>
        <v>4.0775750000000004</v>
      </c>
    </row>
    <row r="1059" spans="1:11" ht="15">
      <c r="A1059" s="3">
        <v>2024</v>
      </c>
      <c r="B1059" s="63">
        <f t="shared" ref="B1059:K1059" si="9">AVERAGE(B125:B136)</f>
        <v>3.4898833333333328</v>
      </c>
      <c r="C1059" s="63">
        <f t="shared" si="9"/>
        <v>3.4898833333333328</v>
      </c>
      <c r="D1059" s="63">
        <f t="shared" si="9"/>
        <v>3.4953000000000003</v>
      </c>
      <c r="E1059" s="63">
        <f t="shared" si="9"/>
        <v>4.1558083333333329</v>
      </c>
      <c r="F1059" s="63">
        <f t="shared" si="9"/>
        <v>4.1558083333333329</v>
      </c>
      <c r="G1059" s="63">
        <f t="shared" si="9"/>
        <v>4.1623749999999999</v>
      </c>
      <c r="H1059" s="63">
        <f t="shared" si="9"/>
        <v>7.0792083333333329</v>
      </c>
      <c r="I1059" s="63">
        <f t="shared" si="9"/>
        <v>7.0857750000000008</v>
      </c>
      <c r="J1059" s="63">
        <f t="shared" si="9"/>
        <v>4.1558083333333329</v>
      </c>
      <c r="K1059" s="63">
        <f t="shared" si="9"/>
        <v>4.1623749999999999</v>
      </c>
    </row>
    <row r="1060" spans="1:11" ht="15">
      <c r="A1060" s="3">
        <v>2025</v>
      </c>
      <c r="B1060" s="63">
        <f t="shared" ref="B1060:K1060" si="10">AVERAGE(B137:B148)</f>
        <v>3.5713666666666675</v>
      </c>
      <c r="C1060" s="63">
        <f t="shared" si="10"/>
        <v>3.5713666666666675</v>
      </c>
      <c r="D1060" s="63">
        <f t="shared" si="10"/>
        <v>3.5767833333333336</v>
      </c>
      <c r="E1060" s="63">
        <f t="shared" si="10"/>
        <v>4.2415750000000001</v>
      </c>
      <c r="F1060" s="63">
        <f t="shared" si="10"/>
        <v>4.2415750000000001</v>
      </c>
      <c r="G1060" s="63">
        <f t="shared" si="10"/>
        <v>4.2481666666666671</v>
      </c>
      <c r="H1060" s="63">
        <f t="shared" si="10"/>
        <v>7.2582250000000004</v>
      </c>
      <c r="I1060" s="63">
        <f t="shared" si="10"/>
        <v>7.2648166666666656</v>
      </c>
      <c r="J1060" s="63">
        <f t="shared" si="10"/>
        <v>4.2415750000000001</v>
      </c>
      <c r="K1060" s="63">
        <f t="shared" si="10"/>
        <v>4.2481666666666671</v>
      </c>
    </row>
    <row r="1061" spans="1:11" ht="15">
      <c r="A1061" s="3">
        <v>2026</v>
      </c>
      <c r="B1061" s="63">
        <f t="shared" ref="B1061:K1061" si="11">AVERAGE(B149:B160)</f>
        <v>3.6529916666666669</v>
      </c>
      <c r="C1061" s="63">
        <f t="shared" si="11"/>
        <v>3.6529916666666669</v>
      </c>
      <c r="D1061" s="63">
        <f t="shared" si="11"/>
        <v>3.6584166666666658</v>
      </c>
      <c r="E1061" s="63">
        <f t="shared" si="11"/>
        <v>4.3426083333333336</v>
      </c>
      <c r="F1061" s="63">
        <f t="shared" si="11"/>
        <v>4.3426083333333336</v>
      </c>
      <c r="G1061" s="63">
        <f t="shared" si="11"/>
        <v>4.349191666666667</v>
      </c>
      <c r="H1061" s="63">
        <f t="shared" si="11"/>
        <v>7.4417749999999998</v>
      </c>
      <c r="I1061" s="63">
        <f t="shared" si="11"/>
        <v>7.4483583333333341</v>
      </c>
      <c r="J1061" s="63">
        <f t="shared" si="11"/>
        <v>4.3426083333333336</v>
      </c>
      <c r="K1061" s="63">
        <f t="shared" si="11"/>
        <v>4.349191666666667</v>
      </c>
    </row>
    <row r="1062" spans="1:11" ht="15">
      <c r="A1062" s="3">
        <v>2027</v>
      </c>
      <c r="B1062" s="63">
        <f t="shared" ref="B1062:K1062" si="12">AVERAGE(B161:B172)</f>
        <v>3.7325916666666674</v>
      </c>
      <c r="C1062" s="63">
        <f t="shared" si="12"/>
        <v>3.7325916666666674</v>
      </c>
      <c r="D1062" s="63">
        <f t="shared" si="12"/>
        <v>3.7379916666666673</v>
      </c>
      <c r="E1062" s="63">
        <f t="shared" si="12"/>
        <v>4.4449999999999994</v>
      </c>
      <c r="F1062" s="63">
        <f t="shared" si="12"/>
        <v>4.4449999999999994</v>
      </c>
      <c r="G1062" s="63">
        <f t="shared" si="12"/>
        <v>4.4515916666666673</v>
      </c>
      <c r="H1062" s="63">
        <f t="shared" si="12"/>
        <v>7.6299583333333345</v>
      </c>
      <c r="I1062" s="63">
        <f t="shared" si="12"/>
        <v>7.6365416666666652</v>
      </c>
      <c r="J1062" s="63">
        <f t="shared" si="12"/>
        <v>4.4449999999999994</v>
      </c>
      <c r="K1062" s="63">
        <f t="shared" si="12"/>
        <v>4.4515916666666673</v>
      </c>
    </row>
    <row r="1063" spans="1:11" ht="15">
      <c r="A1063" s="3">
        <v>2028</v>
      </c>
      <c r="B1063" s="63">
        <f t="shared" ref="B1063:K1063" si="13">AVERAGE(B173:B184)</f>
        <v>3.8206500000000001</v>
      </c>
      <c r="C1063" s="63">
        <f t="shared" si="13"/>
        <v>3.8206500000000001</v>
      </c>
      <c r="D1063" s="63">
        <f t="shared" si="13"/>
        <v>3.8260583333333327</v>
      </c>
      <c r="E1063" s="63">
        <f t="shared" si="13"/>
        <v>4.5496749999999997</v>
      </c>
      <c r="F1063" s="63">
        <f t="shared" si="13"/>
        <v>4.5496749999999997</v>
      </c>
      <c r="G1063" s="63">
        <f t="shared" si="13"/>
        <v>4.5562750000000003</v>
      </c>
      <c r="H1063" s="63">
        <f t="shared" si="13"/>
        <v>7.822916666666667</v>
      </c>
      <c r="I1063" s="63">
        <f t="shared" si="13"/>
        <v>7.8294999999999995</v>
      </c>
      <c r="J1063" s="63">
        <f t="shared" si="13"/>
        <v>4.5496749999999997</v>
      </c>
      <c r="K1063" s="63">
        <f t="shared" si="13"/>
        <v>4.5562750000000003</v>
      </c>
    </row>
    <row r="1064" spans="1:11" ht="15">
      <c r="A1064" s="3">
        <v>2029</v>
      </c>
      <c r="B1064" s="63">
        <f t="shared" ref="B1064:K1064" si="14">AVERAGE(B185:B196)</f>
        <v>3.9070166666666659</v>
      </c>
      <c r="C1064" s="63">
        <f t="shared" si="14"/>
        <v>3.9070166666666659</v>
      </c>
      <c r="D1064" s="63">
        <f t="shared" si="14"/>
        <v>3.9124249999999994</v>
      </c>
      <c r="E1064" s="63">
        <f t="shared" si="14"/>
        <v>4.6572416666666667</v>
      </c>
      <c r="F1064" s="63">
        <f t="shared" si="14"/>
        <v>4.6572416666666667</v>
      </c>
      <c r="G1064" s="63">
        <f t="shared" si="14"/>
        <v>4.6638333333333337</v>
      </c>
      <c r="H1064" s="63">
        <f t="shared" si="14"/>
        <v>8.0207499999999996</v>
      </c>
      <c r="I1064" s="63">
        <f t="shared" si="14"/>
        <v>8.0273416666666666</v>
      </c>
      <c r="J1064" s="63">
        <f t="shared" si="14"/>
        <v>4.6572416666666667</v>
      </c>
      <c r="K1064" s="63">
        <f t="shared" si="14"/>
        <v>4.6638333333333337</v>
      </c>
    </row>
    <row r="1065" spans="1:11" ht="15">
      <c r="A1065" s="3">
        <v>2030</v>
      </c>
      <c r="B1065" s="63">
        <f t="shared" ref="B1065:K1065" si="15">AVERAGE(B197:B208)</f>
        <v>3.998324999999999</v>
      </c>
      <c r="C1065" s="63">
        <f t="shared" si="15"/>
        <v>3.998324999999999</v>
      </c>
      <c r="D1065" s="63">
        <f t="shared" si="15"/>
        <v>4.0037416666666656</v>
      </c>
      <c r="E1065" s="63">
        <f t="shared" si="15"/>
        <v>4.7692916666666667</v>
      </c>
      <c r="F1065" s="63">
        <f t="shared" si="15"/>
        <v>4.7692916666666667</v>
      </c>
      <c r="G1065" s="63">
        <f t="shared" si="15"/>
        <v>4.7758750000000001</v>
      </c>
      <c r="H1065" s="63">
        <f t="shared" si="15"/>
        <v>8.2235750000000003</v>
      </c>
      <c r="I1065" s="63">
        <f t="shared" si="15"/>
        <v>8.2301666666666673</v>
      </c>
      <c r="J1065" s="63">
        <f t="shared" si="15"/>
        <v>4.7692916666666667</v>
      </c>
      <c r="K1065" s="63">
        <f t="shared" si="15"/>
        <v>4.7758750000000001</v>
      </c>
    </row>
    <row r="1066" spans="1:11" ht="15">
      <c r="A1066" s="3">
        <v>2031</v>
      </c>
      <c r="B1066" s="63">
        <f t="shared" ref="B1066:K1066" si="16">AVERAGE(B209:B220)</f>
        <v>4.0933833333333327</v>
      </c>
      <c r="C1066" s="63">
        <f t="shared" si="16"/>
        <v>4.0933833333333327</v>
      </c>
      <c r="D1066" s="63">
        <f t="shared" si="16"/>
        <v>4.0987833333333334</v>
      </c>
      <c r="E1066" s="63">
        <f t="shared" si="16"/>
        <v>4.915375</v>
      </c>
      <c r="F1066" s="63">
        <f t="shared" si="16"/>
        <v>4.915375</v>
      </c>
      <c r="G1066" s="63">
        <f t="shared" si="16"/>
        <v>4.9219499999999998</v>
      </c>
      <c r="H1066" s="63">
        <f t="shared" si="16"/>
        <v>8.4315499999999997</v>
      </c>
      <c r="I1066" s="63">
        <f t="shared" si="16"/>
        <v>8.438108333333334</v>
      </c>
      <c r="J1066" s="63">
        <f t="shared" si="16"/>
        <v>4.915375</v>
      </c>
      <c r="K1066" s="63">
        <f t="shared" si="16"/>
        <v>4.9219499999999998</v>
      </c>
    </row>
    <row r="1067" spans="1:11" ht="15">
      <c r="A1067" s="3">
        <v>2032</v>
      </c>
      <c r="B1067" s="63">
        <f t="shared" ref="B1067:K1067" si="17">AVERAGE(B221:B232)</f>
        <v>4.1982249999999999</v>
      </c>
      <c r="C1067" s="63">
        <f t="shared" si="17"/>
        <v>4.1982249999999999</v>
      </c>
      <c r="D1067" s="63">
        <f t="shared" si="17"/>
        <v>4.2036250000000006</v>
      </c>
      <c r="E1067" s="63">
        <f t="shared" si="17"/>
        <v>5.0666166666666665</v>
      </c>
      <c r="F1067" s="63">
        <f t="shared" si="17"/>
        <v>5.0666166666666665</v>
      </c>
      <c r="G1067" s="63">
        <f t="shared" si="17"/>
        <v>5.0731833333333336</v>
      </c>
      <c r="H1067" s="63">
        <f t="shared" si="17"/>
        <v>8.6447666666666674</v>
      </c>
      <c r="I1067" s="63">
        <f t="shared" si="17"/>
        <v>8.6513333333333335</v>
      </c>
      <c r="J1067" s="63">
        <f t="shared" si="17"/>
        <v>5.0666166666666665</v>
      </c>
      <c r="K1067" s="63">
        <f t="shared" si="17"/>
        <v>5.0731833333333336</v>
      </c>
    </row>
    <row r="1068" spans="1:11" ht="15">
      <c r="A1068" s="3">
        <v>2033</v>
      </c>
      <c r="B1068" s="63">
        <f t="shared" ref="B1068:K1068" si="18">AVERAGE(B233:B244)</f>
        <v>4.3121749999999999</v>
      </c>
      <c r="C1068" s="63">
        <f t="shared" si="18"/>
        <v>4.3121749999999999</v>
      </c>
      <c r="D1068" s="63">
        <f t="shared" si="18"/>
        <v>4.3175833333333342</v>
      </c>
      <c r="E1068" s="63">
        <f t="shared" si="18"/>
        <v>5.2221833333333327</v>
      </c>
      <c r="F1068" s="63">
        <f t="shared" si="18"/>
        <v>5.2221833333333327</v>
      </c>
      <c r="G1068" s="63">
        <f t="shared" si="18"/>
        <v>5.2287583333333343</v>
      </c>
      <c r="H1068" s="63">
        <f t="shared" si="18"/>
        <v>8.8633666666666659</v>
      </c>
      <c r="I1068" s="63">
        <f t="shared" si="18"/>
        <v>8.8699416666666657</v>
      </c>
      <c r="J1068" s="63">
        <f t="shared" si="18"/>
        <v>5.2221833333333327</v>
      </c>
      <c r="K1068" s="63">
        <f t="shared" si="18"/>
        <v>5.2287583333333343</v>
      </c>
    </row>
    <row r="1069" spans="1:11" ht="15">
      <c r="A1069" s="3">
        <v>2034</v>
      </c>
      <c r="B1069" s="63">
        <f t="shared" ref="B1069:K1069" si="19">AVERAGE(B245:B256)</f>
        <v>4.4314749999999998</v>
      </c>
      <c r="C1069" s="63">
        <f t="shared" si="19"/>
        <v>4.4314749999999998</v>
      </c>
      <c r="D1069" s="63">
        <f t="shared" si="19"/>
        <v>4.4368749999999997</v>
      </c>
      <c r="E1069" s="63">
        <f t="shared" si="19"/>
        <v>5.3829916666666664</v>
      </c>
      <c r="F1069" s="63">
        <f t="shared" si="19"/>
        <v>5.3829916666666664</v>
      </c>
      <c r="G1069" s="63">
        <f t="shared" si="19"/>
        <v>5.3895583333333335</v>
      </c>
      <c r="H1069" s="63">
        <f t="shared" si="19"/>
        <v>9.0875166666666658</v>
      </c>
      <c r="I1069" s="63">
        <f t="shared" si="19"/>
        <v>9.0940916666666656</v>
      </c>
      <c r="J1069" s="63">
        <f t="shared" si="19"/>
        <v>5.3829916666666664</v>
      </c>
      <c r="K1069" s="63">
        <f t="shared" si="19"/>
        <v>5.3895583333333335</v>
      </c>
    </row>
    <row r="1070" spans="1:11" ht="15">
      <c r="A1070" s="3">
        <v>2035</v>
      </c>
      <c r="B1070" s="63">
        <f t="shared" ref="B1070:K1070" si="20">AVERAGE(B257:B268)</f>
        <v>4.5522083333333327</v>
      </c>
      <c r="C1070" s="63">
        <f t="shared" si="20"/>
        <v>4.5522083333333327</v>
      </c>
      <c r="D1070" s="63">
        <f t="shared" si="20"/>
        <v>4.5576083333333335</v>
      </c>
      <c r="E1070" s="63">
        <f t="shared" si="20"/>
        <v>5.5499833333333326</v>
      </c>
      <c r="F1070" s="63">
        <f t="shared" si="20"/>
        <v>5.5499833333333326</v>
      </c>
      <c r="G1070" s="63">
        <f t="shared" si="20"/>
        <v>5.5565416666666669</v>
      </c>
      <c r="H1070" s="63">
        <f t="shared" si="20"/>
        <v>9.3173083333333349</v>
      </c>
      <c r="I1070" s="63">
        <f t="shared" si="20"/>
        <v>9.3239000000000001</v>
      </c>
      <c r="J1070" s="63">
        <f t="shared" si="20"/>
        <v>5.5499833333333326</v>
      </c>
      <c r="K1070" s="63">
        <f t="shared" si="20"/>
        <v>5.5565416666666669</v>
      </c>
    </row>
    <row r="1071" spans="1:11" ht="15">
      <c r="A1071" s="3">
        <v>2036</v>
      </c>
      <c r="B1071" s="63">
        <f t="shared" ref="B1071:K1071" si="21">AVERAGE(B269:B280)</f>
        <v>4.6735916666666668</v>
      </c>
      <c r="C1071" s="63">
        <f t="shared" si="21"/>
        <v>4.6735916666666668</v>
      </c>
      <c r="D1071" s="63">
        <f t="shared" si="21"/>
        <v>4.6790000000000012</v>
      </c>
      <c r="E1071" s="63">
        <f t="shared" si="21"/>
        <v>5.7116166666666652</v>
      </c>
      <c r="F1071" s="63">
        <f t="shared" si="21"/>
        <v>5.7116166666666652</v>
      </c>
      <c r="G1071" s="63">
        <f t="shared" si="21"/>
        <v>5.7182083333333331</v>
      </c>
      <c r="H1071" s="63">
        <f t="shared" si="21"/>
        <v>9.5529416666666673</v>
      </c>
      <c r="I1071" s="63">
        <f t="shared" si="21"/>
        <v>9.5595083333333353</v>
      </c>
      <c r="J1071" s="63">
        <f t="shared" si="21"/>
        <v>5.7116166666666652</v>
      </c>
      <c r="K1071" s="63">
        <f t="shared" si="21"/>
        <v>5.7182083333333331</v>
      </c>
    </row>
    <row r="1072" spans="1:11" ht="15">
      <c r="A1072" s="3">
        <v>2037</v>
      </c>
      <c r="B1072" s="63">
        <f t="shared" ref="B1072:K1072" si="22">AVERAGE(B281:B292)</f>
        <v>4.7968249999999992</v>
      </c>
      <c r="C1072" s="63">
        <f t="shared" si="22"/>
        <v>4.7968249999999992</v>
      </c>
      <c r="D1072" s="63">
        <f t="shared" si="22"/>
        <v>4.8022166666666672</v>
      </c>
      <c r="E1072" s="63">
        <f t="shared" si="22"/>
        <v>5.8677333333333328</v>
      </c>
      <c r="F1072" s="63">
        <f t="shared" si="22"/>
        <v>5.8677333333333328</v>
      </c>
      <c r="G1072" s="63">
        <f t="shared" si="22"/>
        <v>5.8743166666666662</v>
      </c>
      <c r="H1072" s="63">
        <f t="shared" si="22"/>
        <v>9.7945249999999984</v>
      </c>
      <c r="I1072" s="63">
        <f t="shared" si="22"/>
        <v>9.8011083333333335</v>
      </c>
      <c r="J1072" s="63">
        <f t="shared" si="22"/>
        <v>5.8677333333333328</v>
      </c>
      <c r="K1072" s="63">
        <f t="shared" si="22"/>
        <v>5.8743166666666662</v>
      </c>
    </row>
    <row r="1073" spans="1:11" ht="15">
      <c r="A1073" s="3">
        <v>2038</v>
      </c>
      <c r="B1073" s="63">
        <f t="shared" ref="B1073:K1073" si="23">AVERAGE(B293:B304)</f>
        <v>4.9241666666666664</v>
      </c>
      <c r="C1073" s="63">
        <f t="shared" si="23"/>
        <v>4.9241666666666664</v>
      </c>
      <c r="D1073" s="63">
        <f t="shared" si="23"/>
        <v>4.9295749999999989</v>
      </c>
      <c r="E1073" s="63">
        <f t="shared" si="23"/>
        <v>6.0242416666666658</v>
      </c>
      <c r="F1073" s="63">
        <f t="shared" si="23"/>
        <v>6.0242416666666658</v>
      </c>
      <c r="G1073" s="63">
        <f t="shared" si="23"/>
        <v>6.0308249999999992</v>
      </c>
      <c r="H1073" s="63">
        <f t="shared" si="23"/>
        <v>10.042208333333333</v>
      </c>
      <c r="I1073" s="63">
        <f t="shared" si="23"/>
        <v>10.048766666666666</v>
      </c>
      <c r="J1073" s="63">
        <f t="shared" si="23"/>
        <v>6.0242416666666658</v>
      </c>
      <c r="K1073" s="63">
        <f t="shared" si="23"/>
        <v>6.0308249999999992</v>
      </c>
    </row>
    <row r="1074" spans="1:11" ht="15">
      <c r="A1074" s="3">
        <v>2039</v>
      </c>
      <c r="B1074" s="63">
        <f t="shared" ref="B1074:K1074" si="24">AVERAGE(B305:B316)</f>
        <v>5.0543916666666666</v>
      </c>
      <c r="C1074" s="63">
        <f t="shared" si="24"/>
        <v>5.0543916666666666</v>
      </c>
      <c r="D1074" s="63">
        <f t="shared" si="24"/>
        <v>5.0597916666666665</v>
      </c>
      <c r="E1074" s="63">
        <f t="shared" si="24"/>
        <v>6.1721166666666667</v>
      </c>
      <c r="F1074" s="63">
        <f t="shared" si="24"/>
        <v>6.1721166666666667</v>
      </c>
      <c r="G1074" s="63">
        <f t="shared" si="24"/>
        <v>6.1786916666666665</v>
      </c>
      <c r="H1074" s="63">
        <f t="shared" si="24"/>
        <v>10.296166666666666</v>
      </c>
      <c r="I1074" s="63">
        <f t="shared" si="24"/>
        <v>10.302750000000001</v>
      </c>
      <c r="J1074" s="63">
        <f t="shared" si="24"/>
        <v>6.1721166666666667</v>
      </c>
      <c r="K1074" s="63">
        <f t="shared" si="24"/>
        <v>6.1786916666666665</v>
      </c>
    </row>
    <row r="1075" spans="1:11" ht="15">
      <c r="A1075" s="3">
        <v>2040</v>
      </c>
      <c r="B1075" s="63">
        <f t="shared" ref="B1075:K1075" si="25">AVERAGE(B317:B328)</f>
        <v>5.1875999999999998</v>
      </c>
      <c r="C1075" s="63">
        <f t="shared" si="25"/>
        <v>5.1875999999999998</v>
      </c>
      <c r="D1075" s="63">
        <f t="shared" si="25"/>
        <v>5.1930083333333341</v>
      </c>
      <c r="E1075" s="63">
        <f t="shared" si="25"/>
        <v>6.3228333333333326</v>
      </c>
      <c r="F1075" s="63">
        <f t="shared" si="25"/>
        <v>6.3228333333333326</v>
      </c>
      <c r="G1075" s="63">
        <f t="shared" si="25"/>
        <v>6.3294250000000005</v>
      </c>
      <c r="H1075" s="63">
        <f t="shared" si="25"/>
        <v>10.556541666666666</v>
      </c>
      <c r="I1075" s="63">
        <f t="shared" si="25"/>
        <v>10.563108333333332</v>
      </c>
      <c r="J1075" s="63">
        <f t="shared" si="25"/>
        <v>6.3228333333333326</v>
      </c>
      <c r="K1075" s="63">
        <f t="shared" si="25"/>
        <v>6.3294250000000005</v>
      </c>
    </row>
    <row r="1076" spans="1:11" ht="15">
      <c r="A1076" s="3">
        <v>2041</v>
      </c>
      <c r="B1076" s="63">
        <f t="shared" ref="B1076:K1076" si="26">AVERAGE(B329:B340)</f>
        <v>5.324349999999999</v>
      </c>
      <c r="C1076" s="63">
        <f t="shared" si="26"/>
        <v>5.324349999999999</v>
      </c>
      <c r="D1076" s="63">
        <f t="shared" si="26"/>
        <v>5.3297416666666662</v>
      </c>
      <c r="E1076" s="63">
        <f t="shared" si="26"/>
        <v>6.4772500000000006</v>
      </c>
      <c r="F1076" s="63">
        <f t="shared" si="26"/>
        <v>6.4772500000000006</v>
      </c>
      <c r="G1076" s="63">
        <f t="shared" si="26"/>
        <v>6.4838416666666667</v>
      </c>
      <c r="H1076" s="63">
        <f t="shared" si="26"/>
        <v>10.823500000000001</v>
      </c>
      <c r="I1076" s="63">
        <f t="shared" si="26"/>
        <v>10.830066666666665</v>
      </c>
      <c r="J1076" s="63">
        <f t="shared" si="26"/>
        <v>6.4772500000000006</v>
      </c>
      <c r="K1076" s="63">
        <f t="shared" si="26"/>
        <v>6.4838416666666667</v>
      </c>
    </row>
    <row r="1077" spans="1:11" ht="15">
      <c r="A1077" s="3">
        <v>2042</v>
      </c>
      <c r="B1077" s="63">
        <f t="shared" ref="B1077:K1077" si="27">AVERAGE(B341:B352)</f>
        <v>5.4647166666666651</v>
      </c>
      <c r="C1077" s="63">
        <f t="shared" si="27"/>
        <v>5.4647166666666651</v>
      </c>
      <c r="D1077" s="63">
        <f t="shared" si="27"/>
        <v>5.4701249999999995</v>
      </c>
      <c r="E1077" s="63">
        <f t="shared" si="27"/>
        <v>6.6354583333333323</v>
      </c>
      <c r="F1077" s="63">
        <f t="shared" si="27"/>
        <v>6.6354583333333323</v>
      </c>
      <c r="G1077" s="63">
        <f t="shared" si="27"/>
        <v>6.6420500000000002</v>
      </c>
      <c r="H1077" s="63">
        <f t="shared" si="27"/>
        <v>11.097200000000001</v>
      </c>
      <c r="I1077" s="63">
        <f t="shared" si="27"/>
        <v>11.103783333333334</v>
      </c>
      <c r="J1077" s="63">
        <f t="shared" si="27"/>
        <v>6.6354583333333323</v>
      </c>
      <c r="K1077" s="63">
        <f t="shared" si="27"/>
        <v>6.6420500000000002</v>
      </c>
    </row>
    <row r="1078" spans="1:11" ht="15">
      <c r="A1078" s="3">
        <v>2043</v>
      </c>
      <c r="B1078" s="63">
        <f t="shared" ref="B1078:K1078" si="28">AVERAGE(B353:B364)</f>
        <v>5.6088500000000003</v>
      </c>
      <c r="C1078" s="63">
        <f t="shared" si="28"/>
        <v>5.6088500000000003</v>
      </c>
      <c r="D1078" s="63">
        <f t="shared" si="28"/>
        <v>5.6142499999999993</v>
      </c>
      <c r="E1078" s="63">
        <f t="shared" si="28"/>
        <v>6.7975583333333347</v>
      </c>
      <c r="F1078" s="63">
        <f t="shared" si="28"/>
        <v>6.7975583333333347</v>
      </c>
      <c r="G1078" s="63">
        <f t="shared" si="28"/>
        <v>6.8041249999999991</v>
      </c>
      <c r="H1078" s="63">
        <f t="shared" si="28"/>
        <v>11.377841666666667</v>
      </c>
      <c r="I1078" s="63">
        <f t="shared" si="28"/>
        <v>11.384425</v>
      </c>
      <c r="J1078" s="63">
        <f t="shared" si="28"/>
        <v>6.7975583333333347</v>
      </c>
      <c r="K1078" s="63">
        <f t="shared" si="28"/>
        <v>6.8041249999999991</v>
      </c>
    </row>
    <row r="1079" spans="1:11" ht="15">
      <c r="A1079" s="3">
        <v>2044</v>
      </c>
      <c r="B1079" s="63">
        <f t="shared" ref="B1079:K1079" si="29">AVERAGE(B365:B376)</f>
        <v>5.7567750000000011</v>
      </c>
      <c r="C1079" s="63">
        <f t="shared" si="29"/>
        <v>5.7567750000000011</v>
      </c>
      <c r="D1079" s="63">
        <f t="shared" si="29"/>
        <v>5.7621833333333337</v>
      </c>
      <c r="E1079" s="63">
        <f t="shared" si="29"/>
        <v>6.9636083333333332</v>
      </c>
      <c r="F1079" s="63">
        <f t="shared" si="29"/>
        <v>6.9636083333333332</v>
      </c>
      <c r="G1079" s="63">
        <f t="shared" si="29"/>
        <v>6.9701999999999993</v>
      </c>
      <c r="H1079" s="63">
        <f t="shared" si="29"/>
        <v>11.665550000000001</v>
      </c>
      <c r="I1079" s="63">
        <f t="shared" si="29"/>
        <v>11.672141666666667</v>
      </c>
      <c r="J1079" s="63">
        <f t="shared" si="29"/>
        <v>6.9636083333333332</v>
      </c>
      <c r="K1079" s="63">
        <f t="shared" si="29"/>
        <v>6.9701999999999993</v>
      </c>
    </row>
    <row r="1080" spans="1:11" ht="15">
      <c r="A1080" s="3">
        <v>2045</v>
      </c>
      <c r="B1080" s="63">
        <f t="shared" ref="B1080:K1080" si="30">AVERAGE(B377:B388)</f>
        <v>5.9086583333333325</v>
      </c>
      <c r="C1080" s="63">
        <f t="shared" si="30"/>
        <v>5.9086583333333325</v>
      </c>
      <c r="D1080" s="63">
        <f t="shared" si="30"/>
        <v>5.9140583333333332</v>
      </c>
      <c r="E1080" s="63">
        <f t="shared" si="30"/>
        <v>7.13375</v>
      </c>
      <c r="F1080" s="63">
        <f t="shared" si="30"/>
        <v>7.13375</v>
      </c>
      <c r="G1080" s="63">
        <f t="shared" si="30"/>
        <v>7.1403333333333343</v>
      </c>
      <c r="H1080" s="63">
        <f t="shared" si="30"/>
        <v>11.960566666666667</v>
      </c>
      <c r="I1080" s="63">
        <f t="shared" si="30"/>
        <v>11.967141666666668</v>
      </c>
      <c r="J1080" s="63">
        <f t="shared" si="30"/>
        <v>7.13375</v>
      </c>
      <c r="K1080" s="63">
        <f t="shared" si="30"/>
        <v>7.1403333333333343</v>
      </c>
    </row>
    <row r="1081" spans="1:11" ht="15">
      <c r="A1081" s="3">
        <v>2046</v>
      </c>
      <c r="B1081" s="63">
        <f t="shared" ref="B1081:K1081" si="31">AVERAGE(B389:B400)</f>
        <v>6.0645833333333341</v>
      </c>
      <c r="C1081" s="63">
        <f t="shared" si="31"/>
        <v>6.0645833333333341</v>
      </c>
      <c r="D1081" s="63">
        <f t="shared" si="31"/>
        <v>6.070008333333333</v>
      </c>
      <c r="E1081" s="63">
        <f t="shared" si="31"/>
        <v>7.308083333333335</v>
      </c>
      <c r="F1081" s="63">
        <f t="shared" si="31"/>
        <v>7.308083333333335</v>
      </c>
      <c r="G1081" s="63">
        <f t="shared" si="31"/>
        <v>7.3146416666666676</v>
      </c>
      <c r="H1081" s="63">
        <f t="shared" si="31"/>
        <v>12.263041666666666</v>
      </c>
      <c r="I1081" s="63">
        <f t="shared" si="31"/>
        <v>12.269616666666666</v>
      </c>
      <c r="J1081" s="63">
        <f t="shared" si="31"/>
        <v>7.308083333333335</v>
      </c>
      <c r="K1081" s="63">
        <f t="shared" si="31"/>
        <v>7.3146416666666676</v>
      </c>
    </row>
    <row r="1082" spans="1:11" ht="15">
      <c r="A1082" s="3">
        <v>2047</v>
      </c>
      <c r="B1082" s="63">
        <f t="shared" ref="B1082:K1082" si="32">AVERAGE(B401:B412)</f>
        <v>6.2246583333333332</v>
      </c>
      <c r="C1082" s="63">
        <f t="shared" si="32"/>
        <v>6.2246583333333332</v>
      </c>
      <c r="D1082" s="63">
        <f t="shared" si="32"/>
        <v>6.2300750000000003</v>
      </c>
      <c r="E1082" s="63">
        <f t="shared" si="32"/>
        <v>7.4866750000000009</v>
      </c>
      <c r="F1082" s="63">
        <f t="shared" si="32"/>
        <v>7.4866750000000009</v>
      </c>
      <c r="G1082" s="63">
        <f t="shared" si="32"/>
        <v>7.4932333333333334</v>
      </c>
      <c r="H1082" s="63">
        <f t="shared" si="32"/>
        <v>12.573133333333333</v>
      </c>
      <c r="I1082" s="63">
        <f t="shared" si="32"/>
        <v>12.579725000000002</v>
      </c>
      <c r="J1082" s="63">
        <f t="shared" si="32"/>
        <v>7.4866750000000009</v>
      </c>
      <c r="K1082" s="63">
        <f t="shared" si="32"/>
        <v>7.4932333333333334</v>
      </c>
    </row>
    <row r="1083" spans="1:11" ht="15">
      <c r="A1083" s="3">
        <v>2048</v>
      </c>
      <c r="B1083" s="63">
        <f t="shared" ref="B1083:K1083" si="33">AVERAGE(B413:B424)</f>
        <v>6.3890083333333338</v>
      </c>
      <c r="C1083" s="63">
        <f t="shared" si="33"/>
        <v>6.3890083333333338</v>
      </c>
      <c r="D1083" s="63">
        <f t="shared" si="33"/>
        <v>6.3944166666666673</v>
      </c>
      <c r="E1083" s="63">
        <f t="shared" si="33"/>
        <v>7.6696083333333327</v>
      </c>
      <c r="F1083" s="63">
        <f t="shared" si="33"/>
        <v>7.6696083333333327</v>
      </c>
      <c r="G1083" s="63">
        <f t="shared" si="33"/>
        <v>7.6761999999999988</v>
      </c>
      <c r="H1083" s="63">
        <f t="shared" si="33"/>
        <v>12.891116666666667</v>
      </c>
      <c r="I1083" s="63">
        <f t="shared" si="33"/>
        <v>12.897683333333331</v>
      </c>
      <c r="J1083" s="63">
        <f t="shared" si="33"/>
        <v>7.6696083333333327</v>
      </c>
      <c r="K1083" s="63">
        <f t="shared" si="33"/>
        <v>7.6761999999999988</v>
      </c>
    </row>
    <row r="1084" spans="1:11" ht="15">
      <c r="A1084" s="3">
        <v>2049</v>
      </c>
      <c r="B1084" s="63">
        <f t="shared" ref="B1084:K1084" si="34">AVERAGE(B425:B436)</f>
        <v>6.5577333333333323</v>
      </c>
      <c r="C1084" s="63">
        <f t="shared" si="34"/>
        <v>6.5577333333333323</v>
      </c>
      <c r="D1084" s="63">
        <f t="shared" si="34"/>
        <v>6.5631500000000011</v>
      </c>
      <c r="E1084" s="63">
        <f t="shared" si="34"/>
        <v>7.8570916666666655</v>
      </c>
      <c r="F1084" s="63">
        <f t="shared" si="34"/>
        <v>7.8570916666666655</v>
      </c>
      <c r="G1084" s="63">
        <f t="shared" si="34"/>
        <v>7.8636750000000006</v>
      </c>
      <c r="H1084" s="63">
        <f t="shared" si="34"/>
        <v>13.217100000000002</v>
      </c>
      <c r="I1084" s="63">
        <f t="shared" si="34"/>
        <v>13.223674999999998</v>
      </c>
      <c r="J1084" s="63">
        <f t="shared" si="34"/>
        <v>7.8570916666666655</v>
      </c>
      <c r="K1084" s="63">
        <f t="shared" si="34"/>
        <v>7.8636750000000006</v>
      </c>
    </row>
    <row r="1085" spans="1:11" ht="15">
      <c r="A1085" s="3">
        <v>2050</v>
      </c>
      <c r="B1085" s="63">
        <f t="shared" ref="B1085:K1085" si="35">AVERAGE(B437:B448)</f>
        <v>6.7309499999999991</v>
      </c>
      <c r="C1085" s="63">
        <f t="shared" si="35"/>
        <v>6.7309499999999991</v>
      </c>
      <c r="D1085" s="63">
        <f t="shared" si="35"/>
        <v>6.7363666666666662</v>
      </c>
      <c r="E1085" s="63">
        <f t="shared" si="35"/>
        <v>8.0491666666666681</v>
      </c>
      <c r="F1085" s="63">
        <f t="shared" si="35"/>
        <v>8.0491666666666681</v>
      </c>
      <c r="G1085" s="63">
        <f t="shared" si="35"/>
        <v>8.0557416666666661</v>
      </c>
      <c r="H1085" s="63">
        <f t="shared" si="35"/>
        <v>13.551349999999999</v>
      </c>
      <c r="I1085" s="63">
        <f t="shared" si="35"/>
        <v>13.557908333333332</v>
      </c>
      <c r="J1085" s="63">
        <f t="shared" si="35"/>
        <v>8.0491666666666681</v>
      </c>
      <c r="K1085" s="63">
        <f t="shared" si="35"/>
        <v>8.0557416666666661</v>
      </c>
    </row>
    <row r="1086" spans="1:11" ht="15">
      <c r="A1086" s="3">
        <v>2051</v>
      </c>
      <c r="B1086" s="63">
        <f t="shared" ref="B1086:K1086" si="36">AVERAGE(B449:B460)</f>
        <v>6.9087916666666667</v>
      </c>
      <c r="C1086" s="63">
        <f t="shared" si="36"/>
        <v>6.9087916666666667</v>
      </c>
      <c r="D1086" s="63">
        <f t="shared" si="36"/>
        <v>6.9142000000000001</v>
      </c>
      <c r="E1086" s="63">
        <f t="shared" si="36"/>
        <v>8.2459583333333324</v>
      </c>
      <c r="F1086" s="63">
        <f t="shared" si="36"/>
        <v>8.2459583333333324</v>
      </c>
      <c r="G1086" s="63">
        <f t="shared" si="36"/>
        <v>8.2525333333333339</v>
      </c>
      <c r="H1086" s="63">
        <f t="shared" si="36"/>
        <v>13.894016666666666</v>
      </c>
      <c r="I1086" s="63">
        <f t="shared" si="36"/>
        <v>13.900591666666665</v>
      </c>
      <c r="J1086" s="63">
        <f t="shared" si="36"/>
        <v>8.2459583333333324</v>
      </c>
      <c r="K1086" s="63">
        <f t="shared" si="36"/>
        <v>8.2525333333333339</v>
      </c>
    </row>
    <row r="1087" spans="1:11" ht="15">
      <c r="A1087" s="3">
        <v>2052</v>
      </c>
      <c r="B1087" s="63">
        <f t="shared" ref="B1087:K1087" si="37">AVERAGE(B461:B472)</f>
        <v>7.0913833333333329</v>
      </c>
      <c r="C1087" s="63">
        <f t="shared" si="37"/>
        <v>7.0913833333333329</v>
      </c>
      <c r="D1087" s="63">
        <f t="shared" si="37"/>
        <v>7.0967750000000001</v>
      </c>
      <c r="E1087" s="63">
        <f t="shared" si="37"/>
        <v>8.4475583333333333</v>
      </c>
      <c r="F1087" s="63">
        <f t="shared" si="37"/>
        <v>8.4475583333333333</v>
      </c>
      <c r="G1087" s="63">
        <f t="shared" si="37"/>
        <v>8.4541583333333339</v>
      </c>
      <c r="H1087" s="63">
        <f t="shared" si="37"/>
        <v>14.245383333333331</v>
      </c>
      <c r="I1087" s="63">
        <f t="shared" si="37"/>
        <v>14.251958333333333</v>
      </c>
      <c r="J1087" s="63">
        <f t="shared" si="37"/>
        <v>8.4475583333333333</v>
      </c>
      <c r="K1087" s="63">
        <f t="shared" si="37"/>
        <v>8.4541583333333339</v>
      </c>
    </row>
    <row r="1088" spans="1:11" ht="15">
      <c r="A1088" s="3">
        <v>2053</v>
      </c>
      <c r="B1088" s="63">
        <f t="shared" ref="B1088:K1088" si="38">AVERAGE(B473:B484)</f>
        <v>7.2788166666666667</v>
      </c>
      <c r="C1088" s="63">
        <f t="shared" si="38"/>
        <v>7.2788166666666667</v>
      </c>
      <c r="D1088" s="63">
        <f t="shared" si="38"/>
        <v>7.2842250000000002</v>
      </c>
      <c r="E1088" s="63">
        <f t="shared" si="38"/>
        <v>8.6541250000000005</v>
      </c>
      <c r="F1088" s="63">
        <f t="shared" si="38"/>
        <v>8.6541250000000005</v>
      </c>
      <c r="G1088" s="63">
        <f t="shared" si="38"/>
        <v>8.6607166666666675</v>
      </c>
      <c r="H1088" s="63">
        <f t="shared" si="38"/>
        <v>14.605633333333332</v>
      </c>
      <c r="I1088" s="63">
        <f t="shared" si="38"/>
        <v>14.6122</v>
      </c>
      <c r="J1088" s="63">
        <f t="shared" si="38"/>
        <v>8.6541250000000005</v>
      </c>
      <c r="K1088" s="63">
        <f t="shared" si="38"/>
        <v>8.6607166666666675</v>
      </c>
    </row>
    <row r="1089" spans="1:11" ht="15">
      <c r="A1089" s="3">
        <v>2054</v>
      </c>
      <c r="B1089" s="63">
        <f t="shared" ref="B1089:K1089" si="39">AVERAGE(B485:B496)</f>
        <v>7.4712500000000004</v>
      </c>
      <c r="C1089" s="63">
        <f t="shared" si="39"/>
        <v>7.4712500000000004</v>
      </c>
      <c r="D1089" s="63">
        <f t="shared" si="39"/>
        <v>7.4766749999999993</v>
      </c>
      <c r="E1089" s="63">
        <f t="shared" si="39"/>
        <v>8.8657833333333329</v>
      </c>
      <c r="F1089" s="63">
        <f t="shared" si="39"/>
        <v>8.8657833333333329</v>
      </c>
      <c r="G1089" s="63">
        <f t="shared" si="39"/>
        <v>8.8723583333333327</v>
      </c>
      <c r="H1089" s="63">
        <f t="shared" si="39"/>
        <v>14.974983333333332</v>
      </c>
      <c r="I1089" s="63">
        <f t="shared" si="39"/>
        <v>14.981574999999999</v>
      </c>
      <c r="J1089" s="63">
        <f t="shared" si="39"/>
        <v>8.8657833333333329</v>
      </c>
      <c r="K1089" s="63">
        <f t="shared" si="39"/>
        <v>8.8723583333333327</v>
      </c>
    </row>
    <row r="1090" spans="1:11" ht="15">
      <c r="A1090" s="3">
        <v>2055</v>
      </c>
      <c r="B1090" s="63">
        <f t="shared" ref="B1090:K1090" si="40">AVERAGE(B17:B508)</f>
        <v>4.7972563008130082</v>
      </c>
      <c r="C1090" s="63">
        <f t="shared" si="40"/>
        <v>4.7979227642276419</v>
      </c>
      <c r="D1090" s="63">
        <f t="shared" si="40"/>
        <v>4.8033306910569085</v>
      </c>
      <c r="E1090" s="63">
        <f t="shared" si="40"/>
        <v>5.7651205284552844</v>
      </c>
      <c r="F1090" s="63">
        <f t="shared" si="40"/>
        <v>5.7676485772357715</v>
      </c>
      <c r="G1090" s="63">
        <f t="shared" si="40"/>
        <v>5.774230894308948</v>
      </c>
      <c r="H1090" s="63">
        <f t="shared" si="40"/>
        <v>9.7295359756097497</v>
      </c>
      <c r="I1090" s="63">
        <f t="shared" si="40"/>
        <v>9.7361130081300846</v>
      </c>
      <c r="J1090" s="63">
        <f t="shared" si="40"/>
        <v>5.7651205284552844</v>
      </c>
      <c r="K1090" s="63">
        <f t="shared" si="40"/>
        <v>5.7717024390243958</v>
      </c>
    </row>
    <row r="1091" spans="1:11" ht="15">
      <c r="A1091" s="3">
        <v>2056</v>
      </c>
      <c r="B1091" s="63">
        <f t="shared" ref="B1091:K1091" si="41">AVERAGE(B509:B520)</f>
        <v>7.8716833333333343</v>
      </c>
      <c r="C1091" s="63">
        <f t="shared" si="41"/>
        <v>7.8716833333333343</v>
      </c>
      <c r="D1091" s="63">
        <f t="shared" si="41"/>
        <v>7.8771166666666659</v>
      </c>
      <c r="E1091" s="63">
        <f t="shared" si="41"/>
        <v>9.3047749999999994</v>
      </c>
      <c r="F1091" s="63">
        <f t="shared" si="41"/>
        <v>9.3047749999999994</v>
      </c>
      <c r="G1091" s="63">
        <f t="shared" si="41"/>
        <v>9.3113583333333345</v>
      </c>
      <c r="H1091" s="63">
        <f t="shared" si="41"/>
        <v>15.741966666666665</v>
      </c>
      <c r="I1091" s="63">
        <f t="shared" si="41"/>
        <v>15.748516666666665</v>
      </c>
      <c r="J1091" s="63">
        <f t="shared" si="41"/>
        <v>9.3047749999999994</v>
      </c>
      <c r="K1091" s="63">
        <f t="shared" si="41"/>
        <v>9.3113583333333345</v>
      </c>
    </row>
    <row r="1092" spans="1:11" ht="15">
      <c r="A1092" s="3">
        <v>2057</v>
      </c>
      <c r="B1092" s="63">
        <f t="shared" ref="B1092:K1092" si="42">AVERAGE(B521:B532)</f>
        <v>8.079958333333332</v>
      </c>
      <c r="C1092" s="63">
        <f t="shared" si="42"/>
        <v>8.079958333333332</v>
      </c>
      <c r="D1092" s="63">
        <f t="shared" si="42"/>
        <v>8.0853749999999991</v>
      </c>
      <c r="E1092" s="63">
        <f t="shared" si="42"/>
        <v>9.5323916666666673</v>
      </c>
      <c r="F1092" s="63">
        <f t="shared" si="42"/>
        <v>9.5323916666666673</v>
      </c>
      <c r="G1092" s="63">
        <f t="shared" si="42"/>
        <v>9.5389833333333325</v>
      </c>
      <c r="H1092" s="63">
        <f t="shared" si="42"/>
        <v>16.140033333333335</v>
      </c>
      <c r="I1092" s="63">
        <f t="shared" si="42"/>
        <v>16.146625</v>
      </c>
      <c r="J1092" s="63">
        <f t="shared" si="42"/>
        <v>9.5323916666666673</v>
      </c>
      <c r="K1092" s="63">
        <f t="shared" si="42"/>
        <v>9.5389833333333325</v>
      </c>
    </row>
    <row r="1093" spans="1:11" ht="15">
      <c r="A1093" s="3">
        <v>2058</v>
      </c>
      <c r="B1093" s="63">
        <f t="shared" ref="B1093:K1093" si="43">AVERAGE(B533:B544)</f>
        <v>8.2937916666666691</v>
      </c>
      <c r="C1093" s="63">
        <f t="shared" si="43"/>
        <v>8.2937916666666691</v>
      </c>
      <c r="D1093" s="63">
        <f t="shared" si="43"/>
        <v>8.2991916666666672</v>
      </c>
      <c r="E1093" s="63">
        <f t="shared" si="43"/>
        <v>9.7656249999999982</v>
      </c>
      <c r="F1093" s="63">
        <f t="shared" si="43"/>
        <v>9.7656249999999982</v>
      </c>
      <c r="G1093" s="63">
        <f t="shared" si="43"/>
        <v>9.772216666666667</v>
      </c>
      <c r="H1093" s="63">
        <f t="shared" si="43"/>
        <v>16.548199999999998</v>
      </c>
      <c r="I1093" s="63">
        <f t="shared" si="43"/>
        <v>16.554766666666666</v>
      </c>
      <c r="J1093" s="63">
        <f t="shared" si="43"/>
        <v>9.7656249999999982</v>
      </c>
      <c r="K1093" s="63">
        <f t="shared" si="43"/>
        <v>9.772216666666667</v>
      </c>
    </row>
    <row r="1094" spans="1:11" ht="15">
      <c r="A1094" s="3">
        <v>2059</v>
      </c>
      <c r="B1094" s="63">
        <f t="shared" ref="B1094:K1094" si="44">AVERAGE(B545:B556)</f>
        <v>8.513325</v>
      </c>
      <c r="C1094" s="63">
        <f t="shared" si="44"/>
        <v>8.513325</v>
      </c>
      <c r="D1094" s="63">
        <f t="shared" si="44"/>
        <v>8.5187416666666671</v>
      </c>
      <c r="E1094" s="63">
        <f t="shared" si="44"/>
        <v>10.004574999999999</v>
      </c>
      <c r="F1094" s="63">
        <f t="shared" si="44"/>
        <v>10.004574999999999</v>
      </c>
      <c r="G1094" s="63">
        <f t="shared" si="44"/>
        <v>10.011141666666665</v>
      </c>
      <c r="H1094" s="63">
        <f t="shared" si="44"/>
        <v>16.966683333333329</v>
      </c>
      <c r="I1094" s="63">
        <f t="shared" si="44"/>
        <v>16.973258333333334</v>
      </c>
      <c r="J1094" s="63">
        <f t="shared" si="44"/>
        <v>10.004574999999999</v>
      </c>
      <c r="K1094" s="63">
        <f t="shared" si="44"/>
        <v>10.011141666666665</v>
      </c>
    </row>
    <row r="1095" spans="1:11" ht="15">
      <c r="A1095" s="3">
        <v>2060</v>
      </c>
      <c r="B1095" s="63">
        <f t="shared" ref="B1095:K1095" si="45">AVERAGE(B557:B568)</f>
        <v>8.738741666666666</v>
      </c>
      <c r="C1095" s="63">
        <f t="shared" si="45"/>
        <v>8.738741666666666</v>
      </c>
      <c r="D1095" s="63">
        <f t="shared" si="45"/>
        <v>8.7441333333333322</v>
      </c>
      <c r="E1095" s="63">
        <f t="shared" si="45"/>
        <v>10.249391666666666</v>
      </c>
      <c r="F1095" s="63">
        <f t="shared" si="45"/>
        <v>10.249391666666666</v>
      </c>
      <c r="G1095" s="63">
        <f t="shared" si="45"/>
        <v>10.255974999999998</v>
      </c>
      <c r="H1095" s="63">
        <f t="shared" si="45"/>
        <v>17.395733333333336</v>
      </c>
      <c r="I1095" s="63">
        <f t="shared" si="45"/>
        <v>17.402308333333334</v>
      </c>
      <c r="J1095" s="63">
        <f t="shared" si="45"/>
        <v>10.249391666666666</v>
      </c>
      <c r="K1095" s="63">
        <f t="shared" si="45"/>
        <v>10.255974999999998</v>
      </c>
    </row>
    <row r="1096" spans="1:11" ht="15">
      <c r="A1096" s="3">
        <v>2061</v>
      </c>
      <c r="B1096" s="63">
        <f t="shared" ref="B1096:K1096" si="46">AVERAGE(B569:B580)</f>
        <v>8.9701666666666657</v>
      </c>
      <c r="C1096" s="63">
        <f t="shared" si="46"/>
        <v>8.9701666666666657</v>
      </c>
      <c r="D1096" s="63">
        <f t="shared" si="46"/>
        <v>8.9755749999999992</v>
      </c>
      <c r="E1096" s="63">
        <f t="shared" si="46"/>
        <v>10.500225000000002</v>
      </c>
      <c r="F1096" s="63">
        <f t="shared" si="46"/>
        <v>10.500225000000002</v>
      </c>
      <c r="G1096" s="63">
        <f t="shared" si="46"/>
        <v>10.506816666666666</v>
      </c>
      <c r="H1096" s="63">
        <f t="shared" si="46"/>
        <v>17.835633333333334</v>
      </c>
      <c r="I1096" s="63">
        <f t="shared" si="46"/>
        <v>17.842225000000003</v>
      </c>
      <c r="J1096" s="63">
        <f t="shared" si="46"/>
        <v>10.500225000000002</v>
      </c>
      <c r="K1096" s="63">
        <f t="shared" si="46"/>
        <v>10.506816666666666</v>
      </c>
    </row>
    <row r="1097" spans="1:11" ht="15">
      <c r="A1097" s="3">
        <v>2062</v>
      </c>
      <c r="B1097" s="63">
        <f t="shared" ref="B1097:K1106" ca="1" si="47">AVERAGE(OFFSET(B$581,($A1097-$A$1097)*12,0,12,1))</f>
        <v>9.2077833333333352</v>
      </c>
      <c r="C1097" s="63">
        <f t="shared" ca="1" si="47"/>
        <v>9.2077833333333352</v>
      </c>
      <c r="D1097" s="63">
        <f t="shared" ca="1" si="47"/>
        <v>9.2131833333333351</v>
      </c>
      <c r="E1097" s="63">
        <f t="shared" ca="1" si="47"/>
        <v>10.757233333333332</v>
      </c>
      <c r="F1097" s="63">
        <f t="shared" ca="1" si="47"/>
        <v>10.757233333333332</v>
      </c>
      <c r="G1097" s="63">
        <f t="shared" ca="1" si="47"/>
        <v>10.763833333333332</v>
      </c>
      <c r="H1097" s="63">
        <f t="shared" ca="1" si="47"/>
        <v>18.286683333333333</v>
      </c>
      <c r="I1097" s="63">
        <f t="shared" ca="1" si="47"/>
        <v>18.293266666666668</v>
      </c>
      <c r="J1097" s="63">
        <f t="shared" ca="1" si="47"/>
        <v>10.757233333333332</v>
      </c>
      <c r="K1097" s="63">
        <f t="shared" ca="1" si="47"/>
        <v>10.763833333333332</v>
      </c>
    </row>
    <row r="1098" spans="1:11" ht="15">
      <c r="A1098" s="3">
        <v>2063</v>
      </c>
      <c r="B1098" s="63">
        <f t="shared" ca="1" si="47"/>
        <v>9.4453666666666667</v>
      </c>
      <c r="C1098" s="63">
        <f t="shared" ca="1" si="47"/>
        <v>9.4453666666666667</v>
      </c>
      <c r="D1098" s="63">
        <f t="shared" ca="1" si="47"/>
        <v>9.4507999999999974</v>
      </c>
      <c r="E1098" s="63">
        <f t="shared" ca="1" si="47"/>
        <v>11.014258333333332</v>
      </c>
      <c r="F1098" s="63">
        <f t="shared" ca="1" si="47"/>
        <v>11.014258333333332</v>
      </c>
      <c r="G1098" s="63">
        <f t="shared" ca="1" si="47"/>
        <v>11.020850000000001</v>
      </c>
      <c r="H1098" s="63">
        <f t="shared" ca="1" si="47"/>
        <v>18.7377</v>
      </c>
      <c r="I1098" s="63">
        <f t="shared" ca="1" si="47"/>
        <v>18.744299999999999</v>
      </c>
      <c r="J1098" s="63">
        <f t="shared" ca="1" si="47"/>
        <v>11.014258333333332</v>
      </c>
      <c r="K1098" s="63">
        <f t="shared" ca="1" si="47"/>
        <v>11.020850000000001</v>
      </c>
    </row>
    <row r="1099" spans="1:11" ht="15">
      <c r="A1099" s="3">
        <v>2064</v>
      </c>
      <c r="B1099" s="63">
        <f t="shared" ca="1" si="47"/>
        <v>9.6830083333333334</v>
      </c>
      <c r="C1099" s="63">
        <f t="shared" ca="1" si="47"/>
        <v>9.6830083333333334</v>
      </c>
      <c r="D1099" s="63">
        <f t="shared" ca="1" si="47"/>
        <v>9.6884250000000005</v>
      </c>
      <c r="E1099" s="63">
        <f t="shared" ca="1" si="47"/>
        <v>11.271266666666667</v>
      </c>
      <c r="F1099" s="63">
        <f t="shared" ca="1" si="47"/>
        <v>11.271266666666667</v>
      </c>
      <c r="G1099" s="63">
        <f t="shared" ca="1" si="47"/>
        <v>11.277858333333334</v>
      </c>
      <c r="H1099" s="63">
        <f t="shared" ca="1" si="47"/>
        <v>19.188758333333329</v>
      </c>
      <c r="I1099" s="63">
        <f t="shared" ca="1" si="47"/>
        <v>19.195333333333334</v>
      </c>
      <c r="J1099" s="63">
        <f t="shared" ca="1" si="47"/>
        <v>11.271266666666667</v>
      </c>
      <c r="K1099" s="63">
        <f t="shared" ca="1" si="47"/>
        <v>11.277858333333334</v>
      </c>
    </row>
    <row r="1100" spans="1:11" ht="15">
      <c r="A1100" s="3">
        <v>2065</v>
      </c>
      <c r="B1100" s="63">
        <f t="shared" ca="1" si="47"/>
        <v>9.9206166666666658</v>
      </c>
      <c r="C1100" s="63">
        <f t="shared" ca="1" si="47"/>
        <v>9.9206166666666658</v>
      </c>
      <c r="D1100" s="63">
        <f t="shared" ca="1" si="47"/>
        <v>9.9260249999999974</v>
      </c>
      <c r="E1100" s="63">
        <f t="shared" ca="1" si="47"/>
        <v>11.528291666666666</v>
      </c>
      <c r="F1100" s="63">
        <f t="shared" ca="1" si="47"/>
        <v>11.528291666666666</v>
      </c>
      <c r="G1100" s="63">
        <f t="shared" ca="1" si="47"/>
        <v>11.534849999999999</v>
      </c>
      <c r="H1100" s="63">
        <f t="shared" ca="1" si="47"/>
        <v>19.639800000000005</v>
      </c>
      <c r="I1100" s="63">
        <f t="shared" ca="1" si="47"/>
        <v>19.646358333333332</v>
      </c>
      <c r="J1100" s="63">
        <f t="shared" ca="1" si="47"/>
        <v>11.528291666666666</v>
      </c>
      <c r="K1100" s="63">
        <f t="shared" ca="1" si="47"/>
        <v>11.534849999999999</v>
      </c>
    </row>
    <row r="1101" spans="1:11" ht="15">
      <c r="A1101" s="3">
        <v>2066</v>
      </c>
      <c r="B1101" s="63">
        <f t="shared" ca="1" si="47"/>
        <v>10.158233333333335</v>
      </c>
      <c r="C1101" s="63">
        <f t="shared" ca="1" si="47"/>
        <v>10.158233333333335</v>
      </c>
      <c r="D1101" s="63">
        <f t="shared" ca="1" si="47"/>
        <v>10.163633333333333</v>
      </c>
      <c r="E1101" s="63">
        <f t="shared" ca="1" si="47"/>
        <v>11.785283333333332</v>
      </c>
      <c r="F1101" s="63">
        <f t="shared" ca="1" si="47"/>
        <v>11.785283333333332</v>
      </c>
      <c r="G1101" s="63">
        <f t="shared" ca="1" si="47"/>
        <v>11.791874999999999</v>
      </c>
      <c r="H1101" s="63">
        <f t="shared" ca="1" si="47"/>
        <v>20.090816666666665</v>
      </c>
      <c r="I1101" s="63">
        <f t="shared" ca="1" si="47"/>
        <v>20.097408333333334</v>
      </c>
      <c r="J1101" s="63">
        <f t="shared" ca="1" si="47"/>
        <v>11.785283333333332</v>
      </c>
      <c r="K1101" s="63">
        <f t="shared" ca="1" si="47"/>
        <v>11.791874999999999</v>
      </c>
    </row>
    <row r="1102" spans="1:11" ht="15">
      <c r="A1102" s="3">
        <v>2067</v>
      </c>
      <c r="B1102" s="63">
        <f t="shared" ca="1" si="47"/>
        <v>10.395849999999998</v>
      </c>
      <c r="C1102" s="63">
        <f t="shared" ca="1" si="47"/>
        <v>10.395849999999998</v>
      </c>
      <c r="D1102" s="63">
        <f t="shared" ca="1" si="47"/>
        <v>10.401258333333333</v>
      </c>
      <c r="E1102" s="63">
        <f t="shared" ca="1" si="47"/>
        <v>12.042299999999999</v>
      </c>
      <c r="F1102" s="63">
        <f t="shared" ca="1" si="47"/>
        <v>12.042299999999999</v>
      </c>
      <c r="G1102" s="63">
        <f t="shared" ca="1" si="47"/>
        <v>12.048875000000001</v>
      </c>
      <c r="H1102" s="63">
        <f t="shared" ca="1" si="47"/>
        <v>20.541858333333334</v>
      </c>
      <c r="I1102" s="63">
        <f t="shared" ca="1" si="47"/>
        <v>20.548433333333332</v>
      </c>
      <c r="J1102" s="63">
        <f t="shared" ca="1" si="47"/>
        <v>12.042299999999999</v>
      </c>
      <c r="K1102" s="63">
        <f t="shared" ca="1" si="47"/>
        <v>12.048875000000001</v>
      </c>
    </row>
    <row r="1103" spans="1:11" ht="15">
      <c r="A1103" s="3">
        <v>2068</v>
      </c>
      <c r="B1103" s="63">
        <f t="shared" ca="1" si="47"/>
        <v>10.633449999999998</v>
      </c>
      <c r="C1103" s="63">
        <f t="shared" ca="1" si="47"/>
        <v>10.633449999999998</v>
      </c>
      <c r="D1103" s="63">
        <f t="shared" ca="1" si="47"/>
        <v>10.638858333333333</v>
      </c>
      <c r="E1103" s="63">
        <f t="shared" ca="1" si="47"/>
        <v>12.299291666666669</v>
      </c>
      <c r="F1103" s="63">
        <f t="shared" ca="1" si="47"/>
        <v>12.299291666666669</v>
      </c>
      <c r="G1103" s="63">
        <f t="shared" ca="1" si="47"/>
        <v>12.305891666666668</v>
      </c>
      <c r="H1103" s="63">
        <f t="shared" ca="1" si="47"/>
        <v>20.992891666666669</v>
      </c>
      <c r="I1103" s="63">
        <f t="shared" ca="1" si="47"/>
        <v>20.999483333333334</v>
      </c>
      <c r="J1103" s="63">
        <f t="shared" ca="1" si="47"/>
        <v>12.299291666666669</v>
      </c>
      <c r="K1103" s="63">
        <f t="shared" ca="1" si="47"/>
        <v>12.305891666666668</v>
      </c>
    </row>
    <row r="1104" spans="1:11" ht="15">
      <c r="A1104" s="3">
        <v>2069</v>
      </c>
      <c r="B1104" s="63">
        <f t="shared" ca="1" si="47"/>
        <v>10.871066666666664</v>
      </c>
      <c r="C1104" s="63">
        <f t="shared" ca="1" si="47"/>
        <v>10.871066666666664</v>
      </c>
      <c r="D1104" s="63">
        <f t="shared" ca="1" si="47"/>
        <v>10.876483333333333</v>
      </c>
      <c r="E1104" s="63">
        <f t="shared" ca="1" si="47"/>
        <v>12.556333333333333</v>
      </c>
      <c r="F1104" s="63">
        <f t="shared" ca="1" si="47"/>
        <v>12.556333333333333</v>
      </c>
      <c r="G1104" s="63">
        <f t="shared" ca="1" si="47"/>
        <v>12.562908333333333</v>
      </c>
      <c r="H1104" s="63">
        <f t="shared" ca="1" si="47"/>
        <v>21.443916666666667</v>
      </c>
      <c r="I1104" s="63">
        <f t="shared" ca="1" si="47"/>
        <v>21.450508333333332</v>
      </c>
      <c r="J1104" s="63">
        <f t="shared" ca="1" si="47"/>
        <v>12.556333333333333</v>
      </c>
      <c r="K1104" s="63">
        <f t="shared" ca="1" si="47"/>
        <v>12.562908333333333</v>
      </c>
    </row>
    <row r="1105" spans="1:11" ht="15">
      <c r="A1105" s="3">
        <v>2070</v>
      </c>
      <c r="B1105" s="63">
        <f t="shared" ca="1" si="47"/>
        <v>11.108683333333333</v>
      </c>
      <c r="C1105" s="63">
        <f t="shared" ca="1" si="47"/>
        <v>11.108683333333333</v>
      </c>
      <c r="D1105" s="63">
        <f t="shared" ca="1" si="47"/>
        <v>11.114091666666667</v>
      </c>
      <c r="E1105" s="63">
        <f t="shared" ca="1" si="47"/>
        <v>12.813333333333333</v>
      </c>
      <c r="F1105" s="63">
        <f t="shared" ca="1" si="47"/>
        <v>12.813333333333333</v>
      </c>
      <c r="G1105" s="63">
        <f t="shared" ca="1" si="47"/>
        <v>12.819900000000002</v>
      </c>
      <c r="H1105" s="63">
        <f t="shared" ca="1" si="47"/>
        <v>21.894974999999999</v>
      </c>
      <c r="I1105" s="63">
        <f t="shared" ca="1" si="47"/>
        <v>21.90154166666667</v>
      </c>
      <c r="J1105" s="63">
        <f t="shared" ca="1" si="47"/>
        <v>12.813333333333333</v>
      </c>
      <c r="K1105" s="63">
        <f t="shared" ca="1" si="47"/>
        <v>12.819900000000002</v>
      </c>
    </row>
    <row r="1106" spans="1:11" ht="15">
      <c r="A1106" s="3">
        <v>2071</v>
      </c>
      <c r="B1106" s="63">
        <f t="shared" ca="1" si="47"/>
        <v>11.346308333333333</v>
      </c>
      <c r="C1106" s="63">
        <f t="shared" ca="1" si="47"/>
        <v>11.346308333333333</v>
      </c>
      <c r="D1106" s="63">
        <f t="shared" ca="1" si="47"/>
        <v>11.351708333333333</v>
      </c>
      <c r="E1106" s="63">
        <f t="shared" ca="1" si="47"/>
        <v>13.070333333333332</v>
      </c>
      <c r="F1106" s="63">
        <f t="shared" ca="1" si="47"/>
        <v>13.070333333333332</v>
      </c>
      <c r="G1106" s="63">
        <f t="shared" ca="1" si="47"/>
        <v>13.076916666666667</v>
      </c>
      <c r="H1106" s="63">
        <f t="shared" ca="1" si="47"/>
        <v>22.346016666666667</v>
      </c>
      <c r="I1106" s="63">
        <f t="shared" ca="1" si="47"/>
        <v>22.352599999999999</v>
      </c>
      <c r="J1106" s="63">
        <f t="shared" ca="1" si="47"/>
        <v>13.070333333333332</v>
      </c>
      <c r="K1106" s="63">
        <f t="shared" ca="1" si="47"/>
        <v>13.076916666666667</v>
      </c>
    </row>
    <row r="1107" spans="1:11" ht="15">
      <c r="A1107" s="3">
        <v>2072</v>
      </c>
      <c r="B1107" s="63">
        <f t="shared" ref="B1107:K1116" ca="1" si="48">AVERAGE(OFFSET(B$581,($A1107-$A$1097)*12,0,12,1))</f>
        <v>11.583908333333333</v>
      </c>
      <c r="C1107" s="63">
        <f t="shared" ca="1" si="48"/>
        <v>11.583908333333333</v>
      </c>
      <c r="D1107" s="63">
        <f t="shared" ca="1" si="48"/>
        <v>11.589325000000001</v>
      </c>
      <c r="E1107" s="63">
        <f t="shared" ca="1" si="48"/>
        <v>13.327350000000001</v>
      </c>
      <c r="F1107" s="63">
        <f t="shared" ca="1" si="48"/>
        <v>13.327350000000001</v>
      </c>
      <c r="G1107" s="63">
        <f t="shared" ca="1" si="48"/>
        <v>13.333941666666666</v>
      </c>
      <c r="H1107" s="63">
        <f t="shared" ca="1" si="48"/>
        <v>22.797041666666669</v>
      </c>
      <c r="I1107" s="63">
        <f t="shared" ca="1" si="48"/>
        <v>22.80361666666667</v>
      </c>
      <c r="J1107" s="63">
        <f t="shared" ca="1" si="48"/>
        <v>13.327350000000001</v>
      </c>
      <c r="K1107" s="63">
        <f t="shared" ca="1" si="48"/>
        <v>13.333941666666666</v>
      </c>
    </row>
    <row r="1108" spans="1:11" ht="15">
      <c r="A1108" s="3">
        <v>2073</v>
      </c>
      <c r="B1108" s="63">
        <f t="shared" ca="1" si="48"/>
        <v>11.821525000000001</v>
      </c>
      <c r="C1108" s="63">
        <f t="shared" ca="1" si="48"/>
        <v>11.821525000000001</v>
      </c>
      <c r="D1108" s="63">
        <f t="shared" ca="1" si="48"/>
        <v>11.826933333333331</v>
      </c>
      <c r="E1108" s="63">
        <f t="shared" ca="1" si="48"/>
        <v>13.584366666666666</v>
      </c>
      <c r="F1108" s="63">
        <f t="shared" ca="1" si="48"/>
        <v>13.584366666666666</v>
      </c>
      <c r="G1108" s="63">
        <f t="shared" ca="1" si="48"/>
        <v>13.590941666666666</v>
      </c>
      <c r="H1108" s="63">
        <f t="shared" ca="1" si="48"/>
        <v>23.248075000000004</v>
      </c>
      <c r="I1108" s="63">
        <f t="shared" ca="1" si="48"/>
        <v>23.254658333333335</v>
      </c>
      <c r="J1108" s="63">
        <f t="shared" ca="1" si="48"/>
        <v>13.584366666666666</v>
      </c>
      <c r="K1108" s="63">
        <f t="shared" ca="1" si="48"/>
        <v>13.590941666666666</v>
      </c>
    </row>
    <row r="1109" spans="1:11" ht="15">
      <c r="A1109" s="3">
        <v>2074</v>
      </c>
      <c r="B1109" s="63">
        <f t="shared" ca="1" si="48"/>
        <v>12.059150000000001</v>
      </c>
      <c r="C1109" s="63">
        <f t="shared" ca="1" si="48"/>
        <v>12.059150000000001</v>
      </c>
      <c r="D1109" s="63">
        <f t="shared" ca="1" si="48"/>
        <v>12.064549999999999</v>
      </c>
      <c r="E1109" s="63">
        <f t="shared" ca="1" si="48"/>
        <v>13.841366666666666</v>
      </c>
      <c r="F1109" s="63">
        <f t="shared" ca="1" si="48"/>
        <v>13.841366666666666</v>
      </c>
      <c r="G1109" s="63">
        <f t="shared" ca="1" si="48"/>
        <v>13.847941666666665</v>
      </c>
      <c r="H1109" s="63">
        <f t="shared" ca="1" si="48"/>
        <v>23.699116666666665</v>
      </c>
      <c r="I1109" s="63">
        <f t="shared" ca="1" si="48"/>
        <v>23.705700000000004</v>
      </c>
      <c r="J1109" s="63">
        <f t="shared" ca="1" si="48"/>
        <v>13.841366666666666</v>
      </c>
      <c r="K1109" s="63">
        <f t="shared" ca="1" si="48"/>
        <v>13.847941666666665</v>
      </c>
    </row>
    <row r="1110" spans="1:11" ht="15">
      <c r="A1110" s="3">
        <v>2075</v>
      </c>
      <c r="B1110" s="63">
        <f t="shared" ca="1" si="48"/>
        <v>12.296750000000001</v>
      </c>
      <c r="C1110" s="63">
        <f t="shared" ca="1" si="48"/>
        <v>12.296750000000001</v>
      </c>
      <c r="D1110" s="63">
        <f t="shared" ca="1" si="48"/>
        <v>12.302158333333333</v>
      </c>
      <c r="E1110" s="63">
        <f t="shared" ca="1" si="48"/>
        <v>14.098391666666664</v>
      </c>
      <c r="F1110" s="63">
        <f t="shared" ca="1" si="48"/>
        <v>14.098391666666664</v>
      </c>
      <c r="G1110" s="63">
        <f t="shared" ca="1" si="48"/>
        <v>14.104949999999997</v>
      </c>
      <c r="H1110" s="63">
        <f t="shared" ca="1" si="48"/>
        <v>24.150158333333334</v>
      </c>
      <c r="I1110" s="63">
        <f t="shared" ca="1" si="48"/>
        <v>24.156724999999998</v>
      </c>
      <c r="J1110" s="63">
        <f t="shared" ca="1" si="48"/>
        <v>14.098391666666664</v>
      </c>
      <c r="K1110" s="63">
        <f t="shared" ca="1" si="48"/>
        <v>14.104949999999997</v>
      </c>
    </row>
    <row r="1111" spans="1:11" ht="15">
      <c r="A1111" s="3">
        <v>2076</v>
      </c>
      <c r="B1111" s="63">
        <f t="shared" ca="1" si="48"/>
        <v>12.534383333333331</v>
      </c>
      <c r="C1111" s="63">
        <f t="shared" ca="1" si="48"/>
        <v>12.534383333333331</v>
      </c>
      <c r="D1111" s="63">
        <f t="shared" ca="1" si="48"/>
        <v>12.539774999999999</v>
      </c>
      <c r="E1111" s="63">
        <f t="shared" ca="1" si="48"/>
        <v>14.355391666666668</v>
      </c>
      <c r="F1111" s="63">
        <f t="shared" ca="1" si="48"/>
        <v>14.355391666666668</v>
      </c>
      <c r="G1111" s="63">
        <f t="shared" ca="1" si="48"/>
        <v>14.361983333333333</v>
      </c>
      <c r="H1111" s="63">
        <f t="shared" ca="1" si="48"/>
        <v>24.601200000000002</v>
      </c>
      <c r="I1111" s="63">
        <f t="shared" ca="1" si="48"/>
        <v>24.607758333333333</v>
      </c>
      <c r="J1111" s="63">
        <f t="shared" ca="1" si="48"/>
        <v>14.355391666666668</v>
      </c>
      <c r="K1111" s="63">
        <f t="shared" ca="1" si="48"/>
        <v>14.361983333333333</v>
      </c>
    </row>
    <row r="1112" spans="1:11" ht="15">
      <c r="A1112" s="3">
        <v>2077</v>
      </c>
      <c r="B1112" s="63">
        <f t="shared" ca="1" si="48"/>
        <v>12.771983333333333</v>
      </c>
      <c r="C1112" s="63">
        <f t="shared" ca="1" si="48"/>
        <v>12.771983333333333</v>
      </c>
      <c r="D1112" s="63">
        <f t="shared" ca="1" si="48"/>
        <v>12.777391666666666</v>
      </c>
      <c r="E1112" s="63">
        <f t="shared" ca="1" si="48"/>
        <v>14.612399999999999</v>
      </c>
      <c r="F1112" s="63">
        <f t="shared" ca="1" si="48"/>
        <v>14.612399999999999</v>
      </c>
      <c r="G1112" s="63">
        <f t="shared" ca="1" si="48"/>
        <v>14.618974999999999</v>
      </c>
      <c r="H1112" s="63">
        <f t="shared" ca="1" si="48"/>
        <v>25.052241666666664</v>
      </c>
      <c r="I1112" s="63">
        <f t="shared" ca="1" si="48"/>
        <v>25.058800000000002</v>
      </c>
      <c r="J1112" s="63">
        <f t="shared" ca="1" si="48"/>
        <v>14.612399999999999</v>
      </c>
      <c r="K1112" s="63">
        <f t="shared" ca="1" si="48"/>
        <v>14.618974999999999</v>
      </c>
    </row>
    <row r="1113" spans="1:11" ht="15">
      <c r="A1113" s="3">
        <v>2078</v>
      </c>
      <c r="B1113" s="63">
        <f t="shared" ca="1" si="48"/>
        <v>13.009583333333333</v>
      </c>
      <c r="C1113" s="63">
        <f t="shared" ca="1" si="48"/>
        <v>13.009583333333333</v>
      </c>
      <c r="D1113" s="63">
        <f t="shared" ca="1" si="48"/>
        <v>13.014991666666667</v>
      </c>
      <c r="E1113" s="63">
        <f t="shared" ca="1" si="48"/>
        <v>14.869391666666665</v>
      </c>
      <c r="F1113" s="63">
        <f t="shared" ca="1" si="48"/>
        <v>14.869391666666665</v>
      </c>
      <c r="G1113" s="63">
        <f t="shared" ca="1" si="48"/>
        <v>14.875991666666664</v>
      </c>
      <c r="H1113" s="63">
        <f t="shared" ca="1" si="48"/>
        <v>25.503249999999998</v>
      </c>
      <c r="I1113" s="63">
        <f t="shared" ca="1" si="48"/>
        <v>25.509833333333329</v>
      </c>
      <c r="J1113" s="63">
        <f t="shared" ca="1" si="48"/>
        <v>14.869391666666665</v>
      </c>
      <c r="K1113" s="63">
        <f t="shared" ca="1" si="48"/>
        <v>14.875991666666664</v>
      </c>
    </row>
    <row r="1114" spans="1:11" ht="15">
      <c r="A1114" s="3">
        <v>2079</v>
      </c>
      <c r="B1114" s="63">
        <f t="shared" ca="1" si="48"/>
        <v>13.247225000000002</v>
      </c>
      <c r="C1114" s="63">
        <f t="shared" ca="1" si="48"/>
        <v>13.247225000000002</v>
      </c>
      <c r="D1114" s="63">
        <f t="shared" ca="1" si="48"/>
        <v>13.252625000000002</v>
      </c>
      <c r="E1114" s="63">
        <f t="shared" ca="1" si="48"/>
        <v>15.126424999999999</v>
      </c>
      <c r="F1114" s="63">
        <f t="shared" ca="1" si="48"/>
        <v>15.126424999999999</v>
      </c>
      <c r="G1114" s="63">
        <f t="shared" ca="1" si="48"/>
        <v>15.132991666666667</v>
      </c>
      <c r="H1114" s="63">
        <f t="shared" ca="1" si="48"/>
        <v>25.954283333333333</v>
      </c>
      <c r="I1114" s="63">
        <f t="shared" ca="1" si="48"/>
        <v>25.960858333333334</v>
      </c>
      <c r="J1114" s="63">
        <f t="shared" ca="1" si="48"/>
        <v>15.126424999999999</v>
      </c>
      <c r="K1114" s="63">
        <f t="shared" ca="1" si="48"/>
        <v>15.132991666666667</v>
      </c>
    </row>
    <row r="1115" spans="1:11" ht="15">
      <c r="A1115" s="3">
        <v>2080</v>
      </c>
      <c r="B1115" s="63">
        <f t="shared" ca="1" si="48"/>
        <v>13.484824999999995</v>
      </c>
      <c r="C1115" s="63">
        <f t="shared" ca="1" si="48"/>
        <v>13.484824999999995</v>
      </c>
      <c r="D1115" s="63">
        <f t="shared" ca="1" si="48"/>
        <v>13.490233333333331</v>
      </c>
      <c r="E1115" s="63">
        <f t="shared" ca="1" si="48"/>
        <v>15.383441666666668</v>
      </c>
      <c r="F1115" s="63">
        <f t="shared" ca="1" si="48"/>
        <v>15.383441666666668</v>
      </c>
      <c r="G1115" s="63">
        <f t="shared" ca="1" si="48"/>
        <v>15.390016666666668</v>
      </c>
      <c r="H1115" s="63">
        <f t="shared" ca="1" si="48"/>
        <v>26.405316666666661</v>
      </c>
      <c r="I1115" s="63">
        <f t="shared" ca="1" si="48"/>
        <v>26.411916666666666</v>
      </c>
      <c r="J1115" s="63">
        <f t="shared" ca="1" si="48"/>
        <v>15.383441666666668</v>
      </c>
      <c r="K1115" s="63">
        <f t="shared" ca="1" si="48"/>
        <v>15.390016666666668</v>
      </c>
    </row>
    <row r="1116" spans="1:11" ht="15">
      <c r="A1116" s="3">
        <v>2081</v>
      </c>
      <c r="B1116" s="63">
        <f t="shared" ca="1" si="48"/>
        <v>13.72245</v>
      </c>
      <c r="C1116" s="63">
        <f t="shared" ca="1" si="48"/>
        <v>13.72245</v>
      </c>
      <c r="D1116" s="63">
        <f t="shared" ca="1" si="48"/>
        <v>13.727850000000002</v>
      </c>
      <c r="E1116" s="63">
        <f t="shared" ca="1" si="48"/>
        <v>15.640424999999999</v>
      </c>
      <c r="F1116" s="63">
        <f t="shared" ca="1" si="48"/>
        <v>15.640424999999999</v>
      </c>
      <c r="G1116" s="63">
        <f t="shared" ca="1" si="48"/>
        <v>15.647024999999998</v>
      </c>
      <c r="H1116" s="63">
        <f t="shared" ca="1" si="48"/>
        <v>26.856358333333333</v>
      </c>
      <c r="I1116" s="63">
        <f t="shared" ca="1" si="48"/>
        <v>26.862925000000004</v>
      </c>
      <c r="J1116" s="63">
        <f t="shared" ca="1" si="48"/>
        <v>15.640424999999999</v>
      </c>
      <c r="K1116" s="63">
        <f t="shared" ca="1" si="48"/>
        <v>15.647024999999998</v>
      </c>
    </row>
    <row r="1117" spans="1:11" ht="15">
      <c r="A1117" s="3">
        <v>2082</v>
      </c>
      <c r="B1117" s="63">
        <f t="shared" ref="B1117:K1126" ca="1" si="49">AVERAGE(OFFSET(B$581,($A1117-$A$1097)*12,0,12,1))</f>
        <v>13.960058333333334</v>
      </c>
      <c r="C1117" s="63">
        <f t="shared" ca="1" si="49"/>
        <v>13.960058333333334</v>
      </c>
      <c r="D1117" s="63">
        <f t="shared" ca="1" si="49"/>
        <v>13.965466666666666</v>
      </c>
      <c r="E1117" s="63">
        <f t="shared" ca="1" si="49"/>
        <v>15.897450000000001</v>
      </c>
      <c r="F1117" s="63">
        <f t="shared" ca="1" si="49"/>
        <v>15.897450000000001</v>
      </c>
      <c r="G1117" s="63">
        <f t="shared" ca="1" si="49"/>
        <v>15.904033333333333</v>
      </c>
      <c r="H1117" s="63">
        <f t="shared" ca="1" si="49"/>
        <v>27.307400000000001</v>
      </c>
      <c r="I1117" s="63">
        <f t="shared" ca="1" si="49"/>
        <v>27.313983333333329</v>
      </c>
      <c r="J1117" s="63">
        <f t="shared" ca="1" si="49"/>
        <v>15.897450000000001</v>
      </c>
      <c r="K1117" s="63">
        <f t="shared" ca="1" si="49"/>
        <v>15.904033333333333</v>
      </c>
    </row>
    <row r="1118" spans="1:11" ht="15">
      <c r="A1118" s="3">
        <v>2083</v>
      </c>
      <c r="B1118" s="63">
        <f t="shared" ca="1" si="49"/>
        <v>14.197650000000001</v>
      </c>
      <c r="C1118" s="63">
        <f t="shared" ca="1" si="49"/>
        <v>14.197650000000001</v>
      </c>
      <c r="D1118" s="63">
        <f t="shared" ca="1" si="49"/>
        <v>14.203066666666667</v>
      </c>
      <c r="E1118" s="63">
        <f t="shared" ca="1" si="49"/>
        <v>16.154466666666668</v>
      </c>
      <c r="F1118" s="63">
        <f t="shared" ca="1" si="49"/>
        <v>16.154466666666668</v>
      </c>
      <c r="G1118" s="63">
        <f t="shared" ca="1" si="49"/>
        <v>16.161033333333336</v>
      </c>
      <c r="H1118" s="63">
        <f t="shared" ca="1" si="49"/>
        <v>27.758433333333329</v>
      </c>
      <c r="I1118" s="63">
        <f t="shared" ca="1" si="49"/>
        <v>27.765024999999998</v>
      </c>
      <c r="J1118" s="63">
        <f t="shared" ca="1" si="49"/>
        <v>16.154466666666668</v>
      </c>
      <c r="K1118" s="63">
        <f t="shared" ca="1" si="49"/>
        <v>16.161033333333336</v>
      </c>
    </row>
    <row r="1119" spans="1:11" ht="15">
      <c r="A1119" s="3">
        <v>2084</v>
      </c>
      <c r="B1119" s="63">
        <f t="shared" ca="1" si="49"/>
        <v>14.435274999999997</v>
      </c>
      <c r="C1119" s="63">
        <f t="shared" ca="1" si="49"/>
        <v>14.435274999999997</v>
      </c>
      <c r="D1119" s="63">
        <f t="shared" ca="1" si="49"/>
        <v>14.440691666666666</v>
      </c>
      <c r="E1119" s="63">
        <f t="shared" ca="1" si="49"/>
        <v>16.411466666666669</v>
      </c>
      <c r="F1119" s="63">
        <f t="shared" ca="1" si="49"/>
        <v>16.411466666666669</v>
      </c>
      <c r="G1119" s="63">
        <f t="shared" ca="1" si="49"/>
        <v>16.418041666666667</v>
      </c>
      <c r="H1119" s="63">
        <f t="shared" ca="1" si="49"/>
        <v>28.209475000000001</v>
      </c>
      <c r="I1119" s="63">
        <f t="shared" ca="1" si="49"/>
        <v>28.216049999999996</v>
      </c>
      <c r="J1119" s="63">
        <f t="shared" ca="1" si="49"/>
        <v>16.411466666666669</v>
      </c>
      <c r="K1119" s="63">
        <f t="shared" ca="1" si="49"/>
        <v>16.418041666666667</v>
      </c>
    </row>
    <row r="1120" spans="1:11" ht="15">
      <c r="A1120" s="3">
        <v>2085</v>
      </c>
      <c r="B1120" s="63">
        <f t="shared" ca="1" si="49"/>
        <v>14.672899999999998</v>
      </c>
      <c r="C1120" s="63">
        <f t="shared" ca="1" si="49"/>
        <v>14.672899999999998</v>
      </c>
      <c r="D1120" s="63">
        <f t="shared" ca="1" si="49"/>
        <v>14.6783</v>
      </c>
      <c r="E1120" s="63">
        <f t="shared" ca="1" si="49"/>
        <v>16.668466666666667</v>
      </c>
      <c r="F1120" s="63">
        <f t="shared" ca="1" si="49"/>
        <v>16.668466666666667</v>
      </c>
      <c r="G1120" s="63">
        <f t="shared" ca="1" si="49"/>
        <v>16.675058333333329</v>
      </c>
      <c r="H1120" s="63">
        <f t="shared" ca="1" si="49"/>
        <v>28.660508333333336</v>
      </c>
      <c r="I1120" s="63">
        <f t="shared" ca="1" si="49"/>
        <v>28.667091666666664</v>
      </c>
      <c r="J1120" s="63">
        <f t="shared" ca="1" si="49"/>
        <v>16.668466666666667</v>
      </c>
      <c r="K1120" s="63">
        <f t="shared" ca="1" si="49"/>
        <v>16.675058333333329</v>
      </c>
    </row>
    <row r="1121" spans="1:11" ht="15">
      <c r="A1121" s="3">
        <v>2086</v>
      </c>
      <c r="B1121" s="63">
        <f t="shared" ca="1" si="49"/>
        <v>14.910500000000004</v>
      </c>
      <c r="C1121" s="63">
        <f t="shared" ca="1" si="49"/>
        <v>14.910500000000004</v>
      </c>
      <c r="D1121" s="63">
        <f t="shared" ca="1" si="49"/>
        <v>14.915925000000001</v>
      </c>
      <c r="E1121" s="63">
        <f t="shared" ca="1" si="49"/>
        <v>16.925483333333336</v>
      </c>
      <c r="F1121" s="63">
        <f t="shared" ca="1" si="49"/>
        <v>16.925483333333336</v>
      </c>
      <c r="G1121" s="63">
        <f t="shared" ca="1" si="49"/>
        <v>16.932083333333331</v>
      </c>
      <c r="H1121" s="63">
        <f t="shared" ca="1" si="49"/>
        <v>29.11153333333333</v>
      </c>
      <c r="I1121" s="63">
        <f t="shared" ca="1" si="49"/>
        <v>29.118125000000003</v>
      </c>
      <c r="J1121" s="63">
        <f t="shared" ca="1" si="49"/>
        <v>16.925483333333336</v>
      </c>
      <c r="K1121" s="63">
        <f t="shared" ca="1" si="49"/>
        <v>16.932083333333331</v>
      </c>
    </row>
    <row r="1122" spans="1:11" ht="15">
      <c r="A1122" s="3">
        <v>2087</v>
      </c>
      <c r="B1122" s="63">
        <f t="shared" ca="1" si="49"/>
        <v>15.148116666666667</v>
      </c>
      <c r="C1122" s="63">
        <f t="shared" ca="1" si="49"/>
        <v>15.148116666666667</v>
      </c>
      <c r="D1122" s="63">
        <f t="shared" ca="1" si="49"/>
        <v>15.153533333333336</v>
      </c>
      <c r="E1122" s="63">
        <f t="shared" ca="1" si="49"/>
        <v>17.182508333333335</v>
      </c>
      <c r="F1122" s="63">
        <f t="shared" ca="1" si="49"/>
        <v>17.182508333333335</v>
      </c>
      <c r="G1122" s="63">
        <f t="shared" ca="1" si="49"/>
        <v>17.189074999999999</v>
      </c>
      <c r="H1122" s="63">
        <f t="shared" ca="1" si="49"/>
        <v>29.562583333333333</v>
      </c>
      <c r="I1122" s="63">
        <f t="shared" ca="1" si="49"/>
        <v>29.569158333333334</v>
      </c>
      <c r="J1122" s="63">
        <f t="shared" ca="1" si="49"/>
        <v>17.182508333333335</v>
      </c>
      <c r="K1122" s="63">
        <f t="shared" ca="1" si="49"/>
        <v>17.189074999999999</v>
      </c>
    </row>
    <row r="1123" spans="1:11" ht="15">
      <c r="A1123" s="3">
        <v>2088</v>
      </c>
      <c r="B1123" s="63">
        <f t="shared" ca="1" si="49"/>
        <v>15.385741666666663</v>
      </c>
      <c r="C1123" s="63">
        <f t="shared" ca="1" si="49"/>
        <v>15.385741666666663</v>
      </c>
      <c r="D1123" s="63">
        <f t="shared" ca="1" si="49"/>
        <v>15.391133333333331</v>
      </c>
      <c r="E1123" s="63">
        <f t="shared" ca="1" si="49"/>
        <v>17.439516666666666</v>
      </c>
      <c r="F1123" s="63">
        <f t="shared" ca="1" si="49"/>
        <v>17.439516666666666</v>
      </c>
      <c r="G1123" s="63">
        <f t="shared" ca="1" si="49"/>
        <v>17.446108333333331</v>
      </c>
      <c r="H1123" s="63">
        <f t="shared" ca="1" si="49"/>
        <v>30.013625000000005</v>
      </c>
      <c r="I1123" s="63">
        <f t="shared" ca="1" si="49"/>
        <v>30.020200000000003</v>
      </c>
      <c r="J1123" s="63">
        <f t="shared" ca="1" si="49"/>
        <v>17.439516666666666</v>
      </c>
      <c r="K1123" s="63">
        <f t="shared" ca="1" si="49"/>
        <v>17.446108333333331</v>
      </c>
    </row>
    <row r="1124" spans="1:11" ht="15">
      <c r="A1124" s="3">
        <v>2089</v>
      </c>
      <c r="B1124" s="63">
        <f t="shared" ca="1" si="49"/>
        <v>15.623341666666667</v>
      </c>
      <c r="C1124" s="63">
        <f t="shared" ca="1" si="49"/>
        <v>15.623341666666667</v>
      </c>
      <c r="D1124" s="63">
        <f t="shared" ca="1" si="49"/>
        <v>15.628758333333332</v>
      </c>
      <c r="E1124" s="63">
        <f t="shared" ca="1" si="49"/>
        <v>17.696524999999998</v>
      </c>
      <c r="F1124" s="63">
        <f t="shared" ca="1" si="49"/>
        <v>17.696524999999998</v>
      </c>
      <c r="G1124" s="63">
        <f t="shared" ca="1" si="49"/>
        <v>17.703091666666669</v>
      </c>
      <c r="H1124" s="63">
        <f t="shared" ca="1" si="49"/>
        <v>30.464666666666663</v>
      </c>
      <c r="I1124" s="63">
        <f t="shared" ca="1" si="49"/>
        <v>30.471250000000001</v>
      </c>
      <c r="J1124" s="63">
        <f t="shared" ca="1" si="49"/>
        <v>17.696524999999998</v>
      </c>
      <c r="K1124" s="63">
        <f t="shared" ca="1" si="49"/>
        <v>17.703091666666669</v>
      </c>
    </row>
    <row r="1125" spans="1:11" ht="15">
      <c r="A1125" s="3">
        <v>2090</v>
      </c>
      <c r="B1125" s="63">
        <f t="shared" ca="1" si="49"/>
        <v>15.860966666666668</v>
      </c>
      <c r="C1125" s="63">
        <f t="shared" ca="1" si="49"/>
        <v>15.860966666666668</v>
      </c>
      <c r="D1125" s="63">
        <f t="shared" ca="1" si="49"/>
        <v>15.866374999999998</v>
      </c>
      <c r="E1125" s="63">
        <f t="shared" ca="1" si="49"/>
        <v>17.953533333333333</v>
      </c>
      <c r="F1125" s="63">
        <f t="shared" ca="1" si="49"/>
        <v>17.953533333333333</v>
      </c>
      <c r="G1125" s="63">
        <f t="shared" ca="1" si="49"/>
        <v>17.960091666666667</v>
      </c>
      <c r="H1125" s="63">
        <f t="shared" ca="1" si="49"/>
        <v>30.915683333333337</v>
      </c>
      <c r="I1125" s="63">
        <f t="shared" ca="1" si="49"/>
        <v>30.922266666666662</v>
      </c>
      <c r="J1125" s="63">
        <f t="shared" ca="1" si="49"/>
        <v>17.953533333333333</v>
      </c>
      <c r="K1125" s="63">
        <f t="shared" ca="1" si="49"/>
        <v>17.960091666666667</v>
      </c>
    </row>
    <row r="1126" spans="1:11" ht="15">
      <c r="A1126" s="3">
        <v>2091</v>
      </c>
      <c r="B1126" s="63">
        <f t="shared" ca="1" si="49"/>
        <v>16.098591666666668</v>
      </c>
      <c r="C1126" s="63">
        <f t="shared" ca="1" si="49"/>
        <v>16.098591666666668</v>
      </c>
      <c r="D1126" s="63">
        <f t="shared" ca="1" si="49"/>
        <v>16.103983333333336</v>
      </c>
      <c r="E1126" s="63">
        <f t="shared" ca="1" si="49"/>
        <v>18.210533333333338</v>
      </c>
      <c r="F1126" s="63">
        <f t="shared" ca="1" si="49"/>
        <v>18.210533333333338</v>
      </c>
      <c r="G1126" s="63">
        <f t="shared" ca="1" si="49"/>
        <v>18.217124999999999</v>
      </c>
      <c r="H1126" s="63">
        <f t="shared" ca="1" si="49"/>
        <v>31.366708333333332</v>
      </c>
      <c r="I1126" s="63">
        <f t="shared" ca="1" si="49"/>
        <v>31.3733</v>
      </c>
      <c r="J1126" s="63">
        <f t="shared" ca="1" si="49"/>
        <v>18.210533333333338</v>
      </c>
      <c r="K1126" s="63">
        <f t="shared" ca="1" si="49"/>
        <v>18.217124999999999</v>
      </c>
    </row>
    <row r="1127" spans="1:11" ht="15">
      <c r="A1127" s="3">
        <v>2092</v>
      </c>
      <c r="B1127" s="63">
        <f t="shared" ref="B1127:K1135" ca="1" si="50">AVERAGE(OFFSET(B$581,($A1127-$A$1097)*12,0,12,1))</f>
        <v>16.336183333333331</v>
      </c>
      <c r="C1127" s="63">
        <f t="shared" ca="1" si="50"/>
        <v>16.336183333333331</v>
      </c>
      <c r="D1127" s="63">
        <f t="shared" ca="1" si="50"/>
        <v>16.3416</v>
      </c>
      <c r="E1127" s="63">
        <f t="shared" ca="1" si="50"/>
        <v>18.467549999999999</v>
      </c>
      <c r="F1127" s="63">
        <f t="shared" ca="1" si="50"/>
        <v>18.467549999999999</v>
      </c>
      <c r="G1127" s="63">
        <f t="shared" ca="1" si="50"/>
        <v>18.474133333333331</v>
      </c>
      <c r="H1127" s="63">
        <f t="shared" ca="1" si="50"/>
        <v>31.817750000000007</v>
      </c>
      <c r="I1127" s="63">
        <f t="shared" ca="1" si="50"/>
        <v>31.824324999999998</v>
      </c>
      <c r="J1127" s="63">
        <f t="shared" ca="1" si="50"/>
        <v>18.467549999999999</v>
      </c>
      <c r="K1127" s="63">
        <f t="shared" ca="1" si="50"/>
        <v>18.474133333333331</v>
      </c>
    </row>
    <row r="1128" spans="1:11" ht="15">
      <c r="A1128" s="3">
        <v>2093</v>
      </c>
      <c r="B1128" s="63">
        <f t="shared" ca="1" si="50"/>
        <v>16.573799999999999</v>
      </c>
      <c r="C1128" s="63">
        <f t="shared" ca="1" si="50"/>
        <v>16.573799999999999</v>
      </c>
      <c r="D1128" s="63">
        <f t="shared" ca="1" si="50"/>
        <v>16.579208333333334</v>
      </c>
      <c r="E1128" s="63">
        <f t="shared" ca="1" si="50"/>
        <v>18.724558333333331</v>
      </c>
      <c r="F1128" s="63">
        <f t="shared" ca="1" si="50"/>
        <v>18.724558333333331</v>
      </c>
      <c r="G1128" s="63">
        <f t="shared" ca="1" si="50"/>
        <v>18.73115</v>
      </c>
      <c r="H1128" s="63">
        <f t="shared" ca="1" si="50"/>
        <v>32.268808333333332</v>
      </c>
      <c r="I1128" s="63">
        <f t="shared" ca="1" si="50"/>
        <v>32.27538333333333</v>
      </c>
      <c r="J1128" s="63">
        <f t="shared" ca="1" si="50"/>
        <v>18.724558333333331</v>
      </c>
      <c r="K1128" s="63">
        <f t="shared" ca="1" si="50"/>
        <v>18.73115</v>
      </c>
    </row>
    <row r="1129" spans="1:11" ht="15">
      <c r="A1129" s="3">
        <v>2094</v>
      </c>
      <c r="B1129" s="63">
        <f t="shared" ca="1" si="50"/>
        <v>16.81141666666667</v>
      </c>
      <c r="C1129" s="63">
        <f t="shared" ca="1" si="50"/>
        <v>16.81141666666667</v>
      </c>
      <c r="D1129" s="63">
        <f t="shared" ca="1" si="50"/>
        <v>16.816824999999998</v>
      </c>
      <c r="E1129" s="63">
        <f t="shared" ca="1" si="50"/>
        <v>18.981583333333333</v>
      </c>
      <c r="F1129" s="63">
        <f t="shared" ca="1" si="50"/>
        <v>18.981583333333333</v>
      </c>
      <c r="G1129" s="63">
        <f t="shared" ca="1" si="50"/>
        <v>18.988141666666667</v>
      </c>
      <c r="H1129" s="63">
        <f t="shared" ca="1" si="50"/>
        <v>32.719841666666667</v>
      </c>
      <c r="I1129" s="63">
        <f t="shared" ca="1" si="50"/>
        <v>32.726408333333339</v>
      </c>
      <c r="J1129" s="63">
        <f t="shared" ca="1" si="50"/>
        <v>18.981583333333333</v>
      </c>
      <c r="K1129" s="63">
        <f t="shared" ca="1" si="50"/>
        <v>18.988141666666667</v>
      </c>
    </row>
    <row r="1130" spans="1:11" ht="15">
      <c r="A1130" s="3">
        <v>2095</v>
      </c>
      <c r="B1130" s="63">
        <f t="shared" ca="1" si="50"/>
        <v>17.049025</v>
      </c>
      <c r="C1130" s="63">
        <f t="shared" ca="1" si="50"/>
        <v>17.049025</v>
      </c>
      <c r="D1130" s="63">
        <f t="shared" ca="1" si="50"/>
        <v>17.054433333333336</v>
      </c>
      <c r="E1130" s="63">
        <f t="shared" ca="1" si="50"/>
        <v>19.238591666666668</v>
      </c>
      <c r="F1130" s="63">
        <f t="shared" ca="1" si="50"/>
        <v>19.238591666666668</v>
      </c>
      <c r="G1130" s="63">
        <f t="shared" ca="1" si="50"/>
        <v>19.245158333333336</v>
      </c>
      <c r="H1130" s="63">
        <f t="shared" ca="1" si="50"/>
        <v>33.170858333333335</v>
      </c>
      <c r="I1130" s="63">
        <f t="shared" ca="1" si="50"/>
        <v>33.17745</v>
      </c>
      <c r="J1130" s="63">
        <f t="shared" ca="1" si="50"/>
        <v>19.238591666666668</v>
      </c>
      <c r="K1130" s="63">
        <f t="shared" ca="1" si="50"/>
        <v>19.245158333333336</v>
      </c>
    </row>
    <row r="1131" spans="1:11" ht="15">
      <c r="A1131" s="3">
        <v>2096</v>
      </c>
      <c r="B1131" s="63">
        <f t="shared" ca="1" si="50"/>
        <v>17.286658333333332</v>
      </c>
      <c r="C1131" s="63">
        <f t="shared" ca="1" si="50"/>
        <v>17.286658333333332</v>
      </c>
      <c r="D1131" s="63">
        <f t="shared" ca="1" si="50"/>
        <v>17.292066666666667</v>
      </c>
      <c r="E1131" s="63">
        <f t="shared" ca="1" si="50"/>
        <v>19.49559166666667</v>
      </c>
      <c r="F1131" s="63">
        <f t="shared" ca="1" si="50"/>
        <v>19.49559166666667</v>
      </c>
      <c r="G1131" s="63">
        <f t="shared" ca="1" si="50"/>
        <v>19.502174999999998</v>
      </c>
      <c r="H1131" s="63">
        <f t="shared" ca="1" si="50"/>
        <v>33.621900000000004</v>
      </c>
      <c r="I1131" s="63">
        <f t="shared" ca="1" si="50"/>
        <v>33.628475000000002</v>
      </c>
      <c r="J1131" s="63">
        <f t="shared" ca="1" si="50"/>
        <v>19.49559166666667</v>
      </c>
      <c r="K1131" s="63">
        <f t="shared" ca="1" si="50"/>
        <v>19.502174999999998</v>
      </c>
    </row>
    <row r="1132" spans="1:11" ht="15">
      <c r="A1132" s="3">
        <v>2097</v>
      </c>
      <c r="B1132" s="63">
        <f t="shared" ca="1" si="50"/>
        <v>17.524258333333332</v>
      </c>
      <c r="C1132" s="63">
        <f t="shared" ca="1" si="50"/>
        <v>17.524258333333332</v>
      </c>
      <c r="D1132" s="63">
        <f t="shared" ca="1" si="50"/>
        <v>17.529674999999997</v>
      </c>
      <c r="E1132" s="63">
        <f t="shared" ca="1" si="50"/>
        <v>19.752591666666664</v>
      </c>
      <c r="F1132" s="63">
        <f t="shared" ca="1" si="50"/>
        <v>19.752591666666664</v>
      </c>
      <c r="G1132" s="63">
        <f t="shared" ca="1" si="50"/>
        <v>19.759174999999999</v>
      </c>
      <c r="H1132" s="63">
        <f t="shared" ca="1" si="50"/>
        <v>34.072941666666665</v>
      </c>
      <c r="I1132" s="63">
        <f t="shared" ca="1" si="50"/>
        <v>34.079516666666663</v>
      </c>
      <c r="J1132" s="63">
        <f t="shared" ca="1" si="50"/>
        <v>19.752591666666664</v>
      </c>
      <c r="K1132" s="63">
        <f t="shared" ca="1" si="50"/>
        <v>19.759174999999999</v>
      </c>
    </row>
    <row r="1133" spans="1:11" ht="15">
      <c r="A1133" s="3">
        <v>2098</v>
      </c>
      <c r="B1133" s="63">
        <f t="shared" ca="1" si="50"/>
        <v>17.761866666666666</v>
      </c>
      <c r="C1133" s="63">
        <f t="shared" ca="1" si="50"/>
        <v>17.761866666666666</v>
      </c>
      <c r="D1133" s="63">
        <f t="shared" ca="1" si="50"/>
        <v>17.767275000000001</v>
      </c>
      <c r="E1133" s="63">
        <f t="shared" ca="1" si="50"/>
        <v>20.009608333333329</v>
      </c>
      <c r="F1133" s="63">
        <f t="shared" ca="1" si="50"/>
        <v>20.009608333333329</v>
      </c>
      <c r="G1133" s="63">
        <f t="shared" ca="1" si="50"/>
        <v>20.016191666666664</v>
      </c>
      <c r="H1133" s="63">
        <f t="shared" ca="1" si="50"/>
        <v>34.523975</v>
      </c>
      <c r="I1133" s="63">
        <f t="shared" ca="1" si="50"/>
        <v>34.530574999999999</v>
      </c>
      <c r="J1133" s="63">
        <f t="shared" ca="1" si="50"/>
        <v>20.009608333333329</v>
      </c>
      <c r="K1133" s="63">
        <f t="shared" ca="1" si="50"/>
        <v>20.016191666666664</v>
      </c>
    </row>
    <row r="1134" spans="1:11" ht="15">
      <c r="A1134" s="3">
        <v>2099</v>
      </c>
      <c r="B1134" s="63">
        <f t="shared" ca="1" si="50"/>
        <v>17.999491666666668</v>
      </c>
      <c r="C1134" s="63">
        <f t="shared" ca="1" si="50"/>
        <v>17.999491666666668</v>
      </c>
      <c r="D1134" s="63">
        <f t="shared" ca="1" si="50"/>
        <v>18.004908333333336</v>
      </c>
      <c r="E1134" s="63">
        <f t="shared" ca="1" si="50"/>
        <v>20.266633333333331</v>
      </c>
      <c r="F1134" s="63">
        <f t="shared" ca="1" si="50"/>
        <v>20.266633333333331</v>
      </c>
      <c r="G1134" s="63">
        <f t="shared" ca="1" si="50"/>
        <v>20.273199999999999</v>
      </c>
      <c r="H1134" s="63">
        <f t="shared" ca="1" si="50"/>
        <v>34.975008333333335</v>
      </c>
      <c r="I1134" s="63">
        <f t="shared" ca="1" si="50"/>
        <v>34.981591666666667</v>
      </c>
      <c r="J1134" s="63">
        <f t="shared" ca="1" si="50"/>
        <v>20.266633333333331</v>
      </c>
      <c r="K1134" s="63">
        <f t="shared" ca="1" si="50"/>
        <v>20.273199999999999</v>
      </c>
    </row>
    <row r="1135" spans="1:11" ht="15">
      <c r="A1135" s="3">
        <v>2100</v>
      </c>
      <c r="B1135" s="63">
        <f t="shared" ca="1" si="50"/>
        <v>18.237108333333328</v>
      </c>
      <c r="C1135" s="63">
        <f t="shared" ca="1" si="50"/>
        <v>18.237108333333328</v>
      </c>
      <c r="D1135" s="63">
        <f t="shared" ca="1" si="50"/>
        <v>18.242499999999996</v>
      </c>
      <c r="E1135" s="63">
        <f t="shared" ca="1" si="50"/>
        <v>20.523624999999999</v>
      </c>
      <c r="F1135" s="63">
        <f t="shared" ca="1" si="50"/>
        <v>20.523624999999999</v>
      </c>
      <c r="G1135" s="63">
        <f t="shared" ca="1" si="50"/>
        <v>20.530199999999997</v>
      </c>
      <c r="H1135" s="63">
        <f t="shared" ca="1" si="50"/>
        <v>35.426049999999996</v>
      </c>
      <c r="I1135" s="63">
        <f t="shared" ca="1" si="50"/>
        <v>35.432624999999994</v>
      </c>
      <c r="J1135" s="63">
        <f t="shared" ca="1" si="50"/>
        <v>20.523624999999999</v>
      </c>
      <c r="K1135" s="63">
        <f t="shared" ca="1" si="50"/>
        <v>20.530199999999997</v>
      </c>
    </row>
  </sheetData>
  <mergeCells count="7">
    <mergeCell ref="B14:D14"/>
    <mergeCell ref="L14:M14"/>
    <mergeCell ref="N14:O14"/>
    <mergeCell ref="L13:O13"/>
    <mergeCell ref="E14:G14"/>
    <mergeCell ref="J14:K14"/>
    <mergeCell ref="H14:I14"/>
  </mergeCells>
  <pageMargins left="0.25" right="0.25" top="0.5" bottom="0.5" header="0.25" footer="0.25"/>
  <pageSetup paperSize="119" scale="8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381000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E37"/>
  <sheetViews>
    <sheetView showGridLines="0" zoomScale="70" zoomScaleNormal="70" workbookViewId="0">
      <selection activeCell="K30" sqref="K30"/>
    </sheetView>
  </sheetViews>
  <sheetFormatPr defaultColWidth="8.88671875" defaultRowHeight="15.75"/>
  <cols>
    <col min="1" max="1" width="8.88671875" style="76"/>
    <col min="2" max="2" width="15.5546875" style="76" bestFit="1" customWidth="1"/>
    <col min="3" max="3" width="9.5546875" style="76" bestFit="1" customWidth="1"/>
    <col min="4" max="16384" width="8.88671875" style="76"/>
  </cols>
  <sheetData>
    <row r="1" spans="1:3">
      <c r="A1" s="84" t="s">
        <v>64</v>
      </c>
    </row>
    <row r="2" spans="1:3">
      <c r="A2" s="84" t="s">
        <v>65</v>
      </c>
    </row>
    <row r="3" spans="1:3">
      <c r="A3" s="84" t="s">
        <v>66</v>
      </c>
    </row>
    <row r="4" spans="1:3">
      <c r="A4" s="84" t="s">
        <v>67</v>
      </c>
    </row>
    <row r="5" spans="1:3">
      <c r="A5" s="84" t="s">
        <v>69</v>
      </c>
    </row>
    <row r="6" spans="1:3">
      <c r="A6" s="84" t="s">
        <v>73</v>
      </c>
    </row>
    <row r="8" spans="1:3">
      <c r="B8" s="81" t="s">
        <v>63</v>
      </c>
      <c r="C8" s="81" t="s">
        <v>54</v>
      </c>
    </row>
    <row r="9" spans="1:3">
      <c r="B9" s="83" t="s">
        <v>61</v>
      </c>
      <c r="C9" s="93">
        <v>2</v>
      </c>
    </row>
    <row r="10" spans="1:3">
      <c r="B10" s="83" t="s">
        <v>60</v>
      </c>
      <c r="C10" s="95"/>
    </row>
    <row r="11" spans="1:3">
      <c r="B11" s="82" t="s">
        <v>59</v>
      </c>
      <c r="C11" s="94"/>
    </row>
    <row r="14" spans="1:3">
      <c r="B14" s="81" t="s">
        <v>55</v>
      </c>
      <c r="C14" s="81" t="s">
        <v>54</v>
      </c>
    </row>
    <row r="15" spans="1:3">
      <c r="B15" s="83" t="s">
        <v>61</v>
      </c>
      <c r="C15" s="93">
        <v>2</v>
      </c>
    </row>
    <row r="16" spans="1:3">
      <c r="B16" s="83" t="s">
        <v>60</v>
      </c>
      <c r="C16" s="95"/>
    </row>
    <row r="17" spans="2:3">
      <c r="B17" s="82" t="s">
        <v>59</v>
      </c>
      <c r="C17" s="94"/>
    </row>
    <row r="21" spans="2:3">
      <c r="B21" s="81" t="s">
        <v>62</v>
      </c>
      <c r="C21" s="81" t="s">
        <v>54</v>
      </c>
    </row>
    <row r="22" spans="2:3">
      <c r="B22" s="83" t="s">
        <v>61</v>
      </c>
      <c r="C22" s="93">
        <v>2</v>
      </c>
    </row>
    <row r="23" spans="2:3">
      <c r="B23" s="83" t="s">
        <v>60</v>
      </c>
      <c r="C23" s="95"/>
    </row>
    <row r="24" spans="2:3">
      <c r="B24" s="82" t="s">
        <v>59</v>
      </c>
      <c r="C24" s="94"/>
    </row>
    <row r="27" spans="2:3">
      <c r="B27" s="81" t="s">
        <v>58</v>
      </c>
      <c r="C27" s="81" t="s">
        <v>54</v>
      </c>
    </row>
    <row r="28" spans="2:3">
      <c r="B28" s="80" t="s">
        <v>57</v>
      </c>
      <c r="C28" s="93">
        <v>1</v>
      </c>
    </row>
    <row r="29" spans="2:3">
      <c r="B29" s="79" t="s">
        <v>56</v>
      </c>
      <c r="C29" s="94"/>
    </row>
    <row r="31" spans="2:3">
      <c r="B31" s="81" t="s">
        <v>55</v>
      </c>
      <c r="C31" s="81" t="s">
        <v>54</v>
      </c>
    </row>
    <row r="32" spans="2:3">
      <c r="B32" s="80" t="s">
        <v>53</v>
      </c>
      <c r="C32" s="93">
        <v>1</v>
      </c>
    </row>
    <row r="33" spans="2:5">
      <c r="B33" s="79" t="s">
        <v>52</v>
      </c>
      <c r="C33" s="94"/>
    </row>
    <row r="37" spans="2:5">
      <c r="C37" s="78"/>
      <c r="E37" s="77"/>
    </row>
  </sheetData>
  <mergeCells count="5">
    <mergeCell ref="C32:C33"/>
    <mergeCell ref="C22:C24"/>
    <mergeCell ref="C28:C29"/>
    <mergeCell ref="C9:C11"/>
    <mergeCell ref="C15:C17"/>
  </mergeCells>
  <pageMargins left="0.25" right="0.25" top="0.5" bottom="0.5" header="0.25" footer="0.25"/>
  <pageSetup orientation="portrait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2016-07-29T16:29:59Z</dcterms:created>
  <dcterms:modified xsi:type="dcterms:W3CDTF">2016-07-29T16:30:03Z</dcterms:modified>
</cp:coreProperties>
</file>